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5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calaseis-my.sharepoint.com/personal/compras_fincalaseis_com_ar/Documents/"/>
    </mc:Choice>
  </mc:AlternateContent>
  <xr:revisionPtr revIDLastSave="44009" documentId="6_{0C144BF2-91C6-47E3-AD50-2E5AD885E8AB}" xr6:coauthVersionLast="47" xr6:coauthVersionMax="47" xr10:uidLastSave="{BEA9A31A-3C30-4E5C-8BB0-91232B5A4C90}"/>
  <bookViews>
    <workbookView xWindow="-120" yWindow="-120" windowWidth="29040" windowHeight="15840" tabRatio="531" xr2:uid="{F5100735-E665-4D69-A493-CDE68146409E}"/>
  </bookViews>
  <sheets>
    <sheet name="Semanal" sheetId="6" r:id="rId1"/>
    <sheet name="Efectivo" sheetId="78" r:id="rId2"/>
    <sheet name="Pago Semana" sheetId="69" r:id="rId3"/>
    <sheet name="Deuda Fruta" sheetId="56" r:id="rId4"/>
    <sheet name="Deuda Proveedores" sheetId="53" r:id="rId5"/>
    <sheet name="P Nuevo" sheetId="57" r:id="rId6"/>
    <sheet name="Proveedor" sheetId="79" r:id="rId7"/>
    <sheet name="Serv" sheetId="49" r:id="rId8"/>
  </sheets>
  <definedNames>
    <definedName name="_xlnm._FilterDatabase" localSheetId="0" hidden="1">Semanal!$A$8:$L$8</definedName>
  </definedNames>
  <calcPr calcId="191028"/>
  <pivotCaches>
    <pivotCache cacheId="33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54" i="6" l="1"/>
  <c r="K1254" i="6" s="1"/>
  <c r="N1254" i="6"/>
  <c r="J1226" i="6"/>
  <c r="K1226" i="6" s="1"/>
  <c r="N1226" i="6"/>
  <c r="J4629" i="6"/>
  <c r="K4629" i="6" s="1"/>
  <c r="N4629" i="6"/>
  <c r="J774" i="6" l="1"/>
  <c r="K774" i="6" s="1"/>
  <c r="N774" i="6"/>
  <c r="J1966" i="6"/>
  <c r="K1966" i="6" s="1"/>
  <c r="N1966" i="6"/>
  <c r="J1884" i="6"/>
  <c r="K1884" i="6" s="1"/>
  <c r="N1884" i="6"/>
  <c r="J1849" i="6"/>
  <c r="K1849" i="6" s="1"/>
  <c r="N1849" i="6"/>
  <c r="J1256" i="6"/>
  <c r="K1256" i="6" s="1"/>
  <c r="N1256" i="6"/>
  <c r="J1257" i="6"/>
  <c r="K1257" i="6" s="1"/>
  <c r="N1257" i="6"/>
  <c r="J1543" i="6"/>
  <c r="K1543" i="6" s="1"/>
  <c r="N1543" i="6"/>
  <c r="J4156" i="6"/>
  <c r="K4156" i="6" s="1"/>
  <c r="N4156" i="6"/>
  <c r="J2754" i="6"/>
  <c r="K2754" i="6" s="1"/>
  <c r="N2754" i="6"/>
  <c r="J4360" i="6"/>
  <c r="K4360" i="6" s="1"/>
  <c r="N4360" i="6"/>
  <c r="J200" i="6"/>
  <c r="K200" i="6" s="1"/>
  <c r="N200" i="6"/>
  <c r="J171" i="6"/>
  <c r="K171" i="6" s="1"/>
  <c r="N171" i="6"/>
  <c r="J4361" i="6"/>
  <c r="K4361" i="6" s="1"/>
  <c r="N4361" i="6"/>
  <c r="I3801" i="6"/>
  <c r="J3802" i="6"/>
  <c r="K3802" i="6" s="1"/>
  <c r="N3802" i="6"/>
  <c r="J3859" i="6"/>
  <c r="K3859" i="6" s="1"/>
  <c r="N3859" i="6"/>
  <c r="J3900" i="6"/>
  <c r="K3900" i="6" s="1"/>
  <c r="N3900" i="6"/>
  <c r="J3901" i="6"/>
  <c r="K3901" i="6" s="1"/>
  <c r="N3901" i="6"/>
  <c r="J3497" i="6" l="1"/>
  <c r="K3497" i="6" s="1"/>
  <c r="N3497" i="6"/>
  <c r="J3596" i="6"/>
  <c r="K3596" i="6" s="1"/>
  <c r="N3596" i="6"/>
  <c r="J3690" i="6"/>
  <c r="K3690" i="6" s="1"/>
  <c r="N3690" i="6"/>
  <c r="J2496" i="6" l="1"/>
  <c r="K2496" i="6" s="1"/>
  <c r="N2496" i="6"/>
  <c r="J3460" i="6"/>
  <c r="K3460" i="6" s="1"/>
  <c r="N3460" i="6"/>
  <c r="J4434" i="6"/>
  <c r="K4434" i="6" s="1"/>
  <c r="N4434" i="6"/>
  <c r="J3267" i="6"/>
  <c r="K3267" i="6" s="1"/>
  <c r="N3267" i="6"/>
  <c r="J1716" i="6"/>
  <c r="K1716" i="6" s="1"/>
  <c r="N1716" i="6"/>
  <c r="J2262" i="6"/>
  <c r="K2262" i="6" s="1"/>
  <c r="J2263" i="6"/>
  <c r="K2263" i="6" s="1"/>
  <c r="J2264" i="6"/>
  <c r="K2264" i="6" s="1"/>
  <c r="N2262" i="6"/>
  <c r="N2263" i="6"/>
  <c r="N2264" i="6"/>
  <c r="J2261" i="6"/>
  <c r="K2261" i="6" s="1"/>
  <c r="N2261" i="6"/>
  <c r="J4127" i="6"/>
  <c r="K4127" i="6" s="1"/>
  <c r="N4127" i="6"/>
  <c r="J4126" i="6"/>
  <c r="K4126" i="6" s="1"/>
  <c r="N4126" i="6"/>
  <c r="J2746" i="6"/>
  <c r="K2746" i="6" s="1"/>
  <c r="N2746" i="6"/>
  <c r="J2747" i="6"/>
  <c r="K2747" i="6" s="1"/>
  <c r="N2747" i="6"/>
  <c r="J4045" i="6"/>
  <c r="K4045" i="6" s="1"/>
  <c r="N4045" i="6"/>
  <c r="J4044" i="6"/>
  <c r="K4044" i="6" s="1"/>
  <c r="N4044" i="6"/>
  <c r="J4043" i="6"/>
  <c r="K4043" i="6" s="1"/>
  <c r="N4043" i="6"/>
  <c r="J1545" i="6"/>
  <c r="K1545" i="6" s="1"/>
  <c r="N1545" i="6"/>
  <c r="J1544" i="6"/>
  <c r="K1544" i="6" s="1"/>
  <c r="N1544" i="6"/>
  <c r="J928" i="6"/>
  <c r="K928" i="6" s="1"/>
  <c r="N928" i="6"/>
  <c r="J1035" i="6"/>
  <c r="K1035" i="6" s="1"/>
  <c r="J1036" i="6"/>
  <c r="K1036" i="6" s="1"/>
  <c r="N1035" i="6"/>
  <c r="N1036" i="6"/>
  <c r="J3022" i="6"/>
  <c r="K3022" i="6" s="1"/>
  <c r="J2445" i="6"/>
  <c r="K2445" i="6" s="1"/>
  <c r="J2997" i="6"/>
  <c r="K2997" i="6" s="1"/>
  <c r="J1685" i="6"/>
  <c r="K1685" i="6" s="1"/>
  <c r="J1686" i="6"/>
  <c r="K1686" i="6" s="1"/>
  <c r="N3022" i="6"/>
  <c r="N2445" i="6"/>
  <c r="N2997" i="6"/>
  <c r="N1685" i="6"/>
  <c r="N1686" i="6"/>
  <c r="J2709" i="6"/>
  <c r="K2709" i="6" s="1"/>
  <c r="N2709" i="6"/>
  <c r="J2582" i="6"/>
  <c r="K2582" i="6" s="1"/>
  <c r="N2582" i="6"/>
  <c r="J299" i="6"/>
  <c r="K299" i="6" s="1"/>
  <c r="N299" i="6"/>
  <c r="J298" i="6"/>
  <c r="K298" i="6" s="1"/>
  <c r="N298" i="6"/>
  <c r="J412" i="6"/>
  <c r="K412" i="6" s="1"/>
  <c r="N412" i="6"/>
  <c r="J411" i="6"/>
  <c r="K411" i="6" s="1"/>
  <c r="N411" i="6"/>
  <c r="J2756" i="6"/>
  <c r="K2756" i="6" s="1"/>
  <c r="N2756" i="6"/>
  <c r="J2755" i="6"/>
  <c r="K2755" i="6" s="1"/>
  <c r="N2755" i="6"/>
  <c r="J2398" i="6"/>
  <c r="K2398" i="6" s="1"/>
  <c r="N2398" i="6"/>
  <c r="J4207" i="6"/>
  <c r="K4207" i="6" s="1"/>
  <c r="N4207" i="6"/>
  <c r="J2156" i="6"/>
  <c r="K2156" i="6" s="1"/>
  <c r="N2156" i="6"/>
  <c r="J2748" i="6"/>
  <c r="K2748" i="6" s="1"/>
  <c r="N2748" i="6"/>
  <c r="J2749" i="6"/>
  <c r="K2749" i="6" s="1"/>
  <c r="N2749" i="6"/>
  <c r="J2750" i="6"/>
  <c r="K2750" i="6" s="1"/>
  <c r="N2750" i="6"/>
  <c r="J2745" i="6"/>
  <c r="K2745" i="6" s="1"/>
  <c r="N2745" i="6"/>
  <c r="J41" i="6"/>
  <c r="K41" i="6" s="1"/>
  <c r="N41" i="6"/>
  <c r="J4552" i="6"/>
  <c r="K4552" i="6" s="1"/>
  <c r="N4552" i="6"/>
  <c r="J1258" i="6"/>
  <c r="K1258" i="6" s="1"/>
  <c r="N1258" i="6"/>
  <c r="J1259" i="6"/>
  <c r="K1259" i="6" s="1"/>
  <c r="N1259" i="6"/>
  <c r="J1260" i="6"/>
  <c r="K1260" i="6" s="1"/>
  <c r="N1260" i="6"/>
  <c r="J4635" i="6"/>
  <c r="K4635" i="6" s="1"/>
  <c r="N4635" i="6"/>
  <c r="J4437" i="6"/>
  <c r="K4437" i="6" s="1"/>
  <c r="N4437" i="6"/>
  <c r="J2769" i="6"/>
  <c r="K2769" i="6" s="1"/>
  <c r="N2769" i="6"/>
  <c r="J2996" i="6"/>
  <c r="K2996" i="6" s="1"/>
  <c r="N2996" i="6"/>
  <c r="J2306" i="6"/>
  <c r="K2306" i="6" s="1"/>
  <c r="N2306" i="6"/>
  <c r="J2305" i="6"/>
  <c r="K2305" i="6" s="1"/>
  <c r="N2305" i="6"/>
  <c r="J936" i="6"/>
  <c r="K936" i="6" s="1"/>
  <c r="N936" i="6"/>
  <c r="J3717" i="6"/>
  <c r="K3717" i="6" s="1"/>
  <c r="N3717" i="6"/>
  <c r="J3989" i="6" l="1"/>
  <c r="K3989" i="6" s="1"/>
  <c r="N3989" i="6"/>
  <c r="J3716" i="6" l="1"/>
  <c r="K3716" i="6" s="1"/>
  <c r="N3716" i="6"/>
  <c r="J4030" i="6"/>
  <c r="K4030" i="6" s="1"/>
  <c r="N4030" i="6"/>
  <c r="J4029" i="6"/>
  <c r="K4029" i="6" s="1"/>
  <c r="N4029" i="6"/>
  <c r="J4028" i="6"/>
  <c r="K4028" i="6" s="1"/>
  <c r="N4028" i="6"/>
  <c r="J1648" i="6"/>
  <c r="K1648" i="6" s="1"/>
  <c r="N1648" i="6"/>
  <c r="J1647" i="6"/>
  <c r="K1647" i="6" s="1"/>
  <c r="N1647" i="6"/>
  <c r="J1646" i="6"/>
  <c r="K1646" i="6" s="1"/>
  <c r="N1646" i="6"/>
  <c r="J243" i="6"/>
  <c r="K243" i="6" s="1"/>
  <c r="N243" i="6"/>
  <c r="J1324" i="6"/>
  <c r="K1324" i="6" s="1"/>
  <c r="N1324" i="6"/>
  <c r="J1033" i="78"/>
  <c r="J1018" i="78"/>
  <c r="T1026" i="78" s="1"/>
  <c r="J4633" i="6"/>
  <c r="K4633" i="6" s="1"/>
  <c r="N4633" i="6"/>
  <c r="J3487" i="6"/>
  <c r="K3487" i="6" s="1"/>
  <c r="N3487" i="6"/>
  <c r="J3801" i="6"/>
  <c r="K3801" i="6" s="1"/>
  <c r="N3801" i="6"/>
  <c r="J1757" i="6"/>
  <c r="K1757" i="6" s="1"/>
  <c r="N1757" i="6"/>
  <c r="J1756" i="6"/>
  <c r="K1756" i="6" s="1"/>
  <c r="N1756" i="6"/>
  <c r="J1755" i="6"/>
  <c r="K1755" i="6" s="1"/>
  <c r="N1755" i="6"/>
  <c r="J1715" i="6"/>
  <c r="K1715" i="6" s="1"/>
  <c r="N1715" i="6"/>
  <c r="J453" i="6"/>
  <c r="K453" i="6" s="1"/>
  <c r="N453" i="6"/>
  <c r="J452" i="6"/>
  <c r="K452" i="6" s="1"/>
  <c r="N452" i="6"/>
  <c r="J3860" i="6"/>
  <c r="K3860" i="6" s="1"/>
  <c r="J3861" i="6"/>
  <c r="K3861" i="6" s="1"/>
  <c r="N3860" i="6"/>
  <c r="N3861" i="6"/>
  <c r="J3862" i="6"/>
  <c r="K3862" i="6" s="1"/>
  <c r="N3862" i="6"/>
  <c r="J3863" i="6"/>
  <c r="K3863" i="6" s="1"/>
  <c r="N3863" i="6"/>
  <c r="J172" i="6"/>
  <c r="K172" i="6" s="1"/>
  <c r="N172" i="6"/>
  <c r="J173" i="6"/>
  <c r="K173" i="6" s="1"/>
  <c r="N173" i="6"/>
  <c r="J4621" i="6"/>
  <c r="K4621" i="6" s="1"/>
  <c r="N4621" i="6"/>
  <c r="J4329" i="6"/>
  <c r="K4329" i="6" s="1"/>
  <c r="N4329" i="6"/>
  <c r="J4330" i="6"/>
  <c r="K4330" i="6" s="1"/>
  <c r="N4330" i="6"/>
  <c r="J4331" i="6"/>
  <c r="K4331" i="6" s="1"/>
  <c r="N4331" i="6"/>
  <c r="J686" i="6"/>
  <c r="K686" i="6" s="1"/>
  <c r="J687" i="6"/>
  <c r="K687" i="6" s="1"/>
  <c r="J688" i="6"/>
  <c r="K688" i="6" s="1"/>
  <c r="N686" i="6"/>
  <c r="N687" i="6"/>
  <c r="N688" i="6"/>
  <c r="J685" i="6"/>
  <c r="K685" i="6" s="1"/>
  <c r="N685" i="6"/>
  <c r="J2260" i="6"/>
  <c r="K2260" i="6" s="1"/>
  <c r="N2260" i="6"/>
  <c r="J2259" i="6"/>
  <c r="K2259" i="6" s="1"/>
  <c r="N2259" i="6"/>
  <c r="J2258" i="6"/>
  <c r="K2258" i="6" s="1"/>
  <c r="N2258" i="6"/>
  <c r="J2257" i="6"/>
  <c r="K2257" i="6" s="1"/>
  <c r="N2257" i="6"/>
  <c r="J2674" i="6"/>
  <c r="K2674" i="6" s="1"/>
  <c r="N2674" i="6"/>
  <c r="J2673" i="6"/>
  <c r="K2673" i="6" s="1"/>
  <c r="N2673" i="6"/>
  <c r="J2883" i="6"/>
  <c r="K2883" i="6" s="1"/>
  <c r="N2883" i="6"/>
  <c r="J3697" i="6"/>
  <c r="K3697" i="6" s="1"/>
  <c r="N3697" i="6"/>
  <c r="J3698" i="6"/>
  <c r="K3698" i="6" s="1"/>
  <c r="N3698" i="6"/>
  <c r="J3695" i="6"/>
  <c r="K3695" i="6" s="1"/>
  <c r="N3695" i="6"/>
  <c r="J3696" i="6"/>
  <c r="K3696" i="6" s="1"/>
  <c r="N3696" i="6"/>
  <c r="J949" i="6"/>
  <c r="K949" i="6" s="1"/>
  <c r="N949" i="6"/>
  <c r="T1029" i="78" l="1"/>
  <c r="T1030" i="78" s="1"/>
  <c r="T1034" i="78"/>
  <c r="T1036" i="78" s="1"/>
  <c r="J125" i="6"/>
  <c r="K125" i="6" s="1"/>
  <c r="N125" i="6"/>
  <c r="J3269" i="6"/>
  <c r="K3269" i="6" s="1"/>
  <c r="N3269" i="6"/>
  <c r="J2534" i="6" l="1"/>
  <c r="K2534" i="6" s="1"/>
  <c r="N2534" i="6"/>
  <c r="J4306" i="6" l="1"/>
  <c r="K4306" i="6" s="1"/>
  <c r="N4306" i="6"/>
  <c r="J1323" i="6" l="1"/>
  <c r="K1323" i="6" s="1"/>
  <c r="N1323" i="6"/>
  <c r="I554" i="6"/>
  <c r="J3803" i="6"/>
  <c r="K3803" i="6" s="1"/>
  <c r="N3803" i="6"/>
  <c r="J3856" i="6" l="1"/>
  <c r="K3856" i="6" s="1"/>
  <c r="N3856" i="6"/>
  <c r="J3855" i="6"/>
  <c r="K3855" i="6" s="1"/>
  <c r="N3855" i="6"/>
  <c r="J3857" i="6"/>
  <c r="K3857" i="6" s="1"/>
  <c r="N3857" i="6"/>
  <c r="J3858" i="6"/>
  <c r="K3858" i="6" s="1"/>
  <c r="N3858" i="6"/>
  <c r="J1829" i="6"/>
  <c r="K1829" i="6" s="1"/>
  <c r="N1829" i="6"/>
  <c r="J1830" i="6"/>
  <c r="K1830" i="6" s="1"/>
  <c r="N1830" i="6"/>
  <c r="J1831" i="6"/>
  <c r="K1831" i="6" s="1"/>
  <c r="N1831" i="6"/>
  <c r="J169" i="6"/>
  <c r="K169" i="6" s="1"/>
  <c r="N169" i="6"/>
  <c r="J170" i="6"/>
  <c r="K170" i="6" s="1"/>
  <c r="N170" i="6"/>
  <c r="J4197" i="6"/>
  <c r="K4197" i="6" s="1"/>
  <c r="N4197" i="6"/>
  <c r="J4198" i="6"/>
  <c r="K4198" i="6" s="1"/>
  <c r="N4198" i="6"/>
  <c r="J4199" i="6"/>
  <c r="K4199" i="6" s="1"/>
  <c r="N4199" i="6"/>
  <c r="J4567" i="6" l="1"/>
  <c r="K4567" i="6" s="1"/>
  <c r="N4567" i="6"/>
  <c r="I3486" i="6"/>
  <c r="J3264" i="6"/>
  <c r="K3264" i="6" s="1"/>
  <c r="N3264" i="6"/>
  <c r="J3265" i="6"/>
  <c r="K3265" i="6" s="1"/>
  <c r="N3265" i="6"/>
  <c r="J3266" i="6"/>
  <c r="K3266" i="6" s="1"/>
  <c r="N3266" i="6"/>
  <c r="J3667" i="6"/>
  <c r="K3667" i="6" s="1"/>
  <c r="N3667" i="6"/>
  <c r="J3668" i="6"/>
  <c r="K3668" i="6" s="1"/>
  <c r="N3668" i="6"/>
  <c r="J3669" i="6"/>
  <c r="K3669" i="6" s="1"/>
  <c r="N3669" i="6"/>
  <c r="J4217" i="6"/>
  <c r="K4217" i="6" s="1"/>
  <c r="N4217" i="6"/>
  <c r="J3598" i="6"/>
  <c r="K3598" i="6" s="1"/>
  <c r="N3598" i="6"/>
  <c r="J3304" i="6"/>
  <c r="K3304" i="6" s="1"/>
  <c r="N3304" i="6"/>
  <c r="J3305" i="6"/>
  <c r="K3305" i="6" s="1"/>
  <c r="N3305" i="6"/>
  <c r="J3306" i="6"/>
  <c r="K3306" i="6" s="1"/>
  <c r="N3306" i="6"/>
  <c r="J2483" i="6"/>
  <c r="K2483" i="6" s="1"/>
  <c r="N2483" i="6"/>
  <c r="J2484" i="6"/>
  <c r="K2484" i="6" s="1"/>
  <c r="N2484" i="6"/>
  <c r="J2675" i="6"/>
  <c r="K2675" i="6" s="1"/>
  <c r="N2675" i="6"/>
  <c r="J2482" i="6"/>
  <c r="K2482" i="6" s="1"/>
  <c r="N2482" i="6"/>
  <c r="J2481" i="6"/>
  <c r="K2481" i="6" s="1"/>
  <c r="N2481" i="6"/>
  <c r="J2789" i="6"/>
  <c r="K2789" i="6" s="1"/>
  <c r="N2789" i="6"/>
  <c r="J1273" i="6"/>
  <c r="K1273" i="6" s="1"/>
  <c r="N1273" i="6"/>
  <c r="J2866" i="6" l="1"/>
  <c r="K2866" i="6" s="1"/>
  <c r="N2866" i="6"/>
  <c r="J2867" i="6"/>
  <c r="K2867" i="6" s="1"/>
  <c r="N2867" i="6"/>
  <c r="J1217" i="6" l="1"/>
  <c r="K1217" i="6" s="1"/>
  <c r="N1217" i="6"/>
  <c r="J507" i="6"/>
  <c r="K507" i="6" s="1"/>
  <c r="N507" i="6"/>
  <c r="J506" i="6"/>
  <c r="K506" i="6" s="1"/>
  <c r="N506" i="6"/>
  <c r="J505" i="6"/>
  <c r="K505" i="6" s="1"/>
  <c r="N505" i="6"/>
  <c r="J3899" i="6"/>
  <c r="K3899" i="6" s="1"/>
  <c r="N3899" i="6"/>
  <c r="J1555" i="6"/>
  <c r="K1555" i="6" s="1"/>
  <c r="N1555" i="6"/>
  <c r="J1554" i="6"/>
  <c r="K1554" i="6" s="1"/>
  <c r="N1554" i="6"/>
  <c r="J1743" i="6"/>
  <c r="K1743" i="6" s="1"/>
  <c r="N1743" i="6"/>
  <c r="J4433" i="6"/>
  <c r="K4433" i="6" s="1"/>
  <c r="N4433" i="6"/>
  <c r="J4436" i="6"/>
  <c r="K4436" i="6" s="1"/>
  <c r="N4436" i="6"/>
  <c r="J993" i="78"/>
  <c r="J978" i="78"/>
  <c r="J995" i="78" l="1"/>
  <c r="J1001" i="78" s="1"/>
  <c r="J4570" i="6"/>
  <c r="K4570" i="6" s="1"/>
  <c r="J4571" i="6"/>
  <c r="K4571" i="6" s="1"/>
  <c r="J4572" i="6"/>
  <c r="K4572" i="6" s="1"/>
  <c r="J4573" i="6"/>
  <c r="K4573" i="6" s="1"/>
  <c r="N4570" i="6"/>
  <c r="N4571" i="6"/>
  <c r="N4572" i="6"/>
  <c r="N4573" i="6"/>
  <c r="J1219" i="6"/>
  <c r="K1219" i="6" s="1"/>
  <c r="N1219" i="6"/>
  <c r="J1220" i="6"/>
  <c r="K1220" i="6" s="1"/>
  <c r="N1220" i="6"/>
  <c r="J4435" i="6"/>
  <c r="K4435" i="6" s="1"/>
  <c r="N4435" i="6"/>
  <c r="J1671" i="6"/>
  <c r="K1671" i="6" s="1"/>
  <c r="N1671" i="6"/>
  <c r="J199" i="6"/>
  <c r="K199" i="6" s="1"/>
  <c r="N199" i="6"/>
  <c r="J1068" i="6"/>
  <c r="K1068" i="6" s="1"/>
  <c r="N1068" i="6"/>
  <c r="J1067" i="6"/>
  <c r="K1067" i="6" s="1"/>
  <c r="N1067" i="6"/>
  <c r="J2533" i="6"/>
  <c r="K2533" i="6" s="1"/>
  <c r="N2533" i="6"/>
  <c r="J4446" i="6" l="1"/>
  <c r="K4446" i="6" s="1"/>
  <c r="N4446" i="6"/>
  <c r="J144" i="6"/>
  <c r="K144" i="6" s="1"/>
  <c r="N144" i="6"/>
  <c r="J4325" i="6"/>
  <c r="K4325" i="6" s="1"/>
  <c r="N4325" i="6"/>
  <c r="J4326" i="6"/>
  <c r="K4326" i="6" s="1"/>
  <c r="N4326" i="6"/>
  <c r="J4327" i="6"/>
  <c r="K4327" i="6" s="1"/>
  <c r="N4327" i="6"/>
  <c r="J303" i="6"/>
  <c r="K303" i="6" s="1"/>
  <c r="N303" i="6"/>
  <c r="J302" i="6"/>
  <c r="K302" i="6" s="1"/>
  <c r="N302" i="6"/>
  <c r="J301" i="6"/>
  <c r="K301" i="6" s="1"/>
  <c r="N301" i="6"/>
  <c r="J300" i="6"/>
  <c r="K300" i="6" s="1"/>
  <c r="N300" i="6"/>
  <c r="J4432" i="6"/>
  <c r="K4432" i="6" s="1"/>
  <c r="N4432" i="6"/>
  <c r="J4431" i="6"/>
  <c r="K4431" i="6" s="1"/>
  <c r="N4431" i="6"/>
  <c r="J2378" i="6"/>
  <c r="K2378" i="6" s="1"/>
  <c r="N2378" i="6"/>
  <c r="J2376" i="6"/>
  <c r="K2376" i="6" s="1"/>
  <c r="N2376" i="6"/>
  <c r="J2377" i="6"/>
  <c r="K2377" i="6" s="1"/>
  <c r="N2377" i="6"/>
  <c r="J2580" i="6"/>
  <c r="K2580" i="6" s="1"/>
  <c r="N2580" i="6"/>
  <c r="J2579" i="6"/>
  <c r="K2579" i="6" s="1"/>
  <c r="N2579" i="6"/>
  <c r="J3462" i="6"/>
  <c r="K3462" i="6" s="1"/>
  <c r="N3462" i="6"/>
  <c r="J3461" i="6"/>
  <c r="K3461" i="6" s="1"/>
  <c r="N3461" i="6"/>
  <c r="J4568" i="6"/>
  <c r="K4568" i="6" s="1"/>
  <c r="N4568" i="6"/>
  <c r="J4569" i="6"/>
  <c r="K4569" i="6" s="1"/>
  <c r="N4569" i="6"/>
  <c r="J3663" i="6"/>
  <c r="K3663" i="6" s="1"/>
  <c r="N3663" i="6"/>
  <c r="J3664" i="6"/>
  <c r="K3664" i="6" s="1"/>
  <c r="N3664" i="6"/>
  <c r="J3665" i="6"/>
  <c r="K3665" i="6" s="1"/>
  <c r="N3665" i="6"/>
  <c r="J2672" i="6"/>
  <c r="K2672" i="6" s="1"/>
  <c r="N2672" i="6"/>
  <c r="J3262" i="6"/>
  <c r="K3262" i="6" s="1"/>
  <c r="N3262" i="6"/>
  <c r="J3263" i="6"/>
  <c r="K3263" i="6" s="1"/>
  <c r="N3263" i="6"/>
  <c r="J1726" i="6"/>
  <c r="K1726" i="6" s="1"/>
  <c r="N1726" i="6"/>
  <c r="J2865" i="6" l="1"/>
  <c r="K2865" i="6" s="1"/>
  <c r="N2865" i="6"/>
  <c r="J2864" i="6"/>
  <c r="K2864" i="6" s="1"/>
  <c r="N2864" i="6"/>
  <c r="J2863" i="6"/>
  <c r="K2863" i="6" s="1"/>
  <c r="N2863" i="6"/>
  <c r="J4620" i="6"/>
  <c r="K4620" i="6" s="1"/>
  <c r="N4620" i="6"/>
  <c r="J269" i="6"/>
  <c r="K269" i="6" s="1"/>
  <c r="N269" i="6"/>
  <c r="J268" i="6"/>
  <c r="K268" i="6" s="1"/>
  <c r="N268" i="6"/>
  <c r="J267" i="6"/>
  <c r="K267" i="6" s="1"/>
  <c r="N267" i="6"/>
  <c r="J3303" i="6"/>
  <c r="K3303" i="6" s="1"/>
  <c r="N3303" i="6"/>
  <c r="J410" i="6" l="1"/>
  <c r="K410" i="6" s="1"/>
  <c r="N410" i="6"/>
  <c r="J3927" i="6" l="1"/>
  <c r="K3927" i="6" s="1"/>
  <c r="N3927" i="6"/>
  <c r="J3302" i="6"/>
  <c r="K3302" i="6" s="1"/>
  <c r="N3302" i="6"/>
  <c r="J3897" i="6" l="1"/>
  <c r="K3897" i="6" s="1"/>
  <c r="N3897" i="6"/>
  <c r="J3898" i="6"/>
  <c r="K3898" i="6" s="1"/>
  <c r="N3898" i="6"/>
  <c r="J1322" i="6"/>
  <c r="K1322" i="6" s="1"/>
  <c r="N1322" i="6"/>
  <c r="J1718" i="6"/>
  <c r="K1718" i="6" s="1"/>
  <c r="N1718" i="6"/>
  <c r="J1717" i="6"/>
  <c r="K1717" i="6" s="1"/>
  <c r="N1717" i="6"/>
  <c r="J960" i="78"/>
  <c r="J942" i="78"/>
  <c r="J969" i="6"/>
  <c r="K969" i="6" s="1"/>
  <c r="N969" i="6"/>
  <c r="J4216" i="6"/>
  <c r="K4216" i="6" s="1"/>
  <c r="N4216" i="6"/>
  <c r="J4514" i="6"/>
  <c r="K4514" i="6" s="1"/>
  <c r="N4514" i="6"/>
  <c r="J4513" i="6"/>
  <c r="K4513" i="6" s="1"/>
  <c r="N4513" i="6"/>
  <c r="J4512" i="6"/>
  <c r="K4512" i="6" s="1"/>
  <c r="N4512" i="6"/>
  <c r="J604" i="6"/>
  <c r="K604" i="6" s="1"/>
  <c r="N604" i="6"/>
  <c r="J168" i="6"/>
  <c r="K168" i="6" s="1"/>
  <c r="N168" i="6"/>
  <c r="J3670" i="6"/>
  <c r="K3670" i="6" s="1"/>
  <c r="N3670" i="6"/>
  <c r="J3662" i="6"/>
  <c r="K3662" i="6" s="1"/>
  <c r="N3662" i="6"/>
  <c r="J3666" i="6"/>
  <c r="K3666" i="6" s="1"/>
  <c r="N3666" i="6"/>
  <c r="J2806" i="6"/>
  <c r="K2806" i="6" s="1"/>
  <c r="N2806" i="6"/>
  <c r="J1725" i="6"/>
  <c r="K1725" i="6" s="1"/>
  <c r="N1725" i="6"/>
  <c r="J2642" i="6"/>
  <c r="K2642" i="6" s="1"/>
  <c r="N2642" i="6"/>
  <c r="J554" i="6"/>
  <c r="K554" i="6" s="1"/>
  <c r="N554" i="6"/>
  <c r="J2104" i="6"/>
  <c r="K2104" i="6" s="1"/>
  <c r="N2104" i="6"/>
  <c r="J962" i="78" l="1"/>
  <c r="J963" i="78" s="1"/>
  <c r="J3055" i="6"/>
  <c r="K3055" i="6" s="1"/>
  <c r="N3055" i="6"/>
  <c r="J4053" i="6"/>
  <c r="K4053" i="6" s="1"/>
  <c r="N4053" i="6"/>
  <c r="J773" i="6"/>
  <c r="K773" i="6" s="1"/>
  <c r="N773" i="6"/>
  <c r="J2532" i="6" l="1"/>
  <c r="K2532" i="6" s="1"/>
  <c r="N2532" i="6"/>
  <c r="J1857" i="6"/>
  <c r="K1857" i="6" s="1"/>
  <c r="N1857" i="6"/>
  <c r="J1321" i="6" l="1"/>
  <c r="K1321" i="6" s="1"/>
  <c r="N1321" i="6"/>
  <c r="J2353" i="6"/>
  <c r="K2353" i="6" s="1"/>
  <c r="N2353" i="6"/>
  <c r="J2352" i="6"/>
  <c r="K2352" i="6" s="1"/>
  <c r="N2352" i="6"/>
  <c r="J4619" i="6"/>
  <c r="K4619" i="6" s="1"/>
  <c r="N4619" i="6"/>
  <c r="J4618" i="6"/>
  <c r="K4618" i="6" s="1"/>
  <c r="N4618" i="6"/>
  <c r="J4052" i="6"/>
  <c r="K4052" i="6" s="1"/>
  <c r="N4052" i="6"/>
  <c r="J2531" i="6"/>
  <c r="K2531" i="6" s="1"/>
  <c r="N2531" i="6"/>
  <c r="J4445" i="6" l="1"/>
  <c r="K4445" i="6" s="1"/>
  <c r="N4445" i="6"/>
  <c r="J1320" i="6" l="1"/>
  <c r="K1320" i="6" s="1"/>
  <c r="N1320" i="6"/>
  <c r="J1319" i="6"/>
  <c r="K1319" i="6" s="1"/>
  <c r="N1319" i="6"/>
  <c r="J1318" i="6"/>
  <c r="K1318" i="6" s="1"/>
  <c r="N1318" i="6"/>
  <c r="J377" i="6"/>
  <c r="K377" i="6" s="1"/>
  <c r="N377" i="6"/>
  <c r="N4566" i="6" l="1"/>
  <c r="J3692" i="6"/>
  <c r="K3692" i="6" s="1"/>
  <c r="N3692" i="6"/>
  <c r="J3693" i="6"/>
  <c r="K3693" i="6" s="1"/>
  <c r="N3693" i="6"/>
  <c r="J3694" i="6"/>
  <c r="K3694" i="6" s="1"/>
  <c r="N3694" i="6"/>
  <c r="J3260" i="6"/>
  <c r="K3260" i="6" s="1"/>
  <c r="N3260" i="6"/>
  <c r="J3592" i="6"/>
  <c r="K3592" i="6" s="1"/>
  <c r="J3593" i="6"/>
  <c r="K3593" i="6" s="1"/>
  <c r="N3592" i="6"/>
  <c r="N3593" i="6"/>
  <c r="J3594" i="6"/>
  <c r="K3594" i="6" s="1"/>
  <c r="N3594" i="6"/>
  <c r="J3595" i="6"/>
  <c r="K3595" i="6" s="1"/>
  <c r="N3595" i="6"/>
  <c r="J123" i="6"/>
  <c r="K123" i="6" s="1"/>
  <c r="N123" i="6"/>
  <c r="I4632" i="6"/>
  <c r="I2689" i="6" l="1"/>
  <c r="J3416" i="6" l="1"/>
  <c r="K3416" i="6" s="1"/>
  <c r="N3416" i="6"/>
  <c r="J3415" i="6"/>
  <c r="K3415" i="6" s="1"/>
  <c r="N3415" i="6"/>
  <c r="J3257" i="6"/>
  <c r="K3257" i="6" s="1"/>
  <c r="N3257" i="6"/>
  <c r="J3258" i="6"/>
  <c r="K3258" i="6" s="1"/>
  <c r="N3258" i="6"/>
  <c r="J3259" i="6"/>
  <c r="K3259" i="6" s="1"/>
  <c r="N3259" i="6"/>
  <c r="J2354" i="6"/>
  <c r="K2354" i="6" s="1"/>
  <c r="N2354" i="6"/>
  <c r="J1552" i="6"/>
  <c r="K1552" i="6" s="1"/>
  <c r="N1552" i="6"/>
  <c r="J284" i="6"/>
  <c r="K284" i="6" s="1"/>
  <c r="J285" i="6"/>
  <c r="K285" i="6" s="1"/>
  <c r="N284" i="6"/>
  <c r="N285" i="6"/>
  <c r="J283" i="6"/>
  <c r="K283" i="6" s="1"/>
  <c r="N283" i="6"/>
  <c r="J917" i="78" l="1"/>
  <c r="J922" i="78" s="1"/>
  <c r="J898" i="78"/>
  <c r="J921" i="78" s="1"/>
  <c r="J923" i="78" l="1"/>
  <c r="J919" i="78"/>
  <c r="J2289" i="6" l="1"/>
  <c r="K2289" i="6" s="1"/>
  <c r="N2289" i="6"/>
  <c r="J2805" i="6"/>
  <c r="K2805" i="6" s="1"/>
  <c r="N2805" i="6"/>
  <c r="J544" i="6"/>
  <c r="K544" i="6" s="1"/>
  <c r="N544" i="6"/>
  <c r="J543" i="6"/>
  <c r="K543" i="6" s="1"/>
  <c r="N543" i="6"/>
  <c r="J4322" i="6"/>
  <c r="K4322" i="6" s="1"/>
  <c r="N4322" i="6"/>
  <c r="J4323" i="6"/>
  <c r="K4323" i="6" s="1"/>
  <c r="N4323" i="6"/>
  <c r="J4324" i="6"/>
  <c r="K4324" i="6" s="1"/>
  <c r="N4324" i="6"/>
  <c r="J2316" i="6"/>
  <c r="K2316" i="6" s="1"/>
  <c r="N2316" i="6"/>
  <c r="J2315" i="6"/>
  <c r="K2315" i="6" s="1"/>
  <c r="N2315" i="6"/>
  <c r="J2324" i="6"/>
  <c r="K2324" i="6" s="1"/>
  <c r="N2324" i="6"/>
  <c r="J2323" i="6"/>
  <c r="K2323" i="6" s="1"/>
  <c r="N2323" i="6"/>
  <c r="J378" i="6" l="1"/>
  <c r="K378" i="6" s="1"/>
  <c r="N378" i="6"/>
  <c r="J3770" i="6"/>
  <c r="K3770" i="6" s="1"/>
  <c r="N3770" i="6"/>
  <c r="J3769" i="6"/>
  <c r="K3769" i="6" s="1"/>
  <c r="N3769" i="6"/>
  <c r="J3768" i="6"/>
  <c r="K3768" i="6" s="1"/>
  <c r="N3768" i="6"/>
  <c r="J4429" i="6"/>
  <c r="K4429" i="6" s="1"/>
  <c r="N4429" i="6"/>
  <c r="J4427" i="6"/>
  <c r="K4427" i="6" s="1"/>
  <c r="N4427" i="6"/>
  <c r="J4428" i="6"/>
  <c r="K4428" i="6" s="1"/>
  <c r="N4428" i="6"/>
  <c r="J4426" i="6"/>
  <c r="K4426" i="6" s="1"/>
  <c r="N4426" i="6"/>
  <c r="J2480" i="6" l="1"/>
  <c r="K2480" i="6" s="1"/>
  <c r="N2480" i="6"/>
  <c r="J1041" i="6"/>
  <c r="K1041" i="6" s="1"/>
  <c r="N1041" i="6"/>
  <c r="J3661" i="6" l="1"/>
  <c r="K3661" i="6" s="1"/>
  <c r="N3661" i="6"/>
  <c r="J4125" i="6"/>
  <c r="K4125" i="6" s="1"/>
  <c r="N4125" i="6"/>
  <c r="N2641" i="6"/>
  <c r="J2768" i="6"/>
  <c r="K2768" i="6" s="1"/>
  <c r="N2768" i="6"/>
  <c r="J2767" i="6"/>
  <c r="K2767" i="6" s="1"/>
  <c r="N2767" i="6"/>
  <c r="J4637" i="6" l="1"/>
  <c r="K4637" i="6" s="1"/>
  <c r="N4637" i="6"/>
  <c r="J3659" i="6"/>
  <c r="K3659" i="6" s="1"/>
  <c r="N3659" i="6"/>
  <c r="J3660" i="6"/>
  <c r="K3660" i="6" s="1"/>
  <c r="N3660" i="6"/>
  <c r="J770" i="6"/>
  <c r="K770" i="6" s="1"/>
  <c r="N770" i="6"/>
  <c r="J771" i="6"/>
  <c r="K771" i="6" s="1"/>
  <c r="N771" i="6"/>
  <c r="J772" i="6"/>
  <c r="K772" i="6" s="1"/>
  <c r="N772" i="6"/>
  <c r="J891" i="6"/>
  <c r="K891" i="6" s="1"/>
  <c r="N891" i="6"/>
  <c r="J3037" i="6" l="1"/>
  <c r="K3037" i="6" s="1"/>
  <c r="N3037" i="6"/>
  <c r="J3036" i="6"/>
  <c r="K3036" i="6" s="1"/>
  <c r="N3036" i="6"/>
  <c r="J3496" i="6"/>
  <c r="K3496" i="6" s="1"/>
  <c r="N3496" i="6"/>
  <c r="J3495" i="6"/>
  <c r="K3495" i="6" s="1"/>
  <c r="N3495" i="6"/>
  <c r="J2403" i="6"/>
  <c r="K2403" i="6" s="1"/>
  <c r="N2403" i="6"/>
  <c r="J2402" i="6"/>
  <c r="K2402" i="6" s="1"/>
  <c r="N2402" i="6"/>
  <c r="I4470" i="6"/>
  <c r="N2530" i="6"/>
  <c r="J2530" i="6"/>
  <c r="K2530" i="6" s="1"/>
  <c r="N2010" i="6"/>
  <c r="J2010" i="6"/>
  <c r="K2010" i="6" s="1"/>
  <c r="J4054" i="6" l="1"/>
  <c r="K4054" i="6" s="1"/>
  <c r="N4054" i="6"/>
  <c r="J376" i="6"/>
  <c r="K376" i="6" s="1"/>
  <c r="N376" i="6"/>
  <c r="N1391" i="6"/>
  <c r="J1391" i="6"/>
  <c r="K1391" i="6" s="1"/>
  <c r="N1390" i="6"/>
  <c r="J1390" i="6"/>
  <c r="K1390" i="6" s="1"/>
  <c r="N1389" i="6"/>
  <c r="J1389" i="6"/>
  <c r="K1389" i="6" s="1"/>
  <c r="N1388" i="6"/>
  <c r="J1388" i="6"/>
  <c r="K1388" i="6" s="1"/>
  <c r="J1387" i="6"/>
  <c r="K1387" i="6" s="1"/>
  <c r="N1387" i="6"/>
  <c r="J935" i="6"/>
  <c r="K935" i="6" s="1"/>
  <c r="N935" i="6"/>
  <c r="J1317" i="6" l="1"/>
  <c r="K1317" i="6" s="1"/>
  <c r="N1317" i="6"/>
  <c r="J875" i="78"/>
  <c r="J856" i="78"/>
  <c r="J1713" i="6"/>
  <c r="K1713" i="6" s="1"/>
  <c r="N1713" i="6"/>
  <c r="J2804" i="6"/>
  <c r="K2804" i="6" s="1"/>
  <c r="N2804" i="6"/>
  <c r="J877" i="78" l="1"/>
  <c r="J1714" i="6"/>
  <c r="K1714" i="6" s="1"/>
  <c r="N1714" i="6"/>
  <c r="J2742" i="6"/>
  <c r="K2742" i="6" s="1"/>
  <c r="N2742" i="6"/>
  <c r="J2743" i="6"/>
  <c r="K2743" i="6" s="1"/>
  <c r="N2743" i="6"/>
  <c r="J3254" i="6"/>
  <c r="K3254" i="6" s="1"/>
  <c r="N3254" i="6"/>
  <c r="J3255" i="6"/>
  <c r="K3255" i="6" s="1"/>
  <c r="N3255" i="6"/>
  <c r="J3256" i="6"/>
  <c r="K3256" i="6" s="1"/>
  <c r="N3256" i="6"/>
  <c r="J3261" i="6"/>
  <c r="K3261" i="6" s="1"/>
  <c r="N3261" i="6"/>
  <c r="J2529" i="6"/>
  <c r="K2529" i="6" s="1"/>
  <c r="N2529" i="6"/>
  <c r="J4387" i="6" l="1"/>
  <c r="K4387" i="6" s="1"/>
  <c r="N4387" i="6"/>
  <c r="J3253" i="6"/>
  <c r="K3253" i="6" s="1"/>
  <c r="N3253" i="6"/>
  <c r="J4564" i="6"/>
  <c r="K4564" i="6" s="1"/>
  <c r="N4564" i="6"/>
  <c r="J3688" i="6"/>
  <c r="K3688" i="6" s="1"/>
  <c r="N3688" i="6"/>
  <c r="J3689" i="6"/>
  <c r="K3689" i="6" s="1"/>
  <c r="N3689" i="6"/>
  <c r="J3658" i="6" l="1"/>
  <c r="K3658" i="6" s="1"/>
  <c r="N3658" i="6"/>
  <c r="J3894" i="6"/>
  <c r="K3894" i="6" s="1"/>
  <c r="N3894" i="6"/>
  <c r="J3895" i="6"/>
  <c r="K3895" i="6" s="1"/>
  <c r="N3895" i="6"/>
  <c r="J3896" i="6"/>
  <c r="K3896" i="6" s="1"/>
  <c r="N3896" i="6"/>
  <c r="J2739" i="6"/>
  <c r="K2739" i="6" s="1"/>
  <c r="N2739" i="6"/>
  <c r="J2740" i="6"/>
  <c r="K2740" i="6" s="1"/>
  <c r="N2740" i="6"/>
  <c r="J2741" i="6"/>
  <c r="K2741" i="6" s="1"/>
  <c r="N2741" i="6"/>
  <c r="J4444" i="6" l="1"/>
  <c r="K4444" i="6" s="1"/>
  <c r="N4444" i="6"/>
  <c r="J4018" i="6"/>
  <c r="K4018" i="6" s="1"/>
  <c r="N4018" i="6"/>
  <c r="J242" i="6"/>
  <c r="K242" i="6" s="1"/>
  <c r="N242" i="6"/>
  <c r="J4617" i="6"/>
  <c r="K4617" i="6" s="1"/>
  <c r="N4617" i="6"/>
  <c r="J845" i="6"/>
  <c r="K845" i="6" s="1"/>
  <c r="N845" i="6"/>
  <c r="J834" i="78" l="1"/>
  <c r="J817" i="78"/>
  <c r="J4357" i="6"/>
  <c r="K4357" i="6" s="1"/>
  <c r="N4357" i="6"/>
  <c r="J2641" i="6"/>
  <c r="K2641" i="6" s="1"/>
  <c r="J2803" i="6"/>
  <c r="K2803" i="6" s="1"/>
  <c r="N2803" i="6"/>
  <c r="J4320" i="6"/>
  <c r="K4320" i="6" s="1"/>
  <c r="N4320" i="6"/>
  <c r="J4319" i="6"/>
  <c r="K4319" i="6" s="1"/>
  <c r="N4319" i="6"/>
  <c r="J4321" i="6"/>
  <c r="K4321" i="6" s="1"/>
  <c r="N4321" i="6"/>
  <c r="J3947" i="6"/>
  <c r="K3947" i="6" s="1"/>
  <c r="N3947" i="6"/>
  <c r="J646" i="6"/>
  <c r="K646" i="6" s="1"/>
  <c r="N646" i="6"/>
  <c r="J645" i="6"/>
  <c r="K645" i="6" s="1"/>
  <c r="N645" i="6"/>
  <c r="J644" i="6"/>
  <c r="K644" i="6" s="1"/>
  <c r="N644" i="6"/>
  <c r="J643" i="6"/>
  <c r="K643" i="6" s="1"/>
  <c r="N643" i="6"/>
  <c r="J3691" i="6"/>
  <c r="K3691" i="6" s="1"/>
  <c r="N3691" i="6"/>
  <c r="J4565" i="6"/>
  <c r="K4565" i="6" s="1"/>
  <c r="N4565" i="6"/>
  <c r="J4563" i="6"/>
  <c r="K4563" i="6" s="1"/>
  <c r="N4563" i="6"/>
  <c r="J3485" i="6"/>
  <c r="K3485" i="6" s="1"/>
  <c r="N3485" i="6"/>
  <c r="J3484" i="6"/>
  <c r="K3484" i="6" s="1"/>
  <c r="N3484" i="6"/>
  <c r="J3483" i="6"/>
  <c r="K3483" i="6" s="1"/>
  <c r="N3483" i="6"/>
  <c r="J2578" i="6"/>
  <c r="K2578" i="6" s="1"/>
  <c r="N2578" i="6"/>
  <c r="J510" i="6"/>
  <c r="K510" i="6" s="1"/>
  <c r="N510" i="6"/>
  <c r="J2834" i="6"/>
  <c r="K2834" i="6" s="1"/>
  <c r="N2834" i="6"/>
  <c r="J2833" i="6"/>
  <c r="K2833" i="6" s="1"/>
  <c r="N2833" i="6"/>
  <c r="J2428" i="6"/>
  <c r="K2428" i="6" s="1"/>
  <c r="N2428" i="6"/>
  <c r="J2427" i="6"/>
  <c r="K2427" i="6" s="1"/>
  <c r="N2427" i="6"/>
  <c r="J2426" i="6"/>
  <c r="K2426" i="6" s="1"/>
  <c r="N2426" i="6"/>
  <c r="J2425" i="6"/>
  <c r="K2425" i="6" s="1"/>
  <c r="N2425" i="6"/>
  <c r="J2424" i="6"/>
  <c r="K2424" i="6" s="1"/>
  <c r="N2424" i="6"/>
  <c r="J4153" i="6"/>
  <c r="K4153" i="6" s="1"/>
  <c r="N4153" i="6"/>
  <c r="J4154" i="6"/>
  <c r="K4154" i="6" s="1"/>
  <c r="N4154" i="6"/>
  <c r="J4155" i="6"/>
  <c r="K4155" i="6" s="1"/>
  <c r="N4155" i="6"/>
  <c r="J2478" i="6"/>
  <c r="K2478" i="6" s="1"/>
  <c r="N2478" i="6"/>
  <c r="J1066" i="6"/>
  <c r="K1066" i="6" s="1"/>
  <c r="N1066" i="6"/>
  <c r="J1065" i="6"/>
  <c r="K1065" i="6" s="1"/>
  <c r="N1065" i="6"/>
  <c r="J141" i="6"/>
  <c r="K141" i="6" s="1"/>
  <c r="N141" i="6"/>
  <c r="J4359" i="6"/>
  <c r="K4359" i="6" s="1"/>
  <c r="N4359" i="6"/>
  <c r="J121" i="6"/>
  <c r="K121" i="6" s="1"/>
  <c r="N121" i="6"/>
  <c r="J120" i="6"/>
  <c r="K120" i="6" s="1"/>
  <c r="N120" i="6"/>
  <c r="J122" i="6"/>
  <c r="K122" i="6" s="1"/>
  <c r="N122" i="6"/>
  <c r="J844" i="6"/>
  <c r="K844" i="6" s="1"/>
  <c r="N844" i="6"/>
  <c r="J2479" i="6"/>
  <c r="K2479" i="6" s="1"/>
  <c r="N2479" i="6"/>
  <c r="J843" i="6"/>
  <c r="K843" i="6" s="1"/>
  <c r="N843" i="6"/>
  <c r="J2401" i="6"/>
  <c r="K2401" i="6" s="1"/>
  <c r="N2401" i="6"/>
  <c r="J4358" i="6"/>
  <c r="K4358" i="6" s="1"/>
  <c r="N4358" i="6"/>
  <c r="J4157" i="6"/>
  <c r="K4157" i="6" s="1"/>
  <c r="N4157" i="6"/>
  <c r="J2808" i="6"/>
  <c r="K2808" i="6" s="1"/>
  <c r="N2808" i="6"/>
  <c r="J842" i="6"/>
  <c r="K842" i="6" s="1"/>
  <c r="N842" i="6"/>
  <c r="J615" i="6"/>
  <c r="K615" i="6" s="1"/>
  <c r="J616" i="6"/>
  <c r="K616" i="6" s="1"/>
  <c r="N615" i="6"/>
  <c r="N616" i="6"/>
  <c r="J617" i="6"/>
  <c r="K617" i="6" s="1"/>
  <c r="J618" i="6"/>
  <c r="K618" i="6" s="1"/>
  <c r="N617" i="6"/>
  <c r="N618" i="6"/>
  <c r="J619" i="6"/>
  <c r="K619" i="6" s="1"/>
  <c r="N619" i="6"/>
  <c r="J620" i="6"/>
  <c r="K620" i="6" s="1"/>
  <c r="N620" i="6"/>
  <c r="J1826" i="6"/>
  <c r="K1826" i="6" s="1"/>
  <c r="N1826" i="6"/>
  <c r="J1825" i="6"/>
  <c r="K1825" i="6" s="1"/>
  <c r="N1825" i="6"/>
  <c r="J4631" i="6"/>
  <c r="K4631" i="6" s="1"/>
  <c r="N4631" i="6"/>
  <c r="J4318" i="6"/>
  <c r="K4318" i="6" s="1"/>
  <c r="N4318" i="6"/>
  <c r="J4317" i="6"/>
  <c r="K4317" i="6" s="1"/>
  <c r="N4317" i="6"/>
  <c r="J3656" i="6"/>
  <c r="K3656" i="6" s="1"/>
  <c r="N3656" i="6"/>
  <c r="J573" i="6"/>
  <c r="K573" i="6" s="1"/>
  <c r="N573" i="6"/>
  <c r="J574" i="6"/>
  <c r="K574" i="6" s="1"/>
  <c r="N574" i="6"/>
  <c r="J597" i="6"/>
  <c r="K597" i="6" s="1"/>
  <c r="N597" i="6"/>
  <c r="J3250" i="6"/>
  <c r="K3250" i="6" s="1"/>
  <c r="N3250" i="6"/>
  <c r="J3251" i="6"/>
  <c r="K3251" i="6" s="1"/>
  <c r="N3251" i="6"/>
  <c r="J4042" i="6"/>
  <c r="K4042" i="6" s="1"/>
  <c r="N4042" i="6"/>
  <c r="J4041" i="6"/>
  <c r="K4041" i="6" s="1"/>
  <c r="N4041" i="6"/>
  <c r="J4040" i="6"/>
  <c r="K4040" i="6" s="1"/>
  <c r="N4040" i="6"/>
  <c r="J4039" i="6"/>
  <c r="K4039" i="6" s="1"/>
  <c r="N4039" i="6"/>
  <c r="J4584" i="6"/>
  <c r="K4584" i="6" s="1"/>
  <c r="N4584" i="6"/>
  <c r="J2351" i="6"/>
  <c r="K2351" i="6" s="1"/>
  <c r="N2351" i="6"/>
  <c r="J836" i="78" l="1"/>
  <c r="J4209" i="6"/>
  <c r="K4209" i="6" s="1"/>
  <c r="N4209" i="6"/>
  <c r="J2643" i="6"/>
  <c r="K2643" i="6" s="1"/>
  <c r="N2643" i="6"/>
  <c r="J3652" i="6"/>
  <c r="K3652" i="6" s="1"/>
  <c r="J3653" i="6"/>
  <c r="K3653" i="6" s="1"/>
  <c r="N3652" i="6"/>
  <c r="N3653" i="6"/>
  <c r="J3654" i="6"/>
  <c r="K3654" i="6" s="1"/>
  <c r="N3654" i="6"/>
  <c r="J3655" i="6"/>
  <c r="K3655" i="6" s="1"/>
  <c r="N3655" i="6"/>
  <c r="J3458" i="6"/>
  <c r="J3800" i="6"/>
  <c r="K3800" i="6" s="1"/>
  <c r="N3800" i="6"/>
  <c r="J1712" i="6" l="1"/>
  <c r="K1712" i="6" s="1"/>
  <c r="N1712" i="6"/>
  <c r="J841" i="6"/>
  <c r="K841" i="6" s="1"/>
  <c r="N841" i="6"/>
  <c r="J805" i="6"/>
  <c r="K805" i="6" s="1"/>
  <c r="N805" i="6"/>
  <c r="J804" i="6"/>
  <c r="K804" i="6" s="1"/>
  <c r="N804" i="6"/>
  <c r="J919" i="6"/>
  <c r="K919" i="6" s="1"/>
  <c r="N919" i="6"/>
  <c r="J3498" i="6"/>
  <c r="K3498" i="6" s="1"/>
  <c r="N3498" i="6"/>
  <c r="J1215" i="6"/>
  <c r="K1215" i="6" s="1"/>
  <c r="N1215" i="6"/>
  <c r="J710" i="6"/>
  <c r="K710" i="6" s="1"/>
  <c r="N710" i="6"/>
  <c r="J258" i="6" l="1"/>
  <c r="K258" i="6" s="1"/>
  <c r="N258" i="6"/>
  <c r="J789" i="78"/>
  <c r="S789" i="78" s="1"/>
  <c r="J772" i="78"/>
  <c r="S788" i="78" s="1"/>
  <c r="J4356" i="6"/>
  <c r="K4356" i="6" s="1"/>
  <c r="N4356" i="6"/>
  <c r="J2671" i="6"/>
  <c r="K2671" i="6" s="1"/>
  <c r="N2671" i="6"/>
  <c r="J1711" i="6"/>
  <c r="K1711" i="6" s="1"/>
  <c r="N1711" i="6"/>
  <c r="J2802" i="6"/>
  <c r="K2802" i="6" s="1"/>
  <c r="N2802" i="6"/>
  <c r="J2753" i="6"/>
  <c r="K2753" i="6" s="1"/>
  <c r="N2753" i="6"/>
  <c r="J791" i="78" l="1"/>
  <c r="J794" i="78" s="1"/>
  <c r="J1214" i="6"/>
  <c r="K1214" i="6" s="1"/>
  <c r="N1214" i="6"/>
  <c r="J282" i="6"/>
  <c r="K282" i="6" s="1"/>
  <c r="N282" i="6"/>
  <c r="J3379" i="6"/>
  <c r="K3379" i="6" s="1"/>
  <c r="N3379" i="6"/>
  <c r="J3380" i="6"/>
  <c r="K3380" i="6" s="1"/>
  <c r="N3380" i="6"/>
  <c r="J3378" i="6"/>
  <c r="K3378" i="6" s="1"/>
  <c r="N3378" i="6"/>
  <c r="J34" i="6"/>
  <c r="K34" i="6" s="1"/>
  <c r="N34" i="6"/>
  <c r="J709" i="6"/>
  <c r="K709" i="6" s="1"/>
  <c r="N709" i="6"/>
  <c r="J385" i="6"/>
  <c r="K385" i="6" s="1"/>
  <c r="N385" i="6"/>
  <c r="J195" i="6"/>
  <c r="K195" i="6" s="1"/>
  <c r="N195" i="6"/>
  <c r="J2751" i="6"/>
  <c r="K2751" i="6" s="1"/>
  <c r="N2751" i="6"/>
  <c r="J2836" i="6"/>
  <c r="K2836" i="6" s="1"/>
  <c r="N2836" i="6"/>
  <c r="J3035" i="6"/>
  <c r="K3035" i="6" s="1"/>
  <c r="N3035" i="6"/>
  <c r="J375" i="6"/>
  <c r="K375" i="6" s="1"/>
  <c r="N375" i="6"/>
  <c r="J409" i="6"/>
  <c r="K409" i="6" s="1"/>
  <c r="N409" i="6"/>
  <c r="J450" i="6"/>
  <c r="K450" i="6" s="1"/>
  <c r="N450" i="6"/>
  <c r="J2009" i="6"/>
  <c r="K2009" i="6" s="1"/>
  <c r="N2009" i="6"/>
  <c r="J528" i="6"/>
  <c r="K528" i="6" s="1"/>
  <c r="N528" i="6"/>
  <c r="J2027" i="6" l="1"/>
  <c r="K2027" i="6" s="1"/>
  <c r="N2027" i="6"/>
  <c r="K3458" i="6"/>
  <c r="N3458" i="6"/>
  <c r="J946" i="6" l="1"/>
  <c r="K946" i="6" s="1"/>
  <c r="N946" i="6"/>
  <c r="N1316" i="6"/>
  <c r="J1316" i="6"/>
  <c r="K1316" i="6" s="1"/>
  <c r="N1315" i="6"/>
  <c r="J1315" i="6"/>
  <c r="K1315" i="6" s="1"/>
  <c r="J1314" i="6"/>
  <c r="K1314" i="6" s="1"/>
  <c r="N1314" i="6"/>
  <c r="J934" i="6"/>
  <c r="K934" i="6" s="1"/>
  <c r="N934" i="6"/>
  <c r="J2350" i="6"/>
  <c r="K2350" i="6" s="1"/>
  <c r="N2350" i="6"/>
  <c r="J2528" i="6"/>
  <c r="K2528" i="6" s="1"/>
  <c r="N2528" i="6"/>
  <c r="J4616" i="6"/>
  <c r="K4616" i="6" s="1"/>
  <c r="N4616" i="6"/>
  <c r="J711" i="6" l="1"/>
  <c r="K711" i="6" s="1"/>
  <c r="N711" i="6"/>
  <c r="J56" i="6"/>
  <c r="K56" i="6" s="1"/>
  <c r="N56" i="6"/>
  <c r="J55" i="6"/>
  <c r="K55" i="6" s="1"/>
  <c r="N55" i="6"/>
  <c r="J3377" i="6"/>
  <c r="K3377" i="6" s="1"/>
  <c r="N3377" i="6"/>
  <c r="J2970" i="6"/>
  <c r="K2970" i="6" s="1"/>
  <c r="N2970" i="6"/>
  <c r="J1213" i="6"/>
  <c r="K1213" i="6" s="1"/>
  <c r="N1213" i="6"/>
  <c r="N3034" i="6"/>
  <c r="J3034" i="6"/>
  <c r="K3034" i="6" s="1"/>
  <c r="J3033" i="6"/>
  <c r="K3033" i="6" s="1"/>
  <c r="N3033" i="6"/>
  <c r="J281" i="6"/>
  <c r="K281" i="6" s="1"/>
  <c r="N281" i="6"/>
  <c r="J3417" i="6"/>
  <c r="K3417" i="6" s="1"/>
  <c r="N3417" i="6"/>
  <c r="J4625" i="6"/>
  <c r="K4625" i="6" s="1"/>
  <c r="N4625" i="6"/>
  <c r="J2026" i="6"/>
  <c r="K2026" i="6" s="1"/>
  <c r="N2026" i="6"/>
  <c r="J3651" i="6"/>
  <c r="K3651" i="6" s="1"/>
  <c r="N3651" i="6"/>
  <c r="J3650" i="6"/>
  <c r="K3650" i="6" s="1"/>
  <c r="N3650" i="6"/>
  <c r="J3649" i="6"/>
  <c r="K3649" i="6" s="1"/>
  <c r="N3649" i="6"/>
  <c r="J4562" i="6"/>
  <c r="K4562" i="6" s="1"/>
  <c r="N4562" i="6"/>
  <c r="J600" i="6"/>
  <c r="K600" i="6" s="1"/>
  <c r="N600" i="6"/>
  <c r="J4582" i="6"/>
  <c r="K4582" i="6" s="1"/>
  <c r="N4582" i="6"/>
  <c r="J3766" i="6"/>
  <c r="K3766" i="6" s="1"/>
  <c r="N3766" i="6"/>
  <c r="J3767" i="6"/>
  <c r="K3767" i="6" s="1"/>
  <c r="N3767" i="6"/>
  <c r="J3301" i="6" l="1"/>
  <c r="K3301" i="6" s="1"/>
  <c r="N3301" i="6"/>
  <c r="J374" i="6"/>
  <c r="K374" i="6" s="1"/>
  <c r="N374" i="6"/>
  <c r="J373" i="6"/>
  <c r="K373" i="6" s="1"/>
  <c r="N373" i="6"/>
  <c r="J2861" i="6"/>
  <c r="K2861" i="6" s="1"/>
  <c r="N2861" i="6"/>
  <c r="J2862" i="6"/>
  <c r="K2862" i="6" s="1"/>
  <c r="N2862" i="6"/>
  <c r="J4098" i="6"/>
  <c r="K4098" i="6" s="1"/>
  <c r="N4098" i="6"/>
  <c r="J4099" i="6"/>
  <c r="K4099" i="6" s="1"/>
  <c r="N4099" i="6"/>
  <c r="J4100" i="6"/>
  <c r="K4100" i="6" s="1"/>
  <c r="N4100" i="6"/>
  <c r="J4097" i="6"/>
  <c r="K4097" i="6" s="1"/>
  <c r="N4097" i="6"/>
  <c r="J4195" i="6"/>
  <c r="K4195" i="6" s="1"/>
  <c r="N4195" i="6"/>
  <c r="J4196" i="6"/>
  <c r="K4196" i="6" s="1"/>
  <c r="N4196" i="6"/>
  <c r="J840" i="6"/>
  <c r="K840" i="6" s="1"/>
  <c r="N840" i="6"/>
  <c r="J372" i="6"/>
  <c r="K372" i="6" s="1"/>
  <c r="N372" i="6"/>
  <c r="J371" i="6"/>
  <c r="K371" i="6" s="1"/>
  <c r="N371" i="6"/>
  <c r="J370" i="6"/>
  <c r="K370" i="6" s="1"/>
  <c r="N370" i="6"/>
  <c r="J752" i="78"/>
  <c r="J730" i="78"/>
  <c r="J2801" i="6"/>
  <c r="K2801" i="6" s="1"/>
  <c r="N2801" i="6"/>
  <c r="J3687" i="6"/>
  <c r="K3687" i="6" s="1"/>
  <c r="N3687" i="6"/>
  <c r="J3252" i="6"/>
  <c r="K3252" i="6" s="1"/>
  <c r="N3252" i="6"/>
  <c r="J3918" i="6"/>
  <c r="K3918" i="6" s="1"/>
  <c r="N3918" i="6"/>
  <c r="J754" i="78" l="1"/>
  <c r="J4505" i="6"/>
  <c r="K4505" i="6" s="1"/>
  <c r="N4505" i="6"/>
  <c r="N2527" i="6"/>
  <c r="J2527" i="6"/>
  <c r="K2527" i="6" s="1"/>
  <c r="J2349" i="6"/>
  <c r="K2349" i="6" s="1"/>
  <c r="N2349" i="6"/>
  <c r="J4026" i="6"/>
  <c r="K4026" i="6" s="1"/>
  <c r="N4026" i="6"/>
  <c r="J2348" i="6"/>
  <c r="K2348" i="6" s="1"/>
  <c r="N2348" i="6"/>
  <c r="J3299" i="6" l="1"/>
  <c r="K3299" i="6" s="1"/>
  <c r="N3299" i="6"/>
  <c r="J3300" i="6"/>
  <c r="K3300" i="6" s="1"/>
  <c r="N3300" i="6"/>
  <c r="J2148" i="6"/>
  <c r="K2148" i="6" s="1"/>
  <c r="N2148" i="6"/>
  <c r="J2147" i="6"/>
  <c r="K2147" i="6" s="1"/>
  <c r="N2147" i="6"/>
  <c r="J2146" i="6"/>
  <c r="K2146" i="6" s="1"/>
  <c r="N2146" i="6"/>
  <c r="J4466" i="6"/>
  <c r="K4466" i="6" s="1"/>
  <c r="N4466" i="6"/>
  <c r="J4465" i="6"/>
  <c r="K4465" i="6" s="1"/>
  <c r="N4465" i="6"/>
  <c r="J4464" i="6"/>
  <c r="K4464" i="6" s="1"/>
  <c r="N4464" i="6"/>
  <c r="J4425" i="6"/>
  <c r="K4425" i="6" s="1"/>
  <c r="N4425" i="6"/>
  <c r="J4424" i="6"/>
  <c r="K4424" i="6" s="1"/>
  <c r="N4424" i="6"/>
  <c r="J4423" i="6"/>
  <c r="K4423" i="6" s="1"/>
  <c r="N4423" i="6"/>
  <c r="J2063" i="6"/>
  <c r="K2063" i="6" s="1"/>
  <c r="N2063" i="6"/>
  <c r="J2062" i="6"/>
  <c r="K2062" i="6" s="1"/>
  <c r="N2062" i="6"/>
  <c r="J2061" i="6"/>
  <c r="K2061" i="6" s="1"/>
  <c r="N2061" i="6"/>
  <c r="J945" i="6"/>
  <c r="K945" i="6" s="1"/>
  <c r="N945" i="6"/>
  <c r="J1063" i="6" l="1"/>
  <c r="K1063" i="6" s="1"/>
  <c r="N1063" i="6"/>
  <c r="J1064" i="6"/>
  <c r="K1064" i="6" s="1"/>
  <c r="N1064" i="6"/>
  <c r="J769" i="6" l="1"/>
  <c r="K769" i="6" s="1"/>
  <c r="N769" i="6"/>
  <c r="J3773" i="6"/>
  <c r="K3773" i="6" s="1"/>
  <c r="N3773" i="6"/>
  <c r="J3645" i="6"/>
  <c r="K3645" i="6" s="1"/>
  <c r="J3646" i="6"/>
  <c r="K3646" i="6" s="1"/>
  <c r="N3645" i="6"/>
  <c r="N3646" i="6"/>
  <c r="J3647" i="6"/>
  <c r="K3647" i="6" s="1"/>
  <c r="N3647" i="6"/>
  <c r="J3648" i="6"/>
  <c r="K3648" i="6" s="1"/>
  <c r="N3648" i="6"/>
  <c r="J4354" i="6"/>
  <c r="K4354" i="6" s="1"/>
  <c r="N4354" i="6"/>
  <c r="J3798" i="6"/>
  <c r="K3798" i="6" s="1"/>
  <c r="N3798" i="6"/>
  <c r="J700" i="78"/>
  <c r="J705" i="78" s="1"/>
  <c r="J671" i="78"/>
  <c r="J704" i="78" s="1"/>
  <c r="J933" i="6"/>
  <c r="K933" i="6" s="1"/>
  <c r="J2082" i="6"/>
  <c r="K2082" i="6" s="1"/>
  <c r="J2081" i="6"/>
  <c r="K2081" i="6" s="1"/>
  <c r="J2347" i="6"/>
  <c r="K2347" i="6" s="1"/>
  <c r="N933" i="6"/>
  <c r="N2082" i="6"/>
  <c r="N2081" i="6"/>
  <c r="N2347" i="6"/>
  <c r="J707" i="78" l="1"/>
  <c r="J702" i="78"/>
  <c r="J983" i="6"/>
  <c r="K983" i="6" s="1"/>
  <c r="N983" i="6"/>
  <c r="J1216" i="6"/>
  <c r="K1216" i="6" s="1"/>
  <c r="N1216" i="6"/>
  <c r="J4615" i="6"/>
  <c r="K4615" i="6" s="1"/>
  <c r="N4615" i="6"/>
  <c r="J369" i="6"/>
  <c r="K369" i="6" s="1"/>
  <c r="N369" i="6"/>
  <c r="J1313" i="6"/>
  <c r="K1313" i="6" s="1"/>
  <c r="N1313" i="6"/>
  <c r="J2526" i="6"/>
  <c r="K2526" i="6" s="1"/>
  <c r="N2526" i="6"/>
  <c r="J4614" i="6"/>
  <c r="K4614" i="6" s="1"/>
  <c r="N4614" i="6"/>
  <c r="I1070" i="6" l="1"/>
  <c r="J1070" i="6" s="1"/>
  <c r="K1070" i="6" s="1"/>
  <c r="N1070" i="6"/>
  <c r="J964" i="6"/>
  <c r="K964" i="6" s="1"/>
  <c r="N964" i="6"/>
  <c r="J4215" i="6"/>
  <c r="K4215" i="6" s="1"/>
  <c r="N4215" i="6"/>
  <c r="J3247" i="6" l="1"/>
  <c r="K3247" i="6" s="1"/>
  <c r="N3247" i="6"/>
  <c r="J3248" i="6"/>
  <c r="K3248" i="6" s="1"/>
  <c r="N3248" i="6"/>
  <c r="J3249" i="6"/>
  <c r="K3249" i="6" s="1"/>
  <c r="N3249" i="6"/>
  <c r="J2280" i="6"/>
  <c r="K2280" i="6" s="1"/>
  <c r="N2280" i="6"/>
  <c r="J593" i="6"/>
  <c r="K593" i="6" s="1"/>
  <c r="N593" i="6"/>
  <c r="J594" i="6"/>
  <c r="K594" i="6" s="1"/>
  <c r="N594" i="6"/>
  <c r="J684" i="6" l="1"/>
  <c r="K684" i="6" s="1"/>
  <c r="N684" i="6"/>
  <c r="J592" i="6"/>
  <c r="K592" i="6" s="1"/>
  <c r="N592" i="6"/>
  <c r="J4166" i="6"/>
  <c r="K4166" i="6" s="1"/>
  <c r="N4166" i="6"/>
  <c r="J1222" i="6"/>
  <c r="K1222" i="6" s="1"/>
  <c r="N1222" i="6"/>
  <c r="J1221" i="6"/>
  <c r="K1221" i="6" s="1"/>
  <c r="J1223" i="6"/>
  <c r="K1223" i="6" s="1"/>
  <c r="N1221" i="6"/>
  <c r="N1223" i="6"/>
  <c r="J1224" i="6"/>
  <c r="K1224" i="6" s="1"/>
  <c r="N1224" i="6"/>
  <c r="J1225" i="6"/>
  <c r="K1225" i="6" s="1"/>
  <c r="N1225" i="6"/>
  <c r="J4561" i="6" l="1"/>
  <c r="K4561" i="6" s="1"/>
  <c r="N4561" i="6"/>
  <c r="J4025" i="6"/>
  <c r="K4025" i="6" s="1"/>
  <c r="N4025" i="6"/>
  <c r="J1312" i="6"/>
  <c r="K1312" i="6" s="1"/>
  <c r="N1312" i="6"/>
  <c r="J2525" i="6"/>
  <c r="K2525" i="6" s="1"/>
  <c r="N2525" i="6"/>
  <c r="J2346" i="6"/>
  <c r="K2346" i="6" s="1"/>
  <c r="N2346" i="6"/>
  <c r="J2155" i="6" l="1"/>
  <c r="K2155" i="6" s="1"/>
  <c r="N2155" i="6"/>
  <c r="J980" i="6" l="1"/>
  <c r="K980" i="6" s="1"/>
  <c r="N980" i="6"/>
  <c r="J981" i="6"/>
  <c r="K981" i="6" s="1"/>
  <c r="N981" i="6"/>
  <c r="J3588" i="6"/>
  <c r="K3588" i="6" s="1"/>
  <c r="N3588" i="6"/>
  <c r="J3587" i="6"/>
  <c r="K3587" i="6" s="1"/>
  <c r="N3587" i="6"/>
  <c r="J3589" i="6"/>
  <c r="K3589" i="6" s="1"/>
  <c r="N3589" i="6"/>
  <c r="J3590" i="6"/>
  <c r="K3590" i="6" s="1"/>
  <c r="N3590" i="6"/>
  <c r="J3591" i="6"/>
  <c r="K3591" i="6" s="1"/>
  <c r="N3591" i="6"/>
  <c r="J1983" i="6" l="1"/>
  <c r="K1983" i="6" s="1"/>
  <c r="N1983" i="6"/>
  <c r="J1984" i="6"/>
  <c r="K1984" i="6" s="1"/>
  <c r="N1984" i="6"/>
  <c r="J1553" i="6"/>
  <c r="K1553" i="6" s="1"/>
  <c r="N1553" i="6"/>
  <c r="J2584" i="6"/>
  <c r="K2584" i="6" s="1"/>
  <c r="N2584" i="6"/>
  <c r="J1255" i="6"/>
  <c r="K1255" i="6" s="1"/>
  <c r="N1255" i="6"/>
  <c r="J1822" i="6"/>
  <c r="K1822" i="6" s="1"/>
  <c r="N1822" i="6"/>
  <c r="J1823" i="6"/>
  <c r="K1823" i="6" s="1"/>
  <c r="N1823" i="6"/>
  <c r="J2670" i="6"/>
  <c r="K2670" i="6" s="1"/>
  <c r="N2670" i="6"/>
  <c r="J2717" i="6" l="1"/>
  <c r="K2717" i="6" s="1"/>
  <c r="N2717" i="6"/>
  <c r="J3774" i="6"/>
  <c r="K3774" i="6" s="1"/>
  <c r="N3774" i="6"/>
  <c r="J2256" i="6"/>
  <c r="K2256" i="6" s="1"/>
  <c r="N2256" i="6"/>
  <c r="J2253" i="6"/>
  <c r="K2253" i="6" s="1"/>
  <c r="N2253" i="6"/>
  <c r="J2254" i="6"/>
  <c r="K2254" i="6" s="1"/>
  <c r="N2254" i="6"/>
  <c r="J2255" i="6"/>
  <c r="K2255" i="6" s="1"/>
  <c r="N2255" i="6"/>
  <c r="J2163" i="6"/>
  <c r="K2163" i="6" s="1"/>
  <c r="N2163" i="6"/>
  <c r="J2252" i="6"/>
  <c r="K2252" i="6" s="1"/>
  <c r="N2252" i="6"/>
  <c r="J638" i="78"/>
  <c r="J616" i="78"/>
  <c r="I2477" i="6"/>
  <c r="J803" i="6"/>
  <c r="K803" i="6" s="1"/>
  <c r="N803" i="6"/>
  <c r="J640" i="78" l="1"/>
  <c r="J449" i="6"/>
  <c r="K449" i="6" s="1"/>
  <c r="N449" i="6"/>
  <c r="J4355" i="6"/>
  <c r="K4355" i="6" s="1"/>
  <c r="N4355" i="6"/>
  <c r="J3246" i="6"/>
  <c r="K3246" i="6" s="1"/>
  <c r="N3246" i="6"/>
  <c r="J2800" i="6"/>
  <c r="K2800" i="6" s="1"/>
  <c r="N2800" i="6"/>
  <c r="J2397" i="6"/>
  <c r="K2397" i="6" s="1"/>
  <c r="N2397" i="6"/>
  <c r="J2524" i="6"/>
  <c r="K2524" i="6" s="1"/>
  <c r="N2524" i="6"/>
  <c r="J2581" i="6" l="1"/>
  <c r="K2581" i="6" s="1"/>
  <c r="N2581" i="6"/>
  <c r="J2375" i="6"/>
  <c r="K2375" i="6" s="1"/>
  <c r="N2375" i="6"/>
  <c r="J2374" i="6"/>
  <c r="K2374" i="6" s="1"/>
  <c r="N2374" i="6"/>
  <c r="J280" i="6"/>
  <c r="K280" i="6" s="1"/>
  <c r="N280" i="6"/>
  <c r="J279" i="6"/>
  <c r="K279" i="6" s="1"/>
  <c r="N279" i="6"/>
  <c r="J2718" i="6"/>
  <c r="K2718" i="6" s="1"/>
  <c r="N2718" i="6"/>
  <c r="J2716" i="6"/>
  <c r="K2716" i="6" s="1"/>
  <c r="N2716" i="6"/>
  <c r="J2186" i="6"/>
  <c r="K2186" i="6" s="1"/>
  <c r="N2186" i="6"/>
  <c r="J2185" i="6"/>
  <c r="K2185" i="6" s="1"/>
  <c r="N2185" i="6"/>
  <c r="J2184" i="6"/>
  <c r="K2184" i="6" s="1"/>
  <c r="N2184" i="6"/>
  <c r="J2183" i="6"/>
  <c r="K2183" i="6" s="1"/>
  <c r="N2183" i="6"/>
  <c r="J599" i="6"/>
  <c r="K599" i="6" s="1"/>
  <c r="N599" i="6"/>
  <c r="J768" i="6" l="1"/>
  <c r="K768" i="6" s="1"/>
  <c r="N768" i="6"/>
  <c r="J4566" i="6"/>
  <c r="K4566" i="6" s="1"/>
  <c r="J982" i="6"/>
  <c r="K982" i="6" s="1"/>
  <c r="N982" i="6"/>
  <c r="J2962" i="6"/>
  <c r="K2962" i="6" s="1"/>
  <c r="N2962" i="6"/>
  <c r="J2271" i="6"/>
  <c r="K2271" i="6" s="1"/>
  <c r="J2272" i="6"/>
  <c r="K2272" i="6" s="1"/>
  <c r="N2271" i="6"/>
  <c r="N2272" i="6"/>
  <c r="J2270" i="6"/>
  <c r="K2270" i="6" s="1"/>
  <c r="N2270" i="6"/>
  <c r="J35" i="6"/>
  <c r="K35" i="6" s="1"/>
  <c r="N35" i="6"/>
  <c r="J4353" i="6"/>
  <c r="K4353" i="6" s="1"/>
  <c r="N4353" i="6"/>
  <c r="J4352" i="6"/>
  <c r="K4352" i="6" s="1"/>
  <c r="N4352" i="6"/>
  <c r="J429" i="6"/>
  <c r="K429" i="6" s="1"/>
  <c r="N429" i="6"/>
  <c r="J2799" i="6"/>
  <c r="K2799" i="6" s="1"/>
  <c r="N2799" i="6"/>
  <c r="J1837" i="6"/>
  <c r="K1837" i="6" s="1"/>
  <c r="N1837" i="6"/>
  <c r="J3986" i="6"/>
  <c r="K3986" i="6" s="1"/>
  <c r="N3986" i="6"/>
  <c r="J3988" i="6"/>
  <c r="K3988" i="6" s="1"/>
  <c r="N3988" i="6"/>
  <c r="J3985" i="6"/>
  <c r="K3985" i="6" s="1"/>
  <c r="N3985" i="6"/>
  <c r="J1753" i="6" l="1"/>
  <c r="K1753" i="6" s="1"/>
  <c r="N1753" i="6"/>
  <c r="J636" i="6"/>
  <c r="K636" i="6" s="1"/>
  <c r="N636" i="6"/>
  <c r="J2477" i="6"/>
  <c r="K2477" i="6" s="1"/>
  <c r="N2477" i="6"/>
  <c r="J1311" i="6"/>
  <c r="K1311" i="6" s="1"/>
  <c r="N1311" i="6"/>
  <c r="J542" i="6"/>
  <c r="K542" i="6" s="1"/>
  <c r="N542" i="6"/>
  <c r="J465" i="6"/>
  <c r="K465" i="6" s="1"/>
  <c r="N465" i="6"/>
  <c r="J464" i="6"/>
  <c r="K464" i="6" s="1"/>
  <c r="N464" i="6"/>
  <c r="J463" i="6"/>
  <c r="K463" i="6" s="1"/>
  <c r="N463" i="6"/>
  <c r="J2961" i="6"/>
  <c r="K2961" i="6" s="1"/>
  <c r="N2961" i="6"/>
  <c r="J2539" i="6"/>
  <c r="K2539" i="6" s="1"/>
  <c r="N2539" i="6"/>
  <c r="J1310" i="6" l="1"/>
  <c r="K1310" i="6" s="1"/>
  <c r="N1310" i="6"/>
  <c r="J4613" i="6"/>
  <c r="K4613" i="6" s="1"/>
  <c r="N4613" i="6"/>
  <c r="J944" i="6"/>
  <c r="K944" i="6" s="1"/>
  <c r="N944" i="6"/>
  <c r="J4024" i="6"/>
  <c r="K4024" i="6" s="1"/>
  <c r="N4024" i="6"/>
  <c r="J1309" i="6"/>
  <c r="K1309" i="6" s="1"/>
  <c r="N1309" i="6"/>
  <c r="J2523" i="6"/>
  <c r="K2523" i="6" s="1"/>
  <c r="N2523" i="6"/>
  <c r="J932" i="6"/>
  <c r="K932" i="6" s="1"/>
  <c r="N932" i="6"/>
  <c r="N448" i="6"/>
  <c r="J448" i="6"/>
  <c r="K448" i="6" s="1"/>
  <c r="N447" i="6"/>
  <c r="J447" i="6"/>
  <c r="K447" i="6" s="1"/>
  <c r="N446" i="6"/>
  <c r="J446" i="6"/>
  <c r="K446" i="6" s="1"/>
  <c r="J445" i="6"/>
  <c r="K445" i="6" s="1"/>
  <c r="N445" i="6"/>
  <c r="J4560" i="6"/>
  <c r="K4560" i="6" s="1"/>
  <c r="N4560" i="6"/>
  <c r="J592" i="78" l="1"/>
  <c r="J573" i="78"/>
  <c r="J3799" i="6"/>
  <c r="K3799" i="6" s="1"/>
  <c r="N3799" i="6"/>
  <c r="I678" i="6"/>
  <c r="J605" i="6"/>
  <c r="K605" i="6" s="1"/>
  <c r="N605" i="6"/>
  <c r="J606" i="6"/>
  <c r="K606" i="6" s="1"/>
  <c r="N606" i="6"/>
  <c r="J4351" i="6"/>
  <c r="K4351" i="6" s="1"/>
  <c r="N4351" i="6"/>
  <c r="J1828" i="6"/>
  <c r="K1828" i="6" s="1"/>
  <c r="N1828" i="6"/>
  <c r="J1827" i="6"/>
  <c r="K1827" i="6" s="1"/>
  <c r="N1827" i="6"/>
  <c r="J3584" i="6"/>
  <c r="K3584" i="6" s="1"/>
  <c r="N3584" i="6"/>
  <c r="J3585" i="6"/>
  <c r="K3585" i="6" s="1"/>
  <c r="N3585" i="6"/>
  <c r="J3586" i="6"/>
  <c r="K3586" i="6" s="1"/>
  <c r="N3586" i="6"/>
  <c r="J395" i="6"/>
  <c r="K395" i="6" s="1"/>
  <c r="N395" i="6"/>
  <c r="J396" i="6"/>
  <c r="K396" i="6" s="1"/>
  <c r="N396" i="6"/>
  <c r="J397" i="6"/>
  <c r="K397" i="6" s="1"/>
  <c r="N397" i="6"/>
  <c r="J140" i="6"/>
  <c r="K140" i="6" s="1"/>
  <c r="N140" i="6"/>
  <c r="J3054" i="6"/>
  <c r="K3054" i="6" s="1"/>
  <c r="N3054" i="6"/>
  <c r="J4583" i="6"/>
  <c r="K4583" i="6" s="1"/>
  <c r="N4583" i="6"/>
  <c r="J3268" i="6"/>
  <c r="K3268" i="6" s="1"/>
  <c r="N3268" i="6"/>
  <c r="J3657" i="6"/>
  <c r="K3657" i="6" s="1"/>
  <c r="N3657" i="6"/>
  <c r="J594" i="78" l="1"/>
  <c r="J4463" i="6"/>
  <c r="K4463" i="6" s="1"/>
  <c r="N4463" i="6"/>
  <c r="J4462" i="6"/>
  <c r="K4462" i="6" s="1"/>
  <c r="N4462" i="6"/>
  <c r="J4461" i="6"/>
  <c r="K4461" i="6" s="1"/>
  <c r="N4461" i="6"/>
  <c r="J3644" i="6"/>
  <c r="K3644" i="6" s="1"/>
  <c r="N3644" i="6"/>
  <c r="J3643" i="6"/>
  <c r="K3643" i="6" s="1"/>
  <c r="N3643" i="6"/>
  <c r="J3893" i="6"/>
  <c r="K3893" i="6" s="1"/>
  <c r="N3893" i="6"/>
  <c r="J3245" i="6"/>
  <c r="K3245" i="6" s="1"/>
  <c r="N3245" i="6"/>
  <c r="J3482" i="6"/>
  <c r="K3482" i="6" s="1"/>
  <c r="N3482" i="6"/>
  <c r="J3481" i="6"/>
  <c r="K3481" i="6" s="1"/>
  <c r="N3481" i="6"/>
  <c r="J3480" i="6"/>
  <c r="K3480" i="6" s="1"/>
  <c r="N3480" i="6"/>
  <c r="J3479" i="6"/>
  <c r="K3479" i="6" s="1"/>
  <c r="N3479" i="6"/>
  <c r="J2860" i="6"/>
  <c r="K2860" i="6" s="1"/>
  <c r="N2860" i="6"/>
  <c r="J2859" i="6"/>
  <c r="K2859" i="6" s="1"/>
  <c r="N2859" i="6"/>
  <c r="J2423" i="6"/>
  <c r="K2423" i="6" s="1"/>
  <c r="N2423" i="6"/>
  <c r="J2422" i="6"/>
  <c r="K2422" i="6" s="1"/>
  <c r="N2422" i="6"/>
  <c r="J2421" i="6"/>
  <c r="K2421" i="6" s="1"/>
  <c r="N2421" i="6"/>
  <c r="J642" i="6"/>
  <c r="K642" i="6" s="1"/>
  <c r="N642" i="6"/>
  <c r="J641" i="6"/>
  <c r="K641" i="6" s="1"/>
  <c r="N641" i="6"/>
  <c r="X515" i="78"/>
  <c r="X514" i="78" s="1"/>
  <c r="J2420" i="6"/>
  <c r="K2420" i="6" s="1"/>
  <c r="N2420" i="6"/>
  <c r="J2419" i="6"/>
  <c r="K2419" i="6" s="1"/>
  <c r="N2419" i="6"/>
  <c r="J2265" i="6"/>
  <c r="K2265" i="6" s="1"/>
  <c r="N2265" i="6"/>
  <c r="J4443" i="6" l="1"/>
  <c r="K4443" i="6" s="1"/>
  <c r="N4443" i="6"/>
  <c r="J4612" i="6"/>
  <c r="K4612" i="6" s="1"/>
  <c r="N4612" i="6"/>
  <c r="J1060" i="6"/>
  <c r="K1060" i="6" s="1"/>
  <c r="N1060" i="6"/>
  <c r="J1059" i="6"/>
  <c r="K1059" i="6" s="1"/>
  <c r="N1059" i="6"/>
  <c r="J1058" i="6"/>
  <c r="K1058" i="6" s="1"/>
  <c r="N1058" i="6"/>
  <c r="J3387" i="6"/>
  <c r="K3387" i="6" s="1"/>
  <c r="N3387" i="6"/>
  <c r="J2121" i="6" l="1"/>
  <c r="K2121" i="6" s="1"/>
  <c r="N2121" i="6"/>
  <c r="J2120" i="6"/>
  <c r="K2120" i="6" s="1"/>
  <c r="N2120" i="6"/>
  <c r="J839" i="6"/>
  <c r="K839" i="6" s="1"/>
  <c r="N839" i="6"/>
  <c r="J766" i="6"/>
  <c r="K766" i="6" s="1"/>
  <c r="N766" i="6"/>
  <c r="J3641" i="6" l="1"/>
  <c r="K3641" i="6" s="1"/>
  <c r="N3641" i="6"/>
  <c r="J3642" i="6"/>
  <c r="K3642" i="6" s="1"/>
  <c r="N3642" i="6"/>
  <c r="J118" i="6"/>
  <c r="K118" i="6" s="1"/>
  <c r="N118" i="6"/>
  <c r="J119" i="6"/>
  <c r="K119" i="6" s="1"/>
  <c r="N119" i="6"/>
  <c r="J678" i="6" l="1"/>
  <c r="K678" i="6" s="1"/>
  <c r="N678" i="6"/>
  <c r="J968" i="6"/>
  <c r="K968" i="6" s="1"/>
  <c r="N968" i="6"/>
  <c r="J4632" i="6" l="1"/>
  <c r="K4632" i="6" s="1"/>
  <c r="N4632" i="6"/>
  <c r="J838" i="6"/>
  <c r="K838" i="6" s="1"/>
  <c r="N838" i="6"/>
  <c r="J2345" i="6"/>
  <c r="K2345" i="6" s="1"/>
  <c r="N2345" i="6"/>
  <c r="J368" i="6"/>
  <c r="K368" i="6" s="1"/>
  <c r="N368" i="6"/>
  <c r="J551" i="78" l="1"/>
  <c r="J534" i="78"/>
  <c r="J3939" i="6"/>
  <c r="K3939" i="6" s="1"/>
  <c r="N3939" i="6"/>
  <c r="J4559" i="6"/>
  <c r="K4559" i="6" s="1"/>
  <c r="N4559" i="6"/>
  <c r="J553" i="78" l="1"/>
  <c r="J4611" i="6"/>
  <c r="K4611" i="6" s="1"/>
  <c r="N4611" i="6"/>
  <c r="J4610" i="6"/>
  <c r="K4610" i="6" s="1"/>
  <c r="N4610" i="6"/>
  <c r="J2418" i="6"/>
  <c r="K2418" i="6" s="1"/>
  <c r="N2418" i="6"/>
  <c r="J2417" i="6"/>
  <c r="K2417" i="6" s="1"/>
  <c r="N2417" i="6"/>
  <c r="J2416" i="6"/>
  <c r="K2416" i="6" s="1"/>
  <c r="N2416" i="6"/>
  <c r="J1974" i="6"/>
  <c r="K1974" i="6" s="1"/>
  <c r="N1974" i="6"/>
  <c r="J2639" i="6"/>
  <c r="K2639" i="6" s="1"/>
  <c r="N2639" i="6"/>
  <c r="J767" i="6"/>
  <c r="K767" i="6" s="1"/>
  <c r="N767" i="6"/>
  <c r="J2703" i="6"/>
  <c r="K2703" i="6" s="1"/>
  <c r="N2703" i="6"/>
  <c r="J138" i="6"/>
  <c r="K138" i="6" s="1"/>
  <c r="N138" i="6"/>
  <c r="J117" i="6"/>
  <c r="K117" i="6" s="1"/>
  <c r="N117" i="6"/>
  <c r="J3244" i="6"/>
  <c r="K3244" i="6" s="1"/>
  <c r="N3244" i="6"/>
  <c r="J3640" i="6"/>
  <c r="K3640" i="6" s="1"/>
  <c r="N3640" i="6"/>
  <c r="J2814" i="6"/>
  <c r="K2814" i="6" s="1"/>
  <c r="N2814" i="6"/>
  <c r="I2485" i="6"/>
  <c r="J775" i="6"/>
  <c r="K775" i="6" s="1"/>
  <c r="N775" i="6"/>
  <c r="J979" i="6"/>
  <c r="K979" i="6" s="1"/>
  <c r="N979" i="6"/>
  <c r="J2522" i="6" l="1"/>
  <c r="K2522" i="6" s="1"/>
  <c r="N2522" i="6"/>
  <c r="J2344" i="6"/>
  <c r="K2344" i="6" s="1"/>
  <c r="N2344" i="6"/>
  <c r="J2343" i="6"/>
  <c r="K2343" i="6" s="1"/>
  <c r="N2343" i="6"/>
  <c r="J635" i="6"/>
  <c r="K635" i="6" s="1"/>
  <c r="N635" i="6"/>
  <c r="J2342" i="6" l="1"/>
  <c r="K2342" i="6" s="1"/>
  <c r="N2342" i="6"/>
  <c r="J2521" i="6"/>
  <c r="K2521" i="6" s="1"/>
  <c r="N2521" i="6"/>
  <c r="J3983" i="6"/>
  <c r="K3983" i="6" s="1"/>
  <c r="N3983" i="6"/>
  <c r="J367" i="6"/>
  <c r="K367" i="6" s="1"/>
  <c r="J366" i="6"/>
  <c r="K366" i="6" s="1"/>
  <c r="N366" i="6"/>
  <c r="N367" i="6"/>
  <c r="J3243" i="6" l="1"/>
  <c r="K3243" i="6" s="1"/>
  <c r="N3243" i="6"/>
  <c r="J3686" i="6"/>
  <c r="K3686" i="6" s="1"/>
  <c r="N3686" i="6"/>
  <c r="J2813" i="6"/>
  <c r="K2813" i="6" s="1"/>
  <c r="N2813" i="6"/>
  <c r="J1836" i="6"/>
  <c r="K1836" i="6" s="1"/>
  <c r="N1836" i="6"/>
  <c r="J943" i="6"/>
  <c r="K943" i="6" s="1"/>
  <c r="N943" i="6"/>
  <c r="J3946" i="6"/>
  <c r="K3946" i="6" s="1"/>
  <c r="N3946" i="6"/>
  <c r="J3945" i="6"/>
  <c r="K3945" i="6" s="1"/>
  <c r="N3945" i="6"/>
  <c r="J3410" i="6"/>
  <c r="K3410" i="6" s="1"/>
  <c r="N3410" i="6"/>
  <c r="J4051" i="6"/>
  <c r="K4051" i="6" s="1"/>
  <c r="N4051" i="6"/>
  <c r="J2538" i="6"/>
  <c r="K2538" i="6" s="1"/>
  <c r="N2538" i="6"/>
  <c r="J1858" i="6" l="1"/>
  <c r="K1858" i="6" s="1"/>
  <c r="N1858" i="6"/>
  <c r="J1710" i="6"/>
  <c r="K1710" i="6" s="1"/>
  <c r="N1710" i="6"/>
  <c r="J156" i="6"/>
  <c r="K156" i="6" s="1"/>
  <c r="N156" i="6"/>
  <c r="J4609" i="6"/>
  <c r="K4609" i="6" s="1"/>
  <c r="N4609" i="6"/>
  <c r="J2551" i="6"/>
  <c r="K2551" i="6" s="1"/>
  <c r="N2551" i="6"/>
  <c r="J2550" i="6"/>
  <c r="K2550" i="6" s="1"/>
  <c r="N2550" i="6"/>
  <c r="J4017" i="6"/>
  <c r="K4017" i="6" s="1"/>
  <c r="N4017" i="6"/>
  <c r="J208" i="6"/>
  <c r="K208" i="6" s="1"/>
  <c r="N208" i="6"/>
  <c r="J3597" i="6"/>
  <c r="K3597" i="6" s="1"/>
  <c r="N3597" i="6"/>
  <c r="J1832" i="6"/>
  <c r="K1832" i="6" s="1"/>
  <c r="N1832" i="6"/>
  <c r="J3679" i="6"/>
  <c r="K3679" i="6" s="1"/>
  <c r="N3679" i="6"/>
  <c r="J614" i="6"/>
  <c r="K614" i="6" s="1"/>
  <c r="N614" i="6"/>
  <c r="J712" i="6"/>
  <c r="K712" i="6" s="1"/>
  <c r="N712" i="6"/>
  <c r="J139" i="6"/>
  <c r="K139" i="6" s="1"/>
  <c r="N139" i="6"/>
  <c r="J40" i="6"/>
  <c r="K40" i="6" s="1"/>
  <c r="N40" i="6"/>
  <c r="J2689" i="6"/>
  <c r="K2689" i="6" s="1"/>
  <c r="J2807" i="6"/>
  <c r="K2807" i="6" s="1"/>
  <c r="J3270" i="6"/>
  <c r="K3270" i="6" s="1"/>
  <c r="J3381" i="6"/>
  <c r="K3381" i="6" s="1"/>
  <c r="J4019" i="6"/>
  <c r="K4019" i="6" s="1"/>
  <c r="J4470" i="6"/>
  <c r="K4470" i="6" s="1"/>
  <c r="J4626" i="6"/>
  <c r="K4626" i="6" s="1"/>
  <c r="N2689" i="6"/>
  <c r="N2807" i="6"/>
  <c r="N3270" i="6"/>
  <c r="N3381" i="6"/>
  <c r="N4019" i="6"/>
  <c r="N4470" i="6"/>
  <c r="N4626" i="6"/>
  <c r="J1847" i="6"/>
  <c r="K1847" i="6" s="1"/>
  <c r="N1847" i="6"/>
  <c r="J967" i="6"/>
  <c r="K967" i="6" s="1"/>
  <c r="N967" i="6"/>
  <c r="J2955" i="6"/>
  <c r="K2955" i="6" s="1"/>
  <c r="J2956" i="6"/>
  <c r="K2956" i="6" s="1"/>
  <c r="J2957" i="6"/>
  <c r="K2957" i="6" s="1"/>
  <c r="N2955" i="6"/>
  <c r="N2956" i="6"/>
  <c r="N2957" i="6"/>
  <c r="J2958" i="6"/>
  <c r="K2958" i="6" s="1"/>
  <c r="N2958" i="6"/>
  <c r="J2959" i="6"/>
  <c r="K2959" i="6" s="1"/>
  <c r="N2959" i="6"/>
  <c r="J2960" i="6"/>
  <c r="K2960" i="6" s="1"/>
  <c r="N2960" i="6"/>
  <c r="J2415" i="6"/>
  <c r="K2415" i="6" s="1"/>
  <c r="N2415" i="6"/>
  <c r="J2414" i="6"/>
  <c r="K2414" i="6" s="1"/>
  <c r="N2414" i="6"/>
  <c r="J515" i="78"/>
  <c r="J503" i="78"/>
  <c r="J210" i="6"/>
  <c r="K210" i="6" s="1"/>
  <c r="N210" i="6"/>
  <c r="J4581" i="6"/>
  <c r="K4581" i="6" s="1"/>
  <c r="N4581" i="6"/>
  <c r="J1639" i="6"/>
  <c r="K1639" i="6" s="1"/>
  <c r="N1639" i="6"/>
  <c r="J2488" i="6"/>
  <c r="K2488" i="6" s="1"/>
  <c r="N2488" i="6"/>
  <c r="J517" i="78" l="1"/>
  <c r="J2080" i="6"/>
  <c r="K2080" i="6" s="1"/>
  <c r="N2080" i="6"/>
  <c r="J2079" i="6"/>
  <c r="K2079" i="6" s="1"/>
  <c r="N2079" i="6"/>
  <c r="J572" i="6"/>
  <c r="K572" i="6" s="1"/>
  <c r="N572" i="6"/>
  <c r="J571" i="6"/>
  <c r="K571" i="6" s="1"/>
  <c r="N571" i="6"/>
  <c r="J570" i="6"/>
  <c r="K570" i="6" s="1"/>
  <c r="N570" i="6"/>
  <c r="J3938" i="6" l="1"/>
  <c r="K3938" i="6" s="1"/>
  <c r="N3938" i="6"/>
  <c r="J4558" i="6"/>
  <c r="K4558" i="6" s="1"/>
  <c r="N4558" i="6"/>
  <c r="J3298" i="6"/>
  <c r="K3298" i="6" s="1"/>
  <c r="N3298" i="6"/>
  <c r="J3297" i="6"/>
  <c r="K3297" i="6" s="1"/>
  <c r="N3297" i="6"/>
  <c r="J3296" i="6"/>
  <c r="K3296" i="6" s="1"/>
  <c r="N3296" i="6"/>
  <c r="J2154" i="6"/>
  <c r="K2154" i="6" s="1"/>
  <c r="N2154" i="6"/>
  <c r="J2153" i="6"/>
  <c r="K2153" i="6" s="1"/>
  <c r="N2153" i="6"/>
  <c r="J4608" i="6"/>
  <c r="K4608" i="6" s="1"/>
  <c r="N4608" i="6"/>
  <c r="J307" i="6"/>
  <c r="K307" i="6" s="1"/>
  <c r="N307" i="6"/>
  <c r="J306" i="6"/>
  <c r="K306" i="6" s="1"/>
  <c r="N306" i="6"/>
  <c r="J785" i="6" l="1"/>
  <c r="K785" i="6" s="1"/>
  <c r="N785" i="6"/>
  <c r="J2520" i="6" l="1"/>
  <c r="K2520" i="6" s="1"/>
  <c r="N2520" i="6"/>
  <c r="J1749" i="6" l="1"/>
  <c r="K1749" i="6" s="1"/>
  <c r="N1749" i="6"/>
  <c r="J194" i="6"/>
  <c r="K194" i="6" s="1"/>
  <c r="N194" i="6"/>
  <c r="J3685" i="6"/>
  <c r="K3685" i="6" s="1"/>
  <c r="N3685" i="6"/>
  <c r="N4580" i="6"/>
  <c r="J4580" i="6"/>
  <c r="K4580" i="6" s="1"/>
  <c r="J4579" i="6"/>
  <c r="K4579" i="6" s="1"/>
  <c r="N4579" i="6"/>
  <c r="J3240" i="6"/>
  <c r="K3240" i="6" s="1"/>
  <c r="N3240" i="6"/>
  <c r="J3241" i="6"/>
  <c r="K3241" i="6" s="1"/>
  <c r="N3241" i="6"/>
  <c r="J3242" i="6"/>
  <c r="K3242" i="6" s="1"/>
  <c r="N3242" i="6"/>
  <c r="J247" i="6" l="1"/>
  <c r="K247" i="6" s="1"/>
  <c r="N247" i="6"/>
  <c r="J1982" i="6" l="1"/>
  <c r="K1982" i="6" s="1"/>
  <c r="N1982" i="6"/>
  <c r="J1069" i="6"/>
  <c r="K1069" i="6" s="1"/>
  <c r="N1069" i="6"/>
  <c r="J3984" i="6"/>
  <c r="K3984" i="6" s="1"/>
  <c r="N3984" i="6"/>
  <c r="J3987" i="6"/>
  <c r="K3987" i="6" s="1"/>
  <c r="N3987" i="6"/>
  <c r="J451" i="6"/>
  <c r="K451" i="6" s="1"/>
  <c r="N451" i="6"/>
  <c r="J613" i="6"/>
  <c r="K613" i="6" s="1"/>
  <c r="N613" i="6"/>
  <c r="J3600" i="6"/>
  <c r="K3600" i="6" s="1"/>
  <c r="N3600" i="6"/>
  <c r="J1253" i="6"/>
  <c r="K1253" i="6" s="1"/>
  <c r="N1253" i="6"/>
  <c r="J4607" i="6"/>
  <c r="K4607" i="6" s="1"/>
  <c r="N4607" i="6"/>
  <c r="J363" i="6"/>
  <c r="K363" i="6" s="1"/>
  <c r="N363" i="6"/>
  <c r="J364" i="6"/>
  <c r="K364" i="6" s="1"/>
  <c r="N364" i="6"/>
  <c r="J487" i="78" l="1"/>
  <c r="J470" i="78"/>
  <c r="J3414" i="6"/>
  <c r="K3414" i="6" s="1"/>
  <c r="N3414" i="6"/>
  <c r="J3413" i="6"/>
  <c r="K3413" i="6" s="1"/>
  <c r="N3413" i="6"/>
  <c r="J3412" i="6"/>
  <c r="K3412" i="6" s="1"/>
  <c r="N3412" i="6"/>
  <c r="J4421" i="6"/>
  <c r="K4421" i="6" s="1"/>
  <c r="N4421" i="6"/>
  <c r="J4420" i="6"/>
  <c r="K4420" i="6" s="1"/>
  <c r="N4420" i="6"/>
  <c r="J4422" i="6"/>
  <c r="K4422" i="6" s="1"/>
  <c r="N4422" i="6"/>
  <c r="J1973" i="6"/>
  <c r="K1973" i="6" s="1"/>
  <c r="N1973" i="6"/>
  <c r="J2476" i="6"/>
  <c r="K2476" i="6" s="1"/>
  <c r="N2476" i="6"/>
  <c r="J2812" i="6"/>
  <c r="K2812" i="6" s="1"/>
  <c r="N2812" i="6"/>
  <c r="J3239" i="6"/>
  <c r="K3239" i="6" s="1"/>
  <c r="N3239" i="6"/>
  <c r="J762" i="6"/>
  <c r="K762" i="6" s="1"/>
  <c r="N762" i="6"/>
  <c r="J3853" i="6"/>
  <c r="K3853" i="6" s="1"/>
  <c r="N3853" i="6"/>
  <c r="J3854" i="6"/>
  <c r="K3854" i="6" s="1"/>
  <c r="N3854" i="6"/>
  <c r="J2737" i="6"/>
  <c r="K2737" i="6" s="1"/>
  <c r="N2737" i="6"/>
  <c r="J2738" i="6"/>
  <c r="K2738" i="6" s="1"/>
  <c r="N2738" i="6"/>
  <c r="J3582" i="6"/>
  <c r="K3582" i="6" s="1"/>
  <c r="N3582" i="6"/>
  <c r="J3583" i="6"/>
  <c r="K3583" i="6" s="1"/>
  <c r="N3583" i="6"/>
  <c r="J3478" i="6"/>
  <c r="K3478" i="6" s="1"/>
  <c r="N3478" i="6"/>
  <c r="J489" i="78" l="1"/>
  <c r="J634" i="6"/>
  <c r="K634" i="6" s="1"/>
  <c r="N634" i="6"/>
  <c r="J1986" i="6"/>
  <c r="K1986" i="6" s="1"/>
  <c r="N1986" i="6"/>
  <c r="J1985" i="6"/>
  <c r="K1985" i="6" s="1"/>
  <c r="N1985" i="6"/>
  <c r="J1709" i="6"/>
  <c r="K1709" i="6" s="1"/>
  <c r="N1709" i="6"/>
  <c r="J764" i="6"/>
  <c r="K764" i="6" s="1"/>
  <c r="J765" i="6"/>
  <c r="K765" i="6" s="1"/>
  <c r="N764" i="6"/>
  <c r="N765" i="6"/>
  <c r="J763" i="6"/>
  <c r="K763" i="6" s="1"/>
  <c r="N763" i="6"/>
  <c r="J2341" i="6"/>
  <c r="K2341" i="6" s="1"/>
  <c r="N2341" i="6"/>
  <c r="J4606" i="6"/>
  <c r="K4606" i="6" s="1"/>
  <c r="N4606" i="6"/>
  <c r="J610" i="6" l="1"/>
  <c r="K610" i="6" s="1"/>
  <c r="N610" i="6"/>
  <c r="J365" i="6"/>
  <c r="K365" i="6" s="1"/>
  <c r="N365" i="6"/>
  <c r="J2638" i="6"/>
  <c r="K2638" i="6" s="1"/>
  <c r="N2638" i="6"/>
  <c r="J2668" i="6"/>
  <c r="K2668" i="6" s="1"/>
  <c r="N2668" i="6"/>
  <c r="J2549" i="6"/>
  <c r="K2549" i="6" s="1"/>
  <c r="N2549" i="6"/>
  <c r="J2548" i="6"/>
  <c r="K2548" i="6" s="1"/>
  <c r="N2548" i="6"/>
  <c r="J4483" i="6"/>
  <c r="K4483" i="6" s="1"/>
  <c r="N4483" i="6"/>
  <c r="J4482" i="6"/>
  <c r="K4482" i="6" s="1"/>
  <c r="N4482" i="6"/>
  <c r="J4578" i="6" l="1"/>
  <c r="K4578" i="6" s="1"/>
  <c r="N4578" i="6"/>
  <c r="J4577" i="6"/>
  <c r="K4577" i="6" s="1"/>
  <c r="N4577" i="6"/>
  <c r="J2815" i="6"/>
  <c r="K2815" i="6" s="1"/>
  <c r="N2815" i="6"/>
  <c r="J3637" i="6"/>
  <c r="K3637" i="6" s="1"/>
  <c r="N3637" i="6"/>
  <c r="J1724" i="6"/>
  <c r="K1724" i="6" s="1"/>
  <c r="N1724" i="6"/>
  <c r="J1723" i="6"/>
  <c r="K1723" i="6" s="1"/>
  <c r="N1723" i="6"/>
  <c r="J2788" i="6"/>
  <c r="K2788" i="6" s="1"/>
  <c r="N2788" i="6"/>
  <c r="J4350" i="6"/>
  <c r="K4350" i="6" s="1"/>
  <c r="N4350" i="6"/>
  <c r="J890" i="6"/>
  <c r="K890" i="6" s="1"/>
  <c r="N890" i="6"/>
  <c r="J889" i="6"/>
  <c r="K889" i="6" s="1"/>
  <c r="N889" i="6"/>
  <c r="J888" i="6"/>
  <c r="K888" i="6" s="1"/>
  <c r="N888" i="6"/>
  <c r="J2882" i="6"/>
  <c r="K2882" i="6" s="1"/>
  <c r="N2882" i="6"/>
  <c r="J2881" i="6"/>
  <c r="K2881" i="6" s="1"/>
  <c r="N2881" i="6"/>
  <c r="J2880" i="6"/>
  <c r="K2880" i="6" s="1"/>
  <c r="N2880" i="6"/>
  <c r="J2787" i="6"/>
  <c r="K2787" i="6" s="1"/>
  <c r="N2787" i="6"/>
  <c r="J4605" i="6"/>
  <c r="K4605" i="6" s="1"/>
  <c r="N4605" i="6"/>
  <c r="J4442" i="6" l="1"/>
  <c r="K4442" i="6" s="1"/>
  <c r="N4442" i="6"/>
  <c r="J3403" i="6"/>
  <c r="K3403" i="6" s="1"/>
  <c r="N3403" i="6"/>
  <c r="J3402" i="6"/>
  <c r="K3402" i="6" s="1"/>
  <c r="N3402" i="6"/>
  <c r="J3401" i="6"/>
  <c r="K3401" i="6" s="1"/>
  <c r="N3401" i="6"/>
  <c r="J2359" i="6"/>
  <c r="K2359" i="6" s="1"/>
  <c r="N2359" i="6"/>
  <c r="J2358" i="6"/>
  <c r="K2358" i="6" s="1"/>
  <c r="N2358" i="6"/>
  <c r="J4050" i="6"/>
  <c r="K4050" i="6" s="1"/>
  <c r="N4050" i="6"/>
  <c r="J2340" i="6"/>
  <c r="K2340" i="6" s="1"/>
  <c r="N2340" i="6"/>
  <c r="J2339" i="6"/>
  <c r="K2339" i="6" s="1"/>
  <c r="N2339" i="6"/>
  <c r="J3796" i="6"/>
  <c r="K3796" i="6" s="1"/>
  <c r="N3796" i="6"/>
  <c r="J2519" i="6"/>
  <c r="K2519" i="6" s="1"/>
  <c r="N2519" i="6"/>
  <c r="J1308" i="6" l="1"/>
  <c r="K1308" i="6" s="1"/>
  <c r="N1308" i="6"/>
  <c r="J473" i="6"/>
  <c r="K473" i="6" s="1"/>
  <c r="N473" i="6"/>
  <c r="J3672" i="6" l="1"/>
  <c r="K3672" i="6" s="1"/>
  <c r="N3672" i="6"/>
  <c r="J3671" i="6"/>
  <c r="K3671" i="6" s="1"/>
  <c r="N3671" i="6"/>
  <c r="J3634" i="6"/>
  <c r="K3634" i="6" s="1"/>
  <c r="N3634" i="6"/>
  <c r="J3635" i="6"/>
  <c r="K3635" i="6" s="1"/>
  <c r="N3635" i="6"/>
  <c r="J3636" i="6"/>
  <c r="K3636" i="6" s="1"/>
  <c r="N3636" i="6"/>
  <c r="J3234" i="6"/>
  <c r="K3234" i="6" s="1"/>
  <c r="N3234" i="6"/>
  <c r="J3235" i="6"/>
  <c r="K3235" i="6" s="1"/>
  <c r="N3235" i="6"/>
  <c r="J3236" i="6"/>
  <c r="K3236" i="6" s="1"/>
  <c r="N3236" i="6"/>
  <c r="J3237" i="6"/>
  <c r="K3237" i="6" s="1"/>
  <c r="N3237" i="6"/>
  <c r="J114" i="6"/>
  <c r="K114" i="6" s="1"/>
  <c r="N114" i="6"/>
  <c r="J115" i="6"/>
  <c r="K115" i="6" s="1"/>
  <c r="N115" i="6"/>
  <c r="J116" i="6"/>
  <c r="K116" i="6" s="1"/>
  <c r="N116" i="6"/>
  <c r="J133" i="6"/>
  <c r="K133" i="6" s="1"/>
  <c r="N133" i="6"/>
  <c r="J134" i="6"/>
  <c r="K134" i="6" s="1"/>
  <c r="N134" i="6"/>
  <c r="J135" i="6"/>
  <c r="K135" i="6" s="1"/>
  <c r="N135" i="6"/>
  <c r="J136" i="6"/>
  <c r="K136" i="6" s="1"/>
  <c r="N136" i="6"/>
  <c r="J190" i="6"/>
  <c r="K190" i="6" s="1"/>
  <c r="N190" i="6"/>
  <c r="J191" i="6"/>
  <c r="K191" i="6" s="1"/>
  <c r="N191" i="6"/>
  <c r="J192" i="6"/>
  <c r="K192" i="6" s="1"/>
  <c r="N192" i="6"/>
  <c r="J3683" i="6"/>
  <c r="K3683" i="6" s="1"/>
  <c r="N3683" i="6"/>
  <c r="J3684" i="6"/>
  <c r="K3684" i="6" s="1"/>
  <c r="N3684" i="6"/>
  <c r="J1542" i="6"/>
  <c r="K1542" i="6" s="1"/>
  <c r="N1542" i="6"/>
  <c r="J4469" i="6"/>
  <c r="K4469" i="6" s="1"/>
  <c r="N4469" i="6"/>
  <c r="J449" i="78" l="1"/>
  <c r="J430" i="78"/>
  <c r="J1878" i="6"/>
  <c r="K1878" i="6" s="1"/>
  <c r="J1879" i="6"/>
  <c r="K1879" i="6" s="1"/>
  <c r="J1880" i="6"/>
  <c r="K1880" i="6" s="1"/>
  <c r="N1878" i="6"/>
  <c r="N1879" i="6"/>
  <c r="N1880" i="6"/>
  <c r="J1881" i="6"/>
  <c r="K1881" i="6" s="1"/>
  <c r="N1881" i="6"/>
  <c r="J1882" i="6"/>
  <c r="K1882" i="6" s="1"/>
  <c r="N1882" i="6"/>
  <c r="J1883" i="6"/>
  <c r="K1883" i="6" s="1"/>
  <c r="N1883" i="6"/>
  <c r="J451" i="78" l="1"/>
  <c r="J3682" i="6"/>
  <c r="K3682" i="6" s="1"/>
  <c r="N3682" i="6"/>
  <c r="J3638" i="6"/>
  <c r="K3638" i="6" s="1"/>
  <c r="N3638" i="6"/>
  <c r="J409" i="78"/>
  <c r="J978" i="6"/>
  <c r="K978" i="6" s="1"/>
  <c r="N978" i="6"/>
  <c r="J3238" i="6"/>
  <c r="K3238" i="6" s="1"/>
  <c r="N3238" i="6"/>
  <c r="N4349" i="6"/>
  <c r="J892" i="6"/>
  <c r="K892" i="6" s="1"/>
  <c r="N892" i="6"/>
  <c r="J193" i="6"/>
  <c r="K193" i="6" s="1"/>
  <c r="N193" i="6"/>
  <c r="J137" i="6"/>
  <c r="K137" i="6" s="1"/>
  <c r="N137" i="6"/>
  <c r="J2537" i="6" l="1"/>
  <c r="K2537" i="6" s="1"/>
  <c r="J2518" i="6"/>
  <c r="K2518" i="6" s="1"/>
  <c r="N2537" i="6"/>
  <c r="N2518" i="6"/>
  <c r="J2858" i="6" l="1"/>
  <c r="K2858" i="6" s="1"/>
  <c r="N2858" i="6"/>
  <c r="J3372" i="6"/>
  <c r="K3372" i="6" s="1"/>
  <c r="J3373" i="6"/>
  <c r="K3373" i="6" s="1"/>
  <c r="J3374" i="6"/>
  <c r="K3374" i="6" s="1"/>
  <c r="J3375" i="6"/>
  <c r="K3375" i="6" s="1"/>
  <c r="J3376" i="6"/>
  <c r="K3376" i="6" s="1"/>
  <c r="N3372" i="6"/>
  <c r="N3373" i="6"/>
  <c r="N3374" i="6"/>
  <c r="N3375" i="6"/>
  <c r="N3376" i="6"/>
  <c r="J3371" i="6"/>
  <c r="K3371" i="6" s="1"/>
  <c r="N3371" i="6"/>
  <c r="J4194" i="6"/>
  <c r="K4194" i="6" s="1"/>
  <c r="N4194" i="6"/>
  <c r="J4193" i="6"/>
  <c r="K4193" i="6" s="1"/>
  <c r="N4193" i="6"/>
  <c r="J4192" i="6"/>
  <c r="K4192" i="6" s="1"/>
  <c r="N4192" i="6"/>
  <c r="J2667" i="6"/>
  <c r="K2667" i="6" s="1"/>
  <c r="N2667" i="6"/>
  <c r="N4101" i="6" l="1"/>
  <c r="J427" i="6"/>
  <c r="K427" i="6" s="1"/>
  <c r="N427" i="6"/>
  <c r="J428" i="6"/>
  <c r="K428" i="6" s="1"/>
  <c r="N428" i="6"/>
  <c r="J758" i="6"/>
  <c r="K758" i="6" s="1"/>
  <c r="N758" i="6"/>
  <c r="AA338" i="78"/>
  <c r="N214" i="6"/>
  <c r="J214" i="6"/>
  <c r="K214" i="6" s="1"/>
  <c r="J213" i="6"/>
  <c r="K213" i="6" s="1"/>
  <c r="N213" i="6"/>
  <c r="J1640" i="6"/>
  <c r="K1640" i="6" s="1"/>
  <c r="N1640" i="6"/>
  <c r="J836" i="6"/>
  <c r="K836" i="6" s="1"/>
  <c r="N836" i="6"/>
  <c r="J1038" i="6"/>
  <c r="K1038" i="6" s="1"/>
  <c r="N1038" i="6"/>
  <c r="J2515" i="6"/>
  <c r="K2515" i="6" s="1"/>
  <c r="J2516" i="6"/>
  <c r="K2516" i="6" s="1"/>
  <c r="J2517" i="6"/>
  <c r="K2517" i="6" s="1"/>
  <c r="N2515" i="6"/>
  <c r="N2516" i="6"/>
  <c r="N2517" i="6"/>
  <c r="J4504" i="6"/>
  <c r="K4504" i="6" s="1"/>
  <c r="N4504" i="6"/>
  <c r="J837" i="6"/>
  <c r="K837" i="6" s="1"/>
  <c r="N837" i="6"/>
  <c r="J3409" i="6"/>
  <c r="K3409" i="6" s="1"/>
  <c r="N3409" i="6"/>
  <c r="J2008" i="6"/>
  <c r="K2008" i="6" s="1"/>
  <c r="N2008" i="6"/>
  <c r="J1708" i="6"/>
  <c r="K1708" i="6" s="1"/>
  <c r="N1708" i="6"/>
  <c r="J1307" i="6"/>
  <c r="K1307" i="6" s="1"/>
  <c r="N1307" i="6"/>
  <c r="J2338" i="6"/>
  <c r="K2338" i="6" s="1"/>
  <c r="N2338" i="6"/>
  <c r="J2337" i="6"/>
  <c r="K2337" i="6" s="1"/>
  <c r="N2337" i="6"/>
  <c r="J2475" i="6"/>
  <c r="K2475" i="6" s="1"/>
  <c r="N2475" i="6"/>
  <c r="J2413" i="6" l="1"/>
  <c r="K2413" i="6" s="1"/>
  <c r="N2413" i="6"/>
  <c r="J2412" i="6"/>
  <c r="K2412" i="6" s="1"/>
  <c r="N2412" i="6"/>
  <c r="J541" i="6"/>
  <c r="K541" i="6" s="1"/>
  <c r="N541" i="6"/>
  <c r="J4152" i="6"/>
  <c r="K4152" i="6" s="1"/>
  <c r="N4152" i="6"/>
  <c r="J4151" i="6"/>
  <c r="K4151" i="6" s="1"/>
  <c r="N4151" i="6"/>
  <c r="J3795" i="6"/>
  <c r="K3795" i="6" s="1"/>
  <c r="N3795" i="6"/>
  <c r="J4094" i="6"/>
  <c r="K4094" i="6" s="1"/>
  <c r="N4094" i="6"/>
  <c r="J4095" i="6"/>
  <c r="K4095" i="6" s="1"/>
  <c r="N4095" i="6"/>
  <c r="J4096" i="6"/>
  <c r="K4096" i="6" s="1"/>
  <c r="N4096" i="6"/>
  <c r="J1218" i="6"/>
  <c r="K1218" i="6" s="1"/>
  <c r="N1218" i="6"/>
  <c r="J1062" i="6"/>
  <c r="K1062" i="6" s="1"/>
  <c r="N1062" i="6"/>
  <c r="J1061" i="6"/>
  <c r="K1061" i="6" s="1"/>
  <c r="N1061" i="6"/>
  <c r="J4460" i="6"/>
  <c r="K4460" i="6" s="1"/>
  <c r="N4460" i="6"/>
  <c r="J4459" i="6"/>
  <c r="K4459" i="6" s="1"/>
  <c r="N4459" i="6"/>
  <c r="J3797" i="6"/>
  <c r="K3797" i="6" s="1"/>
  <c r="N3797" i="6"/>
  <c r="J4634" i="6"/>
  <c r="K4634" i="6" s="1"/>
  <c r="N4634" i="6"/>
  <c r="J4386" i="6"/>
  <c r="K4386" i="6" s="1"/>
  <c r="N4386" i="6"/>
  <c r="J359" i="78"/>
  <c r="J374" i="78"/>
  <c r="J2766" i="6"/>
  <c r="K2766" i="6" s="1"/>
  <c r="N2766" i="6"/>
  <c r="J2640" i="6"/>
  <c r="K2640" i="6" s="1"/>
  <c r="N2640" i="6"/>
  <c r="J376" i="78" l="1"/>
  <c r="J705" i="6"/>
  <c r="K705" i="6" s="1"/>
  <c r="N705" i="6"/>
  <c r="J707" i="6"/>
  <c r="K707" i="6" s="1"/>
  <c r="N707" i="6"/>
  <c r="J706" i="6"/>
  <c r="K706" i="6" s="1"/>
  <c r="N706" i="6"/>
  <c r="J708" i="6"/>
  <c r="K708" i="6" s="1"/>
  <c r="N708" i="6"/>
  <c r="N189" i="6"/>
  <c r="J189" i="6"/>
  <c r="K189" i="6" s="1"/>
  <c r="J188" i="6"/>
  <c r="K188" i="6" s="1"/>
  <c r="N188" i="6"/>
  <c r="J3891" i="6"/>
  <c r="J3892" i="6"/>
  <c r="J1539" i="6"/>
  <c r="K1539" i="6" s="1"/>
  <c r="N1539" i="6"/>
  <c r="J1540" i="6"/>
  <c r="K1540" i="6" s="1"/>
  <c r="N1540" i="6"/>
  <c r="J113" i="6"/>
  <c r="K113" i="6" s="1"/>
  <c r="N113" i="6"/>
  <c r="J112" i="6"/>
  <c r="K112" i="6" s="1"/>
  <c r="N112" i="6"/>
  <c r="J132" i="6"/>
  <c r="K132" i="6" s="1"/>
  <c r="N132" i="6"/>
  <c r="J3231" i="6"/>
  <c r="K3231" i="6" s="1"/>
  <c r="N3231" i="6"/>
  <c r="J3232" i="6"/>
  <c r="K3232" i="6" s="1"/>
  <c r="N3232" i="6"/>
  <c r="J3233" i="6"/>
  <c r="K3233" i="6" s="1"/>
  <c r="N3233" i="6"/>
  <c r="N3681" i="6"/>
  <c r="J3681" i="6"/>
  <c r="K3681" i="6" s="1"/>
  <c r="J3680" i="6"/>
  <c r="K3680" i="6" s="1"/>
  <c r="N3680" i="6"/>
  <c r="J3633" i="6"/>
  <c r="K3633" i="6" s="1"/>
  <c r="N3633" i="6"/>
  <c r="J3632" i="6"/>
  <c r="K3632" i="6" s="1"/>
  <c r="N3632" i="6"/>
  <c r="J750" i="6" l="1"/>
  <c r="K750" i="6" s="1"/>
  <c r="J751" i="6"/>
  <c r="K751" i="6" s="1"/>
  <c r="J752" i="6"/>
  <c r="K752" i="6" s="1"/>
  <c r="N750" i="6"/>
  <c r="N751" i="6"/>
  <c r="N752" i="6"/>
  <c r="J753" i="6"/>
  <c r="K753" i="6" s="1"/>
  <c r="N753" i="6"/>
  <c r="J754" i="6"/>
  <c r="K754" i="6" s="1"/>
  <c r="N754" i="6"/>
  <c r="J755" i="6"/>
  <c r="K755" i="6" s="1"/>
  <c r="N755" i="6"/>
  <c r="J951" i="6" l="1"/>
  <c r="K951" i="6" s="1"/>
  <c r="J4636" i="6"/>
  <c r="J4430" i="6"/>
  <c r="J4385" i="6"/>
  <c r="J4349" i="6"/>
  <c r="J4630" i="6"/>
  <c r="J4628" i="6"/>
  <c r="J4627" i="6"/>
  <c r="J4467" i="6"/>
  <c r="J4328" i="6"/>
  <c r="J4200" i="6"/>
  <c r="J4167" i="6"/>
  <c r="J3794" i="6"/>
  <c r="K3794" i="6" s="1"/>
  <c r="J3765" i="6"/>
  <c r="J3639" i="6"/>
  <c r="J4027" i="6"/>
  <c r="J3916" i="6"/>
  <c r="J3459" i="6"/>
  <c r="J3599" i="6"/>
  <c r="J3486" i="6"/>
  <c r="J3307" i="6"/>
  <c r="J2954" i="6"/>
  <c r="J2963" i="6"/>
  <c r="J3271" i="6"/>
  <c r="J2811" i="6"/>
  <c r="J2995" i="6"/>
  <c r="J2964" i="6"/>
  <c r="J2984" i="6"/>
  <c r="J2669" i="6"/>
  <c r="J2637" i="6"/>
  <c r="J2577" i="6"/>
  <c r="J2744" i="6"/>
  <c r="J2474" i="6"/>
  <c r="J2487" i="6"/>
  <c r="J2486" i="6"/>
  <c r="J2485" i="6"/>
  <c r="J2251" i="6"/>
  <c r="J2432" i="6"/>
  <c r="J2379" i="6"/>
  <c r="J2319" i="6"/>
  <c r="J2025" i="6"/>
  <c r="K2025" i="6" s="1"/>
  <c r="J2273" i="6"/>
  <c r="K2273" i="6" s="1"/>
  <c r="N951" i="6"/>
  <c r="N483" i="6"/>
  <c r="J483" i="6"/>
  <c r="K483" i="6" s="1"/>
  <c r="N2318" i="6"/>
  <c r="J2318" i="6"/>
  <c r="K2318" i="6" s="1"/>
  <c r="J444" i="6"/>
  <c r="K444" i="6" s="1"/>
  <c r="N444" i="6"/>
  <c r="J443" i="6"/>
  <c r="K443" i="6" s="1"/>
  <c r="N443" i="6"/>
  <c r="J1306" i="6"/>
  <c r="K1306" i="6" s="1"/>
  <c r="N1306" i="6"/>
  <c r="J2336" i="6"/>
  <c r="K2336" i="6" s="1"/>
  <c r="N2336" i="6"/>
  <c r="J548" i="6"/>
  <c r="K548" i="6" s="1"/>
  <c r="N548" i="6"/>
  <c r="J2411" i="6"/>
  <c r="K2411" i="6" s="1"/>
  <c r="N2411" i="6"/>
  <c r="J2410" i="6"/>
  <c r="K2410" i="6" s="1"/>
  <c r="N2410" i="6"/>
  <c r="J1191" i="6"/>
  <c r="K1191" i="6" s="1"/>
  <c r="J1192" i="6"/>
  <c r="K1192" i="6" s="1"/>
  <c r="J1193" i="6"/>
  <c r="K1193" i="6" s="1"/>
  <c r="J1194" i="6"/>
  <c r="K1194" i="6" s="1"/>
  <c r="J1195" i="6"/>
  <c r="K1195" i="6" s="1"/>
  <c r="J1196" i="6"/>
  <c r="K1196" i="6" s="1"/>
  <c r="N1191" i="6"/>
  <c r="N1192" i="6"/>
  <c r="N1193" i="6"/>
  <c r="N1194" i="6"/>
  <c r="N1195" i="6"/>
  <c r="N1196" i="6"/>
  <c r="J1190" i="6"/>
  <c r="K1190" i="6" s="1"/>
  <c r="N1190" i="6"/>
  <c r="J591" i="6"/>
  <c r="K591" i="6" s="1"/>
  <c r="N591" i="6"/>
  <c r="J590" i="6"/>
  <c r="K590" i="6" s="1"/>
  <c r="N590" i="6"/>
  <c r="J3734" i="6"/>
  <c r="K3734" i="6" s="1"/>
  <c r="N3734" i="6"/>
  <c r="J4536" i="6"/>
  <c r="K4536" i="6" s="1"/>
  <c r="N4536" i="6"/>
  <c r="J4502" i="6"/>
  <c r="K4502" i="6" s="1"/>
  <c r="N4502" i="6"/>
  <c r="J4475" i="6"/>
  <c r="K4475" i="6" s="1"/>
  <c r="N4475" i="6"/>
  <c r="J4150" i="6"/>
  <c r="K4150" i="6" s="1"/>
  <c r="N4150" i="6"/>
  <c r="J3370" i="6"/>
  <c r="K3370" i="6" s="1"/>
  <c r="N3370" i="6"/>
  <c r="J2837" i="6"/>
  <c r="K2837" i="6" s="1"/>
  <c r="N2837" i="6"/>
  <c r="J2250" i="6"/>
  <c r="K2250" i="6" s="1"/>
  <c r="J2373" i="6"/>
  <c r="K2373" i="6" s="1"/>
  <c r="J2409" i="6"/>
  <c r="K2409" i="6" s="1"/>
  <c r="J2558" i="6"/>
  <c r="K2558" i="6" s="1"/>
  <c r="J3025" i="6"/>
  <c r="K3025" i="6" s="1"/>
  <c r="J2736" i="6"/>
  <c r="K2736" i="6" s="1"/>
  <c r="N2250" i="6"/>
  <c r="N2373" i="6"/>
  <c r="N2409" i="6"/>
  <c r="N2558" i="6"/>
  <c r="N3025" i="6"/>
  <c r="N2736" i="6"/>
  <c r="J1923" i="6"/>
  <c r="K1923" i="6" s="1"/>
  <c r="N1923" i="6"/>
  <c r="J1846" i="6"/>
  <c r="K1846" i="6" s="1"/>
  <c r="N1846" i="6"/>
  <c r="J462" i="6"/>
  <c r="K462" i="6" s="1"/>
  <c r="N462" i="6"/>
  <c r="J3982" i="6"/>
  <c r="K3982" i="6" s="1"/>
  <c r="N3982" i="6"/>
  <c r="J3981" i="6"/>
  <c r="K3981" i="6" s="1"/>
  <c r="N3981" i="6"/>
  <c r="J257" i="6"/>
  <c r="K257" i="6" s="1"/>
  <c r="N257" i="6"/>
  <c r="J2408" i="6"/>
  <c r="K2408" i="6" s="1"/>
  <c r="N2408" i="6"/>
  <c r="J3032" i="6"/>
  <c r="K3032" i="6" s="1"/>
  <c r="N3032" i="6"/>
  <c r="J266" i="6"/>
  <c r="K266" i="6" s="1"/>
  <c r="N266" i="6"/>
  <c r="J360" i="6"/>
  <c r="K360" i="6" s="1"/>
  <c r="N360" i="6"/>
  <c r="J1626" i="6"/>
  <c r="K1626" i="6" s="1"/>
  <c r="N1626" i="6"/>
  <c r="J1621" i="6"/>
  <c r="K1621" i="6" s="1"/>
  <c r="J1622" i="6"/>
  <c r="K1622" i="6" s="1"/>
  <c r="J1623" i="6"/>
  <c r="K1623" i="6" s="1"/>
  <c r="J1624" i="6"/>
  <c r="K1624" i="6" s="1"/>
  <c r="J1625" i="6"/>
  <c r="K1625" i="6" s="1"/>
  <c r="N1621" i="6"/>
  <c r="N1622" i="6"/>
  <c r="N1623" i="6"/>
  <c r="N1624" i="6"/>
  <c r="N1625" i="6"/>
  <c r="J1620" i="6"/>
  <c r="K1620" i="6" s="1"/>
  <c r="N1620" i="6"/>
  <c r="J1227" i="6"/>
  <c r="K1227" i="6" s="1"/>
  <c r="N1227" i="6"/>
  <c r="J341" i="78"/>
  <c r="J321" i="78"/>
  <c r="J3230" i="6"/>
  <c r="K3230" i="6" s="1"/>
  <c r="N3230" i="6"/>
  <c r="N2025" i="6"/>
  <c r="N3794" i="6"/>
  <c r="N2273" i="6"/>
  <c r="J756" i="6"/>
  <c r="K756" i="6" s="1"/>
  <c r="N756" i="6"/>
  <c r="J131" i="6"/>
  <c r="K131" i="6" s="1"/>
  <c r="N131" i="6"/>
  <c r="J2666" i="6"/>
  <c r="K2666" i="6" s="1"/>
  <c r="N2666" i="6"/>
  <c r="J1922" i="6"/>
  <c r="K1922" i="6" s="1"/>
  <c r="N1922" i="6"/>
  <c r="J835" i="6"/>
  <c r="K835" i="6" s="1"/>
  <c r="N835" i="6"/>
  <c r="J431" i="6"/>
  <c r="K431" i="6" s="1"/>
  <c r="N431" i="6"/>
  <c r="J694" i="6"/>
  <c r="K694" i="6" s="1"/>
  <c r="N694" i="6"/>
  <c r="J693" i="6"/>
  <c r="K693" i="6" s="1"/>
  <c r="N693" i="6"/>
  <c r="J343" i="78" l="1"/>
  <c r="J3631" i="6"/>
  <c r="K3631" i="6" s="1"/>
  <c r="N3631" i="6"/>
  <c r="J1252" i="6"/>
  <c r="K1252" i="6" s="1"/>
  <c r="N1252" i="6"/>
  <c r="J4604" i="6"/>
  <c r="K4604" i="6" s="1"/>
  <c r="N4604" i="6"/>
  <c r="J2514" i="6" l="1"/>
  <c r="K2514" i="6" s="1"/>
  <c r="N2514" i="6"/>
  <c r="J2536" i="6"/>
  <c r="K2536" i="6" s="1"/>
  <c r="N2536" i="6"/>
  <c r="J2007" i="6" l="1"/>
  <c r="K2007" i="6" s="1"/>
  <c r="N2007" i="6"/>
  <c r="J1972" i="6" l="1"/>
  <c r="K1972" i="6" s="1"/>
  <c r="N1972" i="6"/>
  <c r="J359" i="6"/>
  <c r="K359" i="6" s="1"/>
  <c r="N359" i="6"/>
  <c r="J1707" i="6"/>
  <c r="K1707" i="6" s="1"/>
  <c r="N1707" i="6"/>
  <c r="J4384" i="6"/>
  <c r="K4384" i="6" s="1"/>
  <c r="N4384" i="6"/>
  <c r="J4383" i="6"/>
  <c r="K4383" i="6" s="1"/>
  <c r="N4383" i="6"/>
  <c r="J2294" i="6"/>
  <c r="K2294" i="6" s="1"/>
  <c r="N2294" i="6"/>
  <c r="J143" i="6"/>
  <c r="K143" i="6" s="1"/>
  <c r="N143" i="6"/>
  <c r="J3937" i="6"/>
  <c r="K3937" i="6" s="1"/>
  <c r="N3937" i="6"/>
  <c r="J4016" i="6"/>
  <c r="K4016" i="6" s="1"/>
  <c r="N4016" i="6"/>
  <c r="J3926" i="6"/>
  <c r="K3926" i="6" s="1"/>
  <c r="N3926" i="6"/>
  <c r="J187" i="6"/>
  <c r="K187" i="6" s="1"/>
  <c r="N187" i="6"/>
  <c r="J186" i="6"/>
  <c r="K186" i="6" s="1"/>
  <c r="N186" i="6"/>
  <c r="N1650" i="6"/>
  <c r="J3629" i="6"/>
  <c r="K3629" i="6" s="1"/>
  <c r="N3629" i="6"/>
  <c r="J3630" i="6"/>
  <c r="K3630" i="6" s="1"/>
  <c r="N3630" i="6"/>
  <c r="J1650" i="6"/>
  <c r="K1650" i="6" s="1"/>
  <c r="J130" i="6"/>
  <c r="K130" i="6" s="1"/>
  <c r="N130" i="6"/>
  <c r="J1747" i="6"/>
  <c r="K1747" i="6" s="1"/>
  <c r="J1748" i="6"/>
  <c r="K1748" i="6" s="1"/>
  <c r="N1747" i="6"/>
  <c r="N1748" i="6"/>
  <c r="J1746" i="6"/>
  <c r="K1746" i="6" s="1"/>
  <c r="N1746" i="6"/>
  <c r="J2473" i="6"/>
  <c r="K2473" i="6" s="1"/>
  <c r="N2473" i="6"/>
  <c r="J942" i="6"/>
  <c r="K942" i="6" s="1"/>
  <c r="N942" i="6"/>
  <c r="J3364" i="6"/>
  <c r="K3364" i="6" s="1"/>
  <c r="J3365" i="6"/>
  <c r="K3365" i="6" s="1"/>
  <c r="N3364" i="6"/>
  <c r="N3365" i="6"/>
  <c r="J3366" i="6"/>
  <c r="K3366" i="6" s="1"/>
  <c r="J3367" i="6"/>
  <c r="K3367" i="6" s="1"/>
  <c r="N3366" i="6"/>
  <c r="N3367" i="6"/>
  <c r="J3368" i="6"/>
  <c r="K3368" i="6" s="1"/>
  <c r="N3368" i="6"/>
  <c r="J3369" i="6"/>
  <c r="K3369" i="6" s="1"/>
  <c r="N3369" i="6"/>
  <c r="J394" i="6"/>
  <c r="K394" i="6" s="1"/>
  <c r="N394" i="6"/>
  <c r="J207" i="6"/>
  <c r="K207" i="6" s="1"/>
  <c r="N207" i="6"/>
  <c r="J1706" i="6" l="1"/>
  <c r="K1706" i="6" s="1"/>
  <c r="N1706" i="6"/>
  <c r="J1705" i="6"/>
  <c r="K1705" i="6" s="1"/>
  <c r="N1705" i="6"/>
  <c r="J1251" i="6"/>
  <c r="K1251" i="6" s="1"/>
  <c r="K4430" i="6"/>
  <c r="N4430" i="6"/>
  <c r="J4419" i="6"/>
  <c r="K4419" i="6" s="1"/>
  <c r="N4419" i="6"/>
  <c r="J4418" i="6"/>
  <c r="K4418" i="6" s="1"/>
  <c r="N4418" i="6"/>
  <c r="J2857" i="6"/>
  <c r="K2857" i="6" s="1"/>
  <c r="N2857" i="6"/>
  <c r="N1251" i="6"/>
  <c r="J300" i="78"/>
  <c r="J282" i="78"/>
  <c r="J358" i="6"/>
  <c r="K358" i="6" s="1"/>
  <c r="N358" i="6"/>
  <c r="K2474" i="6"/>
  <c r="N2474" i="6"/>
  <c r="J2335" i="6"/>
  <c r="K2335" i="6" s="1"/>
  <c r="N2335" i="6"/>
  <c r="K3765" i="6"/>
  <c r="N3765" i="6"/>
  <c r="J2856" i="6"/>
  <c r="K2856" i="6" s="1"/>
  <c r="N2856" i="6"/>
  <c r="J3493" i="6"/>
  <c r="K3493" i="6" s="1"/>
  <c r="N3493" i="6"/>
  <c r="J2715" i="6"/>
  <c r="K2715" i="6" s="1"/>
  <c r="N2715" i="6"/>
  <c r="J2714" i="6"/>
  <c r="K2714" i="6" s="1"/>
  <c r="N2714" i="6"/>
  <c r="J1280" i="6"/>
  <c r="K1280" i="6" s="1"/>
  <c r="N1280" i="6"/>
  <c r="J1279" i="6"/>
  <c r="K1279" i="6" s="1"/>
  <c r="N1279" i="6"/>
  <c r="J1198" i="6"/>
  <c r="K1198" i="6" s="1"/>
  <c r="J1199" i="6"/>
  <c r="K1199" i="6" s="1"/>
  <c r="J1200" i="6"/>
  <c r="K1200" i="6" s="1"/>
  <c r="J1201" i="6"/>
  <c r="K1201" i="6" s="1"/>
  <c r="J1202" i="6"/>
  <c r="K1202" i="6" s="1"/>
  <c r="J1203" i="6"/>
  <c r="K1203" i="6" s="1"/>
  <c r="J1204" i="6"/>
  <c r="K1204" i="6" s="1"/>
  <c r="J1205" i="6"/>
  <c r="K1205" i="6" s="1"/>
  <c r="J1206" i="6"/>
  <c r="K1206" i="6" s="1"/>
  <c r="J1207" i="6"/>
  <c r="K1207" i="6" s="1"/>
  <c r="J1208" i="6"/>
  <c r="K1208" i="6" s="1"/>
  <c r="J1209" i="6"/>
  <c r="K1209" i="6" s="1"/>
  <c r="J1210" i="6"/>
  <c r="K1210" i="6" s="1"/>
  <c r="J1211" i="6"/>
  <c r="K1211" i="6" s="1"/>
  <c r="J1212" i="6"/>
  <c r="K1212" i="6" s="1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J302" i="78" l="1"/>
  <c r="J1197" i="6"/>
  <c r="K1197" i="6" s="1"/>
  <c r="N1197" i="6"/>
  <c r="J2006" i="6"/>
  <c r="K2006" i="6" s="1"/>
  <c r="N2006" i="6"/>
  <c r="J3229" i="6" l="1"/>
  <c r="K3229" i="6" s="1"/>
  <c r="N3229" i="6"/>
  <c r="J3408" i="6" l="1"/>
  <c r="K3408" i="6" s="1"/>
  <c r="N3408" i="6"/>
  <c r="J2513" i="6"/>
  <c r="K2513" i="6" s="1"/>
  <c r="N2513" i="6"/>
  <c r="K3486" i="6"/>
  <c r="N3486" i="6"/>
  <c r="K3639" i="6"/>
  <c r="N3639" i="6"/>
  <c r="J4067" i="6"/>
  <c r="K4067" i="6" s="1"/>
  <c r="N4067" i="6"/>
  <c r="J4066" i="6"/>
  <c r="K4066" i="6" s="1"/>
  <c r="N4066" i="6"/>
  <c r="J2444" i="6"/>
  <c r="K2444" i="6" s="1"/>
  <c r="N2444" i="6"/>
  <c r="J2443" i="6"/>
  <c r="K2443" i="6" s="1"/>
  <c r="N2443" i="6"/>
  <c r="J4348" i="6"/>
  <c r="K4348" i="6" s="1"/>
  <c r="N4348" i="6"/>
  <c r="J142" i="6"/>
  <c r="K142" i="6" s="1"/>
  <c r="N142" i="6"/>
  <c r="J2685" i="6"/>
  <c r="K2685" i="6" s="1"/>
  <c r="N2685" i="6"/>
  <c r="J198" i="6"/>
  <c r="K198" i="6" s="1"/>
  <c r="N198" i="6"/>
  <c r="J1651" i="6"/>
  <c r="K1651" i="6" s="1"/>
  <c r="N1651" i="6"/>
  <c r="J1925" i="6"/>
  <c r="K1925" i="6" s="1"/>
  <c r="N1925" i="6"/>
  <c r="J1924" i="6"/>
  <c r="K1924" i="6" s="1"/>
  <c r="N1924" i="6"/>
  <c r="J941" i="6"/>
  <c r="K941" i="6" s="1"/>
  <c r="N941" i="6"/>
  <c r="J2091" i="6"/>
  <c r="K2091" i="6" s="1"/>
  <c r="N2091" i="6"/>
  <c r="J2090" i="6"/>
  <c r="K2090" i="6" s="1"/>
  <c r="N2090" i="6"/>
  <c r="J357" i="6"/>
  <c r="K357" i="6" s="1"/>
  <c r="N357" i="6"/>
  <c r="J4603" i="6" l="1"/>
  <c r="K4603" i="6" s="1"/>
  <c r="N4603" i="6"/>
  <c r="J958" i="6"/>
  <c r="K958" i="6" s="1"/>
  <c r="N958" i="6"/>
  <c r="J957" i="6"/>
  <c r="K957" i="6" s="1"/>
  <c r="N957" i="6"/>
  <c r="J956" i="6"/>
  <c r="K956" i="6" s="1"/>
  <c r="N956" i="6"/>
  <c r="J2547" i="6" l="1"/>
  <c r="K2547" i="6" s="1"/>
  <c r="N2547" i="6"/>
  <c r="J2546" i="6"/>
  <c r="K2546" i="6" s="1"/>
  <c r="N2546" i="6"/>
  <c r="J1761" i="6"/>
  <c r="K1761" i="6" s="1"/>
  <c r="N1761" i="6"/>
  <c r="J1760" i="6"/>
  <c r="K1760" i="6" s="1"/>
  <c r="N1760" i="6"/>
  <c r="J1759" i="6"/>
  <c r="K1759" i="6" s="1"/>
  <c r="N1759" i="6"/>
  <c r="J940" i="6" l="1"/>
  <c r="K940" i="6" s="1"/>
  <c r="N940" i="6"/>
  <c r="J834" i="6"/>
  <c r="K834" i="6" s="1"/>
  <c r="N834" i="6"/>
  <c r="J3359" i="6"/>
  <c r="K3359" i="6" s="1"/>
  <c r="N3359" i="6"/>
  <c r="J3360" i="6"/>
  <c r="K3360" i="6" s="1"/>
  <c r="N3360" i="6"/>
  <c r="J3361" i="6"/>
  <c r="K3361" i="6" s="1"/>
  <c r="N3361" i="6"/>
  <c r="J3362" i="6"/>
  <c r="K3362" i="6" s="1"/>
  <c r="N3362" i="6"/>
  <c r="J3363" i="6"/>
  <c r="K3363" i="6" s="1"/>
  <c r="N3363" i="6"/>
  <c r="J977" i="6"/>
  <c r="K977" i="6" s="1"/>
  <c r="N977" i="6"/>
  <c r="J3907" i="6"/>
  <c r="K3907" i="6" s="1"/>
  <c r="N3907" i="6"/>
  <c r="J540" i="6"/>
  <c r="K540" i="6" s="1"/>
  <c r="N540" i="6"/>
  <c r="J916" i="6" l="1"/>
  <c r="K916" i="6" s="1"/>
  <c r="N916" i="6"/>
  <c r="J2511" i="6" l="1"/>
  <c r="K2511" i="6" s="1"/>
  <c r="N2511" i="6"/>
  <c r="J2005" i="6"/>
  <c r="K2005" i="6" s="1"/>
  <c r="N2005" i="6"/>
  <c r="J2334" i="6"/>
  <c r="K2334" i="6" s="1"/>
  <c r="N2334" i="6"/>
  <c r="J1303" i="6"/>
  <c r="K1303" i="6" s="1"/>
  <c r="J1304" i="6"/>
  <c r="K1304" i="6" s="1"/>
  <c r="J1305" i="6"/>
  <c r="K1305" i="6" s="1"/>
  <c r="N1303" i="6"/>
  <c r="N1304" i="6"/>
  <c r="N1305" i="6"/>
  <c r="J1302" i="6"/>
  <c r="K1302" i="6" s="1"/>
  <c r="N1302" i="6"/>
  <c r="J2407" i="6" l="1"/>
  <c r="K2407" i="6" s="1"/>
  <c r="N2407" i="6"/>
  <c r="J2406" i="6"/>
  <c r="K2406" i="6" s="1"/>
  <c r="N2406" i="6"/>
  <c r="J4602" i="6"/>
  <c r="K4602" i="6" s="1"/>
  <c r="N4602" i="6"/>
  <c r="J356" i="6"/>
  <c r="K356" i="6" s="1"/>
  <c r="N356" i="6"/>
  <c r="J3737" i="6"/>
  <c r="K3737" i="6" s="1"/>
  <c r="N3737" i="6"/>
  <c r="J244" i="78"/>
  <c r="J261" i="78"/>
  <c r="J263" i="78" l="1"/>
  <c r="J3628" i="6"/>
  <c r="K3628" i="6" s="1"/>
  <c r="N3628" i="6"/>
  <c r="J757" i="6"/>
  <c r="K757" i="6" s="1"/>
  <c r="N757" i="6"/>
  <c r="K2637" i="6"/>
  <c r="N2637" i="6"/>
  <c r="J129" i="6"/>
  <c r="K129" i="6" s="1"/>
  <c r="N129" i="6"/>
  <c r="J2706" i="6" l="1"/>
  <c r="K2706" i="6" s="1"/>
  <c r="N2706" i="6"/>
  <c r="J2707" i="6"/>
  <c r="K2707" i="6" s="1"/>
  <c r="N2707" i="6"/>
  <c r="J488" i="6" l="1"/>
  <c r="K488" i="6" s="1"/>
  <c r="N488" i="6"/>
  <c r="J1289" i="6"/>
  <c r="K1289" i="6" s="1"/>
  <c r="N1289" i="6"/>
  <c r="J1288" i="6"/>
  <c r="K1288" i="6" s="1"/>
  <c r="N1288" i="6"/>
  <c r="J3011" i="6"/>
  <c r="K3011" i="6" s="1"/>
  <c r="N3011" i="6"/>
  <c r="J2512" i="6"/>
  <c r="K2512" i="6" s="1"/>
  <c r="N2512" i="6"/>
  <c r="J4190" i="6"/>
  <c r="K4190" i="6" s="1"/>
  <c r="N4190" i="6"/>
  <c r="J4191" i="6"/>
  <c r="K4191" i="6" s="1"/>
  <c r="N4191" i="6"/>
  <c r="J1649" i="6"/>
  <c r="K1649" i="6" s="1"/>
  <c r="N1649" i="6"/>
  <c r="J760" i="6"/>
  <c r="K760" i="6" s="1"/>
  <c r="N760" i="6"/>
  <c r="J1745" i="6"/>
  <c r="K1745" i="6" s="1"/>
  <c r="N1745" i="6"/>
  <c r="J749" i="6"/>
  <c r="K749" i="6" s="1"/>
  <c r="N749" i="6"/>
  <c r="J3772" i="6"/>
  <c r="K3772" i="6" s="1"/>
  <c r="N3772" i="6"/>
  <c r="J3350" i="6"/>
  <c r="K3350" i="6" s="1"/>
  <c r="J3351" i="6"/>
  <c r="K3351" i="6" s="1"/>
  <c r="J3352" i="6"/>
  <c r="K3352" i="6" s="1"/>
  <c r="J3353" i="6"/>
  <c r="K3353" i="6" s="1"/>
  <c r="N3350" i="6"/>
  <c r="N3351" i="6"/>
  <c r="N3352" i="6"/>
  <c r="N3353" i="6"/>
  <c r="J3354" i="6"/>
  <c r="K3354" i="6" s="1"/>
  <c r="J3355" i="6"/>
  <c r="K3355" i="6" s="1"/>
  <c r="J3356" i="6"/>
  <c r="K3356" i="6" s="1"/>
  <c r="J3357" i="6"/>
  <c r="K3357" i="6" s="1"/>
  <c r="N3354" i="6"/>
  <c r="N3355" i="6"/>
  <c r="N3356" i="6"/>
  <c r="N3357" i="6"/>
  <c r="J3358" i="6"/>
  <c r="K3358" i="6" s="1"/>
  <c r="N3358" i="6"/>
  <c r="J3346" i="6"/>
  <c r="K3346" i="6" s="1"/>
  <c r="N3346" i="6"/>
  <c r="J3347" i="6"/>
  <c r="K3347" i="6" s="1"/>
  <c r="N3347" i="6"/>
  <c r="J3348" i="6"/>
  <c r="K3348" i="6" s="1"/>
  <c r="N3348" i="6"/>
  <c r="J3349" i="6"/>
  <c r="K3349" i="6" s="1"/>
  <c r="N3349" i="6"/>
  <c r="J3980" i="6"/>
  <c r="K3980" i="6" s="1"/>
  <c r="N3980" i="6"/>
  <c r="J3979" i="6"/>
  <c r="K3979" i="6" s="1"/>
  <c r="N3979" i="6"/>
  <c r="J2333" i="6"/>
  <c r="K2333" i="6" s="1"/>
  <c r="N2333" i="6"/>
  <c r="J4441" i="6"/>
  <c r="K4441" i="6" s="1"/>
  <c r="N4441" i="6"/>
  <c r="J4210" i="6"/>
  <c r="K4210" i="6" s="1"/>
  <c r="N4210" i="6"/>
  <c r="J3793" i="6"/>
  <c r="K3793" i="6" s="1"/>
  <c r="N3793" i="6"/>
  <c r="J1971" i="6"/>
  <c r="K1971" i="6" s="1"/>
  <c r="N1971" i="6"/>
  <c r="J759" i="6"/>
  <c r="K759" i="6" s="1"/>
  <c r="N759" i="6"/>
  <c r="J2765" i="6"/>
  <c r="K2765" i="6" s="1"/>
  <c r="N2765" i="6"/>
  <c r="J222" i="78"/>
  <c r="J202" i="78"/>
  <c r="J2545" i="6"/>
  <c r="K2545" i="6" s="1"/>
  <c r="N2545" i="6"/>
  <c r="J2544" i="6"/>
  <c r="K2544" i="6" s="1"/>
  <c r="N2544" i="6"/>
  <c r="J976" i="6"/>
  <c r="K976" i="6" s="1"/>
  <c r="N976" i="6"/>
  <c r="J4417" i="6"/>
  <c r="K4417" i="6" s="1"/>
  <c r="N4417" i="6"/>
  <c r="J4416" i="6"/>
  <c r="K4416" i="6" s="1"/>
  <c r="N4416" i="6"/>
  <c r="J2161" i="6"/>
  <c r="K2161" i="6" s="1"/>
  <c r="N2161" i="6"/>
  <c r="J2160" i="6"/>
  <c r="K2160" i="6" s="1"/>
  <c r="N2160" i="6"/>
  <c r="J2159" i="6"/>
  <c r="K2159" i="6" s="1"/>
  <c r="N2159" i="6"/>
  <c r="J2647" i="6"/>
  <c r="K2647" i="6" s="1"/>
  <c r="N2647" i="6"/>
  <c r="J2646" i="6"/>
  <c r="K2646" i="6" s="1"/>
  <c r="N2646" i="6"/>
  <c r="J2855" i="6"/>
  <c r="K2855" i="6" s="1"/>
  <c r="N2855" i="6"/>
  <c r="J2854" i="6"/>
  <c r="K2854" i="6" s="1"/>
  <c r="N2854" i="6"/>
  <c r="J2145" i="6"/>
  <c r="K2145" i="6" s="1"/>
  <c r="N2145" i="6"/>
  <c r="J2144" i="6"/>
  <c r="K2144" i="6" s="1"/>
  <c r="N2144" i="6"/>
  <c r="J224" i="78" l="1"/>
  <c r="J2665" i="6"/>
  <c r="K2665" i="6" s="1"/>
  <c r="N2665" i="6"/>
  <c r="J2504" i="6"/>
  <c r="K2504" i="6" s="1"/>
  <c r="N2504" i="6"/>
  <c r="J2004" i="6"/>
  <c r="K2004" i="6" s="1"/>
  <c r="N2004" i="6"/>
  <c r="J1921" i="6"/>
  <c r="K1921" i="6" s="1"/>
  <c r="N1921" i="6"/>
  <c r="J355" i="6"/>
  <c r="K355" i="6" s="1"/>
  <c r="N355" i="6"/>
  <c r="J354" i="6"/>
  <c r="K354" i="6" s="1"/>
  <c r="N354" i="6"/>
  <c r="J442" i="6"/>
  <c r="K442" i="6" s="1"/>
  <c r="N442" i="6"/>
  <c r="J216" i="6"/>
  <c r="K216" i="6" s="1"/>
  <c r="N216" i="6"/>
  <c r="J931" i="6"/>
  <c r="K931" i="6" s="1"/>
  <c r="N931" i="6"/>
  <c r="J1301" i="6"/>
  <c r="K1301" i="6" s="1"/>
  <c r="N1301" i="6"/>
  <c r="J1300" i="6"/>
  <c r="K1300" i="6" s="1"/>
  <c r="N1300" i="6"/>
  <c r="N4027" i="6" l="1"/>
  <c r="J3049" i="6"/>
  <c r="K3049" i="6" s="1"/>
  <c r="N3049" i="6"/>
  <c r="J3228" i="6"/>
  <c r="K3228" i="6" s="1"/>
  <c r="N3228" i="6"/>
  <c r="J128" i="6"/>
  <c r="K128" i="6" s="1"/>
  <c r="N128" i="6"/>
  <c r="J111" i="6"/>
  <c r="K111" i="6" s="1"/>
  <c r="N111" i="6"/>
  <c r="J2405" i="6" l="1"/>
  <c r="K2405" i="6" s="1"/>
  <c r="J2404" i="6"/>
  <c r="K2404" i="6" s="1"/>
  <c r="N2404" i="6"/>
  <c r="J2248" i="6"/>
  <c r="K2248" i="6" s="1"/>
  <c r="N2248" i="6"/>
  <c r="J2249" i="6"/>
  <c r="K2249" i="6" s="1"/>
  <c r="N2249" i="6"/>
  <c r="K3459" i="6"/>
  <c r="N3459" i="6"/>
  <c r="J2953" i="6" l="1"/>
  <c r="K2953" i="6" s="1"/>
  <c r="N2953" i="6"/>
  <c r="J1638" i="6"/>
  <c r="K1638" i="6" s="1"/>
  <c r="J197" i="6"/>
  <c r="K197" i="6" s="1"/>
  <c r="N1638" i="6"/>
  <c r="N197" i="6"/>
  <c r="J579" i="6"/>
  <c r="K579" i="6" s="1"/>
  <c r="N579" i="6"/>
  <c r="J265" i="6"/>
  <c r="K265" i="6" s="1"/>
  <c r="N265" i="6"/>
  <c r="J3627" i="6" l="1"/>
  <c r="K3627" i="6" s="1"/>
  <c r="N3627" i="6"/>
  <c r="J196" i="6"/>
  <c r="K196" i="6" s="1"/>
  <c r="N196" i="6"/>
  <c r="J3227" i="6"/>
  <c r="K3227" i="6" s="1"/>
  <c r="N3227" i="6"/>
  <c r="J425" i="6"/>
  <c r="K425" i="6" s="1"/>
  <c r="N425" i="6"/>
  <c r="J1819" i="6"/>
  <c r="K1819" i="6" s="1"/>
  <c r="J1820" i="6"/>
  <c r="K1820" i="6" s="1"/>
  <c r="J1821" i="6"/>
  <c r="K1821" i="6" s="1"/>
  <c r="N1819" i="6"/>
  <c r="N1820" i="6"/>
  <c r="N1821" i="6"/>
  <c r="J1818" i="6"/>
  <c r="K1818" i="6" s="1"/>
  <c r="N1818" i="6"/>
  <c r="J588" i="6"/>
  <c r="K588" i="6" s="1"/>
  <c r="N588" i="6"/>
  <c r="J587" i="6"/>
  <c r="K587" i="6" s="1"/>
  <c r="N587" i="6"/>
  <c r="J4557" i="6"/>
  <c r="K4557" i="6" s="1"/>
  <c r="N4557" i="6"/>
  <c r="J393" i="6"/>
  <c r="K393" i="6" s="1"/>
  <c r="N393" i="6"/>
  <c r="J4601" i="6"/>
  <c r="K4601" i="6" s="1"/>
  <c r="N4601" i="6"/>
  <c r="J1920" i="6" l="1"/>
  <c r="K1920" i="6" s="1"/>
  <c r="N1920" i="6"/>
  <c r="J3341" i="6" l="1"/>
  <c r="K3341" i="6" s="1"/>
  <c r="N3341" i="6"/>
  <c r="J3342" i="6"/>
  <c r="K3342" i="6" s="1"/>
  <c r="N3342" i="6"/>
  <c r="J3343" i="6"/>
  <c r="K3343" i="6" s="1"/>
  <c r="N3343" i="6"/>
  <c r="J3344" i="6"/>
  <c r="K3344" i="6" s="1"/>
  <c r="N3344" i="6"/>
  <c r="J3345" i="6"/>
  <c r="K3345" i="6" s="1"/>
  <c r="N3345" i="6"/>
  <c r="J2003" i="6" l="1"/>
  <c r="K2003" i="6" s="1"/>
  <c r="N2003" i="6"/>
  <c r="J434" i="6" l="1"/>
  <c r="K434" i="6" s="1"/>
  <c r="N434" i="6"/>
  <c r="J433" i="6"/>
  <c r="K433" i="6" s="1"/>
  <c r="N433" i="6"/>
  <c r="J3311" i="6"/>
  <c r="K3311" i="6" s="1"/>
  <c r="N3311" i="6"/>
  <c r="J4315" i="6" l="1"/>
  <c r="K4315" i="6" s="1"/>
  <c r="N4315" i="6"/>
  <c r="J4314" i="6"/>
  <c r="K4314" i="6" s="1"/>
  <c r="N4314" i="6"/>
  <c r="J4316" i="6"/>
  <c r="K4316" i="6" s="1"/>
  <c r="N4316" i="6"/>
  <c r="J384" i="6"/>
  <c r="K384" i="6" s="1"/>
  <c r="N384" i="6"/>
  <c r="J1185" i="6"/>
  <c r="K1185" i="6" s="1"/>
  <c r="J1186" i="6"/>
  <c r="K1186" i="6" s="1"/>
  <c r="J1187" i="6"/>
  <c r="K1187" i="6" s="1"/>
  <c r="J1188" i="6"/>
  <c r="K1188" i="6" s="1"/>
  <c r="J1189" i="6"/>
  <c r="K1189" i="6" s="1"/>
  <c r="N1185" i="6"/>
  <c r="N1186" i="6"/>
  <c r="N1187" i="6"/>
  <c r="N1188" i="6"/>
  <c r="N1189" i="6"/>
  <c r="J1184" i="6"/>
  <c r="K1184" i="6" s="1"/>
  <c r="N1184" i="6"/>
  <c r="J833" i="6"/>
  <c r="K833" i="6" s="1"/>
  <c r="N833" i="6"/>
  <c r="J54" i="6"/>
  <c r="K54" i="6" s="1"/>
  <c r="N54" i="6"/>
  <c r="J49" i="6"/>
  <c r="K49" i="6" s="1"/>
  <c r="J50" i="6"/>
  <c r="K50" i="6" s="1"/>
  <c r="J51" i="6"/>
  <c r="K51" i="6" s="1"/>
  <c r="J52" i="6"/>
  <c r="K52" i="6" s="1"/>
  <c r="J53" i="6"/>
  <c r="K53" i="6" s="1"/>
  <c r="N49" i="6"/>
  <c r="N50" i="6"/>
  <c r="N51" i="6"/>
  <c r="N52" i="6"/>
  <c r="N53" i="6"/>
  <c r="J48" i="6"/>
  <c r="K48" i="6" s="1"/>
  <c r="N48" i="6"/>
  <c r="J264" i="6"/>
  <c r="K264" i="6" s="1"/>
  <c r="N264" i="6"/>
  <c r="J3745" i="6"/>
  <c r="K3745" i="6" s="1"/>
  <c r="N3745" i="6"/>
  <c r="J3744" i="6"/>
  <c r="K3744" i="6" s="1"/>
  <c r="N3744" i="6"/>
  <c r="J178" i="78"/>
  <c r="J157" i="78"/>
  <c r="J441" i="6"/>
  <c r="K441" i="6" s="1"/>
  <c r="N441" i="6"/>
  <c r="I3925" i="6"/>
  <c r="J2332" i="6"/>
  <c r="K2332" i="6" s="1"/>
  <c r="N2332" i="6"/>
  <c r="J4501" i="6"/>
  <c r="K4501" i="6" s="1"/>
  <c r="N4501" i="6"/>
  <c r="J4500" i="6"/>
  <c r="K4500" i="6" s="1"/>
  <c r="N4500" i="6"/>
  <c r="N650" i="6"/>
  <c r="J651" i="6"/>
  <c r="K651" i="6" s="1"/>
  <c r="N651" i="6"/>
  <c r="J180" i="78" l="1"/>
  <c r="J408" i="6"/>
  <c r="K408" i="6" s="1"/>
  <c r="N408" i="6"/>
  <c r="J4049" i="6"/>
  <c r="K4049" i="6" s="1"/>
  <c r="N4049" i="6"/>
  <c r="J2002" i="6"/>
  <c r="K2002" i="6" s="1"/>
  <c r="N2002" i="6"/>
  <c r="J2331" i="6"/>
  <c r="K2331" i="6" s="1"/>
  <c r="N2331" i="6"/>
  <c r="J3407" i="6"/>
  <c r="K3407" i="6" s="1"/>
  <c r="N3407" i="6"/>
  <c r="J3406" i="6"/>
  <c r="K3406" i="6" s="1"/>
  <c r="N3406" i="6"/>
  <c r="J2503" i="6"/>
  <c r="K2503" i="6" s="1"/>
  <c r="N2503" i="6"/>
  <c r="J2502" i="6"/>
  <c r="K2502" i="6" s="1"/>
  <c r="N2502" i="6"/>
  <c r="J486" i="6"/>
  <c r="K486" i="6" s="1"/>
  <c r="N486" i="6"/>
  <c r="J930" i="6"/>
  <c r="K930" i="6" s="1"/>
  <c r="N930" i="6"/>
  <c r="J929" i="6"/>
  <c r="K929" i="6" s="1"/>
  <c r="N929" i="6"/>
  <c r="J4149" i="6"/>
  <c r="K4149" i="6" s="1"/>
  <c r="N4149" i="6"/>
  <c r="J4148" i="6"/>
  <c r="K4148" i="6" s="1"/>
  <c r="N4148" i="6"/>
  <c r="J1615" i="6"/>
  <c r="K1615" i="6" s="1"/>
  <c r="N1615" i="6"/>
  <c r="J2832" i="6"/>
  <c r="K2832" i="6" s="1"/>
  <c r="N2832" i="6"/>
  <c r="J703" i="6"/>
  <c r="K703" i="6" s="1"/>
  <c r="N703" i="6"/>
  <c r="J704" i="6"/>
  <c r="K704" i="6" s="1"/>
  <c r="N704" i="6"/>
  <c r="J4092" i="6"/>
  <c r="K4092" i="6" s="1"/>
  <c r="N4092" i="6"/>
  <c r="J4093" i="6"/>
  <c r="K4093" i="6" s="1"/>
  <c r="N4093" i="6"/>
  <c r="J278" i="6"/>
  <c r="K278" i="6" s="1"/>
  <c r="N278" i="6"/>
  <c r="J277" i="6"/>
  <c r="K277" i="6" s="1"/>
  <c r="N277" i="6"/>
  <c r="J276" i="6"/>
  <c r="K276" i="6" s="1"/>
  <c r="N276" i="6"/>
  <c r="J832" i="6"/>
  <c r="K832" i="6" s="1"/>
  <c r="N832" i="6"/>
  <c r="J1704" i="6"/>
  <c r="K1704" i="6" s="1"/>
  <c r="N1704" i="6"/>
  <c r="J1703" i="6"/>
  <c r="K1703" i="6" s="1"/>
  <c r="N1703" i="6"/>
  <c r="J3936" i="6"/>
  <c r="K3936" i="6" s="1"/>
  <c r="N3936" i="6"/>
  <c r="J2470" i="6"/>
  <c r="K2470" i="6" s="1"/>
  <c r="N2470" i="6"/>
  <c r="J1742" i="6"/>
  <c r="K1742" i="6" s="1"/>
  <c r="N1742" i="6"/>
  <c r="J1903" i="6"/>
  <c r="K1903" i="6" s="1"/>
  <c r="N1903" i="6"/>
  <c r="J1683" i="6"/>
  <c r="K1683" i="6" s="1"/>
  <c r="N1683" i="6"/>
  <c r="J4124" i="6"/>
  <c r="K4124" i="6" s="1"/>
  <c r="N4124" i="6"/>
  <c r="J4123" i="6"/>
  <c r="K4123" i="6" s="1"/>
  <c r="N4123" i="6"/>
  <c r="J2400" i="6"/>
  <c r="K2400" i="6" s="1"/>
  <c r="N2400" i="6"/>
  <c r="J2399" i="6"/>
  <c r="K2399" i="6" s="1"/>
  <c r="N2399" i="6"/>
  <c r="J3225" i="6" l="1"/>
  <c r="K3225" i="6" s="1"/>
  <c r="N3225" i="6"/>
  <c r="J3224" i="6"/>
  <c r="K3224" i="6" s="1"/>
  <c r="N3224" i="6"/>
  <c r="J3223" i="6"/>
  <c r="K3223" i="6" s="1"/>
  <c r="N3223" i="6"/>
  <c r="J612" i="6"/>
  <c r="K612" i="6" s="1"/>
  <c r="N612" i="6"/>
  <c r="J611" i="6"/>
  <c r="K611" i="6" s="1"/>
  <c r="N611" i="6"/>
  <c r="J640" i="6"/>
  <c r="K640" i="6" s="1"/>
  <c r="N640" i="6"/>
  <c r="J639" i="6"/>
  <c r="K639" i="6" s="1"/>
  <c r="N639" i="6"/>
  <c r="J1875" i="6"/>
  <c r="K1875" i="6" s="1"/>
  <c r="N1875" i="6"/>
  <c r="J1876" i="6"/>
  <c r="K1876" i="6" s="1"/>
  <c r="N1876" i="6"/>
  <c r="J1877" i="6"/>
  <c r="K1877" i="6" s="1"/>
  <c r="N1877" i="6"/>
  <c r="J3580" i="6"/>
  <c r="K3580" i="6" s="1"/>
  <c r="N3580" i="6"/>
  <c r="J3581" i="6"/>
  <c r="K3581" i="6" s="1"/>
  <c r="N3581" i="6"/>
  <c r="J3852" i="6"/>
  <c r="K3852" i="6" s="1"/>
  <c r="N3852" i="6"/>
  <c r="J3960" i="6"/>
  <c r="K3960" i="6" s="1"/>
  <c r="N3960" i="6"/>
  <c r="J3961" i="6"/>
  <c r="K3961" i="6" s="1"/>
  <c r="N3961" i="6"/>
  <c r="J4187" i="6"/>
  <c r="K4187" i="6" s="1"/>
  <c r="N4187" i="6"/>
  <c r="J4188" i="6"/>
  <c r="K4188" i="6" s="1"/>
  <c r="N4188" i="6"/>
  <c r="J4189" i="6"/>
  <c r="K4189" i="6" s="1"/>
  <c r="N4189" i="6"/>
  <c r="J2557" i="6"/>
  <c r="K2557" i="6" s="1"/>
  <c r="N2557" i="6"/>
  <c r="J2556" i="6"/>
  <c r="K2556" i="6" s="1"/>
  <c r="N2556" i="6"/>
  <c r="J2555" i="6"/>
  <c r="K2555" i="6" s="1"/>
  <c r="N2555" i="6"/>
  <c r="J3811" i="6"/>
  <c r="K3811" i="6" s="1"/>
  <c r="N3811" i="6"/>
  <c r="J1551" i="6"/>
  <c r="K1551" i="6" s="1"/>
  <c r="N1551" i="6"/>
  <c r="J3733" i="6"/>
  <c r="K3733" i="6" s="1"/>
  <c r="N3733" i="6"/>
  <c r="J3732" i="6"/>
  <c r="K3732" i="6" s="1"/>
  <c r="N3732" i="6"/>
  <c r="J3031" i="6"/>
  <c r="K3031" i="6" s="1"/>
  <c r="N3031" i="6"/>
  <c r="J3030" i="6"/>
  <c r="K3030" i="6" s="1"/>
  <c r="N3030" i="6"/>
  <c r="J263" i="6"/>
  <c r="K263" i="6" s="1"/>
  <c r="N263" i="6"/>
  <c r="J262" i="6"/>
  <c r="K262" i="6" s="1"/>
  <c r="N262" i="6"/>
  <c r="J3534" i="6"/>
  <c r="K3534" i="6" s="1"/>
  <c r="N3534" i="6"/>
  <c r="J3535" i="6"/>
  <c r="K3535" i="6" s="1"/>
  <c r="N3535" i="6"/>
  <c r="J3536" i="6"/>
  <c r="K3536" i="6" s="1"/>
  <c r="N3536" i="6"/>
  <c r="J3925" i="6" l="1"/>
  <c r="K3925" i="6" s="1"/>
  <c r="N3925" i="6"/>
  <c r="J2243" i="6"/>
  <c r="K2243" i="6" s="1"/>
  <c r="N2243" i="6"/>
  <c r="J2244" i="6"/>
  <c r="K2244" i="6" s="1"/>
  <c r="N2244" i="6"/>
  <c r="J2242" i="6"/>
  <c r="K2242" i="6" s="1"/>
  <c r="N2242" i="6"/>
  <c r="J2245" i="6"/>
  <c r="K2245" i="6" s="1"/>
  <c r="N2245" i="6"/>
  <c r="J2246" i="6"/>
  <c r="K2246" i="6" s="1"/>
  <c r="N2246" i="6"/>
  <c r="J4534" i="6"/>
  <c r="K4534" i="6" s="1"/>
  <c r="N4534" i="6"/>
  <c r="J4535" i="6"/>
  <c r="K4535" i="6" s="1"/>
  <c r="N4535" i="6"/>
  <c r="J4313" i="6"/>
  <c r="K4313" i="6" s="1"/>
  <c r="N4313" i="6"/>
  <c r="J4312" i="6"/>
  <c r="K4312" i="6" s="1"/>
  <c r="N4312" i="6"/>
  <c r="J3533" i="6"/>
  <c r="K3533" i="6" s="1"/>
  <c r="N3533" i="6"/>
  <c r="J3295" i="6"/>
  <c r="K3295" i="6" s="1"/>
  <c r="N3295" i="6"/>
  <c r="J2247" i="6"/>
  <c r="K2247" i="6" s="1"/>
  <c r="N2247" i="6"/>
  <c r="J4600" i="6"/>
  <c r="K4600" i="6" s="1"/>
  <c r="N4600" i="6"/>
  <c r="J1970" i="6"/>
  <c r="K1970" i="6" s="1"/>
  <c r="N1970" i="6"/>
  <c r="J133" i="78"/>
  <c r="J115" i="78"/>
  <c r="J2636" i="6"/>
  <c r="K2636" i="6" s="1"/>
  <c r="N2636" i="6"/>
  <c r="J134" i="78" l="1"/>
  <c r="J761" i="6"/>
  <c r="K761" i="6" s="1"/>
  <c r="N761" i="6"/>
  <c r="J3050" i="6"/>
  <c r="K3050" i="6" s="1"/>
  <c r="N3050" i="6"/>
  <c r="J4556" i="6"/>
  <c r="K4556" i="6" s="1"/>
  <c r="N4556" i="6"/>
  <c r="J1664" i="6"/>
  <c r="K1664" i="6" s="1"/>
  <c r="N1664" i="6"/>
  <c r="J1663" i="6"/>
  <c r="K1663" i="6" s="1"/>
  <c r="N1663" i="6"/>
  <c r="J2705" i="6"/>
  <c r="K2705" i="6" s="1"/>
  <c r="N2705" i="6"/>
  <c r="J2704" i="6"/>
  <c r="K2704" i="6" s="1"/>
  <c r="N2704" i="6"/>
  <c r="J4599" i="6"/>
  <c r="K4599" i="6" s="1"/>
  <c r="N4599" i="6"/>
  <c r="J4474" i="6"/>
  <c r="K4474" i="6" s="1"/>
  <c r="N4474" i="6"/>
  <c r="J4473" i="6"/>
  <c r="K4473" i="6" s="1"/>
  <c r="N4473" i="6"/>
  <c r="J4472" i="6"/>
  <c r="K4472" i="6" s="1"/>
  <c r="N4472" i="6"/>
  <c r="J2152" i="6"/>
  <c r="K2152" i="6" s="1"/>
  <c r="N2152" i="6"/>
  <c r="J2151" i="6"/>
  <c r="K2151" i="6" s="1"/>
  <c r="N2151" i="6"/>
  <c r="J254" i="6"/>
  <c r="K254" i="6" s="1"/>
  <c r="N254" i="6"/>
  <c r="J255" i="6"/>
  <c r="K255" i="6" s="1"/>
  <c r="N255" i="6"/>
  <c r="J256" i="6"/>
  <c r="K256" i="6" s="1"/>
  <c r="N256" i="6"/>
  <c r="J1845" i="6"/>
  <c r="K1845" i="6" s="1"/>
  <c r="N1845" i="6"/>
  <c r="J1844" i="6"/>
  <c r="K1844" i="6" s="1"/>
  <c r="N1844" i="6"/>
  <c r="J353" i="6"/>
  <c r="K353" i="6" s="1"/>
  <c r="N353" i="6"/>
  <c r="J352" i="6"/>
  <c r="K352" i="6" s="1"/>
  <c r="N352" i="6"/>
  <c r="J3029" i="6"/>
  <c r="K3029" i="6" s="1"/>
  <c r="N3029" i="6"/>
  <c r="J3028" i="6"/>
  <c r="K3028" i="6" s="1"/>
  <c r="N3028" i="6"/>
  <c r="J2472" i="6"/>
  <c r="K2472" i="6" s="1"/>
  <c r="N2472" i="6"/>
  <c r="J3385" i="6" l="1"/>
  <c r="K3385" i="6" s="1"/>
  <c r="N3385" i="6"/>
  <c r="J938" i="6"/>
  <c r="K938" i="6" s="1"/>
  <c r="N938" i="6"/>
  <c r="J937" i="6"/>
  <c r="K937" i="6" s="1"/>
  <c r="N937" i="6"/>
  <c r="J3047" i="6"/>
  <c r="K3047" i="6" s="1"/>
  <c r="N3047" i="6"/>
  <c r="J211" i="6"/>
  <c r="K211" i="6" s="1"/>
  <c r="N211" i="6"/>
  <c r="J2288" i="6"/>
  <c r="K2288" i="6" s="1"/>
  <c r="N2288" i="6"/>
  <c r="J2287" i="6"/>
  <c r="K2287" i="6" s="1"/>
  <c r="N2287" i="6"/>
  <c r="J4310" i="6"/>
  <c r="K4310" i="6" s="1"/>
  <c r="N4310" i="6"/>
  <c r="J4307" i="6"/>
  <c r="K4307" i="6" s="1"/>
  <c r="N4307" i="6"/>
  <c r="J4308" i="6"/>
  <c r="K4308" i="6" s="1"/>
  <c r="N4308" i="6"/>
  <c r="J4309" i="6"/>
  <c r="K4309" i="6" s="1"/>
  <c r="N4309" i="6"/>
  <c r="J4311" i="6"/>
  <c r="K4311" i="6" s="1"/>
  <c r="N4311" i="6"/>
  <c r="J676" i="6" l="1"/>
  <c r="K676" i="6" s="1"/>
  <c r="N676" i="6"/>
  <c r="J776" i="6"/>
  <c r="K776" i="6" s="1"/>
  <c r="N776" i="6"/>
  <c r="J2965" i="6" l="1"/>
  <c r="K2965" i="6" s="1"/>
  <c r="N2965" i="6"/>
  <c r="J2966" i="6"/>
  <c r="K2966" i="6" s="1"/>
  <c r="N2966" i="6"/>
  <c r="J2967" i="6"/>
  <c r="K2967" i="6" s="1"/>
  <c r="N2967" i="6"/>
  <c r="J2968" i="6"/>
  <c r="K2968" i="6" s="1"/>
  <c r="N2968" i="6"/>
  <c r="J2969" i="6"/>
  <c r="K2969" i="6" s="1"/>
  <c r="N2969" i="6"/>
  <c r="J1535" i="6"/>
  <c r="K1535" i="6" s="1"/>
  <c r="N1535" i="6"/>
  <c r="J1536" i="6"/>
  <c r="K1536" i="6" s="1"/>
  <c r="N1536" i="6"/>
  <c r="K3891" i="6" l="1"/>
  <c r="N3891" i="6"/>
  <c r="K3892" i="6"/>
  <c r="N3892" i="6"/>
  <c r="J3477" i="6"/>
  <c r="K3477" i="6" s="1"/>
  <c r="N3477" i="6"/>
  <c r="J3476" i="6"/>
  <c r="K3476" i="6" s="1"/>
  <c r="N3476" i="6"/>
  <c r="J3475" i="6"/>
  <c r="K3475" i="6" s="1"/>
  <c r="N3475" i="6"/>
  <c r="J110" i="6"/>
  <c r="K110" i="6" s="1"/>
  <c r="N110" i="6"/>
  <c r="J3222" i="6" l="1"/>
  <c r="K3222" i="6" s="1"/>
  <c r="N3222" i="6"/>
  <c r="J3626" i="6"/>
  <c r="K3626" i="6" s="1"/>
  <c r="N3626" i="6"/>
  <c r="J4347" i="6" l="1"/>
  <c r="K4347" i="6" s="1"/>
  <c r="J4345" i="6"/>
  <c r="K4345" i="6" s="1"/>
  <c r="N4345" i="6"/>
  <c r="J4346" i="6"/>
  <c r="K4346" i="6" s="1"/>
  <c r="N4346" i="6"/>
  <c r="N4347" i="6"/>
  <c r="J272" i="6" l="1"/>
  <c r="K272" i="6" s="1"/>
  <c r="N272" i="6"/>
  <c r="J273" i="6"/>
  <c r="K273" i="6" s="1"/>
  <c r="N273" i="6"/>
  <c r="J274" i="6"/>
  <c r="K274" i="6" s="1"/>
  <c r="N274" i="6"/>
  <c r="J238" i="6"/>
  <c r="K238" i="6" s="1"/>
  <c r="N238" i="6"/>
  <c r="J239" i="6"/>
  <c r="K239" i="6" s="1"/>
  <c r="N239" i="6"/>
  <c r="J240" i="6"/>
  <c r="K240" i="6" s="1"/>
  <c r="N240" i="6"/>
  <c r="J1611" i="6"/>
  <c r="K1611" i="6" s="1"/>
  <c r="N1611" i="6"/>
  <c r="J697" i="6"/>
  <c r="K697" i="6" s="1"/>
  <c r="J698" i="6"/>
  <c r="K698" i="6" s="1"/>
  <c r="N697" i="6"/>
  <c r="N698" i="6"/>
  <c r="J699" i="6"/>
  <c r="K699" i="6" s="1"/>
  <c r="J700" i="6"/>
  <c r="K700" i="6" s="1"/>
  <c r="N699" i="6"/>
  <c r="N700" i="6"/>
  <c r="J701" i="6"/>
  <c r="K701" i="6" s="1"/>
  <c r="N701" i="6"/>
  <c r="J702" i="6"/>
  <c r="K702" i="6" s="1"/>
  <c r="N702" i="6"/>
  <c r="J816" i="6"/>
  <c r="K816" i="6" s="1"/>
  <c r="N816" i="6"/>
  <c r="J2238" i="6" l="1"/>
  <c r="K2238" i="6" s="1"/>
  <c r="N2238" i="6"/>
  <c r="J2239" i="6"/>
  <c r="K2239" i="6" s="1"/>
  <c r="N2239" i="6"/>
  <c r="J2240" i="6"/>
  <c r="K2240" i="6" s="1"/>
  <c r="N2240" i="6"/>
  <c r="J2241" i="6"/>
  <c r="K2241" i="6" s="1"/>
  <c r="N2241" i="6"/>
  <c r="J1340" i="6"/>
  <c r="K1340" i="6" s="1"/>
  <c r="N1340" i="6"/>
  <c r="J1919" i="6" l="1"/>
  <c r="K1919" i="6" s="1"/>
  <c r="N1919" i="6"/>
  <c r="J918" i="6" l="1"/>
  <c r="K918" i="6" s="1"/>
  <c r="N918" i="6"/>
  <c r="J3214" i="6"/>
  <c r="K3214" i="6" s="1"/>
  <c r="J3215" i="6"/>
  <c r="K3215" i="6" s="1"/>
  <c r="N3214" i="6"/>
  <c r="N3215" i="6"/>
  <c r="J3216" i="6"/>
  <c r="K3216" i="6" s="1"/>
  <c r="J3217" i="6"/>
  <c r="K3217" i="6" s="1"/>
  <c r="N3216" i="6"/>
  <c r="N3217" i="6"/>
  <c r="J3218" i="6"/>
  <c r="K3218" i="6" s="1"/>
  <c r="J3219" i="6"/>
  <c r="K3219" i="6" s="1"/>
  <c r="N3218" i="6"/>
  <c r="N3219" i="6"/>
  <c r="J3220" i="6"/>
  <c r="K3220" i="6" s="1"/>
  <c r="N3220" i="6"/>
  <c r="J3221" i="6"/>
  <c r="K3221" i="6" s="1"/>
  <c r="N3221" i="6"/>
  <c r="J2329" i="6"/>
  <c r="K2329" i="6" s="1"/>
  <c r="N2329" i="6"/>
  <c r="J2510" i="6"/>
  <c r="K2510" i="6" s="1"/>
  <c r="N2510" i="6"/>
  <c r="J813" i="6" l="1"/>
  <c r="K813" i="6" s="1"/>
  <c r="N813" i="6"/>
  <c r="J814" i="6"/>
  <c r="K814" i="6" s="1"/>
  <c r="N814" i="6"/>
  <c r="J815" i="6"/>
  <c r="K815" i="6" s="1"/>
  <c r="N815" i="6"/>
  <c r="J515" i="6"/>
  <c r="K515" i="6" s="1"/>
  <c r="N515" i="6"/>
  <c r="J514" i="6"/>
  <c r="K514" i="6" s="1"/>
  <c r="N514" i="6"/>
  <c r="J513" i="6"/>
  <c r="K513" i="6" s="1"/>
  <c r="N513" i="6"/>
  <c r="J3890" i="6"/>
  <c r="K3890" i="6" s="1"/>
  <c r="J3625" i="6"/>
  <c r="K3625" i="6" s="1"/>
  <c r="J1537" i="6"/>
  <c r="K1537" i="6" s="1"/>
  <c r="J1538" i="6"/>
  <c r="K1538" i="6" s="1"/>
  <c r="N3890" i="6"/>
  <c r="N3625" i="6"/>
  <c r="N1537" i="6"/>
  <c r="N1538" i="6"/>
  <c r="N3457" i="6"/>
  <c r="J3457" i="6"/>
  <c r="K3457" i="6" s="1"/>
  <c r="J3456" i="6"/>
  <c r="K3456" i="6" s="1"/>
  <c r="N3456" i="6"/>
  <c r="J3764" i="6" l="1"/>
  <c r="K3764" i="6" s="1"/>
  <c r="N3764" i="6"/>
  <c r="J4533" i="6"/>
  <c r="K4533" i="6" s="1"/>
  <c r="N4533" i="6"/>
  <c r="J3579" i="6" l="1"/>
  <c r="K3579" i="6" s="1"/>
  <c r="N3579" i="6"/>
  <c r="K2964" i="6"/>
  <c r="N2964" i="6"/>
  <c r="K2984" i="6"/>
  <c r="N2984" i="6"/>
  <c r="J3763" i="6"/>
  <c r="K3763" i="6" s="1"/>
  <c r="N3763" i="6"/>
  <c r="J3027" i="6"/>
  <c r="K3027" i="6" s="1"/>
  <c r="N3027" i="6"/>
  <c r="J362" i="6"/>
  <c r="K362" i="6" s="1"/>
  <c r="N362" i="6"/>
  <c r="J3213" i="6" l="1"/>
  <c r="K3213" i="6" s="1"/>
  <c r="N3213" i="6"/>
  <c r="J3210" i="6" l="1"/>
  <c r="K3210" i="6" s="1"/>
  <c r="N3210" i="6"/>
  <c r="J3211" i="6"/>
  <c r="K3211" i="6" s="1"/>
  <c r="N3211" i="6"/>
  <c r="J3212" i="6"/>
  <c r="K3212" i="6" s="1"/>
  <c r="N3212" i="6"/>
  <c r="J3790" i="6"/>
  <c r="K3790" i="6" s="1"/>
  <c r="N3790" i="6"/>
  <c r="J361" i="6"/>
  <c r="K361" i="6" s="1"/>
  <c r="J745" i="6"/>
  <c r="K745" i="6" s="1"/>
  <c r="N745" i="6"/>
  <c r="N361" i="6"/>
  <c r="J461" i="6"/>
  <c r="K461" i="6" s="1"/>
  <c r="N461" i="6"/>
  <c r="J460" i="6"/>
  <c r="K460" i="6" s="1"/>
  <c r="N460" i="6"/>
  <c r="J459" i="6"/>
  <c r="K459" i="6" s="1"/>
  <c r="N459" i="6"/>
  <c r="J202" i="6"/>
  <c r="K202" i="6" s="1"/>
  <c r="N202" i="6"/>
  <c r="J3026" i="6" l="1"/>
  <c r="K3026" i="6" s="1"/>
  <c r="N3026" i="6"/>
  <c r="J2330" i="6"/>
  <c r="K2330" i="6" s="1"/>
  <c r="N2330" i="6"/>
  <c r="J1662" i="6"/>
  <c r="K1662" i="6" s="1"/>
  <c r="N1662" i="6"/>
  <c r="J4440" i="6" l="1"/>
  <c r="K4440" i="6" s="1"/>
  <c r="N4440" i="6"/>
  <c r="J3789" i="6"/>
  <c r="K3789" i="6" s="1"/>
  <c r="N3789" i="6"/>
  <c r="J747" i="6" l="1"/>
  <c r="K747" i="6" s="1"/>
  <c r="N747" i="6"/>
  <c r="J748" i="6"/>
  <c r="K748" i="6" s="1"/>
  <c r="N748" i="6"/>
  <c r="J692" i="6" l="1"/>
  <c r="K692" i="6" s="1"/>
  <c r="N692" i="6"/>
  <c r="J3731" i="6"/>
  <c r="K3731" i="6" s="1"/>
  <c r="N3731" i="6"/>
  <c r="J2286" i="6"/>
  <c r="K2286" i="6" s="1"/>
  <c r="N2286" i="6"/>
  <c r="J2284" i="6"/>
  <c r="K2284" i="6" s="1"/>
  <c r="J2285" i="6"/>
  <c r="K2285" i="6" s="1"/>
  <c r="N2284" i="6"/>
  <c r="N2285" i="6"/>
  <c r="J2283" i="6"/>
  <c r="K2283" i="6" s="1"/>
  <c r="N2283" i="6"/>
  <c r="J3010" i="6"/>
  <c r="K3010" i="6" s="1"/>
  <c r="N3010" i="6"/>
  <c r="J3053" i="6"/>
  <c r="K3053" i="6" s="1"/>
  <c r="N3053" i="6"/>
  <c r="J2786" i="6"/>
  <c r="K2786" i="6" s="1"/>
  <c r="N2786" i="6"/>
  <c r="J2678" i="6"/>
  <c r="K2678" i="6" s="1"/>
  <c r="N2678" i="6"/>
  <c r="J4555" i="6"/>
  <c r="K4555" i="6" s="1"/>
  <c r="N4555" i="6"/>
  <c r="J4554" i="6"/>
  <c r="K4554" i="6" s="1"/>
  <c r="N4554" i="6"/>
  <c r="J4553" i="6"/>
  <c r="K4553" i="6" s="1"/>
  <c r="N4553" i="6"/>
  <c r="J93" i="78"/>
  <c r="J68" i="78"/>
  <c r="K2811" i="6"/>
  <c r="N2811" i="6"/>
  <c r="J4598" i="6"/>
  <c r="K4598" i="6" s="1"/>
  <c r="N4598" i="6"/>
  <c r="J1969" i="6"/>
  <c r="K1969" i="6" s="1"/>
  <c r="N1969" i="6"/>
  <c r="J691" i="6"/>
  <c r="K691" i="6" s="1"/>
  <c r="N691" i="6"/>
  <c r="J253" i="6"/>
  <c r="K253" i="6" s="1"/>
  <c r="N253" i="6"/>
  <c r="J3762" i="6"/>
  <c r="K3762" i="6" s="1"/>
  <c r="N3762" i="6"/>
  <c r="J148" i="6"/>
  <c r="K148" i="6" s="1"/>
  <c r="N148" i="6"/>
  <c r="J147" i="6"/>
  <c r="K147" i="6" s="1"/>
  <c r="N147" i="6"/>
  <c r="J146" i="6"/>
  <c r="K146" i="6" s="1"/>
  <c r="N146" i="6"/>
  <c r="J2634" i="6"/>
  <c r="K2634" i="6" s="1"/>
  <c r="N2634" i="6"/>
  <c r="J1271" i="6"/>
  <c r="K1271" i="6" s="1"/>
  <c r="N1271" i="6"/>
  <c r="J1856" i="6"/>
  <c r="K1856" i="6" s="1"/>
  <c r="N1856" i="6"/>
  <c r="J1855" i="6"/>
  <c r="K1855" i="6" s="1"/>
  <c r="N1855" i="6"/>
  <c r="J1854" i="6"/>
  <c r="K1854" i="6" s="1"/>
  <c r="N1854" i="6"/>
  <c r="J1853" i="6"/>
  <c r="K1853" i="6" s="1"/>
  <c r="N1853" i="6"/>
  <c r="J95" i="78" l="1"/>
  <c r="J1661" i="6"/>
  <c r="K1661" i="6" s="1"/>
  <c r="N1661" i="6"/>
  <c r="J1660" i="6"/>
  <c r="K1660" i="6" s="1"/>
  <c r="N1660" i="6"/>
  <c r="J4206" i="6"/>
  <c r="K4206" i="6" s="1"/>
  <c r="N4206" i="6"/>
  <c r="J673" i="6"/>
  <c r="K673" i="6" s="1"/>
  <c r="N673" i="6"/>
  <c r="J674" i="6"/>
  <c r="K674" i="6" s="1"/>
  <c r="N674" i="6"/>
  <c r="J675" i="6"/>
  <c r="K675" i="6" s="1"/>
  <c r="N675" i="6"/>
  <c r="J3208" i="6" l="1"/>
  <c r="K3208" i="6" s="1"/>
  <c r="N3208" i="6"/>
  <c r="J3207" i="6"/>
  <c r="K3207" i="6" s="1"/>
  <c r="N3207" i="6"/>
  <c r="J3209" i="6"/>
  <c r="K3209" i="6" s="1"/>
  <c r="N3209" i="6"/>
  <c r="J3622" i="6"/>
  <c r="K3622" i="6" s="1"/>
  <c r="N3622" i="6"/>
  <c r="J3623" i="6"/>
  <c r="K3623" i="6" s="1"/>
  <c r="N3623" i="6"/>
  <c r="J3624" i="6"/>
  <c r="K3624" i="6" s="1"/>
  <c r="N3624" i="6"/>
  <c r="J1299" i="6"/>
  <c r="K1299" i="6" s="1"/>
  <c r="N1299" i="6"/>
  <c r="J1298" i="6" l="1"/>
  <c r="K1298" i="6" s="1"/>
  <c r="N1298" i="6"/>
  <c r="J2495" i="6"/>
  <c r="K2495" i="6" s="1"/>
  <c r="N2495" i="6"/>
  <c r="J234" i="6"/>
  <c r="K234" i="6" s="1"/>
  <c r="N234" i="6"/>
  <c r="J235" i="6"/>
  <c r="K235" i="6" s="1"/>
  <c r="N235" i="6"/>
  <c r="J236" i="6"/>
  <c r="K236" i="6" s="1"/>
  <c r="N236" i="6"/>
  <c r="J237" i="6"/>
  <c r="K237" i="6" s="1"/>
  <c r="N237" i="6"/>
  <c r="J578" i="6"/>
  <c r="K578" i="6" s="1"/>
  <c r="N578" i="6"/>
  <c r="J577" i="6"/>
  <c r="K577" i="6" s="1"/>
  <c r="N577" i="6"/>
  <c r="J576" i="6"/>
  <c r="K576" i="6" s="1"/>
  <c r="N576" i="6"/>
  <c r="J1733" i="6"/>
  <c r="K1733" i="6" s="1"/>
  <c r="N1733" i="6"/>
  <c r="J1734" i="6"/>
  <c r="K1734" i="6" s="1"/>
  <c r="N1734" i="6"/>
  <c r="J2059" i="6"/>
  <c r="K2059" i="6" s="1"/>
  <c r="N2059" i="6"/>
  <c r="J2060" i="6"/>
  <c r="K2060" i="6" s="1"/>
  <c r="N2060" i="6"/>
  <c r="J4090" i="6"/>
  <c r="K4090" i="6" s="1"/>
  <c r="N4090" i="6"/>
  <c r="J4091" i="6"/>
  <c r="K4091" i="6" s="1"/>
  <c r="N4091" i="6"/>
  <c r="J4457" i="6"/>
  <c r="K4457" i="6" s="1"/>
  <c r="N4457" i="6"/>
  <c r="J4458" i="6"/>
  <c r="K4458" i="6" s="1"/>
  <c r="N4458" i="6"/>
  <c r="J458" i="6"/>
  <c r="K458" i="6" s="1"/>
  <c r="N458" i="6"/>
  <c r="J457" i="6"/>
  <c r="K457" i="6" s="1"/>
  <c r="N457" i="6"/>
  <c r="J456" i="6"/>
  <c r="K456" i="6" s="1"/>
  <c r="N456" i="6"/>
  <c r="J3577" i="6"/>
  <c r="K3577" i="6" s="1"/>
  <c r="N3577" i="6"/>
  <c r="J3578" i="6"/>
  <c r="K3578" i="6" s="1"/>
  <c r="N3578" i="6"/>
  <c r="J2058" i="6"/>
  <c r="K2058" i="6" s="1"/>
  <c r="N2058" i="6"/>
  <c r="J2057" i="6"/>
  <c r="K2057" i="6" s="1"/>
  <c r="N2057" i="6"/>
  <c r="J2056" i="6"/>
  <c r="K2056" i="6" s="1"/>
  <c r="N2056" i="6"/>
  <c r="J2055" i="6"/>
  <c r="K2055" i="6" s="1"/>
  <c r="N2055" i="6"/>
  <c r="J1732" i="6"/>
  <c r="K1732" i="6" s="1"/>
  <c r="N1732" i="6"/>
  <c r="J915" i="6" l="1"/>
  <c r="K915" i="6" s="1"/>
  <c r="N915" i="6"/>
  <c r="J4227" i="6" l="1"/>
  <c r="K4227" i="6" s="1"/>
  <c r="N4227" i="6"/>
  <c r="J812" i="6"/>
  <c r="K812" i="6" s="1"/>
  <c r="N812" i="6"/>
  <c r="J1644" i="6"/>
  <c r="K1644" i="6" s="1"/>
  <c r="N1644" i="6"/>
  <c r="J1645" i="6"/>
  <c r="K1645" i="6" s="1"/>
  <c r="N1645" i="6"/>
  <c r="J2871" i="6"/>
  <c r="K2871" i="6" s="1"/>
  <c r="N2871" i="6"/>
  <c r="J2872" i="6"/>
  <c r="K2872" i="6" s="1"/>
  <c r="N2872" i="6"/>
  <c r="J4415" i="6"/>
  <c r="K4415" i="6" s="1"/>
  <c r="N4415" i="6"/>
  <c r="J440" i="6"/>
  <c r="K440" i="6" s="1"/>
  <c r="N440" i="6"/>
  <c r="J2089" i="6"/>
  <c r="K2089" i="6" s="1"/>
  <c r="N2089" i="6"/>
  <c r="J4186" i="6"/>
  <c r="K4186" i="6" s="1"/>
  <c r="N4186" i="6"/>
  <c r="J4185" i="6"/>
  <c r="K4185" i="6" s="1"/>
  <c r="N4185" i="6"/>
  <c r="J40" i="78" l="1"/>
  <c r="J20" i="78"/>
  <c r="J4226" i="6"/>
  <c r="K4226" i="6" s="1"/>
  <c r="N4226" i="6"/>
  <c r="J42" i="78" l="1"/>
  <c r="J3048" i="6"/>
  <c r="K3048" i="6" s="1"/>
  <c r="N3048" i="6"/>
  <c r="J3226" i="6"/>
  <c r="K3226" i="6" s="1"/>
  <c r="N3226" i="6"/>
  <c r="K4349" i="6"/>
  <c r="J811" i="6"/>
  <c r="K811" i="6" s="1"/>
  <c r="N811" i="6"/>
  <c r="J407" i="6"/>
  <c r="K407" i="6" s="1"/>
  <c r="N407" i="6"/>
  <c r="J2662" i="6"/>
  <c r="K2662" i="6" s="1"/>
  <c r="N2662" i="6"/>
  <c r="J744" i="6"/>
  <c r="K744" i="6" s="1"/>
  <c r="N744" i="6"/>
  <c r="J2909" i="6"/>
  <c r="K2909" i="6" s="1"/>
  <c r="N2909" i="6"/>
  <c r="J742" i="6"/>
  <c r="K742" i="6" s="1"/>
  <c r="N742" i="6"/>
  <c r="J743" i="6"/>
  <c r="K743" i="6" s="1"/>
  <c r="N743" i="6"/>
  <c r="J2870" i="6" l="1"/>
  <c r="K2870" i="6" s="1"/>
  <c r="N2870" i="6"/>
  <c r="J677" i="6"/>
  <c r="K677" i="6" s="1"/>
  <c r="N677" i="6"/>
  <c r="J1643" i="6" l="1"/>
  <c r="K1643" i="6" s="1"/>
  <c r="N1643" i="6"/>
  <c r="J2088" i="6"/>
  <c r="K2088" i="6" s="1"/>
  <c r="N2088" i="6"/>
  <c r="J589" i="6"/>
  <c r="K589" i="6" s="1"/>
  <c r="N589" i="6"/>
  <c r="J3620" i="6"/>
  <c r="K3620" i="6" s="1"/>
  <c r="N3620" i="6"/>
  <c r="J898" i="6"/>
  <c r="K898" i="6" s="1"/>
  <c r="N898" i="6"/>
  <c r="J2509" i="6"/>
  <c r="K2509" i="6" s="1"/>
  <c r="N2509" i="6"/>
  <c r="J1297" i="6"/>
  <c r="K1297" i="6" s="1"/>
  <c r="N1297" i="6"/>
  <c r="J1296" i="6"/>
  <c r="K1296" i="6" s="1"/>
  <c r="N1296" i="6"/>
  <c r="J1918" i="6"/>
  <c r="K1918" i="6" s="1"/>
  <c r="N1918" i="6"/>
  <c r="J1917" i="6"/>
  <c r="K1917" i="6" s="1"/>
  <c r="N1917" i="6"/>
  <c r="J57" i="6"/>
  <c r="K57" i="6" s="1"/>
  <c r="N57" i="6"/>
  <c r="J2122" i="6"/>
  <c r="K2122" i="6" s="1"/>
  <c r="N2122" i="6"/>
  <c r="J4344" i="6"/>
  <c r="K4344" i="6" s="1"/>
  <c r="N4344" i="6"/>
  <c r="J3046" i="6"/>
  <c r="K3046" i="6" s="1"/>
  <c r="N3046" i="6"/>
  <c r="J3205" i="6" l="1"/>
  <c r="K3205" i="6" s="1"/>
  <c r="N3205" i="6"/>
  <c r="J3206" i="6"/>
  <c r="K3206" i="6" s="1"/>
  <c r="N3206" i="6"/>
  <c r="J439" i="6"/>
  <c r="K439" i="6" s="1"/>
  <c r="N439" i="6"/>
  <c r="J424" i="6" l="1"/>
  <c r="K424" i="6" s="1"/>
  <c r="N424" i="6"/>
  <c r="J423" i="6"/>
  <c r="K423" i="6" s="1"/>
  <c r="N423" i="6"/>
  <c r="J406" i="6" l="1"/>
  <c r="K406" i="6" s="1"/>
  <c r="N406" i="6"/>
  <c r="J1702" i="6"/>
  <c r="K1702" i="6" s="1"/>
  <c r="N1702" i="6"/>
  <c r="J3455" i="6"/>
  <c r="K3455" i="6" s="1"/>
  <c r="N3455" i="6"/>
  <c r="J3621" i="6" l="1"/>
  <c r="K3621" i="6" s="1"/>
  <c r="N3621" i="6"/>
  <c r="J3310" i="6"/>
  <c r="K3310" i="6" s="1"/>
  <c r="N3310" i="6"/>
  <c r="J2635" i="6"/>
  <c r="K2635" i="6" s="1"/>
  <c r="N2635" i="6"/>
  <c r="J3492" i="6" l="1"/>
  <c r="K3492" i="6" s="1"/>
  <c r="N3492" i="6"/>
  <c r="J3978" i="6"/>
  <c r="K3978" i="6" s="1"/>
  <c r="N3978" i="6"/>
  <c r="J3977" i="6"/>
  <c r="K3977" i="6" s="1"/>
  <c r="N3977" i="6"/>
  <c r="J3976" i="6"/>
  <c r="K3976" i="6" s="1"/>
  <c r="N3976" i="6"/>
  <c r="K4200" i="6" l="1"/>
  <c r="N4200" i="6"/>
  <c r="K2487" i="6"/>
  <c r="N2487" i="6"/>
  <c r="K4636" i="6"/>
  <c r="N4636" i="6"/>
  <c r="K2251" i="6"/>
  <c r="N2251" i="6"/>
  <c r="J1181" i="6"/>
  <c r="K1181" i="6" s="1"/>
  <c r="N1181" i="6"/>
  <c r="J1182" i="6"/>
  <c r="K1182" i="6" s="1"/>
  <c r="N1182" i="6"/>
  <c r="J1183" i="6"/>
  <c r="K1183" i="6" s="1"/>
  <c r="N1183" i="6"/>
  <c r="J1180" i="6" l="1"/>
  <c r="K1180" i="6" s="1"/>
  <c r="N1180" i="6"/>
  <c r="J1968" i="6"/>
  <c r="K1968" i="6" s="1"/>
  <c r="N1968" i="6"/>
  <c r="J1631" i="6" l="1"/>
  <c r="K1631" i="6" s="1"/>
  <c r="N1631" i="6"/>
  <c r="J4121" i="6"/>
  <c r="K4121" i="6" s="1"/>
  <c r="N4121" i="6"/>
  <c r="J1731" i="6"/>
  <c r="K1731" i="6" s="1"/>
  <c r="N1731" i="6"/>
  <c r="J2143" i="6"/>
  <c r="K2143" i="6" s="1"/>
  <c r="N2143" i="6"/>
  <c r="J2853" i="6"/>
  <c r="K2853" i="6" s="1"/>
  <c r="N2853" i="6"/>
  <c r="J3792" i="6" l="1"/>
  <c r="K3792" i="6" s="1"/>
  <c r="N3792" i="6"/>
  <c r="J746" i="6"/>
  <c r="K746" i="6" s="1"/>
  <c r="N746" i="6"/>
  <c r="J2471" i="6"/>
  <c r="K2471" i="6" s="1"/>
  <c r="N2471" i="6"/>
  <c r="J2764" i="6" l="1"/>
  <c r="K2764" i="6" s="1"/>
  <c r="N2764" i="6"/>
  <c r="J2908" i="6"/>
  <c r="K2908" i="6" s="1"/>
  <c r="N2908" i="6"/>
  <c r="J3204" i="6"/>
  <c r="K3204" i="6" s="1"/>
  <c r="N3204" i="6"/>
  <c r="J3974" i="6"/>
  <c r="K3974" i="6" s="1"/>
  <c r="J3975" i="6"/>
  <c r="K3975" i="6" s="1"/>
  <c r="N3974" i="6"/>
  <c r="N3975" i="6"/>
  <c r="J3973" i="6"/>
  <c r="K3973" i="6" s="1"/>
  <c r="N3973" i="6"/>
  <c r="J3730" i="6" l="1"/>
  <c r="K3730" i="6" s="1"/>
  <c r="N3730" i="6"/>
  <c r="J167" i="6"/>
  <c r="K167" i="6" s="1"/>
  <c r="N167" i="6"/>
  <c r="I351" i="6"/>
  <c r="J351" i="6" s="1"/>
  <c r="K351" i="6" s="1"/>
  <c r="N351" i="6"/>
  <c r="J2535" i="6" l="1"/>
  <c r="K2535" i="6" s="1"/>
  <c r="N2535" i="6"/>
  <c r="J3294" i="6"/>
  <c r="K3294" i="6" s="1"/>
  <c r="N3294" i="6"/>
  <c r="J3291" i="6"/>
  <c r="K3291" i="6" s="1"/>
  <c r="J3292" i="6"/>
  <c r="K3292" i="6" s="1"/>
  <c r="J3293" i="6"/>
  <c r="K3293" i="6" s="1"/>
  <c r="N3291" i="6"/>
  <c r="N3292" i="6"/>
  <c r="N3293" i="6"/>
  <c r="J3290" i="6"/>
  <c r="K3290" i="6" s="1"/>
  <c r="N3290" i="6"/>
  <c r="J1550" i="6"/>
  <c r="K1550" i="6" s="1"/>
  <c r="N1550" i="6"/>
  <c r="J1549" i="6"/>
  <c r="K1549" i="6" s="1"/>
  <c r="N1549" i="6"/>
  <c r="J1915" i="6"/>
  <c r="K1915" i="6" s="1"/>
  <c r="N1915" i="6"/>
  <c r="J1916" i="6"/>
  <c r="K1916" i="6" s="1"/>
  <c r="N1916" i="6"/>
  <c r="J484" i="6"/>
  <c r="K484" i="6" s="1"/>
  <c r="N484" i="6"/>
  <c r="J547" i="6"/>
  <c r="K547" i="6" s="1"/>
  <c r="N547" i="6"/>
  <c r="J2508" i="6"/>
  <c r="K2508" i="6" s="1"/>
  <c r="N2508" i="6"/>
  <c r="J2328" i="6"/>
  <c r="K2328" i="6" s="1"/>
  <c r="N2328" i="6"/>
  <c r="J2001" i="6"/>
  <c r="K2001" i="6" s="1"/>
  <c r="N2001" i="6"/>
  <c r="J2507" i="6"/>
  <c r="K2507" i="6" s="1"/>
  <c r="N2507" i="6"/>
  <c r="J2327" i="6"/>
  <c r="K2327" i="6" s="1"/>
  <c r="N2327" i="6"/>
  <c r="J939" i="6"/>
  <c r="K939" i="6" s="1"/>
  <c r="N939" i="6"/>
  <c r="J1817" i="6"/>
  <c r="K1817" i="6" s="1"/>
  <c r="N1817" i="6"/>
  <c r="J1796" i="6"/>
  <c r="K1796" i="6" s="1"/>
  <c r="J1797" i="6"/>
  <c r="K1797" i="6" s="1"/>
  <c r="J1798" i="6"/>
  <c r="K1798" i="6" s="1"/>
  <c r="J1799" i="6"/>
  <c r="K1799" i="6" s="1"/>
  <c r="J1800" i="6"/>
  <c r="K1800" i="6" s="1"/>
  <c r="J1801" i="6"/>
  <c r="K1801" i="6" s="1"/>
  <c r="J1802" i="6"/>
  <c r="K1802" i="6" s="1"/>
  <c r="J1803" i="6"/>
  <c r="K1803" i="6" s="1"/>
  <c r="J1804" i="6"/>
  <c r="K1804" i="6" s="1"/>
  <c r="J1805" i="6"/>
  <c r="K1805" i="6" s="1"/>
  <c r="J1806" i="6"/>
  <c r="K1806" i="6" s="1"/>
  <c r="J1807" i="6"/>
  <c r="K1807" i="6" s="1"/>
  <c r="J1808" i="6"/>
  <c r="K1808" i="6" s="1"/>
  <c r="J1809" i="6"/>
  <c r="K1809" i="6" s="1"/>
  <c r="J1810" i="6"/>
  <c r="K1810" i="6" s="1"/>
  <c r="J1811" i="6"/>
  <c r="K1811" i="6" s="1"/>
  <c r="J1812" i="6"/>
  <c r="K1812" i="6" s="1"/>
  <c r="J1813" i="6"/>
  <c r="K1813" i="6" s="1"/>
  <c r="J1814" i="6"/>
  <c r="K1814" i="6" s="1"/>
  <c r="J1815" i="6"/>
  <c r="K1815" i="6" s="1"/>
  <c r="J1816" i="6"/>
  <c r="K1816" i="6" s="1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J4038" i="6"/>
  <c r="K4038" i="6" s="1"/>
  <c r="N4038" i="6"/>
  <c r="J4037" i="6"/>
  <c r="K4037" i="6" s="1"/>
  <c r="N4037" i="6"/>
  <c r="J4036" i="6"/>
  <c r="K4036" i="6" s="1"/>
  <c r="N4036" i="6"/>
  <c r="J1873" i="6"/>
  <c r="K1873" i="6" s="1"/>
  <c r="N1873" i="6"/>
  <c r="J1874" i="6"/>
  <c r="K1874" i="6" s="1"/>
  <c r="N1874" i="6"/>
  <c r="J4498" i="6"/>
  <c r="K4498" i="6" s="1"/>
  <c r="N4498" i="6"/>
  <c r="J4497" i="6"/>
  <c r="K4497" i="6" s="1"/>
  <c r="N4497" i="6"/>
  <c r="J233" i="6"/>
  <c r="K233" i="6" s="1"/>
  <c r="N233" i="6"/>
  <c r="J232" i="6"/>
  <c r="K232" i="6" s="1"/>
  <c r="N232" i="6"/>
  <c r="J231" i="6"/>
  <c r="K231" i="6" s="1"/>
  <c r="N231" i="6"/>
  <c r="J2235" i="6"/>
  <c r="K2235" i="6" s="1"/>
  <c r="N2235" i="6"/>
  <c r="J2236" i="6"/>
  <c r="K2236" i="6" s="1"/>
  <c r="N2236" i="6"/>
  <c r="J2237" i="6"/>
  <c r="K2237" i="6" s="1"/>
  <c r="N2237" i="6"/>
  <c r="J2233" i="6"/>
  <c r="K2233" i="6" s="1"/>
  <c r="N2233" i="6"/>
  <c r="J2234" i="6"/>
  <c r="K2234" i="6" s="1"/>
  <c r="N2234" i="6"/>
  <c r="J2633" i="6"/>
  <c r="K2633" i="6" s="1"/>
  <c r="N2633" i="6"/>
  <c r="J3791" i="6"/>
  <c r="K3791" i="6" s="1"/>
  <c r="N3791" i="6"/>
  <c r="N3045" i="6"/>
  <c r="J3045" i="6"/>
  <c r="K3045" i="6" s="1"/>
  <c r="J3619" i="6"/>
  <c r="K3619" i="6" s="1"/>
  <c r="N3619" i="6"/>
  <c r="N3203" i="6"/>
  <c r="J3203" i="6"/>
  <c r="K3203" i="6" s="1"/>
  <c r="J1914" i="6"/>
  <c r="K1914" i="6" s="1"/>
  <c r="N1914" i="6"/>
  <c r="J2565" i="6"/>
  <c r="K2565" i="6" s="1"/>
  <c r="N2565" i="6"/>
  <c r="J1701" i="6"/>
  <c r="K1701" i="6" s="1"/>
  <c r="N1701" i="6"/>
  <c r="J1700" i="6"/>
  <c r="K1700" i="6" s="1"/>
  <c r="N1700" i="6"/>
  <c r="J2906" i="6"/>
  <c r="K2906" i="6" s="1"/>
  <c r="N2906" i="6"/>
  <c r="J3009" i="6" l="1"/>
  <c r="K3009" i="6" s="1"/>
  <c r="N3009" i="6"/>
  <c r="J2951" i="6"/>
  <c r="K2951" i="6" s="1"/>
  <c r="N2951" i="6"/>
  <c r="J2952" i="6"/>
  <c r="K2952" i="6" s="1"/>
  <c r="N2952" i="6"/>
  <c r="J2950" i="6"/>
  <c r="K2950" i="6" s="1"/>
  <c r="N2950" i="6"/>
  <c r="J4575" i="6"/>
  <c r="K4575" i="6" s="1"/>
  <c r="N4575" i="6"/>
  <c r="J4576" i="6"/>
  <c r="K4576" i="6" s="1"/>
  <c r="N4576" i="6"/>
  <c r="J739" i="6" l="1"/>
  <c r="K739" i="6" s="1"/>
  <c r="N739" i="6"/>
  <c r="J2506" i="6"/>
  <c r="K2506" i="6" s="1"/>
  <c r="N2506" i="6"/>
  <c r="J485" i="6"/>
  <c r="K485" i="6" s="1"/>
  <c r="N485" i="6"/>
  <c r="J2000" i="6"/>
  <c r="K2000" i="6" s="1"/>
  <c r="N2000" i="6"/>
  <c r="J3398" i="6" l="1"/>
  <c r="K3398" i="6" s="1"/>
  <c r="N3398" i="6"/>
  <c r="J3399" i="6"/>
  <c r="K3399" i="6" s="1"/>
  <c r="N3399" i="6"/>
  <c r="J3400" i="6"/>
  <c r="K3400" i="6" s="1"/>
  <c r="N3400" i="6"/>
  <c r="J2869" i="6"/>
  <c r="K2869" i="6" s="1"/>
  <c r="N2869" i="6"/>
  <c r="J2868" i="6"/>
  <c r="K2868" i="6" s="1"/>
  <c r="N2868" i="6"/>
  <c r="J3397" i="6"/>
  <c r="K3397" i="6" s="1"/>
  <c r="N3397" i="6"/>
  <c r="J3340" i="6" l="1"/>
  <c r="K3340" i="6" s="1"/>
  <c r="N3340" i="6"/>
  <c r="J3339" i="6"/>
  <c r="K3339" i="6" s="1"/>
  <c r="N3339" i="6"/>
  <c r="N184" i="6"/>
  <c r="J184" i="6"/>
  <c r="K184" i="6" s="1"/>
  <c r="N183" i="6"/>
  <c r="J183" i="6"/>
  <c r="K183" i="6" s="1"/>
  <c r="J182" i="6"/>
  <c r="K182" i="6" s="1"/>
  <c r="N182" i="6"/>
  <c r="N3575" i="6"/>
  <c r="J3575" i="6"/>
  <c r="K3575" i="6" s="1"/>
  <c r="N3574" i="6"/>
  <c r="J3574" i="6"/>
  <c r="K3574" i="6" s="1"/>
  <c r="N3573" i="6"/>
  <c r="J3573" i="6"/>
  <c r="K3573" i="6" s="1"/>
  <c r="N3576" i="6"/>
  <c r="J3576" i="6"/>
  <c r="K3576" i="6" s="1"/>
  <c r="J3572" i="6"/>
  <c r="K3572" i="6" s="1"/>
  <c r="N3572" i="6"/>
  <c r="N793" i="6"/>
  <c r="J793" i="6"/>
  <c r="K793" i="6" s="1"/>
  <c r="N795" i="6"/>
  <c r="J795" i="6"/>
  <c r="K795" i="6" s="1"/>
  <c r="J794" i="6"/>
  <c r="K794" i="6" s="1"/>
  <c r="N794" i="6"/>
  <c r="J2269" i="6"/>
  <c r="K2269" i="6" s="1"/>
  <c r="N2269" i="6"/>
  <c r="N3749" i="6"/>
  <c r="J3749" i="6"/>
  <c r="K3749" i="6" s="1"/>
  <c r="N3751" i="6"/>
  <c r="J3751" i="6"/>
  <c r="K3751" i="6" s="1"/>
  <c r="J741" i="6"/>
  <c r="K741" i="6" s="1"/>
  <c r="N741" i="6"/>
  <c r="J603" i="6"/>
  <c r="K603" i="6" s="1"/>
  <c r="N603" i="6"/>
  <c r="J740" i="6"/>
  <c r="K740" i="6" s="1"/>
  <c r="N740" i="6"/>
  <c r="N4532" i="6"/>
  <c r="J4532" i="6"/>
  <c r="K4532" i="6" s="1"/>
  <c r="N4531" i="6"/>
  <c r="J4531" i="6"/>
  <c r="K4531" i="6" s="1"/>
  <c r="N4530" i="6"/>
  <c r="J4530" i="6"/>
  <c r="K4530" i="6" s="1"/>
  <c r="J4529" i="6"/>
  <c r="K4529" i="6" s="1"/>
  <c r="N4529" i="6"/>
  <c r="J1287" i="6"/>
  <c r="K1287" i="6" s="1"/>
  <c r="N1287" i="6"/>
  <c r="J1286" i="6"/>
  <c r="K1286" i="6" s="1"/>
  <c r="N1286" i="6"/>
  <c r="J1795" i="6"/>
  <c r="K1795" i="6" s="1"/>
  <c r="N1795" i="6"/>
  <c r="J1793" i="6"/>
  <c r="K1793" i="6" s="1"/>
  <c r="N1793" i="6"/>
  <c r="J1794" i="6"/>
  <c r="K1794" i="6" s="1"/>
  <c r="N1794" i="6"/>
  <c r="N2232" i="6"/>
  <c r="J2232" i="6"/>
  <c r="K2232" i="6" s="1"/>
  <c r="N2231" i="6"/>
  <c r="J2231" i="6"/>
  <c r="K2231" i="6" s="1"/>
  <c r="N2230" i="6"/>
  <c r="J2230" i="6"/>
  <c r="K2230" i="6" s="1"/>
  <c r="N2229" i="6"/>
  <c r="J2229" i="6"/>
  <c r="K2229" i="6" s="1"/>
  <c r="J2228" i="6"/>
  <c r="K2228" i="6" s="1"/>
  <c r="N2228" i="6"/>
  <c r="N2227" i="6"/>
  <c r="J2227" i="6"/>
  <c r="K2227" i="6" s="1"/>
  <c r="N2226" i="6"/>
  <c r="J2226" i="6"/>
  <c r="K2226" i="6" s="1"/>
  <c r="N2225" i="6"/>
  <c r="J2225" i="6"/>
  <c r="K2225" i="6" s="1"/>
  <c r="N2224" i="6"/>
  <c r="J2224" i="6"/>
  <c r="K2224" i="6" s="1"/>
  <c r="J2223" i="6"/>
  <c r="K2223" i="6" s="1"/>
  <c r="N2223" i="6"/>
  <c r="N3024" i="6"/>
  <c r="J3024" i="6"/>
  <c r="K3024" i="6" s="1"/>
  <c r="J3023" i="6"/>
  <c r="K3023" i="6" s="1"/>
  <c r="N3023" i="6"/>
  <c r="J2382" i="6"/>
  <c r="K2382" i="6" s="1"/>
  <c r="N2382" i="6"/>
  <c r="J2381" i="6"/>
  <c r="K2381" i="6" s="1"/>
  <c r="N2381" i="6"/>
  <c r="J4088" i="6"/>
  <c r="K4088" i="6" s="1"/>
  <c r="N4088" i="6"/>
  <c r="J4089" i="6"/>
  <c r="K4089" i="6" s="1"/>
  <c r="N4089" i="6"/>
  <c r="J3336" i="6"/>
  <c r="K3336" i="6" s="1"/>
  <c r="N3336" i="6"/>
  <c r="J3337" i="6"/>
  <c r="K3337" i="6" s="1"/>
  <c r="N3337" i="6"/>
  <c r="J3338" i="6"/>
  <c r="K3338" i="6" s="1"/>
  <c r="N3338" i="6"/>
  <c r="J3743" i="6" l="1"/>
  <c r="K3743" i="6" s="1"/>
  <c r="N3743" i="6"/>
  <c r="J4597" i="6"/>
  <c r="K4597" i="6" s="1"/>
  <c r="N4597" i="6"/>
  <c r="J509" i="6"/>
  <c r="K509" i="6" s="1"/>
  <c r="N509" i="6"/>
  <c r="J508" i="6"/>
  <c r="K508" i="6" s="1"/>
  <c r="N508" i="6"/>
  <c r="J2677" i="6" l="1"/>
  <c r="K2677" i="6" s="1"/>
  <c r="N2677" i="6"/>
  <c r="J1659" i="6"/>
  <c r="K1659" i="6" s="1"/>
  <c r="N1659" i="6"/>
  <c r="J1658" i="6"/>
  <c r="K1658" i="6" s="1"/>
  <c r="N1658" i="6"/>
  <c r="J3286" i="6"/>
  <c r="K3286" i="6" s="1"/>
  <c r="N3286" i="6"/>
  <c r="J3287" i="6"/>
  <c r="K3287" i="6" s="1"/>
  <c r="N3287" i="6"/>
  <c r="J3288" i="6"/>
  <c r="K3288" i="6" s="1"/>
  <c r="N3288" i="6"/>
  <c r="J3289" i="6"/>
  <c r="K3289" i="6" s="1"/>
  <c r="N3289" i="6"/>
  <c r="J3309" i="6" l="1"/>
  <c r="K3309" i="6" s="1"/>
  <c r="N3309" i="6"/>
  <c r="J914" i="6"/>
  <c r="K914" i="6" s="1"/>
  <c r="N914" i="6"/>
  <c r="J913" i="6"/>
  <c r="K913" i="6" s="1"/>
  <c r="N913" i="6"/>
  <c r="J2907" i="6"/>
  <c r="K2907" i="6" s="1"/>
  <c r="N2907" i="6"/>
  <c r="J2905" i="6"/>
  <c r="K2905" i="6" s="1"/>
  <c r="N2905" i="6"/>
  <c r="J3618" i="6"/>
  <c r="K3618" i="6" s="1"/>
  <c r="N3618" i="6"/>
  <c r="J3202" i="6" l="1"/>
  <c r="K3202" i="6" s="1"/>
  <c r="N3202" i="6"/>
  <c r="J3617" i="6"/>
  <c r="K3617" i="6" s="1"/>
  <c r="J179" i="6"/>
  <c r="K179" i="6" s="1"/>
  <c r="J2024" i="6"/>
  <c r="K2024" i="6" s="1"/>
  <c r="N3617" i="6"/>
  <c r="N179" i="6"/>
  <c r="N2024" i="6"/>
  <c r="J3201" i="6"/>
  <c r="K3201" i="6" s="1"/>
  <c r="N3201" i="6"/>
  <c r="J3044" i="6"/>
  <c r="K3044" i="6" s="1"/>
  <c r="N3044" i="6"/>
  <c r="J2763" i="6" l="1"/>
  <c r="K2763" i="6" s="1"/>
  <c r="N2763" i="6"/>
  <c r="J405" i="6"/>
  <c r="K405" i="6" s="1"/>
  <c r="N405" i="6"/>
  <c r="J3944" i="6"/>
  <c r="K3944" i="6" s="1"/>
  <c r="N3944" i="6"/>
  <c r="J4119" i="6"/>
  <c r="K4119" i="6" s="1"/>
  <c r="N4119" i="6"/>
  <c r="J1722" i="6"/>
  <c r="K1722" i="6" s="1"/>
  <c r="N1722" i="6"/>
  <c r="J1681" i="6"/>
  <c r="K1681" i="6" s="1"/>
  <c r="N1681" i="6"/>
  <c r="J1901" i="6"/>
  <c r="K1901" i="6" s="1"/>
  <c r="N1901" i="6"/>
  <c r="J896" i="6"/>
  <c r="K896" i="6" s="1"/>
  <c r="N896" i="6"/>
  <c r="J895" i="6"/>
  <c r="K895" i="6" s="1"/>
  <c r="N895" i="6"/>
  <c r="N1244" i="6"/>
  <c r="J1242" i="6"/>
  <c r="K1242" i="6" s="1"/>
  <c r="N1242" i="6"/>
  <c r="J1243" i="6"/>
  <c r="K1243" i="6" s="1"/>
  <c r="N1243" i="6"/>
  <c r="J1244" i="6"/>
  <c r="K1244" i="6" s="1"/>
  <c r="J4147" i="6"/>
  <c r="K4147" i="6" s="1"/>
  <c r="N4147" i="6"/>
  <c r="J1657" i="6"/>
  <c r="K1657" i="6" s="1"/>
  <c r="N1657" i="6"/>
  <c r="J1656" i="6"/>
  <c r="K1656" i="6" s="1"/>
  <c r="N1656" i="6"/>
  <c r="J2219" i="6" l="1"/>
  <c r="K2219" i="6" s="1"/>
  <c r="J2220" i="6"/>
  <c r="K2220" i="6" s="1"/>
  <c r="J2221" i="6"/>
  <c r="K2221" i="6" s="1"/>
  <c r="J2222" i="6"/>
  <c r="K2222" i="6" s="1"/>
  <c r="N2219" i="6"/>
  <c r="N2220" i="6"/>
  <c r="N2221" i="6"/>
  <c r="N2222" i="6"/>
  <c r="J2218" i="6"/>
  <c r="K2218" i="6" s="1"/>
  <c r="N2218" i="6"/>
  <c r="J1045" i="6"/>
  <c r="K1045" i="6" s="1"/>
  <c r="N1045" i="6"/>
  <c r="N2441" i="6"/>
  <c r="J2442" i="6"/>
  <c r="K2442" i="6" s="1"/>
  <c r="N2442" i="6"/>
  <c r="J2441" i="6"/>
  <c r="K2441" i="6" s="1"/>
  <c r="J632" i="6"/>
  <c r="K632" i="6" s="1"/>
  <c r="N632" i="6"/>
  <c r="J829" i="6"/>
  <c r="K829" i="6" s="1"/>
  <c r="N829" i="6"/>
  <c r="J831" i="6"/>
  <c r="K831" i="6" s="1"/>
  <c r="N831" i="6"/>
  <c r="J736" i="6"/>
  <c r="K736" i="6" s="1"/>
  <c r="N736" i="6"/>
  <c r="J2371" i="6"/>
  <c r="K2371" i="6" s="1"/>
  <c r="N2371" i="6"/>
  <c r="J2372" i="6"/>
  <c r="K2372" i="6" s="1"/>
  <c r="N2372" i="6"/>
  <c r="J3761" i="6"/>
  <c r="K3761" i="6" s="1"/>
  <c r="N3761" i="6"/>
  <c r="J1557" i="6"/>
  <c r="K1557" i="6" s="1"/>
  <c r="N1557" i="6"/>
  <c r="J781" i="6" l="1"/>
  <c r="K781" i="6" s="1"/>
  <c r="N781" i="6"/>
  <c r="J780" i="6"/>
  <c r="K780" i="6" s="1"/>
  <c r="N780" i="6"/>
  <c r="J252" i="6" l="1"/>
  <c r="K252" i="6" s="1"/>
  <c r="N252" i="6"/>
  <c r="J3384" i="6"/>
  <c r="K3384" i="6" s="1"/>
  <c r="N3384" i="6"/>
  <c r="J145" i="6"/>
  <c r="K145" i="6" s="1"/>
  <c r="N145" i="6"/>
  <c r="J404" i="6"/>
  <c r="K404" i="6" s="1"/>
  <c r="N404" i="6"/>
  <c r="J1699" i="6"/>
  <c r="K1699" i="6" s="1"/>
  <c r="N1699" i="6"/>
  <c r="J4596" i="6" l="1"/>
  <c r="K4596" i="6" s="1"/>
  <c r="N4596" i="6"/>
  <c r="J3052" i="6"/>
  <c r="K3052" i="6" s="1"/>
  <c r="N3052" i="6"/>
  <c r="J2663" i="6" l="1"/>
  <c r="K2663" i="6" s="1"/>
  <c r="N2663" i="6"/>
  <c r="J185" i="6"/>
  <c r="K185" i="6" s="1"/>
  <c r="N185" i="6"/>
  <c r="J3924" i="6"/>
  <c r="K3924" i="6" s="1"/>
  <c r="N3924" i="6"/>
  <c r="I215" i="6"/>
  <c r="J204" i="6"/>
  <c r="K204" i="6" s="1"/>
  <c r="N204" i="6"/>
  <c r="K2954" i="6"/>
  <c r="N2954" i="6"/>
  <c r="J3200" i="6"/>
  <c r="K3200" i="6" s="1"/>
  <c r="N3200" i="6"/>
  <c r="J2317" i="6"/>
  <c r="K2317" i="6" s="1"/>
  <c r="N2317" i="6"/>
  <c r="J4574" i="6"/>
  <c r="K4574" i="6" s="1"/>
  <c r="N4574" i="6"/>
  <c r="J2903" i="6"/>
  <c r="K2903" i="6" s="1"/>
  <c r="N2903" i="6"/>
  <c r="J2505" i="6"/>
  <c r="K2505" i="6" s="1"/>
  <c r="N2505" i="6"/>
  <c r="J633" i="6"/>
  <c r="K633" i="6" s="1"/>
  <c r="N633" i="6"/>
  <c r="J4439" i="6"/>
  <c r="K4439" i="6" s="1"/>
  <c r="N4439" i="6"/>
  <c r="J4438" i="6"/>
  <c r="K4438" i="6" s="1"/>
  <c r="N4438" i="6"/>
  <c r="J3923" i="6" l="1"/>
  <c r="K3923" i="6" s="1"/>
  <c r="N3923" i="6"/>
  <c r="J2370" i="6"/>
  <c r="K2370" i="6" s="1"/>
  <c r="N2370" i="6"/>
  <c r="J779" i="6"/>
  <c r="K779" i="6" s="1"/>
  <c r="N779" i="6"/>
  <c r="J1556" i="6"/>
  <c r="K1556" i="6" s="1"/>
  <c r="N1556" i="6"/>
  <c r="J438" i="6"/>
  <c r="K438" i="6" s="1"/>
  <c r="N438" i="6"/>
  <c r="J1581" i="6"/>
  <c r="K1581" i="6" s="1"/>
  <c r="N1581" i="6"/>
  <c r="K2485" i="6"/>
  <c r="N2485" i="6"/>
  <c r="J2469" i="6"/>
  <c r="K2469" i="6" s="1"/>
  <c r="N2469" i="6"/>
  <c r="J2468" i="6"/>
  <c r="K2468" i="6" s="1"/>
  <c r="N2468" i="6"/>
  <c r="J1741" i="6"/>
  <c r="K1741" i="6" s="1"/>
  <c r="N1741" i="6"/>
  <c r="J1740" i="6"/>
  <c r="K1740" i="6" s="1"/>
  <c r="N1740" i="6"/>
  <c r="J1902" i="6"/>
  <c r="K1902" i="6" s="1"/>
  <c r="N1902" i="6"/>
  <c r="J4146" i="6"/>
  <c r="K4146" i="6" s="1"/>
  <c r="N4146" i="6"/>
  <c r="J1682" i="6"/>
  <c r="K1682" i="6" s="1"/>
  <c r="N1682" i="6"/>
  <c r="J4122" i="6"/>
  <c r="K4122" i="6" s="1"/>
  <c r="N4122" i="6"/>
  <c r="J3935" i="6"/>
  <c r="K3935" i="6" s="1"/>
  <c r="N3935" i="6"/>
  <c r="J3616" i="6"/>
  <c r="K3616" i="6" s="1"/>
  <c r="N3616" i="6"/>
  <c r="J4015" i="6"/>
  <c r="K4015" i="6" s="1"/>
  <c r="N4015" i="6"/>
  <c r="J1721" i="6"/>
  <c r="K1721" i="6" s="1"/>
  <c r="N1721" i="6"/>
  <c r="J3021" i="6"/>
  <c r="K3021" i="6" s="1"/>
  <c r="N3021" i="6"/>
  <c r="J2576" i="6"/>
  <c r="K2576" i="6" s="1"/>
  <c r="N2576" i="6"/>
  <c r="J1541" i="6"/>
  <c r="K1541" i="6" s="1"/>
  <c r="N1541" i="6"/>
  <c r="J959" i="6"/>
  <c r="K959" i="6" s="1"/>
  <c r="N959" i="6"/>
  <c r="J1295" i="6"/>
  <c r="K1295" i="6" s="1"/>
  <c r="N1295" i="6"/>
  <c r="J527" i="6"/>
  <c r="K527" i="6" s="1"/>
  <c r="N527" i="6"/>
  <c r="J1241" i="6"/>
  <c r="K1241" i="6" s="1"/>
  <c r="N1241" i="6"/>
  <c r="J738" i="6"/>
  <c r="K738" i="6" s="1"/>
  <c r="N738" i="6"/>
  <c r="J737" i="6"/>
  <c r="K737" i="6" s="1"/>
  <c r="N737" i="6"/>
  <c r="J2103" i="6"/>
  <c r="K2103" i="6" s="1"/>
  <c r="N2103" i="6"/>
  <c r="J638" i="6"/>
  <c r="K638" i="6" s="1"/>
  <c r="N638" i="6"/>
  <c r="J3454" i="6"/>
  <c r="K3454" i="6" s="1"/>
  <c r="J3788" i="6"/>
  <c r="K3788" i="6" s="1"/>
  <c r="N3454" i="6"/>
  <c r="N3788" i="6"/>
  <c r="J2632" i="6"/>
  <c r="K2632" i="6" s="1"/>
  <c r="N2632" i="6"/>
  <c r="J2752" i="6"/>
  <c r="K2752" i="6" s="1"/>
  <c r="N2752" i="6"/>
  <c r="J432" i="6"/>
  <c r="K432" i="6" s="1"/>
  <c r="N432" i="6"/>
  <c r="J830" i="6"/>
  <c r="K830" i="6" s="1"/>
  <c r="N830" i="6"/>
  <c r="J1179" i="6" l="1"/>
  <c r="K1179" i="6" s="1"/>
  <c r="N1179" i="6"/>
  <c r="J4145" i="6" l="1"/>
  <c r="K4145" i="6" s="1"/>
  <c r="N4145" i="6"/>
  <c r="J4117" i="6"/>
  <c r="K4117" i="6" s="1"/>
  <c r="N4117" i="6"/>
  <c r="J4593" i="6"/>
  <c r="K4593" i="6" s="1"/>
  <c r="N4593" i="6"/>
  <c r="J2784" i="6"/>
  <c r="K2784" i="6" s="1"/>
  <c r="N2784" i="6"/>
  <c r="J2835" i="6"/>
  <c r="K2835" i="6" s="1"/>
  <c r="N2835" i="6"/>
  <c r="N2217" i="6"/>
  <c r="J2217" i="6"/>
  <c r="K2217" i="6" s="1"/>
  <c r="N2216" i="6"/>
  <c r="J2216" i="6"/>
  <c r="K2216" i="6" s="1"/>
  <c r="N2215" i="6"/>
  <c r="J2215" i="6"/>
  <c r="K2215" i="6" s="1"/>
  <c r="N2214" i="6"/>
  <c r="J2214" i="6"/>
  <c r="K2214" i="6" s="1"/>
  <c r="J2213" i="6"/>
  <c r="K2213" i="6" s="1"/>
  <c r="N2213" i="6"/>
  <c r="N3563" i="6"/>
  <c r="J3563" i="6"/>
  <c r="K3563" i="6" s="1"/>
  <c r="N3562" i="6"/>
  <c r="J3562" i="6"/>
  <c r="K3562" i="6" s="1"/>
  <c r="N3561" i="6"/>
  <c r="J3561" i="6"/>
  <c r="K3561" i="6" s="1"/>
  <c r="J3560" i="6"/>
  <c r="K3560" i="6" s="1"/>
  <c r="N3560" i="6"/>
  <c r="N792" i="6"/>
  <c r="J792" i="6"/>
  <c r="K792" i="6" s="1"/>
  <c r="N791" i="6"/>
  <c r="J791" i="6"/>
  <c r="K791" i="6" s="1"/>
  <c r="J790" i="6"/>
  <c r="K790" i="6" s="1"/>
  <c r="N790" i="6"/>
  <c r="J297" i="6"/>
  <c r="K297" i="6" s="1"/>
  <c r="N297" i="6"/>
  <c r="J287" i="6"/>
  <c r="K287" i="6" s="1"/>
  <c r="N287" i="6"/>
  <c r="J286" i="6"/>
  <c r="K286" i="6" s="1"/>
  <c r="N286" i="6"/>
  <c r="J714" i="6" l="1"/>
  <c r="K714" i="6" s="1"/>
  <c r="N714" i="6"/>
  <c r="J713" i="6"/>
  <c r="K713" i="6" s="1"/>
  <c r="N713" i="6"/>
  <c r="J1162" i="6"/>
  <c r="K1162" i="6" s="1"/>
  <c r="N1162" i="6"/>
  <c r="J1138" i="6"/>
  <c r="K1138" i="6" s="1"/>
  <c r="J1139" i="6"/>
  <c r="K1139" i="6" s="1"/>
  <c r="J1140" i="6"/>
  <c r="K1140" i="6" s="1"/>
  <c r="J1141" i="6"/>
  <c r="K1141" i="6" s="1"/>
  <c r="J1142" i="6"/>
  <c r="K1142" i="6" s="1"/>
  <c r="J1143" i="6"/>
  <c r="K1143" i="6" s="1"/>
  <c r="J1144" i="6"/>
  <c r="K1144" i="6" s="1"/>
  <c r="J1145" i="6"/>
  <c r="K1145" i="6" s="1"/>
  <c r="J1146" i="6"/>
  <c r="K1146" i="6" s="1"/>
  <c r="J1147" i="6"/>
  <c r="K1147" i="6" s="1"/>
  <c r="J1148" i="6"/>
  <c r="K1148" i="6" s="1"/>
  <c r="J1149" i="6"/>
  <c r="K1149" i="6" s="1"/>
  <c r="J1150" i="6"/>
  <c r="K1150" i="6" s="1"/>
  <c r="J1151" i="6"/>
  <c r="K1151" i="6" s="1"/>
  <c r="J1152" i="6"/>
  <c r="K1152" i="6" s="1"/>
  <c r="J1153" i="6"/>
  <c r="K1153" i="6" s="1"/>
  <c r="J1154" i="6"/>
  <c r="K1154" i="6" s="1"/>
  <c r="J1155" i="6"/>
  <c r="K1155" i="6" s="1"/>
  <c r="J1160" i="6"/>
  <c r="K1160" i="6" s="1"/>
  <c r="J1161" i="6"/>
  <c r="K1161" i="6" s="1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60" i="6"/>
  <c r="N1161" i="6"/>
  <c r="J1163" i="6"/>
  <c r="K1163" i="6" s="1"/>
  <c r="J1164" i="6"/>
  <c r="K1164" i="6" s="1"/>
  <c r="J1165" i="6"/>
  <c r="K1165" i="6" s="1"/>
  <c r="J1166" i="6"/>
  <c r="K1166" i="6" s="1"/>
  <c r="J1167" i="6"/>
  <c r="K1167" i="6" s="1"/>
  <c r="J1168" i="6"/>
  <c r="K1168" i="6" s="1"/>
  <c r="J1169" i="6"/>
  <c r="K1169" i="6" s="1"/>
  <c r="J1170" i="6"/>
  <c r="K1170" i="6" s="1"/>
  <c r="J1171" i="6"/>
  <c r="K1171" i="6" s="1"/>
  <c r="J1172" i="6"/>
  <c r="K1172" i="6" s="1"/>
  <c r="J1173" i="6"/>
  <c r="K1173" i="6" s="1"/>
  <c r="J1174" i="6"/>
  <c r="K1174" i="6" s="1"/>
  <c r="J1175" i="6"/>
  <c r="K1175" i="6" s="1"/>
  <c r="J1176" i="6"/>
  <c r="K1176" i="6" s="1"/>
  <c r="J1177" i="6"/>
  <c r="K1177" i="6" s="1"/>
  <c r="J1178" i="6"/>
  <c r="K1178" i="6" s="1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J2023" i="6"/>
  <c r="K2023" i="6" s="1"/>
  <c r="N2023" i="6"/>
  <c r="J2810" i="6"/>
  <c r="K2810" i="6" s="1"/>
  <c r="N2810" i="6"/>
  <c r="J2831" i="6"/>
  <c r="K2831" i="6" s="1"/>
  <c r="N2831" i="6"/>
  <c r="J3043" i="6"/>
  <c r="K3043" i="6" s="1"/>
  <c r="N3043" i="6"/>
  <c r="J2182" i="6"/>
  <c r="K2182" i="6" s="1"/>
  <c r="N2182" i="6"/>
  <c r="K2963" i="6"/>
  <c r="N2963" i="6"/>
  <c r="J2396" i="6"/>
  <c r="K2396" i="6" s="1"/>
  <c r="N2396" i="6"/>
  <c r="J3469" i="6" l="1"/>
  <c r="K3469" i="6" s="1"/>
  <c r="N3469" i="6"/>
  <c r="J3470" i="6"/>
  <c r="K3470" i="6" s="1"/>
  <c r="N3470" i="6"/>
  <c r="J1630" i="6"/>
  <c r="K1630" i="6" s="1"/>
  <c r="N1630" i="6"/>
  <c r="J2086" i="6"/>
  <c r="K2086" i="6" s="1"/>
  <c r="N2086" i="6"/>
  <c r="J2085" i="6"/>
  <c r="K2085" i="6" s="1"/>
  <c r="N2085" i="6"/>
  <c r="J2684" i="6" l="1"/>
  <c r="K2684" i="6" s="1"/>
  <c r="N2684" i="6"/>
  <c r="J3335" i="6" l="1"/>
  <c r="K3335" i="6" s="1"/>
  <c r="N3335" i="6"/>
  <c r="J3334" i="6"/>
  <c r="K3334" i="6" s="1"/>
  <c r="N3334" i="6"/>
  <c r="J3061" i="6"/>
  <c r="K3061" i="6" s="1"/>
  <c r="N3061" i="6"/>
  <c r="J3062" i="6"/>
  <c r="K3062" i="6" s="1"/>
  <c r="N3062" i="6"/>
  <c r="J557" i="6"/>
  <c r="K557" i="6" s="1"/>
  <c r="N557" i="6"/>
  <c r="J555" i="6"/>
  <c r="K555" i="6" s="1"/>
  <c r="N555" i="6"/>
  <c r="J350" i="6"/>
  <c r="K350" i="6" s="1"/>
  <c r="N350" i="6"/>
  <c r="J4412" i="6"/>
  <c r="K4412" i="6" s="1"/>
  <c r="N4412" i="6"/>
  <c r="J4413" i="6"/>
  <c r="K4413" i="6" s="1"/>
  <c r="N4413" i="6"/>
  <c r="J271" i="6"/>
  <c r="K271" i="6" s="1"/>
  <c r="N271" i="6"/>
  <c r="J275" i="6"/>
  <c r="K275" i="6" s="1"/>
  <c r="J270" i="6"/>
  <c r="K270" i="6" s="1"/>
  <c r="N270" i="6"/>
  <c r="N275" i="6"/>
  <c r="J2785" i="6"/>
  <c r="K2785" i="6" s="1"/>
  <c r="N2785" i="6"/>
  <c r="J3008" i="6"/>
  <c r="K3008" i="6" s="1"/>
  <c r="N3008" i="6"/>
  <c r="J1890" i="6"/>
  <c r="K1890" i="6" s="1"/>
  <c r="N1890" i="6"/>
  <c r="J3474" i="6"/>
  <c r="K3474" i="6" s="1"/>
  <c r="N3474" i="6"/>
  <c r="J3760" i="6" l="1"/>
  <c r="K3760" i="6" s="1"/>
  <c r="N3760" i="6"/>
  <c r="J2700" i="6" l="1"/>
  <c r="K2700" i="6" s="1"/>
  <c r="N2700" i="6"/>
  <c r="J4595" i="6"/>
  <c r="K4595" i="6" s="1"/>
  <c r="N4595" i="6"/>
  <c r="N4528" i="6"/>
  <c r="J4528" i="6"/>
  <c r="K4528" i="6" s="1"/>
  <c r="N4527" i="6"/>
  <c r="J4527" i="6"/>
  <c r="K4527" i="6" s="1"/>
  <c r="N4526" i="6"/>
  <c r="J4526" i="6"/>
  <c r="K4526" i="6" s="1"/>
  <c r="J4525" i="6"/>
  <c r="K4525" i="6" s="1"/>
  <c r="N4525" i="6"/>
  <c r="K4167" i="6"/>
  <c r="N4167" i="6"/>
  <c r="N1913" i="6" l="1"/>
  <c r="J1913" i="6"/>
  <c r="K1913" i="6" s="1"/>
  <c r="J1912" i="6"/>
  <c r="K1912" i="6" s="1"/>
  <c r="N1912" i="6"/>
  <c r="J304" i="6"/>
  <c r="K304" i="6" s="1"/>
  <c r="N304" i="6"/>
  <c r="W4" i="53"/>
  <c r="J1629" i="6" l="1"/>
  <c r="K1629" i="6" s="1"/>
  <c r="N1629" i="6"/>
  <c r="J556" i="6" l="1"/>
  <c r="K556" i="6" s="1"/>
  <c r="N556" i="6"/>
  <c r="J3192" i="6"/>
  <c r="K3192" i="6" s="1"/>
  <c r="N3192" i="6"/>
  <c r="J4594" i="6"/>
  <c r="K4594" i="6" s="1"/>
  <c r="N4594" i="6"/>
  <c r="J4165" i="6"/>
  <c r="K4165" i="6" s="1"/>
  <c r="N4165" i="6"/>
  <c r="J475" i="6" l="1"/>
  <c r="K475" i="6" s="1"/>
  <c r="J476" i="6"/>
  <c r="K476" i="6" s="1"/>
  <c r="J477" i="6"/>
  <c r="K477" i="6" s="1"/>
  <c r="N475" i="6"/>
  <c r="N476" i="6"/>
  <c r="N477" i="6"/>
  <c r="J474" i="6"/>
  <c r="K474" i="6" s="1"/>
  <c r="N474" i="6"/>
  <c r="J2102" i="6"/>
  <c r="K2102" i="6" s="1"/>
  <c r="N2102" i="6"/>
  <c r="J2661" i="6"/>
  <c r="K2661" i="6" s="1"/>
  <c r="N2661" i="6"/>
  <c r="J2902" i="6"/>
  <c r="K2902" i="6" s="1"/>
  <c r="N2902" i="6"/>
  <c r="K3271" i="6"/>
  <c r="N3271" i="6"/>
  <c r="J2466" i="6"/>
  <c r="K2466" i="6" s="1"/>
  <c r="N2466" i="6"/>
  <c r="J2660" i="6"/>
  <c r="K2660" i="6" s="1"/>
  <c r="N2660" i="6"/>
  <c r="J4183" i="6"/>
  <c r="K4183" i="6" s="1"/>
  <c r="N4183" i="6"/>
  <c r="J4182" i="6"/>
  <c r="K4182" i="6" s="1"/>
  <c r="N4182" i="6"/>
  <c r="J349" i="6"/>
  <c r="K349" i="6" s="1"/>
  <c r="N349" i="6"/>
  <c r="J3532" i="6"/>
  <c r="K3532" i="6" s="1"/>
  <c r="N3532" i="6"/>
  <c r="J3729" i="6"/>
  <c r="K3729" i="6" s="1"/>
  <c r="N3729" i="6"/>
  <c r="J2467" i="6" l="1"/>
  <c r="K2467" i="6" s="1"/>
  <c r="N2467" i="6"/>
  <c r="J1900" i="6"/>
  <c r="K1900" i="6" s="1"/>
  <c r="N1900" i="6"/>
  <c r="J4144" i="6"/>
  <c r="K4144" i="6" s="1"/>
  <c r="N4144" i="6"/>
  <c r="J1337" i="6"/>
  <c r="K1337" i="6" s="1"/>
  <c r="J2575" i="6"/>
  <c r="K2575" i="6" s="1"/>
  <c r="J3020" i="6"/>
  <c r="K3020" i="6" s="1"/>
  <c r="J4014" i="6"/>
  <c r="K4014" i="6" s="1"/>
  <c r="J2994" i="6"/>
  <c r="K2994" i="6" s="1"/>
  <c r="J3603" i="6"/>
  <c r="K3603" i="6" s="1"/>
  <c r="K4328" i="6"/>
  <c r="J3934" i="6"/>
  <c r="K3934" i="6" s="1"/>
  <c r="J4120" i="6"/>
  <c r="K4120" i="6" s="1"/>
  <c r="J1680" i="6"/>
  <c r="K1680" i="6" s="1"/>
  <c r="N1337" i="6"/>
  <c r="N2575" i="6"/>
  <c r="N3020" i="6"/>
  <c r="N4014" i="6"/>
  <c r="N2994" i="6"/>
  <c r="N3603" i="6"/>
  <c r="N4328" i="6"/>
  <c r="N3934" i="6"/>
  <c r="N4120" i="6"/>
  <c r="N1680" i="6"/>
  <c r="J828" i="6"/>
  <c r="K828" i="6" s="1"/>
  <c r="N828" i="6"/>
  <c r="J2210" i="6"/>
  <c r="K2210" i="6" s="1"/>
  <c r="N2210" i="6"/>
  <c r="J2211" i="6"/>
  <c r="K2211" i="6" s="1"/>
  <c r="N2211" i="6"/>
  <c r="J2208" i="6"/>
  <c r="K2208" i="6" s="1"/>
  <c r="N2208" i="6"/>
  <c r="J2209" i="6"/>
  <c r="K2209" i="6" s="1"/>
  <c r="N2209" i="6"/>
  <c r="J2212" i="6"/>
  <c r="K2212" i="6" s="1"/>
  <c r="N2212" i="6"/>
  <c r="J887" i="6"/>
  <c r="K887" i="6" s="1"/>
  <c r="N887" i="6"/>
  <c r="J927" i="6"/>
  <c r="K927" i="6" s="1"/>
  <c r="N927" i="6"/>
  <c r="J1871" i="6"/>
  <c r="K1871" i="6" s="1"/>
  <c r="N1871" i="6"/>
  <c r="J1872" i="6"/>
  <c r="K1872" i="6" s="1"/>
  <c r="N1872" i="6"/>
  <c r="J3959" i="6"/>
  <c r="K3959" i="6" s="1"/>
  <c r="N3959" i="6"/>
  <c r="J3958" i="6"/>
  <c r="K3958" i="6" s="1"/>
  <c r="N3958" i="6"/>
  <c r="N4496" i="6"/>
  <c r="J4496" i="6"/>
  <c r="K4496" i="6" s="1"/>
  <c r="J4495" i="6"/>
  <c r="K4495" i="6" s="1"/>
  <c r="N4495" i="6"/>
  <c r="J3194" i="6"/>
  <c r="K3194" i="6" s="1"/>
  <c r="N3194" i="6"/>
  <c r="J3195" i="6"/>
  <c r="K3195" i="6" s="1"/>
  <c r="N3195" i="6"/>
  <c r="J3196" i="6"/>
  <c r="K3196" i="6" s="1"/>
  <c r="N3196" i="6"/>
  <c r="J3197" i="6"/>
  <c r="K3197" i="6" s="1"/>
  <c r="N3197" i="6"/>
  <c r="J3056" i="6"/>
  <c r="K3056" i="6" s="1"/>
  <c r="N3056" i="6"/>
  <c r="J512" i="6"/>
  <c r="K512" i="6" s="1"/>
  <c r="N512" i="6"/>
  <c r="J472" i="6" l="1"/>
  <c r="K472" i="6" s="1"/>
  <c r="N472" i="6"/>
  <c r="J2713" i="6"/>
  <c r="K2713" i="6" s="1"/>
  <c r="N2713" i="6"/>
  <c r="J2712" i="6"/>
  <c r="K2712" i="6" s="1"/>
  <c r="N2712" i="6"/>
  <c r="J4128" i="6"/>
  <c r="K4128" i="6" s="1"/>
  <c r="N4128" i="6"/>
  <c r="J3568" i="6"/>
  <c r="K3568" i="6" s="1"/>
  <c r="J3569" i="6"/>
  <c r="K3569" i="6" s="1"/>
  <c r="N3568" i="6"/>
  <c r="N3569" i="6"/>
  <c r="J3570" i="6"/>
  <c r="K3570" i="6" s="1"/>
  <c r="N3570" i="6"/>
  <c r="J3571" i="6"/>
  <c r="K3571" i="6" s="1"/>
  <c r="N3571" i="6"/>
  <c r="J1156" i="6"/>
  <c r="K1156" i="6" s="1"/>
  <c r="N1156" i="6"/>
  <c r="J1157" i="6"/>
  <c r="K1157" i="6" s="1"/>
  <c r="N1157" i="6"/>
  <c r="J1158" i="6"/>
  <c r="K1158" i="6" s="1"/>
  <c r="N1158" i="6"/>
  <c r="J1159" i="6"/>
  <c r="K1159" i="6" s="1"/>
  <c r="N1159" i="6"/>
  <c r="J1233" i="6"/>
  <c r="K1233" i="6" s="1"/>
  <c r="J1234" i="6"/>
  <c r="K1234" i="6" s="1"/>
  <c r="N1233" i="6"/>
  <c r="N1234" i="6"/>
  <c r="J1235" i="6"/>
  <c r="K1235" i="6" s="1"/>
  <c r="J1236" i="6"/>
  <c r="K1236" i="6" s="1"/>
  <c r="J1237" i="6"/>
  <c r="K1237" i="6" s="1"/>
  <c r="N1235" i="6"/>
  <c r="N1236" i="6"/>
  <c r="N1237" i="6"/>
  <c r="J1238" i="6"/>
  <c r="K1238" i="6" s="1"/>
  <c r="N1238" i="6"/>
  <c r="J1239" i="6"/>
  <c r="K1239" i="6" s="1"/>
  <c r="N1239" i="6"/>
  <c r="J1240" i="6"/>
  <c r="K1240" i="6" s="1"/>
  <c r="N1240" i="6"/>
  <c r="J3198" i="6" l="1"/>
  <c r="K3198" i="6" s="1"/>
  <c r="N3198" i="6"/>
  <c r="J3193" i="6"/>
  <c r="K3193" i="6" s="1"/>
  <c r="N3193" i="6"/>
  <c r="J3728" i="6" l="1"/>
  <c r="K3728" i="6" s="1"/>
  <c r="N3728" i="6"/>
  <c r="J4410" i="6" l="1"/>
  <c r="K4410" i="6" s="1"/>
  <c r="N4410" i="6"/>
  <c r="J4411" i="6"/>
  <c r="K4411" i="6" s="1"/>
  <c r="N4411" i="6"/>
  <c r="J4409" i="6"/>
  <c r="K4409" i="6" s="1"/>
  <c r="N4409" i="6"/>
  <c r="J3471" i="6" l="1"/>
  <c r="K3471" i="6" s="1"/>
  <c r="N3471" i="6"/>
  <c r="J3472" i="6"/>
  <c r="K3472" i="6" s="1"/>
  <c r="N3472" i="6"/>
  <c r="J3473" i="6"/>
  <c r="K3473" i="6" s="1"/>
  <c r="N3473" i="6"/>
  <c r="J1249" i="6"/>
  <c r="K1249" i="6" s="1"/>
  <c r="N1249" i="6"/>
  <c r="J1250" i="6"/>
  <c r="K1250" i="6" s="1"/>
  <c r="N1250" i="6"/>
  <c r="J553" i="6"/>
  <c r="K553" i="6" s="1"/>
  <c r="N553" i="6"/>
  <c r="J3199" i="6"/>
  <c r="K3199" i="6" s="1"/>
  <c r="N3199" i="6"/>
  <c r="J3567" i="6"/>
  <c r="K3567" i="6" s="1"/>
  <c r="N3567" i="6"/>
  <c r="J3564" i="6"/>
  <c r="K3564" i="6" s="1"/>
  <c r="N3564" i="6"/>
  <c r="J3565" i="6"/>
  <c r="K3565" i="6" s="1"/>
  <c r="N3565" i="6"/>
  <c r="J3566" i="6"/>
  <c r="K3566" i="6" s="1"/>
  <c r="N3566" i="6"/>
  <c r="J3332" i="6"/>
  <c r="K3332" i="6" s="1"/>
  <c r="N3332" i="6"/>
  <c r="J3333" i="6"/>
  <c r="K3333" i="6" s="1"/>
  <c r="N3333" i="6"/>
  <c r="J3328" i="6"/>
  <c r="J3329" i="6"/>
  <c r="J3330" i="6"/>
  <c r="J3331" i="6"/>
  <c r="J3452" i="6"/>
  <c r="J3453" i="6"/>
  <c r="J3517" i="6"/>
  <c r="J3531" i="6"/>
  <c r="J3750" i="6"/>
  <c r="J3787" i="6"/>
  <c r="J3851" i="6"/>
  <c r="J4414" i="6"/>
  <c r="J4499" i="6"/>
  <c r="J2204" i="6"/>
  <c r="K2204" i="6" s="1"/>
  <c r="J2205" i="6"/>
  <c r="K2205" i="6" s="1"/>
  <c r="J2206" i="6"/>
  <c r="K2206" i="6" s="1"/>
  <c r="J2207" i="6"/>
  <c r="K2207" i="6" s="1"/>
  <c r="N2207" i="6"/>
  <c r="N2206" i="6"/>
  <c r="N2205" i="6"/>
  <c r="N2204" i="6"/>
  <c r="J1232" i="6"/>
  <c r="K1232" i="6" s="1"/>
  <c r="N1232" i="6"/>
  <c r="J586" i="6"/>
  <c r="K586" i="6" s="1"/>
  <c r="N586" i="6"/>
  <c r="J4184" i="6"/>
  <c r="J4181" i="6"/>
  <c r="J2904" i="6"/>
  <c r="K2904" i="6" s="1"/>
  <c r="N2904" i="6"/>
  <c r="J348" i="6" l="1"/>
  <c r="K348" i="6" s="1"/>
  <c r="N348" i="6"/>
  <c r="J2631" i="6"/>
  <c r="K2631" i="6" s="1"/>
  <c r="N2631" i="6"/>
  <c r="K3787" i="6"/>
  <c r="N3787" i="6"/>
  <c r="K3517" i="6"/>
  <c r="N3517" i="6"/>
  <c r="K3453" i="6"/>
  <c r="N3453" i="6"/>
  <c r="N2119" i="6" l="1"/>
  <c r="K2119" i="6"/>
  <c r="J3742" i="6"/>
  <c r="K3742" i="6" s="1"/>
  <c r="N3742" i="6"/>
  <c r="J2393" i="6"/>
  <c r="K2393" i="6" s="1"/>
  <c r="N2393" i="6"/>
  <c r="J2268" i="6"/>
  <c r="K2268" i="6" s="1"/>
  <c r="N2268" i="6"/>
  <c r="J3747" i="6"/>
  <c r="K3747" i="6" s="1"/>
  <c r="N3747" i="6"/>
  <c r="J3748" i="6"/>
  <c r="K3748" i="6" s="1"/>
  <c r="N3748" i="6"/>
  <c r="J3972" i="6"/>
  <c r="K3972" i="6" s="1"/>
  <c r="N3972" i="6"/>
  <c r="J3971" i="6"/>
  <c r="K3971" i="6" s="1"/>
  <c r="N3971" i="6"/>
  <c r="J3191" i="6"/>
  <c r="K3191" i="6" s="1"/>
  <c r="N3191" i="6"/>
  <c r="J59" i="6"/>
  <c r="K59" i="6" s="1"/>
  <c r="N59" i="6"/>
  <c r="J538" i="6"/>
  <c r="K538" i="6" s="1"/>
  <c r="N538" i="6"/>
  <c r="J537" i="6"/>
  <c r="K537" i="6" s="1"/>
  <c r="N537" i="6"/>
  <c r="J536" i="6"/>
  <c r="K536" i="6" s="1"/>
  <c r="N536" i="6"/>
  <c r="J3850" i="6"/>
  <c r="K3850" i="6" s="1"/>
  <c r="N3850" i="6"/>
  <c r="J3849" i="6"/>
  <c r="K3849" i="6" s="1"/>
  <c r="N3849" i="6"/>
  <c r="J1270" i="6"/>
  <c r="K1270" i="6" s="1"/>
  <c r="N1270" i="6"/>
  <c r="J1269" i="6"/>
  <c r="K1269" i="6" s="1"/>
  <c r="N1269" i="6"/>
  <c r="J1272" i="6"/>
  <c r="K1272" i="6" s="1"/>
  <c r="N1272" i="6"/>
  <c r="J4408" i="6"/>
  <c r="K4408" i="6" s="1"/>
  <c r="N4408" i="6"/>
  <c r="J3451" i="6" l="1"/>
  <c r="K3451" i="6" s="1"/>
  <c r="N3451" i="6"/>
  <c r="J1870" i="6" l="1"/>
  <c r="K1870" i="6" s="1"/>
  <c r="N1870" i="6"/>
  <c r="J810" i="6" l="1"/>
  <c r="K810" i="6" s="1"/>
  <c r="N810" i="6"/>
  <c r="J2202" i="6"/>
  <c r="K2202" i="6" s="1"/>
  <c r="N2202" i="6"/>
  <c r="J2203" i="6"/>
  <c r="K2203" i="6" s="1"/>
  <c r="N2203" i="6"/>
  <c r="J2118" i="6" l="1"/>
  <c r="K2118" i="6" s="1"/>
  <c r="N2118" i="6"/>
  <c r="K2319" i="6" l="1"/>
  <c r="N2319" i="6"/>
  <c r="J4031" i="6"/>
  <c r="K4031" i="6" s="1"/>
  <c r="N4031" i="6"/>
  <c r="J1869" i="6"/>
  <c r="K1869" i="6" s="1"/>
  <c r="N1869" i="6"/>
  <c r="J1739" i="6"/>
  <c r="K1739" i="6" s="1"/>
  <c r="N1739" i="6"/>
  <c r="J2201" i="6"/>
  <c r="K2201" i="6" s="1"/>
  <c r="N2201" i="6"/>
  <c r="J402" i="6"/>
  <c r="K402" i="6" s="1"/>
  <c r="N402" i="6"/>
  <c r="J3190" i="6" l="1"/>
  <c r="K3190" i="6" s="1"/>
  <c r="N3190" i="6"/>
  <c r="J807" i="6"/>
  <c r="K807" i="6" s="1"/>
  <c r="N807" i="6"/>
  <c r="J808" i="6"/>
  <c r="K808" i="6" s="1"/>
  <c r="N808" i="6"/>
  <c r="J809" i="6"/>
  <c r="K809" i="6" s="1"/>
  <c r="N809" i="6"/>
  <c r="J806" i="6"/>
  <c r="K806" i="6" s="1"/>
  <c r="N806" i="6"/>
  <c r="J1627" i="6"/>
  <c r="K1627" i="6" s="1"/>
  <c r="N1627" i="6"/>
  <c r="J109" i="6"/>
  <c r="K109" i="6" s="1"/>
  <c r="N109" i="6"/>
  <c r="J178" i="6"/>
  <c r="K178" i="6" s="1"/>
  <c r="N178" i="6"/>
  <c r="J2180" i="6"/>
  <c r="K2180" i="6" s="1"/>
  <c r="N2180" i="6"/>
  <c r="J2181" i="6"/>
  <c r="K2181" i="6" s="1"/>
  <c r="N2181" i="6"/>
  <c r="J3042" i="6" l="1"/>
  <c r="K3042" i="6" s="1"/>
  <c r="N3042" i="6"/>
  <c r="J637" i="6" l="1"/>
  <c r="K637" i="6" s="1"/>
  <c r="N637" i="6"/>
  <c r="J1044" i="6"/>
  <c r="K1044" i="6" s="1"/>
  <c r="N1044" i="6"/>
  <c r="J2574" i="6"/>
  <c r="K2574" i="6" s="1"/>
  <c r="N2574" i="6"/>
  <c r="J4118" i="6"/>
  <c r="K4118" i="6" s="1"/>
  <c r="N4118" i="6"/>
  <c r="J4471" i="6"/>
  <c r="K4471" i="6" s="1"/>
  <c r="N4471" i="6"/>
  <c r="J2394" i="6"/>
  <c r="K2394" i="6" s="1"/>
  <c r="N2394" i="6"/>
  <c r="J778" i="6"/>
  <c r="K778" i="6" s="1"/>
  <c r="N778" i="6"/>
  <c r="J2901" i="6"/>
  <c r="K2901" i="6" s="1"/>
  <c r="N2901" i="6"/>
  <c r="J1911" i="6" l="1"/>
  <c r="K1911" i="6" s="1"/>
  <c r="N1911" i="6"/>
  <c r="J2852" i="6"/>
  <c r="K2852" i="6" s="1"/>
  <c r="N2852" i="6"/>
  <c r="J4454" i="6" l="1"/>
  <c r="K4454" i="6" s="1"/>
  <c r="N4454" i="6"/>
  <c r="J4455" i="6"/>
  <c r="K4455" i="6" s="1"/>
  <c r="N4455" i="6"/>
  <c r="J4456" i="6"/>
  <c r="K4456" i="6" s="1"/>
  <c r="N4456" i="6"/>
  <c r="J2179" i="6"/>
  <c r="K2179" i="6" s="1"/>
  <c r="N2179" i="6"/>
  <c r="J1655" i="6"/>
  <c r="K1655" i="6" s="1"/>
  <c r="N1655" i="6"/>
  <c r="J2947" i="6"/>
  <c r="K2947" i="6" s="1"/>
  <c r="N2947" i="6"/>
  <c r="J2948" i="6"/>
  <c r="K2948" i="6" s="1"/>
  <c r="N2948" i="6"/>
  <c r="J1578" i="6"/>
  <c r="K1578" i="6" s="1"/>
  <c r="N1578" i="6"/>
  <c r="J1579" i="6"/>
  <c r="K1579" i="6" s="1"/>
  <c r="N1579" i="6"/>
  <c r="J1580" i="6"/>
  <c r="K1580" i="6" s="1"/>
  <c r="N1580" i="6"/>
  <c r="J1529" i="6"/>
  <c r="K1529" i="6" s="1"/>
  <c r="J1530" i="6"/>
  <c r="K1530" i="6" s="1"/>
  <c r="N1529" i="6"/>
  <c r="N1530" i="6"/>
  <c r="J1531" i="6"/>
  <c r="K1531" i="6" s="1"/>
  <c r="J1532" i="6"/>
  <c r="K1532" i="6" s="1"/>
  <c r="N1531" i="6"/>
  <c r="N1532" i="6"/>
  <c r="J1533" i="6"/>
  <c r="K1533" i="6" s="1"/>
  <c r="N1533" i="6"/>
  <c r="J1534" i="6"/>
  <c r="K1534" i="6" s="1"/>
  <c r="N1534" i="6"/>
  <c r="K2369" i="6"/>
  <c r="N2369" i="6"/>
  <c r="K2577" i="6"/>
  <c r="N2577" i="6"/>
  <c r="J347" i="6"/>
  <c r="K347" i="6" s="1"/>
  <c r="N347" i="6"/>
  <c r="J11" i="6" l="1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6" i="6"/>
  <c r="J37" i="6"/>
  <c r="J38" i="6"/>
  <c r="J39" i="6"/>
  <c r="J42" i="6"/>
  <c r="J43" i="6"/>
  <c r="J44" i="6"/>
  <c r="J46" i="6"/>
  <c r="J47" i="6"/>
  <c r="J58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45" i="6"/>
  <c r="J126" i="6"/>
  <c r="J127" i="6"/>
  <c r="J149" i="6"/>
  <c r="J150" i="6"/>
  <c r="J151" i="6"/>
  <c r="J152" i="6"/>
  <c r="J153" i="6"/>
  <c r="J154" i="6"/>
  <c r="J157" i="6"/>
  <c r="J158" i="6"/>
  <c r="J160" i="6"/>
  <c r="J161" i="6"/>
  <c r="J162" i="6"/>
  <c r="J163" i="6"/>
  <c r="J164" i="6"/>
  <c r="J165" i="6"/>
  <c r="J166" i="6"/>
  <c r="J106" i="6"/>
  <c r="J174" i="6"/>
  <c r="J175" i="6"/>
  <c r="J176" i="6"/>
  <c r="J177" i="6"/>
  <c r="J180" i="6"/>
  <c r="J181" i="6"/>
  <c r="J201" i="6"/>
  <c r="J203" i="6"/>
  <c r="J206" i="6"/>
  <c r="J209" i="6"/>
  <c r="J212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107" i="6"/>
  <c r="J108" i="6"/>
  <c r="J155" i="6"/>
  <c r="J124" i="6"/>
  <c r="J244" i="6"/>
  <c r="J245" i="6"/>
  <c r="J246" i="6"/>
  <c r="J248" i="6"/>
  <c r="J249" i="6"/>
  <c r="J250" i="6"/>
  <c r="J259" i="6"/>
  <c r="J260" i="6"/>
  <c r="J288" i="6"/>
  <c r="J289" i="6"/>
  <c r="J290" i="6"/>
  <c r="J291" i="6"/>
  <c r="J292" i="6"/>
  <c r="J293" i="6"/>
  <c r="J294" i="6"/>
  <c r="J295" i="6"/>
  <c r="J296" i="6"/>
  <c r="J308" i="6"/>
  <c r="J309" i="6"/>
  <c r="J310" i="6"/>
  <c r="J312" i="6"/>
  <c r="J315" i="6"/>
  <c r="J317" i="6"/>
  <c r="J318" i="6"/>
  <c r="J319" i="6"/>
  <c r="J320" i="6"/>
  <c r="J321" i="6"/>
  <c r="J322" i="6"/>
  <c r="J323" i="6"/>
  <c r="J324" i="6"/>
  <c r="J325" i="6"/>
  <c r="J328" i="6"/>
  <c r="J329" i="6"/>
  <c r="J330" i="6"/>
  <c r="J333" i="6"/>
  <c r="J334" i="6"/>
  <c r="J335" i="6"/>
  <c r="J336" i="6"/>
  <c r="J337" i="6"/>
  <c r="J338" i="6"/>
  <c r="J340" i="6"/>
  <c r="J341" i="6"/>
  <c r="J342" i="6"/>
  <c r="J343" i="6"/>
  <c r="J217" i="6"/>
  <c r="J382" i="6"/>
  <c r="J383" i="6"/>
  <c r="J386" i="6"/>
  <c r="J387" i="6"/>
  <c r="J388" i="6"/>
  <c r="J389" i="6"/>
  <c r="J390" i="6"/>
  <c r="J391" i="6"/>
  <c r="J392" i="6"/>
  <c r="J399" i="6"/>
  <c r="J400" i="6"/>
  <c r="J401" i="6"/>
  <c r="J205" i="6"/>
  <c r="J413" i="6"/>
  <c r="J414" i="6"/>
  <c r="J415" i="6"/>
  <c r="J416" i="6"/>
  <c r="J417" i="6"/>
  <c r="J418" i="6"/>
  <c r="J419" i="6"/>
  <c r="J420" i="6"/>
  <c r="J215" i="6"/>
  <c r="J421" i="6"/>
  <c r="J430" i="6"/>
  <c r="J435" i="6"/>
  <c r="J422" i="6"/>
  <c r="J261" i="6"/>
  <c r="J454" i="6"/>
  <c r="J455" i="6"/>
  <c r="J466" i="6"/>
  <c r="J467" i="6"/>
  <c r="J468" i="6"/>
  <c r="J469" i="6"/>
  <c r="J470" i="6"/>
  <c r="J471" i="6"/>
  <c r="J479" i="6"/>
  <c r="J481" i="6"/>
  <c r="J482" i="6"/>
  <c r="J487" i="6"/>
  <c r="J489" i="6"/>
  <c r="J490" i="6"/>
  <c r="J491" i="6"/>
  <c r="J492" i="6"/>
  <c r="J493" i="6"/>
  <c r="J494" i="6"/>
  <c r="J495" i="6"/>
  <c r="J497" i="6"/>
  <c r="J345" i="6"/>
  <c r="J498" i="6"/>
  <c r="J499" i="6"/>
  <c r="J500" i="6"/>
  <c r="J501" i="6"/>
  <c r="J503" i="6"/>
  <c r="J504" i="6"/>
  <c r="J511" i="6"/>
  <c r="J516" i="6"/>
  <c r="J517" i="6"/>
  <c r="J518" i="6"/>
  <c r="J519" i="6"/>
  <c r="J520" i="6"/>
  <c r="J521" i="6"/>
  <c r="J522" i="6"/>
  <c r="J523" i="6"/>
  <c r="J524" i="6"/>
  <c r="J525" i="6"/>
  <c r="J529" i="6"/>
  <c r="J530" i="6"/>
  <c r="J531" i="6"/>
  <c r="J532" i="6"/>
  <c r="J533" i="6"/>
  <c r="J534" i="6"/>
  <c r="J535" i="6"/>
  <c r="J545" i="6"/>
  <c r="J546" i="6"/>
  <c r="J241" i="6"/>
  <c r="J549" i="6"/>
  <c r="J550" i="6"/>
  <c r="J551" i="6"/>
  <c r="J559" i="6"/>
  <c r="J560" i="6"/>
  <c r="J561" i="6"/>
  <c r="J562" i="6"/>
  <c r="J563" i="6"/>
  <c r="J564" i="6"/>
  <c r="J565" i="6"/>
  <c r="J566" i="6"/>
  <c r="J567" i="6"/>
  <c r="J568" i="6"/>
  <c r="J569" i="6"/>
  <c r="J580" i="6"/>
  <c r="J581" i="6"/>
  <c r="J582" i="6"/>
  <c r="J584" i="6"/>
  <c r="J585" i="6"/>
  <c r="J305" i="6"/>
  <c r="J596" i="6"/>
  <c r="J436" i="6"/>
  <c r="J598" i="6"/>
  <c r="J601" i="6"/>
  <c r="J602" i="6"/>
  <c r="J608" i="6"/>
  <c r="J609" i="6"/>
  <c r="J622" i="6"/>
  <c r="J623" i="6"/>
  <c r="J624" i="6"/>
  <c r="J625" i="6"/>
  <c r="J626" i="6"/>
  <c r="J627" i="6"/>
  <c r="J628" i="6"/>
  <c r="J629" i="6"/>
  <c r="J630" i="6"/>
  <c r="J502" i="6"/>
  <c r="J647" i="6"/>
  <c r="J648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9" i="6"/>
  <c r="J680" i="6"/>
  <c r="J681" i="6"/>
  <c r="J682" i="6"/>
  <c r="J683" i="6"/>
  <c r="J689" i="6"/>
  <c r="J690" i="6"/>
  <c r="J695" i="6"/>
  <c r="J696" i="6"/>
  <c r="J379" i="6"/>
  <c r="J715" i="6"/>
  <c r="J716" i="6"/>
  <c r="J717" i="6"/>
  <c r="J718" i="6"/>
  <c r="J719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583" i="6"/>
  <c r="J735" i="6"/>
  <c r="J782" i="6"/>
  <c r="J783" i="6"/>
  <c r="J784" i="6"/>
  <c r="J786" i="6"/>
  <c r="J787" i="6"/>
  <c r="J788" i="6"/>
  <c r="J789" i="6"/>
  <c r="J796" i="6"/>
  <c r="J797" i="6"/>
  <c r="J798" i="6"/>
  <c r="J799" i="6"/>
  <c r="J800" i="6"/>
  <c r="J801" i="6"/>
  <c r="J802" i="6"/>
  <c r="J380" i="6"/>
  <c r="J817" i="6"/>
  <c r="J818" i="6"/>
  <c r="J819" i="6"/>
  <c r="J820" i="6"/>
  <c r="J821" i="6"/>
  <c r="J822" i="6"/>
  <c r="J823" i="6"/>
  <c r="J824" i="6"/>
  <c r="J825" i="6"/>
  <c r="J826" i="6"/>
  <c r="J846" i="6"/>
  <c r="J847" i="6"/>
  <c r="J848" i="6"/>
  <c r="J849" i="6"/>
  <c r="J850" i="6"/>
  <c r="J851" i="6"/>
  <c r="J381" i="6"/>
  <c r="J858" i="6"/>
  <c r="J859" i="6"/>
  <c r="J860" i="6"/>
  <c r="J861" i="6"/>
  <c r="J862" i="6"/>
  <c r="J863" i="6"/>
  <c r="J864" i="6"/>
  <c r="J865" i="6"/>
  <c r="J866" i="6"/>
  <c r="J867" i="6"/>
  <c r="J868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631" i="6"/>
  <c r="J893" i="6"/>
  <c r="J894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7" i="6"/>
  <c r="J920" i="6"/>
  <c r="J921" i="6"/>
  <c r="J922" i="6"/>
  <c r="J923" i="6"/>
  <c r="J924" i="6"/>
  <c r="J925" i="6"/>
  <c r="J926" i="6"/>
  <c r="J947" i="6"/>
  <c r="J948" i="6"/>
  <c r="J950" i="6"/>
  <c r="J952" i="6"/>
  <c r="J953" i="6"/>
  <c r="J954" i="6"/>
  <c r="J955" i="6"/>
  <c r="J960" i="6"/>
  <c r="J961" i="6"/>
  <c r="J962" i="6"/>
  <c r="J963" i="6"/>
  <c r="J965" i="6"/>
  <c r="J966" i="6"/>
  <c r="J970" i="6"/>
  <c r="J971" i="6"/>
  <c r="J972" i="6"/>
  <c r="J973" i="6"/>
  <c r="J974" i="6"/>
  <c r="J975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7" i="6"/>
  <c r="J1039" i="6"/>
  <c r="J1040" i="6"/>
  <c r="J1042" i="6"/>
  <c r="J1043" i="6"/>
  <c r="J1046" i="6"/>
  <c r="J1047" i="6"/>
  <c r="J1048" i="6"/>
  <c r="J1049" i="6"/>
  <c r="J1050" i="6"/>
  <c r="J1051" i="6"/>
  <c r="J1052" i="6"/>
  <c r="J1053" i="6"/>
  <c r="J1054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426" i="6"/>
  <c r="J437" i="6"/>
  <c r="J1245" i="6"/>
  <c r="J1246" i="6"/>
  <c r="J1247" i="6"/>
  <c r="J852" i="6"/>
  <c r="J1261" i="6"/>
  <c r="J1262" i="6"/>
  <c r="J1263" i="6"/>
  <c r="J1264" i="6"/>
  <c r="J1265" i="6"/>
  <c r="J1266" i="6"/>
  <c r="J1267" i="6"/>
  <c r="J853" i="6"/>
  <c r="J1274" i="6"/>
  <c r="J1275" i="6"/>
  <c r="J1276" i="6"/>
  <c r="J1277" i="6"/>
  <c r="J1278" i="6"/>
  <c r="J1281" i="6"/>
  <c r="J1282" i="6"/>
  <c r="J1283" i="6"/>
  <c r="J1284" i="6"/>
  <c r="J1285" i="6"/>
  <c r="J1290" i="6"/>
  <c r="J1291" i="6"/>
  <c r="J1292" i="6"/>
  <c r="J1293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8" i="6"/>
  <c r="J1339" i="6"/>
  <c r="J1341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854" i="6"/>
  <c r="J855" i="6"/>
  <c r="J856" i="6"/>
  <c r="J857" i="6"/>
  <c r="J575" i="6"/>
  <c r="J526" i="6"/>
  <c r="J595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552" i="6"/>
  <c r="J607" i="6"/>
  <c r="J621" i="6"/>
  <c r="J650" i="6"/>
  <c r="J3928" i="6"/>
  <c r="J1546" i="6"/>
  <c r="J1547" i="6"/>
  <c r="J1548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777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2" i="6"/>
  <c r="J1613" i="6"/>
  <c r="J1614" i="6"/>
  <c r="J1616" i="6"/>
  <c r="J1617" i="6"/>
  <c r="J1618" i="6"/>
  <c r="J1619" i="6"/>
  <c r="J1628" i="6"/>
  <c r="J1632" i="6"/>
  <c r="J1633" i="6"/>
  <c r="J1634" i="6"/>
  <c r="J1635" i="6"/>
  <c r="J1636" i="6"/>
  <c r="J1637" i="6"/>
  <c r="J1641" i="6"/>
  <c r="J1642" i="6"/>
  <c r="J1652" i="6"/>
  <c r="J1653" i="6"/>
  <c r="J1654" i="6"/>
  <c r="J1665" i="6"/>
  <c r="J1666" i="6"/>
  <c r="J1667" i="6"/>
  <c r="J1668" i="6"/>
  <c r="J1669" i="6"/>
  <c r="J1670" i="6"/>
  <c r="J1672" i="6"/>
  <c r="J1673" i="6"/>
  <c r="J1674" i="6"/>
  <c r="J1675" i="6"/>
  <c r="J1676" i="6"/>
  <c r="J1677" i="6"/>
  <c r="J1678" i="6"/>
  <c r="J1679" i="6"/>
  <c r="J1687" i="6"/>
  <c r="J1688" i="6"/>
  <c r="J1689" i="6"/>
  <c r="J1690" i="6"/>
  <c r="J1691" i="6"/>
  <c r="J1692" i="6"/>
  <c r="J1693" i="6"/>
  <c r="J1694" i="6"/>
  <c r="J1695" i="6"/>
  <c r="J886" i="6"/>
  <c r="J1697" i="6"/>
  <c r="J1719" i="6"/>
  <c r="J1720" i="6"/>
  <c r="J1728" i="6"/>
  <c r="J1729" i="6"/>
  <c r="J1730" i="6"/>
  <c r="J1735" i="6"/>
  <c r="J1736" i="6"/>
  <c r="J1737" i="6"/>
  <c r="J1738" i="6"/>
  <c r="J1744" i="6"/>
  <c r="J1750" i="6"/>
  <c r="J1751" i="6"/>
  <c r="J1752" i="6"/>
  <c r="J1754" i="6"/>
  <c r="J1522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523" i="6"/>
  <c r="J1524" i="6"/>
  <c r="J1833" i="6"/>
  <c r="J1834" i="6"/>
  <c r="J1835" i="6"/>
  <c r="J1838" i="6"/>
  <c r="J1839" i="6"/>
  <c r="J1840" i="6"/>
  <c r="J1841" i="6"/>
  <c r="J1842" i="6"/>
  <c r="J1843" i="6"/>
  <c r="J1525" i="6"/>
  <c r="J912" i="6"/>
  <c r="J1526" i="6"/>
  <c r="J1527" i="6"/>
  <c r="J1850" i="6"/>
  <c r="J1851" i="6"/>
  <c r="J1852" i="6"/>
  <c r="J1859" i="6"/>
  <c r="J1860" i="6"/>
  <c r="J1861" i="6"/>
  <c r="J1862" i="6"/>
  <c r="J1863" i="6"/>
  <c r="J1864" i="6"/>
  <c r="J1865" i="6"/>
  <c r="J1866" i="6"/>
  <c r="J1867" i="6"/>
  <c r="J1868" i="6"/>
  <c r="J1528" i="6"/>
  <c r="J1887" i="6"/>
  <c r="J1888" i="6"/>
  <c r="J1889" i="6"/>
  <c r="J1891" i="6"/>
  <c r="J1892" i="6"/>
  <c r="J1893" i="6"/>
  <c r="J1894" i="6"/>
  <c r="J1895" i="6"/>
  <c r="J1896" i="6"/>
  <c r="J1897" i="6"/>
  <c r="J1898" i="6"/>
  <c r="J1899" i="6"/>
  <c r="J1904" i="6"/>
  <c r="J1905" i="6"/>
  <c r="J1906" i="6"/>
  <c r="J1908" i="6"/>
  <c r="J1909" i="6"/>
  <c r="J1950" i="6"/>
  <c r="J1951" i="6"/>
  <c r="J1952" i="6"/>
  <c r="J1953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4" i="6"/>
  <c r="J1955" i="6"/>
  <c r="J1956" i="6"/>
  <c r="J1957" i="6"/>
  <c r="J1958" i="6"/>
  <c r="J1959" i="6"/>
  <c r="J1960" i="6"/>
  <c r="J1961" i="6"/>
  <c r="J1962" i="6"/>
  <c r="J1963" i="6"/>
  <c r="J984" i="6"/>
  <c r="J1055" i="6"/>
  <c r="J1967" i="6"/>
  <c r="J1976" i="6"/>
  <c r="J1977" i="6"/>
  <c r="J1978" i="6"/>
  <c r="J1979" i="6"/>
  <c r="J1980" i="6"/>
  <c r="J1981" i="6"/>
  <c r="J1990" i="6"/>
  <c r="J1991" i="6"/>
  <c r="J1992" i="6"/>
  <c r="J1993" i="6"/>
  <c r="J1994" i="6"/>
  <c r="J1995" i="6"/>
  <c r="J1996" i="6"/>
  <c r="J1998" i="6"/>
  <c r="J1999" i="6"/>
  <c r="J2011" i="6"/>
  <c r="J2012" i="6"/>
  <c r="J2013" i="6"/>
  <c r="J2014" i="6"/>
  <c r="J2015" i="6"/>
  <c r="J2016" i="6"/>
  <c r="J2017" i="6"/>
  <c r="J2018" i="6"/>
  <c r="J2019" i="6"/>
  <c r="J2020" i="6"/>
  <c r="J2021" i="6"/>
  <c r="J1056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83" i="6"/>
  <c r="J2084" i="6"/>
  <c r="J2087" i="6"/>
  <c r="J2092" i="6"/>
  <c r="J2093" i="6"/>
  <c r="J2094" i="6"/>
  <c r="J2095" i="6"/>
  <c r="J2096" i="6"/>
  <c r="J2097" i="6"/>
  <c r="J2098" i="6"/>
  <c r="J2099" i="6"/>
  <c r="J2100" i="6"/>
  <c r="J1057" i="6"/>
  <c r="J2105" i="6"/>
  <c r="J2106" i="6"/>
  <c r="J2107" i="6"/>
  <c r="J2108" i="6"/>
  <c r="J2109" i="6"/>
  <c r="J2110" i="6"/>
  <c r="J2111" i="6"/>
  <c r="J2112" i="6"/>
  <c r="J2113" i="6"/>
  <c r="J2114" i="6"/>
  <c r="J2115" i="6"/>
  <c r="J1228" i="6"/>
  <c r="J2123" i="6"/>
  <c r="J2124" i="6"/>
  <c r="J2126" i="6"/>
  <c r="J2127" i="6"/>
  <c r="J2128" i="6"/>
  <c r="J2129" i="6"/>
  <c r="J2130" i="6"/>
  <c r="J2131" i="6"/>
  <c r="J2132" i="6"/>
  <c r="J2133" i="6"/>
  <c r="J2138" i="6"/>
  <c r="J2139" i="6"/>
  <c r="J2140" i="6"/>
  <c r="J2142" i="6"/>
  <c r="J2149" i="6"/>
  <c r="J2150" i="6"/>
  <c r="J2157" i="6"/>
  <c r="J2158" i="6"/>
  <c r="J2162" i="6"/>
  <c r="J2164" i="6"/>
  <c r="J2166" i="6"/>
  <c r="J2167" i="6"/>
  <c r="J2168" i="6"/>
  <c r="J2169" i="6"/>
  <c r="J2170" i="6"/>
  <c r="J2171" i="6"/>
  <c r="J2172" i="6"/>
  <c r="J2173" i="6"/>
  <c r="J2175" i="6"/>
  <c r="J2176" i="6"/>
  <c r="J2177" i="6"/>
  <c r="J1229" i="6"/>
  <c r="J2178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1910" i="6"/>
  <c r="J2266" i="6"/>
  <c r="J2267" i="6"/>
  <c r="J2274" i="6"/>
  <c r="J2275" i="6"/>
  <c r="J2276" i="6"/>
  <c r="J2277" i="6"/>
  <c r="J2278" i="6"/>
  <c r="J2279" i="6"/>
  <c r="J1964" i="6"/>
  <c r="J2281" i="6"/>
  <c r="J2282" i="6"/>
  <c r="J2290" i="6"/>
  <c r="J2291" i="6"/>
  <c r="J2292" i="6"/>
  <c r="J2293" i="6"/>
  <c r="J2295" i="6"/>
  <c r="J2296" i="6"/>
  <c r="J2297" i="6"/>
  <c r="J2298" i="6"/>
  <c r="J2299" i="6"/>
  <c r="J2300" i="6"/>
  <c r="J2301" i="6"/>
  <c r="J2302" i="6"/>
  <c r="J2303" i="6"/>
  <c r="J2307" i="6"/>
  <c r="J2308" i="6"/>
  <c r="J2309" i="6"/>
  <c r="J2310" i="6"/>
  <c r="J2311" i="6"/>
  <c r="J2312" i="6"/>
  <c r="J2313" i="6"/>
  <c r="J2314" i="6"/>
  <c r="J2320" i="6"/>
  <c r="J2321" i="6"/>
  <c r="J2322" i="6"/>
  <c r="J2325" i="6"/>
  <c r="J2326" i="6"/>
  <c r="J2355" i="6"/>
  <c r="J2356" i="6"/>
  <c r="J2357" i="6"/>
  <c r="J2360" i="6"/>
  <c r="J2361" i="6"/>
  <c r="J2362" i="6"/>
  <c r="J2363" i="6"/>
  <c r="J2364" i="6"/>
  <c r="J2365" i="6"/>
  <c r="J2366" i="6"/>
  <c r="J2367" i="6"/>
  <c r="J2380" i="6"/>
  <c r="J2383" i="6"/>
  <c r="J2384" i="6"/>
  <c r="J2385" i="6"/>
  <c r="J2386" i="6"/>
  <c r="J2387" i="6"/>
  <c r="J2388" i="6"/>
  <c r="J2389" i="6"/>
  <c r="J2390" i="6"/>
  <c r="J2391" i="6"/>
  <c r="J2392" i="6"/>
  <c r="J827" i="6"/>
  <c r="J2429" i="6"/>
  <c r="J2430" i="6"/>
  <c r="J2431" i="6"/>
  <c r="J2433" i="6"/>
  <c r="J2434" i="6"/>
  <c r="J2435" i="6"/>
  <c r="J2436" i="6"/>
  <c r="J2437" i="6"/>
  <c r="J2438" i="6"/>
  <c r="J2439" i="6"/>
  <c r="J2447" i="6"/>
  <c r="J2448" i="6"/>
  <c r="J2450" i="6"/>
  <c r="J2451" i="6"/>
  <c r="J2452" i="6"/>
  <c r="J2453" i="6"/>
  <c r="J2454" i="6"/>
  <c r="J2455" i="6"/>
  <c r="J2456" i="6"/>
  <c r="J2457" i="6"/>
  <c r="J2458" i="6"/>
  <c r="J2459" i="6"/>
  <c r="J2460" i="6"/>
  <c r="J2462" i="6"/>
  <c r="J2463" i="6"/>
  <c r="J2491" i="6"/>
  <c r="J2492" i="6"/>
  <c r="J2493" i="6"/>
  <c r="J2494" i="6"/>
  <c r="J1230" i="6"/>
  <c r="J2498" i="6"/>
  <c r="J2499" i="6"/>
  <c r="J2500" i="6"/>
  <c r="J2501" i="6"/>
  <c r="J2540" i="6"/>
  <c r="J2541" i="6"/>
  <c r="J2542" i="6"/>
  <c r="J2552" i="6"/>
  <c r="J2553" i="6"/>
  <c r="J2554" i="6"/>
  <c r="J2559" i="6"/>
  <c r="J2560" i="6"/>
  <c r="J2561" i="6"/>
  <c r="J2563" i="6"/>
  <c r="J2564" i="6"/>
  <c r="J2566" i="6"/>
  <c r="J2567" i="6"/>
  <c r="J2568" i="6"/>
  <c r="J2569" i="6"/>
  <c r="J2570" i="6"/>
  <c r="J2571" i="6"/>
  <c r="J2572" i="6"/>
  <c r="J2573" i="6"/>
  <c r="J2583" i="6"/>
  <c r="J2585" i="6"/>
  <c r="J2586" i="6"/>
  <c r="J2587" i="6"/>
  <c r="J2588" i="6"/>
  <c r="J2589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1231" i="6"/>
  <c r="J2644" i="6"/>
  <c r="J2645" i="6"/>
  <c r="J2649" i="6"/>
  <c r="J2650" i="6"/>
  <c r="J2651" i="6"/>
  <c r="J2652" i="6"/>
  <c r="J2653" i="6"/>
  <c r="J2654" i="6"/>
  <c r="J2656" i="6"/>
  <c r="J2657" i="6"/>
  <c r="J1248" i="6"/>
  <c r="J2116" i="6"/>
  <c r="J1268" i="6"/>
  <c r="J2658" i="6"/>
  <c r="J2676" i="6"/>
  <c r="J2679" i="6"/>
  <c r="J2680" i="6"/>
  <c r="J2681" i="6"/>
  <c r="J2682" i="6"/>
  <c r="J2683" i="6"/>
  <c r="J2686" i="6"/>
  <c r="J2687" i="6"/>
  <c r="J2688" i="6"/>
  <c r="J1386" i="6"/>
  <c r="J2690" i="6"/>
  <c r="J2691" i="6"/>
  <c r="J2692" i="6"/>
  <c r="J2693" i="6"/>
  <c r="J2694" i="6"/>
  <c r="J2695" i="6"/>
  <c r="J2696" i="6"/>
  <c r="J2697" i="6"/>
  <c r="J2698" i="6"/>
  <c r="J2699" i="6"/>
  <c r="J2701" i="6"/>
  <c r="J2702" i="6"/>
  <c r="J2708" i="6"/>
  <c r="J2710" i="6"/>
  <c r="J2711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134" i="6"/>
  <c r="J2757" i="6"/>
  <c r="J2758" i="6"/>
  <c r="J2759" i="6"/>
  <c r="J2760" i="6"/>
  <c r="J2761" i="6"/>
  <c r="J2770" i="6"/>
  <c r="J2771" i="6"/>
  <c r="J2772" i="6"/>
  <c r="J2773" i="6"/>
  <c r="J2774" i="6"/>
  <c r="J2775" i="6"/>
  <c r="J2776" i="6"/>
  <c r="J2777" i="6"/>
  <c r="J2778" i="6"/>
  <c r="J2779" i="6"/>
  <c r="J2780" i="6"/>
  <c r="J2762" i="6"/>
  <c r="J2782" i="6"/>
  <c r="J2783" i="6"/>
  <c r="J2790" i="6"/>
  <c r="J2791" i="6"/>
  <c r="J2792" i="6"/>
  <c r="J2793" i="6"/>
  <c r="J2794" i="6"/>
  <c r="J2795" i="6"/>
  <c r="J2796" i="6"/>
  <c r="J2797" i="6"/>
  <c r="J2798" i="6"/>
  <c r="J2135" i="6"/>
  <c r="J2809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8" i="6"/>
  <c r="J2839" i="6"/>
  <c r="J2840" i="6"/>
  <c r="J2842" i="6"/>
  <c r="J2843" i="6"/>
  <c r="J2844" i="6"/>
  <c r="J2845" i="6"/>
  <c r="J2846" i="6"/>
  <c r="J2847" i="6"/>
  <c r="J2848" i="6"/>
  <c r="J2849" i="6"/>
  <c r="J2850" i="6"/>
  <c r="J2873" i="6"/>
  <c r="J2874" i="6"/>
  <c r="J2875" i="6"/>
  <c r="J2876" i="6"/>
  <c r="J2877" i="6"/>
  <c r="J2878" i="6"/>
  <c r="J2879" i="6"/>
  <c r="J3012" i="6"/>
  <c r="J3013" i="6"/>
  <c r="J3014" i="6"/>
  <c r="J3015" i="6"/>
  <c r="J3016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136" i="6"/>
  <c r="J2899" i="6"/>
  <c r="J2910" i="6"/>
  <c r="J2912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71" i="6"/>
  <c r="J2972" i="6"/>
  <c r="J2973" i="6"/>
  <c r="J2974" i="6"/>
  <c r="J2975" i="6"/>
  <c r="J2976" i="6"/>
  <c r="J2977" i="6"/>
  <c r="J2978" i="6"/>
  <c r="J1698" i="6"/>
  <c r="J2979" i="6"/>
  <c r="J2980" i="6"/>
  <c r="J2981" i="6"/>
  <c r="J2982" i="6"/>
  <c r="J2983" i="6"/>
  <c r="J2985" i="6"/>
  <c r="J2986" i="6"/>
  <c r="J2987" i="6"/>
  <c r="J2988" i="6"/>
  <c r="J2989" i="6"/>
  <c r="J2990" i="6"/>
  <c r="J2991" i="6"/>
  <c r="J2992" i="6"/>
  <c r="J1848" i="6"/>
  <c r="J2998" i="6"/>
  <c r="J2999" i="6"/>
  <c r="J3000" i="6"/>
  <c r="J3001" i="6"/>
  <c r="J1824" i="6"/>
  <c r="J3004" i="6"/>
  <c r="J3005" i="6"/>
  <c r="J3006" i="6"/>
  <c r="J3007" i="6"/>
  <c r="J3017" i="6"/>
  <c r="J3018" i="6"/>
  <c r="J3019" i="6"/>
  <c r="J3038" i="6"/>
  <c r="J3039" i="6"/>
  <c r="J3040" i="6"/>
  <c r="J3051" i="6"/>
  <c r="J3057" i="6"/>
  <c r="J3058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2497" i="6"/>
  <c r="J4364" i="6"/>
  <c r="J1987" i="6"/>
  <c r="J3165" i="6"/>
  <c r="J3166" i="6"/>
  <c r="J3167" i="6"/>
  <c r="J3168" i="6"/>
  <c r="J3169" i="6"/>
  <c r="J3170" i="6"/>
  <c r="J3171" i="6"/>
  <c r="J3172" i="6"/>
  <c r="J2137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1965" i="6"/>
  <c r="J2022" i="6"/>
  <c r="J3308" i="6"/>
  <c r="J3312" i="6"/>
  <c r="J2101" i="6"/>
  <c r="J2781" i="6"/>
  <c r="J2851" i="6"/>
  <c r="J2117" i="6"/>
  <c r="J2141" i="6"/>
  <c r="J2200" i="6"/>
  <c r="J3002" i="6"/>
  <c r="J3041" i="6"/>
  <c r="J2368" i="6"/>
  <c r="J2395" i="6"/>
  <c r="J3173" i="6"/>
  <c r="J3174" i="6"/>
  <c r="J3175" i="6"/>
  <c r="J3176" i="6"/>
  <c r="J3177" i="6"/>
  <c r="J3178" i="6"/>
  <c r="J3179" i="6"/>
  <c r="J3180" i="6"/>
  <c r="J2440" i="6"/>
  <c r="J3181" i="6"/>
  <c r="J3182" i="6"/>
  <c r="J3183" i="6"/>
  <c r="J3184" i="6"/>
  <c r="J3185" i="6"/>
  <c r="J3186" i="6"/>
  <c r="J3187" i="6"/>
  <c r="J3188" i="6"/>
  <c r="J2464" i="6"/>
  <c r="J2543" i="6"/>
  <c r="J2465" i="6"/>
  <c r="J2630" i="6"/>
  <c r="J2659" i="6"/>
  <c r="J2664" i="6"/>
  <c r="J3382" i="6"/>
  <c r="J2900" i="6"/>
  <c r="J3386" i="6"/>
  <c r="J3388" i="6"/>
  <c r="J3389" i="6"/>
  <c r="J3390" i="6"/>
  <c r="J3391" i="6"/>
  <c r="J3392" i="6"/>
  <c r="J3393" i="6"/>
  <c r="J3394" i="6"/>
  <c r="J3395" i="6"/>
  <c r="J2946" i="6"/>
  <c r="J3404" i="6"/>
  <c r="J3405" i="6"/>
  <c r="J3411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63" i="6"/>
  <c r="J3464" i="6"/>
  <c r="J3465" i="6"/>
  <c r="J3466" i="6"/>
  <c r="J3467" i="6"/>
  <c r="J3468" i="6"/>
  <c r="J3488" i="6"/>
  <c r="J3489" i="6"/>
  <c r="J3490" i="6"/>
  <c r="J3494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8" i="6"/>
  <c r="J3521" i="6"/>
  <c r="J3522" i="6"/>
  <c r="J3523" i="6"/>
  <c r="J3524" i="6"/>
  <c r="J3525" i="6"/>
  <c r="J3526" i="6"/>
  <c r="J3527" i="6"/>
  <c r="J3528" i="6"/>
  <c r="J3529" i="6"/>
  <c r="J3530" i="6"/>
  <c r="J2993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601" i="6"/>
  <c r="J3602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003" i="6"/>
  <c r="J3673" i="6"/>
  <c r="J3674" i="6"/>
  <c r="J3675" i="6"/>
  <c r="J3676" i="6"/>
  <c r="J3677" i="6"/>
  <c r="J367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059" i="6"/>
  <c r="J3060" i="6"/>
  <c r="J3713" i="6"/>
  <c r="J3714" i="6"/>
  <c r="J3715" i="6"/>
  <c r="J3718" i="6"/>
  <c r="J3719" i="6"/>
  <c r="J3720" i="6"/>
  <c r="J3721" i="6"/>
  <c r="J3722" i="6"/>
  <c r="J3723" i="6"/>
  <c r="J3724" i="6"/>
  <c r="J3725" i="6"/>
  <c r="J3726" i="6"/>
  <c r="J3727" i="6"/>
  <c r="J3735" i="6"/>
  <c r="J3736" i="6"/>
  <c r="J3738" i="6"/>
  <c r="J3739" i="6"/>
  <c r="J3740" i="6"/>
  <c r="J3741" i="6"/>
  <c r="J3746" i="6"/>
  <c r="J3752" i="6"/>
  <c r="J3753" i="6"/>
  <c r="J3754" i="6"/>
  <c r="J3755" i="6"/>
  <c r="J3756" i="6"/>
  <c r="J3757" i="6"/>
  <c r="J3758" i="6"/>
  <c r="J3759" i="6"/>
  <c r="J3771" i="6"/>
  <c r="J3775" i="6"/>
  <c r="J3776" i="6"/>
  <c r="J3777" i="6"/>
  <c r="J3778" i="6"/>
  <c r="J3779" i="6"/>
  <c r="J3780" i="6"/>
  <c r="J3781" i="6"/>
  <c r="J3782" i="6"/>
  <c r="J3783" i="6"/>
  <c r="J3784" i="6"/>
  <c r="J3785" i="6"/>
  <c r="J3804" i="6"/>
  <c r="J3805" i="6"/>
  <c r="J3806" i="6"/>
  <c r="J3807" i="6"/>
  <c r="J3808" i="6"/>
  <c r="J3809" i="6"/>
  <c r="J3810" i="6"/>
  <c r="J3812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189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902" i="6"/>
  <c r="J3903" i="6"/>
  <c r="J3904" i="6"/>
  <c r="J3905" i="6"/>
  <c r="J3906" i="6"/>
  <c r="J3908" i="6"/>
  <c r="J3909" i="6"/>
  <c r="J3910" i="6"/>
  <c r="J3911" i="6"/>
  <c r="J3912" i="6"/>
  <c r="J3913" i="6"/>
  <c r="J3914" i="6"/>
  <c r="J3915" i="6"/>
  <c r="J3917" i="6"/>
  <c r="J3919" i="6"/>
  <c r="J3920" i="6"/>
  <c r="J3921" i="6"/>
  <c r="J3922" i="6"/>
  <c r="J3929" i="6"/>
  <c r="J3931" i="6"/>
  <c r="J3932" i="6"/>
  <c r="J3933" i="6"/>
  <c r="J3940" i="6"/>
  <c r="J3941" i="6"/>
  <c r="J3942" i="6"/>
  <c r="J3943" i="6"/>
  <c r="J3948" i="6"/>
  <c r="J3949" i="6"/>
  <c r="J3950" i="6"/>
  <c r="J3951" i="6"/>
  <c r="J3952" i="6"/>
  <c r="J3953" i="6"/>
  <c r="J3954" i="6"/>
  <c r="J3955" i="6"/>
  <c r="J3956" i="6"/>
  <c r="J3957" i="6"/>
  <c r="J3962" i="6"/>
  <c r="J3963" i="6"/>
  <c r="J3964" i="6"/>
  <c r="J3965" i="6"/>
  <c r="J3966" i="6"/>
  <c r="J3967" i="6"/>
  <c r="J3968" i="6"/>
  <c r="J3969" i="6"/>
  <c r="J3970" i="6"/>
  <c r="J3990" i="6"/>
  <c r="J3991" i="6"/>
  <c r="J3992" i="6"/>
  <c r="J3993" i="6"/>
  <c r="J3994" i="6"/>
  <c r="J3285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20" i="6"/>
  <c r="J4021" i="6"/>
  <c r="J4022" i="6"/>
  <c r="J4023" i="6"/>
  <c r="J4069" i="6"/>
  <c r="J4070" i="6"/>
  <c r="J4071" i="6"/>
  <c r="J4072" i="6"/>
  <c r="J4032" i="6"/>
  <c r="J4033" i="6"/>
  <c r="J4034" i="6"/>
  <c r="J4035" i="6"/>
  <c r="J4046" i="6"/>
  <c r="J4047" i="6"/>
  <c r="J4048" i="6"/>
  <c r="J4055" i="6"/>
  <c r="J4056" i="6"/>
  <c r="J4057" i="6"/>
  <c r="J4058" i="6"/>
  <c r="J4059" i="6"/>
  <c r="J4060" i="6"/>
  <c r="J4061" i="6"/>
  <c r="J4062" i="6"/>
  <c r="J4063" i="6"/>
  <c r="J4064" i="6"/>
  <c r="J4065" i="6"/>
  <c r="J4068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58" i="6"/>
  <c r="J4159" i="6"/>
  <c r="J4160" i="6"/>
  <c r="J4161" i="6"/>
  <c r="J4162" i="6"/>
  <c r="J4163" i="6"/>
  <c r="J4164" i="6"/>
  <c r="J3313" i="6"/>
  <c r="J3314" i="6"/>
  <c r="J3315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3316" i="6"/>
  <c r="J3317" i="6"/>
  <c r="J3318" i="6"/>
  <c r="J3383" i="6"/>
  <c r="J3396" i="6"/>
  <c r="J3449" i="6"/>
  <c r="J3450" i="6"/>
  <c r="J3319" i="6"/>
  <c r="J3320" i="6"/>
  <c r="J4202" i="6"/>
  <c r="J4203" i="6"/>
  <c r="J4204" i="6"/>
  <c r="J4205" i="6"/>
  <c r="J4208" i="6"/>
  <c r="J4211" i="6"/>
  <c r="J4212" i="6"/>
  <c r="J4213" i="6"/>
  <c r="J4214" i="6"/>
  <c r="J4218" i="6"/>
  <c r="J4219" i="6"/>
  <c r="J4220" i="6"/>
  <c r="J4221" i="6"/>
  <c r="J4222" i="6"/>
  <c r="J4223" i="6"/>
  <c r="J4224" i="6"/>
  <c r="J4228" i="6"/>
  <c r="J4229" i="6"/>
  <c r="J4230" i="6"/>
  <c r="J4231" i="6"/>
  <c r="J4232" i="6"/>
  <c r="J4233" i="6"/>
  <c r="J4234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32" i="6"/>
  <c r="J3558" i="6"/>
  <c r="J4335" i="6"/>
  <c r="J4336" i="6"/>
  <c r="J4337" i="6"/>
  <c r="J4338" i="6"/>
  <c r="J4339" i="6"/>
  <c r="J4340" i="6"/>
  <c r="J4341" i="6"/>
  <c r="J4342" i="6"/>
  <c r="J4362" i="6"/>
  <c r="J4363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3559" i="6"/>
  <c r="J4388" i="6"/>
  <c r="J4389" i="6"/>
  <c r="J4390" i="6"/>
  <c r="J4391" i="6"/>
  <c r="J4392" i="6"/>
  <c r="J4393" i="6"/>
  <c r="J4394" i="6"/>
  <c r="J4395" i="6"/>
  <c r="J4396" i="6"/>
  <c r="J3321" i="6"/>
  <c r="J3322" i="6"/>
  <c r="J3323" i="6"/>
  <c r="J4397" i="6"/>
  <c r="J4398" i="6"/>
  <c r="J4399" i="6"/>
  <c r="J4400" i="6"/>
  <c r="J4401" i="6"/>
  <c r="J4402" i="6"/>
  <c r="J4403" i="6"/>
  <c r="J4404" i="6"/>
  <c r="J4405" i="6"/>
  <c r="J4447" i="6"/>
  <c r="J4448" i="6"/>
  <c r="J4449" i="6"/>
  <c r="J4450" i="6"/>
  <c r="J3847" i="6"/>
  <c r="J4451" i="6"/>
  <c r="J4452" i="6"/>
  <c r="J3848" i="6"/>
  <c r="J3881" i="6"/>
  <c r="J4453" i="6"/>
  <c r="J4468" i="6"/>
  <c r="J4476" i="6"/>
  <c r="J4477" i="6"/>
  <c r="J4478" i="6"/>
  <c r="J4479" i="6"/>
  <c r="J4480" i="6"/>
  <c r="J4481" i="6"/>
  <c r="J4484" i="6"/>
  <c r="J4485" i="6"/>
  <c r="J4486" i="6"/>
  <c r="J4487" i="6"/>
  <c r="J4488" i="6"/>
  <c r="J4489" i="6"/>
  <c r="J4490" i="6"/>
  <c r="J4491" i="6"/>
  <c r="J3882" i="6"/>
  <c r="J3883" i="6"/>
  <c r="J4503" i="6"/>
  <c r="J4492" i="6"/>
  <c r="J4506" i="6"/>
  <c r="J4507" i="6"/>
  <c r="J4508" i="6"/>
  <c r="J4509" i="6"/>
  <c r="J4510" i="6"/>
  <c r="J4511" i="6"/>
  <c r="J4515" i="6"/>
  <c r="J4516" i="6"/>
  <c r="J4517" i="6"/>
  <c r="J4518" i="6"/>
  <c r="J4519" i="6"/>
  <c r="J4520" i="6"/>
  <c r="J4521" i="6"/>
  <c r="J4522" i="6"/>
  <c r="J4523" i="6"/>
  <c r="J4524" i="6"/>
  <c r="J4541" i="6"/>
  <c r="J4542" i="6"/>
  <c r="J4543" i="6"/>
  <c r="J4544" i="6"/>
  <c r="J4545" i="6"/>
  <c r="J4546" i="6"/>
  <c r="J4547" i="6"/>
  <c r="J4548" i="6"/>
  <c r="J4549" i="6"/>
  <c r="J4550" i="6"/>
  <c r="J4551" i="6"/>
  <c r="J3884" i="6"/>
  <c r="J3885" i="6"/>
  <c r="J3886" i="6"/>
  <c r="J4585" i="6"/>
  <c r="J4586" i="6"/>
  <c r="J4587" i="6"/>
  <c r="J4588" i="6"/>
  <c r="J4589" i="6"/>
  <c r="J4590" i="6"/>
  <c r="J4591" i="6"/>
  <c r="J4622" i="6"/>
  <c r="J4623" i="6"/>
  <c r="J4624" i="6"/>
  <c r="J3887" i="6"/>
  <c r="J3888" i="6"/>
  <c r="J3889" i="6"/>
  <c r="J3324" i="6"/>
  <c r="J3325" i="6"/>
  <c r="J4086" i="6"/>
  <c r="J4087" i="6"/>
  <c r="J3326" i="6"/>
  <c r="J3327" i="6"/>
  <c r="J4493" i="6"/>
  <c r="J4494" i="6"/>
  <c r="J4537" i="6"/>
  <c r="J4538" i="6"/>
  <c r="J4539" i="6"/>
  <c r="J4540" i="6"/>
  <c r="J3516" i="6"/>
  <c r="J3711" i="6"/>
  <c r="J3786" i="6"/>
  <c r="J4406" i="6"/>
  <c r="J4407" i="6"/>
  <c r="J4592" i="6"/>
  <c r="J3491" i="6"/>
  <c r="J1727" i="6"/>
  <c r="J9" i="6"/>
  <c r="J897" i="6" l="1"/>
  <c r="J3712" i="6"/>
  <c r="I4343" i="6"/>
  <c r="J4343" i="6" s="1"/>
  <c r="I4334" i="6"/>
  <c r="J4334" i="6" s="1"/>
  <c r="I4333" i="6"/>
  <c r="J4333" i="6" s="1"/>
  <c r="I4237" i="6"/>
  <c r="J4237" i="6" s="1"/>
  <c r="I4236" i="6"/>
  <c r="J4236" i="6" s="1"/>
  <c r="I4235" i="6"/>
  <c r="J4235" i="6" s="1"/>
  <c r="I4225" i="6"/>
  <c r="J4225" i="6" s="1"/>
  <c r="I4201" i="6"/>
  <c r="J4201" i="6" s="1"/>
  <c r="I4168" i="6"/>
  <c r="J4168" i="6" s="1"/>
  <c r="I3930" i="6"/>
  <c r="J3930" i="6" s="1"/>
  <c r="I3814" i="6"/>
  <c r="J3814" i="6" s="1"/>
  <c r="I3813" i="6"/>
  <c r="J3813" i="6" s="1"/>
  <c r="I3520" i="6"/>
  <c r="J3520" i="6" s="1"/>
  <c r="I3519" i="6"/>
  <c r="J3519" i="6" s="1"/>
  <c r="J2949" i="6"/>
  <c r="J1975" i="6"/>
  <c r="I2304" i="6"/>
  <c r="J2304" i="6" s="1"/>
  <c r="J1758" i="6"/>
  <c r="I2913" i="6"/>
  <c r="J2913" i="6" s="1"/>
  <c r="I2911" i="6"/>
  <c r="J2911" i="6" s="1"/>
  <c r="I2841" i="6"/>
  <c r="J2841" i="6" s="1"/>
  <c r="J1684" i="6"/>
  <c r="I2655" i="6"/>
  <c r="J2655" i="6" s="1"/>
  <c r="I2648" i="6"/>
  <c r="J2648" i="6" s="1"/>
  <c r="I2611" i="6"/>
  <c r="J2611" i="6" s="1"/>
  <c r="I2590" i="6"/>
  <c r="J2590" i="6" s="1"/>
  <c r="I2562" i="6"/>
  <c r="J2562" i="6" s="1"/>
  <c r="I2490" i="6"/>
  <c r="J2490" i="6" s="1"/>
  <c r="I2489" i="6"/>
  <c r="J2489" i="6" s="1"/>
  <c r="I2461" i="6"/>
  <c r="J2461" i="6" s="1"/>
  <c r="I2449" i="6"/>
  <c r="J2449" i="6" s="1"/>
  <c r="I2446" i="6"/>
  <c r="J2446" i="6" s="1"/>
  <c r="I2174" i="6"/>
  <c r="J2174" i="6" s="1"/>
  <c r="I2165" i="6"/>
  <c r="J2165" i="6" s="1"/>
  <c r="I2125" i="6"/>
  <c r="J2125" i="6" s="1"/>
  <c r="I1997" i="6"/>
  <c r="J1997" i="6" s="1"/>
  <c r="I1989" i="6"/>
  <c r="J1989" i="6" s="1"/>
  <c r="I1988" i="6"/>
  <c r="J1988" i="6" s="1"/>
  <c r="I1907" i="6"/>
  <c r="J1907" i="6" s="1"/>
  <c r="I1886" i="6"/>
  <c r="J1886" i="6" s="1"/>
  <c r="I1885" i="6"/>
  <c r="J1885" i="6" s="1"/>
  <c r="I1696" i="6"/>
  <c r="J1696" i="6" s="1"/>
  <c r="I539" i="6"/>
  <c r="J539" i="6" s="1"/>
  <c r="I1385" i="6"/>
  <c r="J1385" i="6" s="1"/>
  <c r="I1342" i="6"/>
  <c r="J1342" i="6" s="1"/>
  <c r="I1294" i="6"/>
  <c r="J1294" i="6" s="1"/>
  <c r="J403" i="6"/>
  <c r="J496" i="6"/>
  <c r="I869" i="6"/>
  <c r="J869" i="6" s="1"/>
  <c r="I720" i="6"/>
  <c r="J720" i="6" s="1"/>
  <c r="I346" i="6"/>
  <c r="J346" i="6" s="1"/>
  <c r="I649" i="6"/>
  <c r="J649" i="6" s="1"/>
  <c r="I558" i="6"/>
  <c r="J558" i="6" s="1"/>
  <c r="J398" i="6"/>
  <c r="I480" i="6"/>
  <c r="J480" i="6" s="1"/>
  <c r="I478" i="6"/>
  <c r="J478" i="6" s="1"/>
  <c r="I344" i="6"/>
  <c r="J344" i="6" s="1"/>
  <c r="I339" i="6"/>
  <c r="J339" i="6" s="1"/>
  <c r="I332" i="6"/>
  <c r="J332" i="6" s="1"/>
  <c r="I331" i="6"/>
  <c r="J331" i="6" s="1"/>
  <c r="I327" i="6"/>
  <c r="J327" i="6" s="1"/>
  <c r="I326" i="6"/>
  <c r="J326" i="6" s="1"/>
  <c r="I316" i="6"/>
  <c r="J316" i="6" s="1"/>
  <c r="I314" i="6"/>
  <c r="J314" i="6" s="1"/>
  <c r="I313" i="6"/>
  <c r="J313" i="6" s="1"/>
  <c r="I311" i="6"/>
  <c r="J311" i="6" s="1"/>
  <c r="I251" i="6"/>
  <c r="J251" i="6" s="1"/>
  <c r="I159" i="6"/>
  <c r="J159" i="6" s="1"/>
  <c r="I10" i="6"/>
  <c r="J10" i="6" s="1"/>
  <c r="K2465" i="6" l="1"/>
  <c r="N2465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6" i="6"/>
  <c r="K37" i="6"/>
  <c r="K38" i="6"/>
  <c r="K39" i="6"/>
  <c r="K42" i="6"/>
  <c r="K43" i="6"/>
  <c r="K44" i="6"/>
  <c r="K46" i="6"/>
  <c r="K47" i="6"/>
  <c r="K58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45" i="6"/>
  <c r="K126" i="6"/>
  <c r="K127" i="6"/>
  <c r="K149" i="6"/>
  <c r="K150" i="6"/>
  <c r="K151" i="6"/>
  <c r="K152" i="6"/>
  <c r="K153" i="6"/>
  <c r="K154" i="6"/>
  <c r="K157" i="6"/>
  <c r="K158" i="6"/>
  <c r="K160" i="6"/>
  <c r="K161" i="6"/>
  <c r="K162" i="6"/>
  <c r="K163" i="6"/>
  <c r="K164" i="6"/>
  <c r="K165" i="6"/>
  <c r="K166" i="6"/>
  <c r="K106" i="6"/>
  <c r="K174" i="6"/>
  <c r="K175" i="6"/>
  <c r="K176" i="6"/>
  <c r="K177" i="6"/>
  <c r="K180" i="6"/>
  <c r="K181" i="6"/>
  <c r="K201" i="6"/>
  <c r="K203" i="6"/>
  <c r="K206" i="6"/>
  <c r="K209" i="6"/>
  <c r="K212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107" i="6"/>
  <c r="K108" i="6"/>
  <c r="K155" i="6"/>
  <c r="K244" i="6"/>
  <c r="K245" i="6"/>
  <c r="K246" i="6"/>
  <c r="K248" i="6"/>
  <c r="K249" i="6"/>
  <c r="K250" i="6"/>
  <c r="K259" i="6"/>
  <c r="K260" i="6"/>
  <c r="K288" i="6"/>
  <c r="K289" i="6"/>
  <c r="K290" i="6"/>
  <c r="K291" i="6"/>
  <c r="K292" i="6"/>
  <c r="K293" i="6"/>
  <c r="K294" i="6"/>
  <c r="K295" i="6"/>
  <c r="K296" i="6"/>
  <c r="K308" i="6"/>
  <c r="K309" i="6"/>
  <c r="K310" i="6"/>
  <c r="K312" i="6"/>
  <c r="K315" i="6"/>
  <c r="K317" i="6"/>
  <c r="K318" i="6"/>
  <c r="K319" i="6"/>
  <c r="K320" i="6"/>
  <c r="K321" i="6"/>
  <c r="K322" i="6"/>
  <c r="K323" i="6"/>
  <c r="K324" i="6"/>
  <c r="K325" i="6"/>
  <c r="K328" i="6"/>
  <c r="K329" i="6"/>
  <c r="K330" i="6"/>
  <c r="K333" i="6"/>
  <c r="K334" i="6"/>
  <c r="K335" i="6"/>
  <c r="K336" i="6"/>
  <c r="K337" i="6"/>
  <c r="K338" i="6"/>
  <c r="K340" i="6"/>
  <c r="K341" i="6"/>
  <c r="K342" i="6"/>
  <c r="K343" i="6"/>
  <c r="K217" i="6"/>
  <c r="K382" i="6"/>
  <c r="K383" i="6"/>
  <c r="K386" i="6"/>
  <c r="K387" i="6"/>
  <c r="K388" i="6"/>
  <c r="K389" i="6"/>
  <c r="K390" i="6"/>
  <c r="K391" i="6"/>
  <c r="K392" i="6"/>
  <c r="K399" i="6"/>
  <c r="K400" i="6"/>
  <c r="K401" i="6"/>
  <c r="K205" i="6"/>
  <c r="K413" i="6"/>
  <c r="K414" i="6"/>
  <c r="K415" i="6"/>
  <c r="K416" i="6"/>
  <c r="K417" i="6"/>
  <c r="K418" i="6"/>
  <c r="K419" i="6"/>
  <c r="K420" i="6"/>
  <c r="K421" i="6"/>
  <c r="K430" i="6"/>
  <c r="K435" i="6"/>
  <c r="K422" i="6"/>
  <c r="K261" i="6"/>
  <c r="K454" i="6"/>
  <c r="K455" i="6"/>
  <c r="K466" i="6"/>
  <c r="K467" i="6"/>
  <c r="K468" i="6"/>
  <c r="K469" i="6"/>
  <c r="K470" i="6"/>
  <c r="K471" i="6"/>
  <c r="K479" i="6"/>
  <c r="K481" i="6"/>
  <c r="K482" i="6"/>
  <c r="K487" i="6"/>
  <c r="K489" i="6"/>
  <c r="K490" i="6"/>
  <c r="K491" i="6"/>
  <c r="K492" i="6"/>
  <c r="K493" i="6"/>
  <c r="K494" i="6"/>
  <c r="K495" i="6"/>
  <c r="K497" i="6"/>
  <c r="K345" i="6"/>
  <c r="K498" i="6"/>
  <c r="K499" i="6"/>
  <c r="K500" i="6"/>
  <c r="K501" i="6"/>
  <c r="K503" i="6"/>
  <c r="K504" i="6"/>
  <c r="K511" i="6"/>
  <c r="K516" i="6"/>
  <c r="K517" i="6"/>
  <c r="K518" i="6"/>
  <c r="K519" i="6"/>
  <c r="K520" i="6"/>
  <c r="K521" i="6"/>
  <c r="K522" i="6"/>
  <c r="K523" i="6"/>
  <c r="K524" i="6"/>
  <c r="K525" i="6"/>
  <c r="K529" i="6"/>
  <c r="K530" i="6"/>
  <c r="K531" i="6"/>
  <c r="K532" i="6"/>
  <c r="K533" i="6"/>
  <c r="K534" i="6"/>
  <c r="K535" i="6"/>
  <c r="K545" i="6"/>
  <c r="K546" i="6"/>
  <c r="K241" i="6"/>
  <c r="K549" i="6"/>
  <c r="K550" i="6"/>
  <c r="K551" i="6"/>
  <c r="K559" i="6"/>
  <c r="K560" i="6"/>
  <c r="K561" i="6"/>
  <c r="K562" i="6"/>
  <c r="K563" i="6"/>
  <c r="K564" i="6"/>
  <c r="K565" i="6"/>
  <c r="K566" i="6"/>
  <c r="K567" i="6"/>
  <c r="K568" i="6"/>
  <c r="K569" i="6"/>
  <c r="K580" i="6"/>
  <c r="K581" i="6"/>
  <c r="K582" i="6"/>
  <c r="K584" i="6"/>
  <c r="K585" i="6"/>
  <c r="K305" i="6"/>
  <c r="K596" i="6"/>
  <c r="K436" i="6"/>
  <c r="K598" i="6"/>
  <c r="K601" i="6"/>
  <c r="K602" i="6"/>
  <c r="K608" i="6"/>
  <c r="K609" i="6"/>
  <c r="K622" i="6"/>
  <c r="K623" i="6"/>
  <c r="K624" i="6"/>
  <c r="K625" i="6"/>
  <c r="K626" i="6"/>
  <c r="K627" i="6"/>
  <c r="K628" i="6"/>
  <c r="K629" i="6"/>
  <c r="K630" i="6"/>
  <c r="K502" i="6"/>
  <c r="K647" i="6"/>
  <c r="K648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9" i="6"/>
  <c r="K680" i="6"/>
  <c r="K681" i="6"/>
  <c r="K682" i="6"/>
  <c r="K683" i="6"/>
  <c r="K689" i="6"/>
  <c r="K690" i="6"/>
  <c r="K695" i="6"/>
  <c r="K696" i="6"/>
  <c r="K379" i="6"/>
  <c r="K715" i="6"/>
  <c r="K716" i="6"/>
  <c r="K717" i="6"/>
  <c r="K718" i="6"/>
  <c r="K719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583" i="6"/>
  <c r="K735" i="6"/>
  <c r="K782" i="6"/>
  <c r="K783" i="6"/>
  <c r="K784" i="6"/>
  <c r="K786" i="6"/>
  <c r="K787" i="6"/>
  <c r="K788" i="6"/>
  <c r="K789" i="6"/>
  <c r="K796" i="6"/>
  <c r="K797" i="6"/>
  <c r="K798" i="6"/>
  <c r="K799" i="6"/>
  <c r="K800" i="6"/>
  <c r="K801" i="6"/>
  <c r="K802" i="6"/>
  <c r="K380" i="6"/>
  <c r="K817" i="6"/>
  <c r="K818" i="6"/>
  <c r="K819" i="6"/>
  <c r="K820" i="6"/>
  <c r="K821" i="6"/>
  <c r="K822" i="6"/>
  <c r="K823" i="6"/>
  <c r="K824" i="6"/>
  <c r="K825" i="6"/>
  <c r="K826" i="6"/>
  <c r="K846" i="6"/>
  <c r="K847" i="6"/>
  <c r="K848" i="6"/>
  <c r="K849" i="6"/>
  <c r="K850" i="6"/>
  <c r="K851" i="6"/>
  <c r="K381" i="6"/>
  <c r="K858" i="6"/>
  <c r="K859" i="6"/>
  <c r="K860" i="6"/>
  <c r="K861" i="6"/>
  <c r="K862" i="6"/>
  <c r="K863" i="6"/>
  <c r="K864" i="6"/>
  <c r="K865" i="6"/>
  <c r="K866" i="6"/>
  <c r="K867" i="6"/>
  <c r="K868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631" i="6"/>
  <c r="K893" i="6"/>
  <c r="K894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7" i="6"/>
  <c r="K920" i="6"/>
  <c r="K921" i="6"/>
  <c r="K922" i="6"/>
  <c r="K923" i="6"/>
  <c r="K924" i="6"/>
  <c r="K925" i="6"/>
  <c r="K926" i="6"/>
  <c r="K947" i="6"/>
  <c r="K948" i="6"/>
  <c r="K950" i="6"/>
  <c r="K952" i="6"/>
  <c r="K953" i="6"/>
  <c r="K954" i="6"/>
  <c r="K955" i="6"/>
  <c r="K960" i="6"/>
  <c r="K961" i="6"/>
  <c r="K962" i="6"/>
  <c r="K963" i="6"/>
  <c r="K965" i="6"/>
  <c r="K966" i="6"/>
  <c r="K970" i="6"/>
  <c r="K971" i="6"/>
  <c r="K972" i="6"/>
  <c r="K973" i="6"/>
  <c r="K974" i="6"/>
  <c r="K975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7" i="6"/>
  <c r="K1039" i="6"/>
  <c r="K1040" i="6"/>
  <c r="K1042" i="6"/>
  <c r="K1043" i="6"/>
  <c r="K1046" i="6"/>
  <c r="K1047" i="6"/>
  <c r="K1048" i="6"/>
  <c r="K1049" i="6"/>
  <c r="K1050" i="6"/>
  <c r="K1051" i="6"/>
  <c r="K1052" i="6"/>
  <c r="K1053" i="6"/>
  <c r="K1054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426" i="6"/>
  <c r="K437" i="6"/>
  <c r="K1245" i="6"/>
  <c r="K1246" i="6"/>
  <c r="K1247" i="6"/>
  <c r="K852" i="6"/>
  <c r="K1261" i="6"/>
  <c r="K1262" i="6"/>
  <c r="K1263" i="6"/>
  <c r="K1264" i="6"/>
  <c r="K1265" i="6"/>
  <c r="K1266" i="6"/>
  <c r="K1267" i="6"/>
  <c r="K853" i="6"/>
  <c r="K1274" i="6"/>
  <c r="K1275" i="6"/>
  <c r="K1276" i="6"/>
  <c r="K1277" i="6"/>
  <c r="K1278" i="6"/>
  <c r="K1281" i="6"/>
  <c r="K1282" i="6"/>
  <c r="K1283" i="6"/>
  <c r="K1284" i="6"/>
  <c r="K1285" i="6"/>
  <c r="K1290" i="6"/>
  <c r="K1291" i="6"/>
  <c r="K1292" i="6"/>
  <c r="K1293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8" i="6"/>
  <c r="K1339" i="6"/>
  <c r="K1341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854" i="6"/>
  <c r="K855" i="6"/>
  <c r="K856" i="6"/>
  <c r="K857" i="6"/>
  <c r="K575" i="6"/>
  <c r="K526" i="6"/>
  <c r="K595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552" i="6"/>
  <c r="K607" i="6"/>
  <c r="K621" i="6"/>
  <c r="K650" i="6"/>
  <c r="K3928" i="6"/>
  <c r="K1546" i="6"/>
  <c r="K1547" i="6"/>
  <c r="K1548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777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2" i="6"/>
  <c r="K1613" i="6"/>
  <c r="K1614" i="6"/>
  <c r="K1616" i="6"/>
  <c r="K1617" i="6"/>
  <c r="K1618" i="6"/>
  <c r="K1619" i="6"/>
  <c r="K1628" i="6"/>
  <c r="K1632" i="6"/>
  <c r="K1633" i="6"/>
  <c r="K1634" i="6"/>
  <c r="K1635" i="6"/>
  <c r="K1636" i="6"/>
  <c r="K1637" i="6"/>
  <c r="K1641" i="6"/>
  <c r="K1642" i="6"/>
  <c r="K1652" i="6"/>
  <c r="K1653" i="6"/>
  <c r="K1654" i="6"/>
  <c r="K1665" i="6"/>
  <c r="K1666" i="6"/>
  <c r="K1667" i="6"/>
  <c r="K1668" i="6"/>
  <c r="K1669" i="6"/>
  <c r="K1670" i="6"/>
  <c r="K1672" i="6"/>
  <c r="K1673" i="6"/>
  <c r="K1674" i="6"/>
  <c r="K1675" i="6"/>
  <c r="K1676" i="6"/>
  <c r="K1677" i="6"/>
  <c r="K1678" i="6"/>
  <c r="K1679" i="6"/>
  <c r="K1687" i="6"/>
  <c r="K1688" i="6"/>
  <c r="K1689" i="6"/>
  <c r="K1690" i="6"/>
  <c r="K1691" i="6"/>
  <c r="K1692" i="6"/>
  <c r="K1693" i="6"/>
  <c r="K1694" i="6"/>
  <c r="K1695" i="6"/>
  <c r="K886" i="6"/>
  <c r="K1697" i="6"/>
  <c r="K1719" i="6"/>
  <c r="K1720" i="6"/>
  <c r="K1728" i="6"/>
  <c r="K1729" i="6"/>
  <c r="K1730" i="6"/>
  <c r="K1735" i="6"/>
  <c r="K1736" i="6"/>
  <c r="K1737" i="6"/>
  <c r="K1738" i="6"/>
  <c r="K1744" i="6"/>
  <c r="K1750" i="6"/>
  <c r="K1751" i="6"/>
  <c r="K1752" i="6"/>
  <c r="K1754" i="6"/>
  <c r="K1522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523" i="6"/>
  <c r="K1524" i="6"/>
  <c r="K1833" i="6"/>
  <c r="K1834" i="6"/>
  <c r="K1835" i="6"/>
  <c r="K1838" i="6"/>
  <c r="K1839" i="6"/>
  <c r="K1840" i="6"/>
  <c r="K1841" i="6"/>
  <c r="K1842" i="6"/>
  <c r="K1843" i="6"/>
  <c r="K1525" i="6"/>
  <c r="K912" i="6"/>
  <c r="K1526" i="6"/>
  <c r="K1527" i="6"/>
  <c r="K1850" i="6"/>
  <c r="K1851" i="6"/>
  <c r="K1852" i="6"/>
  <c r="K1859" i="6"/>
  <c r="K1860" i="6"/>
  <c r="K1861" i="6"/>
  <c r="K1862" i="6"/>
  <c r="K1863" i="6"/>
  <c r="K1864" i="6"/>
  <c r="K1865" i="6"/>
  <c r="K1866" i="6"/>
  <c r="K1867" i="6"/>
  <c r="K1868" i="6"/>
  <c r="K1528" i="6"/>
  <c r="K1887" i="6"/>
  <c r="K1888" i="6"/>
  <c r="K1889" i="6"/>
  <c r="K1891" i="6"/>
  <c r="K1892" i="6"/>
  <c r="K1893" i="6"/>
  <c r="K1894" i="6"/>
  <c r="K1895" i="6"/>
  <c r="K1896" i="6"/>
  <c r="K1897" i="6"/>
  <c r="K1898" i="6"/>
  <c r="K1899" i="6"/>
  <c r="K1904" i="6"/>
  <c r="K1905" i="6"/>
  <c r="K1906" i="6"/>
  <c r="K1908" i="6"/>
  <c r="K1909" i="6"/>
  <c r="K1950" i="6"/>
  <c r="K1951" i="6"/>
  <c r="K1952" i="6"/>
  <c r="K1953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4" i="6"/>
  <c r="K1955" i="6"/>
  <c r="K1956" i="6"/>
  <c r="K1957" i="6"/>
  <c r="K1958" i="6"/>
  <c r="K1959" i="6"/>
  <c r="K1960" i="6"/>
  <c r="K1961" i="6"/>
  <c r="K1962" i="6"/>
  <c r="K1963" i="6"/>
  <c r="K984" i="6"/>
  <c r="K1055" i="6"/>
  <c r="K1967" i="6"/>
  <c r="K1976" i="6"/>
  <c r="K1977" i="6"/>
  <c r="K1978" i="6"/>
  <c r="K1979" i="6"/>
  <c r="K1980" i="6"/>
  <c r="K1981" i="6"/>
  <c r="K1990" i="6"/>
  <c r="K1991" i="6"/>
  <c r="K1992" i="6"/>
  <c r="K1993" i="6"/>
  <c r="K1994" i="6"/>
  <c r="K1995" i="6"/>
  <c r="K1996" i="6"/>
  <c r="K1998" i="6"/>
  <c r="K1999" i="6"/>
  <c r="K2011" i="6"/>
  <c r="K2012" i="6"/>
  <c r="K2013" i="6"/>
  <c r="K2014" i="6"/>
  <c r="K2015" i="6"/>
  <c r="K2016" i="6"/>
  <c r="K2017" i="6"/>
  <c r="K2018" i="6"/>
  <c r="K2019" i="6"/>
  <c r="K2020" i="6"/>
  <c r="K2021" i="6"/>
  <c r="K1056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83" i="6"/>
  <c r="K2084" i="6"/>
  <c r="K2087" i="6"/>
  <c r="K2092" i="6"/>
  <c r="K2093" i="6"/>
  <c r="K2094" i="6"/>
  <c r="K2095" i="6"/>
  <c r="K2096" i="6"/>
  <c r="K2097" i="6"/>
  <c r="K2098" i="6"/>
  <c r="K2099" i="6"/>
  <c r="K2100" i="6"/>
  <c r="K1057" i="6"/>
  <c r="K2105" i="6"/>
  <c r="K2106" i="6"/>
  <c r="K2107" i="6"/>
  <c r="K2108" i="6"/>
  <c r="K2109" i="6"/>
  <c r="K2110" i="6"/>
  <c r="K2111" i="6"/>
  <c r="K2112" i="6"/>
  <c r="K2113" i="6"/>
  <c r="K2114" i="6"/>
  <c r="K2115" i="6"/>
  <c r="K1228" i="6"/>
  <c r="K2123" i="6"/>
  <c r="K2124" i="6"/>
  <c r="K2126" i="6"/>
  <c r="K2127" i="6"/>
  <c r="K2128" i="6"/>
  <c r="K2129" i="6"/>
  <c r="K2130" i="6"/>
  <c r="K2131" i="6"/>
  <c r="K2132" i="6"/>
  <c r="K2133" i="6"/>
  <c r="K2138" i="6"/>
  <c r="K2139" i="6"/>
  <c r="K2140" i="6"/>
  <c r="K2142" i="6"/>
  <c r="K2149" i="6"/>
  <c r="K2150" i="6"/>
  <c r="K2157" i="6"/>
  <c r="K2158" i="6"/>
  <c r="K2162" i="6"/>
  <c r="K2164" i="6"/>
  <c r="K2166" i="6"/>
  <c r="K2167" i="6"/>
  <c r="K2168" i="6"/>
  <c r="K2169" i="6"/>
  <c r="K2170" i="6"/>
  <c r="K2171" i="6"/>
  <c r="K2172" i="6"/>
  <c r="K2173" i="6"/>
  <c r="K2175" i="6"/>
  <c r="K2176" i="6"/>
  <c r="K2177" i="6"/>
  <c r="K1229" i="6"/>
  <c r="K2178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1910" i="6"/>
  <c r="K2266" i="6"/>
  <c r="K2267" i="6"/>
  <c r="K2274" i="6"/>
  <c r="K2275" i="6"/>
  <c r="K2276" i="6"/>
  <c r="K2277" i="6"/>
  <c r="K2278" i="6"/>
  <c r="K2279" i="6"/>
  <c r="K1964" i="6"/>
  <c r="K2281" i="6"/>
  <c r="K2282" i="6"/>
  <c r="K2290" i="6"/>
  <c r="K2291" i="6"/>
  <c r="K2292" i="6"/>
  <c r="K2293" i="6"/>
  <c r="K2295" i="6"/>
  <c r="K2296" i="6"/>
  <c r="K2297" i="6"/>
  <c r="K2298" i="6"/>
  <c r="K2299" i="6"/>
  <c r="K2300" i="6"/>
  <c r="K2301" i="6"/>
  <c r="K2302" i="6"/>
  <c r="K2303" i="6"/>
  <c r="K2307" i="6"/>
  <c r="K2308" i="6"/>
  <c r="K2309" i="6"/>
  <c r="K2310" i="6"/>
  <c r="K2311" i="6"/>
  <c r="K2312" i="6"/>
  <c r="K2313" i="6"/>
  <c r="K2314" i="6"/>
  <c r="K2320" i="6"/>
  <c r="K2321" i="6"/>
  <c r="K2322" i="6"/>
  <c r="K2325" i="6"/>
  <c r="K2326" i="6"/>
  <c r="K2355" i="6"/>
  <c r="K2356" i="6"/>
  <c r="K2357" i="6"/>
  <c r="K2360" i="6"/>
  <c r="K2361" i="6"/>
  <c r="K2362" i="6"/>
  <c r="K2363" i="6"/>
  <c r="K2364" i="6"/>
  <c r="K2365" i="6"/>
  <c r="K2366" i="6"/>
  <c r="K2367" i="6"/>
  <c r="K2380" i="6"/>
  <c r="K2383" i="6"/>
  <c r="K2384" i="6"/>
  <c r="K2385" i="6"/>
  <c r="K2386" i="6"/>
  <c r="K2387" i="6"/>
  <c r="K2388" i="6"/>
  <c r="K2389" i="6"/>
  <c r="K2390" i="6"/>
  <c r="K2391" i="6"/>
  <c r="K2392" i="6"/>
  <c r="K827" i="6"/>
  <c r="K2429" i="6"/>
  <c r="K2430" i="6"/>
  <c r="K2431" i="6"/>
  <c r="K2433" i="6"/>
  <c r="K2434" i="6"/>
  <c r="K2435" i="6"/>
  <c r="K2436" i="6"/>
  <c r="K2437" i="6"/>
  <c r="K2438" i="6"/>
  <c r="K2439" i="6"/>
  <c r="K2447" i="6"/>
  <c r="K2448" i="6"/>
  <c r="K2450" i="6"/>
  <c r="K2451" i="6"/>
  <c r="K2452" i="6"/>
  <c r="K2453" i="6"/>
  <c r="K2454" i="6"/>
  <c r="K2455" i="6"/>
  <c r="K2456" i="6"/>
  <c r="K2457" i="6"/>
  <c r="K2458" i="6"/>
  <c r="K2459" i="6"/>
  <c r="K2460" i="6"/>
  <c r="K2462" i="6"/>
  <c r="K2463" i="6"/>
  <c r="K2491" i="6"/>
  <c r="K2492" i="6"/>
  <c r="K2493" i="6"/>
  <c r="K2494" i="6"/>
  <c r="K1230" i="6"/>
  <c r="K2498" i="6"/>
  <c r="K2499" i="6"/>
  <c r="K2500" i="6"/>
  <c r="K2501" i="6"/>
  <c r="K2540" i="6"/>
  <c r="K2541" i="6"/>
  <c r="K2542" i="6"/>
  <c r="K2552" i="6"/>
  <c r="K2553" i="6"/>
  <c r="K2554" i="6"/>
  <c r="K2559" i="6"/>
  <c r="K2560" i="6"/>
  <c r="K2561" i="6"/>
  <c r="K2563" i="6"/>
  <c r="K2564" i="6"/>
  <c r="K2566" i="6"/>
  <c r="K2567" i="6"/>
  <c r="K2568" i="6"/>
  <c r="K2569" i="6"/>
  <c r="K2570" i="6"/>
  <c r="K2571" i="6"/>
  <c r="K2572" i="6"/>
  <c r="K2573" i="6"/>
  <c r="K2583" i="6"/>
  <c r="K2585" i="6"/>
  <c r="K2586" i="6"/>
  <c r="K2587" i="6"/>
  <c r="K2588" i="6"/>
  <c r="K2589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1231" i="6"/>
  <c r="K2644" i="6"/>
  <c r="K2645" i="6"/>
  <c r="K2649" i="6"/>
  <c r="K2650" i="6"/>
  <c r="K2651" i="6"/>
  <c r="K2652" i="6"/>
  <c r="K2653" i="6"/>
  <c r="K2654" i="6"/>
  <c r="K2656" i="6"/>
  <c r="K2657" i="6"/>
  <c r="K1248" i="6"/>
  <c r="K2116" i="6"/>
  <c r="K1268" i="6"/>
  <c r="K2658" i="6"/>
  <c r="K2676" i="6"/>
  <c r="K2679" i="6"/>
  <c r="K2680" i="6"/>
  <c r="K2681" i="6"/>
  <c r="K2682" i="6"/>
  <c r="K2683" i="6"/>
  <c r="K2686" i="6"/>
  <c r="K2687" i="6"/>
  <c r="K2688" i="6"/>
  <c r="K1386" i="6"/>
  <c r="K2690" i="6"/>
  <c r="K2691" i="6"/>
  <c r="K2692" i="6"/>
  <c r="K2693" i="6"/>
  <c r="K2694" i="6"/>
  <c r="K2695" i="6"/>
  <c r="K2696" i="6"/>
  <c r="K2697" i="6"/>
  <c r="K2698" i="6"/>
  <c r="K2699" i="6"/>
  <c r="K2701" i="6"/>
  <c r="K2702" i="6"/>
  <c r="K2708" i="6"/>
  <c r="K2710" i="6"/>
  <c r="K2711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134" i="6"/>
  <c r="K2757" i="6"/>
  <c r="K2758" i="6"/>
  <c r="K2759" i="6"/>
  <c r="K2760" i="6"/>
  <c r="K2761" i="6"/>
  <c r="K2770" i="6"/>
  <c r="K2771" i="6"/>
  <c r="K2772" i="6"/>
  <c r="K2773" i="6"/>
  <c r="K2774" i="6"/>
  <c r="K2775" i="6"/>
  <c r="K2776" i="6"/>
  <c r="K2777" i="6"/>
  <c r="K2778" i="6"/>
  <c r="K2779" i="6"/>
  <c r="K2780" i="6"/>
  <c r="K2762" i="6"/>
  <c r="K2782" i="6"/>
  <c r="K2783" i="6"/>
  <c r="K2790" i="6"/>
  <c r="K2791" i="6"/>
  <c r="K2792" i="6"/>
  <c r="K2793" i="6"/>
  <c r="K2794" i="6"/>
  <c r="K2795" i="6"/>
  <c r="K2796" i="6"/>
  <c r="K2797" i="6"/>
  <c r="K2798" i="6"/>
  <c r="K2135" i="6"/>
  <c r="K2809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8" i="6"/>
  <c r="K2839" i="6"/>
  <c r="K2840" i="6"/>
  <c r="K2842" i="6"/>
  <c r="K2843" i="6"/>
  <c r="K2844" i="6"/>
  <c r="K2845" i="6"/>
  <c r="K2846" i="6"/>
  <c r="K2847" i="6"/>
  <c r="K2848" i="6"/>
  <c r="K2849" i="6"/>
  <c r="K2850" i="6"/>
  <c r="K2873" i="6"/>
  <c r="K2874" i="6"/>
  <c r="K2875" i="6"/>
  <c r="K2876" i="6"/>
  <c r="K2877" i="6"/>
  <c r="K2878" i="6"/>
  <c r="K2879" i="6"/>
  <c r="K3012" i="6"/>
  <c r="K3013" i="6"/>
  <c r="K3014" i="6"/>
  <c r="K3015" i="6"/>
  <c r="K3016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136" i="6"/>
  <c r="K2899" i="6"/>
  <c r="K2910" i="6"/>
  <c r="K2912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71" i="6"/>
  <c r="K2972" i="6"/>
  <c r="K2973" i="6"/>
  <c r="K2974" i="6"/>
  <c r="K2975" i="6"/>
  <c r="K2976" i="6"/>
  <c r="K2977" i="6"/>
  <c r="K2978" i="6"/>
  <c r="K1698" i="6"/>
  <c r="K2979" i="6"/>
  <c r="K2980" i="6"/>
  <c r="K2981" i="6"/>
  <c r="K2982" i="6"/>
  <c r="K2983" i="6"/>
  <c r="K2985" i="6"/>
  <c r="K2986" i="6"/>
  <c r="K2987" i="6"/>
  <c r="K2988" i="6"/>
  <c r="K2989" i="6"/>
  <c r="K2990" i="6"/>
  <c r="K2991" i="6"/>
  <c r="K2992" i="6"/>
  <c r="K1848" i="6"/>
  <c r="K2998" i="6"/>
  <c r="K2999" i="6"/>
  <c r="K3000" i="6"/>
  <c r="K3001" i="6"/>
  <c r="K1824" i="6"/>
  <c r="K3004" i="6"/>
  <c r="K3005" i="6"/>
  <c r="K3006" i="6"/>
  <c r="K3007" i="6"/>
  <c r="K3017" i="6"/>
  <c r="K3018" i="6"/>
  <c r="K3019" i="6"/>
  <c r="K3038" i="6"/>
  <c r="K3039" i="6"/>
  <c r="K3040" i="6"/>
  <c r="K3051" i="6"/>
  <c r="K3057" i="6"/>
  <c r="K3058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2497" i="6"/>
  <c r="K4364" i="6"/>
  <c r="K1987" i="6"/>
  <c r="K3165" i="6"/>
  <c r="K3166" i="6"/>
  <c r="K3167" i="6"/>
  <c r="K3168" i="6"/>
  <c r="K3169" i="6"/>
  <c r="K3170" i="6"/>
  <c r="K3171" i="6"/>
  <c r="K3172" i="6"/>
  <c r="K2137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1965" i="6"/>
  <c r="K2022" i="6"/>
  <c r="K3308" i="6"/>
  <c r="K3312" i="6"/>
  <c r="K2101" i="6"/>
  <c r="K2781" i="6"/>
  <c r="K2851" i="6"/>
  <c r="K2117" i="6"/>
  <c r="K2141" i="6"/>
  <c r="K2200" i="6"/>
  <c r="K3002" i="6"/>
  <c r="K3041" i="6"/>
  <c r="K2486" i="6"/>
  <c r="K2368" i="6"/>
  <c r="K2395" i="6"/>
  <c r="K3173" i="6"/>
  <c r="K3174" i="6"/>
  <c r="K3175" i="6"/>
  <c r="K3176" i="6"/>
  <c r="K3177" i="6"/>
  <c r="K3178" i="6"/>
  <c r="K3179" i="6"/>
  <c r="K3180" i="6"/>
  <c r="K2440" i="6"/>
  <c r="K3181" i="6"/>
  <c r="K3182" i="6"/>
  <c r="K3183" i="6"/>
  <c r="K3184" i="6"/>
  <c r="K3185" i="6"/>
  <c r="K3186" i="6"/>
  <c r="K3187" i="6"/>
  <c r="K3188" i="6"/>
  <c r="K2543" i="6"/>
  <c r="K2630" i="6"/>
  <c r="K2659" i="6"/>
  <c r="K2669" i="6"/>
  <c r="K2664" i="6"/>
  <c r="K2995" i="6"/>
  <c r="K3382" i="6"/>
  <c r="K2900" i="6"/>
  <c r="K3386" i="6"/>
  <c r="K3388" i="6"/>
  <c r="K3389" i="6"/>
  <c r="K3390" i="6"/>
  <c r="K3391" i="6"/>
  <c r="K3392" i="6"/>
  <c r="K3393" i="6"/>
  <c r="K3394" i="6"/>
  <c r="K3395" i="6"/>
  <c r="K2946" i="6"/>
  <c r="K3404" i="6"/>
  <c r="K3405" i="6"/>
  <c r="K3411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307" i="6"/>
  <c r="K3463" i="6"/>
  <c r="K3464" i="6"/>
  <c r="K3465" i="6"/>
  <c r="K3466" i="6"/>
  <c r="K3467" i="6"/>
  <c r="K3468" i="6"/>
  <c r="K3488" i="6"/>
  <c r="K3489" i="6"/>
  <c r="K3490" i="6"/>
  <c r="K3494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8" i="6"/>
  <c r="K3521" i="6"/>
  <c r="K3522" i="6"/>
  <c r="K3523" i="6"/>
  <c r="K3524" i="6"/>
  <c r="K3525" i="6"/>
  <c r="K3526" i="6"/>
  <c r="K3527" i="6"/>
  <c r="K3528" i="6"/>
  <c r="K3529" i="6"/>
  <c r="K3530" i="6"/>
  <c r="K2993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601" i="6"/>
  <c r="K3602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003" i="6"/>
  <c r="K3673" i="6"/>
  <c r="K3674" i="6"/>
  <c r="K3675" i="6"/>
  <c r="K3676" i="6"/>
  <c r="K3677" i="6"/>
  <c r="K367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059" i="6"/>
  <c r="K3060" i="6"/>
  <c r="K3713" i="6"/>
  <c r="K3714" i="6"/>
  <c r="K3715" i="6"/>
  <c r="K3718" i="6"/>
  <c r="K3719" i="6"/>
  <c r="K3720" i="6"/>
  <c r="K3721" i="6"/>
  <c r="K3722" i="6"/>
  <c r="K3723" i="6"/>
  <c r="K3724" i="6"/>
  <c r="K3725" i="6"/>
  <c r="K3726" i="6"/>
  <c r="K3727" i="6"/>
  <c r="K3735" i="6"/>
  <c r="K3736" i="6"/>
  <c r="K3738" i="6"/>
  <c r="K3739" i="6"/>
  <c r="K3740" i="6"/>
  <c r="K3741" i="6"/>
  <c r="K3746" i="6"/>
  <c r="K3752" i="6"/>
  <c r="K3753" i="6"/>
  <c r="K3754" i="6"/>
  <c r="K3755" i="6"/>
  <c r="K3756" i="6"/>
  <c r="K3757" i="6"/>
  <c r="K3758" i="6"/>
  <c r="K3759" i="6"/>
  <c r="K3771" i="6"/>
  <c r="K3775" i="6"/>
  <c r="K3776" i="6"/>
  <c r="K3777" i="6"/>
  <c r="K3778" i="6"/>
  <c r="K3779" i="6"/>
  <c r="K3780" i="6"/>
  <c r="K3781" i="6"/>
  <c r="K3782" i="6"/>
  <c r="K3783" i="6"/>
  <c r="K3784" i="6"/>
  <c r="K3785" i="6"/>
  <c r="K3804" i="6"/>
  <c r="K3805" i="6"/>
  <c r="K3806" i="6"/>
  <c r="K3807" i="6"/>
  <c r="K3808" i="6"/>
  <c r="K3809" i="6"/>
  <c r="K3810" i="6"/>
  <c r="K3812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189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902" i="6"/>
  <c r="K3903" i="6"/>
  <c r="K3904" i="6"/>
  <c r="K3905" i="6"/>
  <c r="K3906" i="6"/>
  <c r="K3908" i="6"/>
  <c r="K3909" i="6"/>
  <c r="K3910" i="6"/>
  <c r="K3911" i="6"/>
  <c r="K3912" i="6"/>
  <c r="K3913" i="6"/>
  <c r="K3914" i="6"/>
  <c r="K3915" i="6"/>
  <c r="K3917" i="6"/>
  <c r="K3919" i="6"/>
  <c r="K3920" i="6"/>
  <c r="K3921" i="6"/>
  <c r="K3922" i="6"/>
  <c r="K3929" i="6"/>
  <c r="K3931" i="6"/>
  <c r="K3932" i="6"/>
  <c r="K3933" i="6"/>
  <c r="K3940" i="6"/>
  <c r="K3941" i="6"/>
  <c r="K3942" i="6"/>
  <c r="K3943" i="6"/>
  <c r="K3948" i="6"/>
  <c r="K3949" i="6"/>
  <c r="K3950" i="6"/>
  <c r="K3951" i="6"/>
  <c r="K3952" i="6"/>
  <c r="K3953" i="6"/>
  <c r="K3954" i="6"/>
  <c r="K3955" i="6"/>
  <c r="K3956" i="6"/>
  <c r="K3957" i="6"/>
  <c r="K3962" i="6"/>
  <c r="K3963" i="6"/>
  <c r="K3964" i="6"/>
  <c r="K3965" i="6"/>
  <c r="K3966" i="6"/>
  <c r="K3967" i="6"/>
  <c r="K3968" i="6"/>
  <c r="K3969" i="6"/>
  <c r="K3970" i="6"/>
  <c r="K3990" i="6"/>
  <c r="K3991" i="6"/>
  <c r="K3992" i="6"/>
  <c r="K3993" i="6"/>
  <c r="K3994" i="6"/>
  <c r="K3285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20" i="6"/>
  <c r="K4021" i="6"/>
  <c r="K4022" i="6"/>
  <c r="K4023" i="6"/>
  <c r="K4069" i="6"/>
  <c r="K4070" i="6"/>
  <c r="K4071" i="6"/>
  <c r="K4072" i="6"/>
  <c r="K3599" i="6"/>
  <c r="K4032" i="6"/>
  <c r="K4033" i="6"/>
  <c r="K4034" i="6"/>
  <c r="K4035" i="6"/>
  <c r="K4046" i="6"/>
  <c r="K4047" i="6"/>
  <c r="K4048" i="6"/>
  <c r="K4055" i="6"/>
  <c r="K4056" i="6"/>
  <c r="K4057" i="6"/>
  <c r="K4058" i="6"/>
  <c r="K4059" i="6"/>
  <c r="K4060" i="6"/>
  <c r="K4061" i="6"/>
  <c r="K4062" i="6"/>
  <c r="K4063" i="6"/>
  <c r="K4064" i="6"/>
  <c r="K4065" i="6"/>
  <c r="K4068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58" i="6"/>
  <c r="K4159" i="6"/>
  <c r="K4160" i="6"/>
  <c r="K4161" i="6"/>
  <c r="K4162" i="6"/>
  <c r="K4163" i="6"/>
  <c r="K4164" i="6"/>
  <c r="K3313" i="6"/>
  <c r="K3314" i="6"/>
  <c r="K3315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3316" i="6"/>
  <c r="K3317" i="6"/>
  <c r="K3318" i="6"/>
  <c r="K3383" i="6"/>
  <c r="K3396" i="6"/>
  <c r="K3449" i="6"/>
  <c r="K3450" i="6"/>
  <c r="K3319" i="6"/>
  <c r="K3320" i="6"/>
  <c r="K4202" i="6"/>
  <c r="K4203" i="6"/>
  <c r="K4204" i="6"/>
  <c r="K4205" i="6"/>
  <c r="K4208" i="6"/>
  <c r="K4211" i="6"/>
  <c r="K4212" i="6"/>
  <c r="K4213" i="6"/>
  <c r="K4214" i="6"/>
  <c r="K4218" i="6"/>
  <c r="K4219" i="6"/>
  <c r="K4220" i="6"/>
  <c r="K4221" i="6"/>
  <c r="K4222" i="6"/>
  <c r="K4223" i="6"/>
  <c r="K4224" i="6"/>
  <c r="K4228" i="6"/>
  <c r="K4229" i="6"/>
  <c r="K4230" i="6"/>
  <c r="K4231" i="6"/>
  <c r="K4232" i="6"/>
  <c r="K4233" i="6"/>
  <c r="K4234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32" i="6"/>
  <c r="K3558" i="6"/>
  <c r="K4335" i="6"/>
  <c r="K4336" i="6"/>
  <c r="K4337" i="6"/>
  <c r="K4338" i="6"/>
  <c r="K4339" i="6"/>
  <c r="K4340" i="6"/>
  <c r="K4341" i="6"/>
  <c r="K4342" i="6"/>
  <c r="K4362" i="6"/>
  <c r="K4363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3559" i="6"/>
  <c r="K4388" i="6"/>
  <c r="K4389" i="6"/>
  <c r="K4390" i="6"/>
  <c r="K4391" i="6"/>
  <c r="K4392" i="6"/>
  <c r="K4393" i="6"/>
  <c r="K4394" i="6"/>
  <c r="K4395" i="6"/>
  <c r="K4396" i="6"/>
  <c r="K3321" i="6"/>
  <c r="K3322" i="6"/>
  <c r="K3323" i="6"/>
  <c r="K4397" i="6"/>
  <c r="K4398" i="6"/>
  <c r="K4399" i="6"/>
  <c r="K4400" i="6"/>
  <c r="K4401" i="6"/>
  <c r="K4402" i="6"/>
  <c r="K4403" i="6"/>
  <c r="K4404" i="6"/>
  <c r="K4405" i="6"/>
  <c r="K4447" i="6"/>
  <c r="K4448" i="6"/>
  <c r="K4449" i="6"/>
  <c r="K4450" i="6"/>
  <c r="K3847" i="6"/>
  <c r="K4451" i="6"/>
  <c r="K4452" i="6"/>
  <c r="K3848" i="6"/>
  <c r="K3881" i="6"/>
  <c r="K4453" i="6"/>
  <c r="K4468" i="6"/>
  <c r="K4476" i="6"/>
  <c r="K4477" i="6"/>
  <c r="K4478" i="6"/>
  <c r="K4479" i="6"/>
  <c r="K4480" i="6"/>
  <c r="K4481" i="6"/>
  <c r="K4484" i="6"/>
  <c r="K4485" i="6"/>
  <c r="K4486" i="6"/>
  <c r="K4487" i="6"/>
  <c r="K4488" i="6"/>
  <c r="K4489" i="6"/>
  <c r="K4490" i="6"/>
  <c r="K4491" i="6"/>
  <c r="K3882" i="6"/>
  <c r="K3883" i="6"/>
  <c r="K4503" i="6"/>
  <c r="K4492" i="6"/>
  <c r="K4506" i="6"/>
  <c r="K4507" i="6"/>
  <c r="K4508" i="6"/>
  <c r="K4509" i="6"/>
  <c r="K4510" i="6"/>
  <c r="K4511" i="6"/>
  <c r="K4515" i="6"/>
  <c r="K4516" i="6"/>
  <c r="K4517" i="6"/>
  <c r="K4518" i="6"/>
  <c r="K4519" i="6"/>
  <c r="K4520" i="6"/>
  <c r="K4521" i="6"/>
  <c r="K4522" i="6"/>
  <c r="K4523" i="6"/>
  <c r="K4524" i="6"/>
  <c r="K4541" i="6"/>
  <c r="K4542" i="6"/>
  <c r="K4543" i="6"/>
  <c r="K4544" i="6"/>
  <c r="K4545" i="6"/>
  <c r="K4546" i="6"/>
  <c r="K4547" i="6"/>
  <c r="K4548" i="6"/>
  <c r="K4549" i="6"/>
  <c r="K4550" i="6"/>
  <c r="K4551" i="6"/>
  <c r="K3884" i="6"/>
  <c r="K3885" i="6"/>
  <c r="K3886" i="6"/>
  <c r="K4585" i="6"/>
  <c r="K4586" i="6"/>
  <c r="K4587" i="6"/>
  <c r="K4588" i="6"/>
  <c r="K4589" i="6"/>
  <c r="K4590" i="6"/>
  <c r="K4591" i="6"/>
  <c r="K4622" i="6"/>
  <c r="K4623" i="6"/>
  <c r="K4624" i="6"/>
  <c r="K3887" i="6"/>
  <c r="K3888" i="6"/>
  <c r="K3889" i="6"/>
  <c r="K3324" i="6"/>
  <c r="K3325" i="6"/>
  <c r="K4086" i="6"/>
  <c r="K4087" i="6"/>
  <c r="K3326" i="6"/>
  <c r="K3327" i="6"/>
  <c r="K3328" i="6"/>
  <c r="K3329" i="6"/>
  <c r="K3330" i="6"/>
  <c r="K3331" i="6"/>
  <c r="K4493" i="6"/>
  <c r="K4494" i="6"/>
  <c r="K4537" i="6"/>
  <c r="K4538" i="6"/>
  <c r="K4539" i="6"/>
  <c r="K4540" i="6"/>
  <c r="K3452" i="6"/>
  <c r="K3516" i="6"/>
  <c r="K3531" i="6"/>
  <c r="K3916" i="6"/>
  <c r="K3711" i="6"/>
  <c r="K3750" i="6"/>
  <c r="K3786" i="6"/>
  <c r="K3851" i="6"/>
  <c r="K4467" i="6"/>
  <c r="K4627" i="6"/>
  <c r="K4181" i="6"/>
  <c r="K4184" i="6"/>
  <c r="K4385" i="6"/>
  <c r="K4406" i="6"/>
  <c r="K4407" i="6"/>
  <c r="K4414" i="6"/>
  <c r="K4499" i="6"/>
  <c r="K4592" i="6"/>
  <c r="K3491" i="6"/>
  <c r="K1727" i="6"/>
  <c r="N1727" i="6"/>
  <c r="N3491" i="6"/>
  <c r="K897" i="6"/>
  <c r="N897" i="6"/>
  <c r="K215" i="6"/>
  <c r="K2379" i="6" l="1"/>
  <c r="N912" i="6"/>
  <c r="N2141" i="6"/>
  <c r="N215" i="6"/>
  <c r="N3189" i="6"/>
  <c r="K539" i="6" l="1"/>
  <c r="N539" i="6"/>
  <c r="N45" i="6"/>
  <c r="N437" i="6" l="1"/>
  <c r="N381" i="6" l="1"/>
  <c r="N380" i="6"/>
  <c r="N379" i="6"/>
  <c r="N2440" i="6"/>
  <c r="N1230" i="6" l="1"/>
  <c r="N1231" i="6"/>
  <c r="K346" i="6"/>
  <c r="N346" i="6"/>
  <c r="N2395" i="6" l="1"/>
  <c r="N2543" i="6" l="1"/>
  <c r="N526" i="6"/>
  <c r="N2368" i="6"/>
  <c r="N305" i="6"/>
  <c r="N3452" i="6"/>
  <c r="N2630" i="6"/>
  <c r="N3516" i="6"/>
  <c r="N3786" i="6"/>
  <c r="N3750" i="6"/>
  <c r="N575" i="6" l="1"/>
  <c r="K3712" i="6"/>
  <c r="N1056" i="6"/>
  <c r="N1057" i="6"/>
  <c r="K403" i="6" l="1"/>
  <c r="N3848" i="6"/>
  <c r="N2134" i="6"/>
  <c r="N2135" i="6"/>
  <c r="N2136" i="6"/>
  <c r="N3558" i="6"/>
  <c r="N3559" i="6"/>
  <c r="N1964" i="6"/>
  <c r="N3450" i="6"/>
  <c r="K2304" i="6"/>
  <c r="N2304" i="6"/>
  <c r="N155" i="6" l="1"/>
  <c r="N3181" i="6" l="1"/>
  <c r="N3182" i="6"/>
  <c r="N3183" i="6"/>
  <c r="N3184" i="6"/>
  <c r="N3185" i="6"/>
  <c r="N3186" i="6"/>
  <c r="N3187" i="6"/>
  <c r="N3188" i="6"/>
  <c r="N3180" i="6"/>
  <c r="N3881" i="6"/>
  <c r="N3882" i="6"/>
  <c r="N3883" i="6"/>
  <c r="N3884" i="6"/>
  <c r="N3885" i="6"/>
  <c r="N3886" i="6"/>
  <c r="N3887" i="6"/>
  <c r="N3888" i="6"/>
  <c r="N3889" i="6"/>
  <c r="N4494" i="6"/>
  <c r="N107" i="6"/>
  <c r="N108" i="6"/>
  <c r="N3179" i="6"/>
  <c r="N3174" i="6"/>
  <c r="N3175" i="6"/>
  <c r="N3176" i="6"/>
  <c r="N3177" i="6"/>
  <c r="N3178" i="6"/>
  <c r="N1526" i="6"/>
  <c r="N1527" i="6"/>
  <c r="N1528" i="6"/>
  <c r="K2744" i="6" l="1"/>
  <c r="K4628" i="6" l="1"/>
  <c r="N4628" i="6"/>
  <c r="K496" i="6"/>
  <c r="N1910" i="6" l="1"/>
  <c r="N854" i="6" l="1"/>
  <c r="N853" i="6"/>
  <c r="N855" i="6"/>
  <c r="N856" i="6"/>
  <c r="N857" i="6"/>
  <c r="N4538" i="6"/>
  <c r="N4539" i="6"/>
  <c r="N4540" i="6"/>
  <c r="N4537" i="6"/>
  <c r="K2949" i="6"/>
  <c r="N2946" i="6"/>
  <c r="N3041" i="6"/>
  <c r="N106" i="6"/>
  <c r="N217" i="6"/>
  <c r="N496" i="6"/>
  <c r="N261" i="6"/>
  <c r="N583" i="6" l="1"/>
  <c r="N3916" i="6"/>
  <c r="N1523" i="6"/>
  <c r="N1524" i="6"/>
  <c r="N1525" i="6"/>
  <c r="N422" i="6"/>
  <c r="N241" i="6"/>
  <c r="N3060" i="6"/>
  <c r="N3059" i="6"/>
  <c r="N4467" i="6"/>
  <c r="N4087" i="6"/>
  <c r="N2900" i="6" l="1"/>
  <c r="K2464" i="6"/>
  <c r="N2464" i="6"/>
  <c r="N2116" i="6"/>
  <c r="N2114" i="6"/>
  <c r="N2115" i="6"/>
  <c r="N2178" i="6" l="1"/>
  <c r="N4364" i="6"/>
  <c r="D22" i="49"/>
  <c r="N436" i="6" l="1"/>
  <c r="N345" i="6"/>
  <c r="N4181" i="6"/>
  <c r="N2949" i="6"/>
  <c r="N735" i="6"/>
  <c r="N3515" i="6"/>
  <c r="N2075" i="6"/>
  <c r="N3807" i="6"/>
  <c r="N2113" i="6"/>
  <c r="N2117" i="6"/>
  <c r="N2851" i="6"/>
  <c r="N2781" i="6"/>
  <c r="N3173" i="6"/>
  <c r="N1522" i="6"/>
  <c r="N1229" i="6"/>
  <c r="N2392" i="6"/>
  <c r="N2497" i="6"/>
  <c r="N552" i="6"/>
  <c r="N631" i="6"/>
  <c r="N3383" i="6"/>
  <c r="N4592" i="6"/>
  <c r="N502" i="6"/>
  <c r="N3396" i="6"/>
  <c r="N3711" i="6"/>
  <c r="N2391" i="6"/>
  <c r="N2137" i="6"/>
  <c r="N595" i="6"/>
  <c r="N1824" i="6"/>
  <c r="N16" i="6"/>
  <c r="N4493" i="6"/>
  <c r="N2486" i="6"/>
  <c r="N205" i="6"/>
  <c r="N3847" i="6"/>
  <c r="N421" i="6"/>
  <c r="N4407" i="6"/>
  <c r="N4406" i="6"/>
  <c r="N3002" i="6"/>
  <c r="N3003" i="6"/>
  <c r="N2658" i="6"/>
  <c r="N127" i="6"/>
  <c r="N3040" i="6"/>
  <c r="N126" i="6"/>
  <c r="N3785" i="6"/>
  <c r="N3161" i="6"/>
  <c r="N3162" i="6"/>
  <c r="N3163" i="6"/>
  <c r="N1868" i="6"/>
  <c r="N1867" i="6"/>
  <c r="N1866" i="6"/>
  <c r="N2367" i="6"/>
  <c r="N435" i="6"/>
  <c r="N1628" i="6"/>
  <c r="N2162" i="6"/>
  <c r="K4343" i="6"/>
  <c r="N4381" i="6"/>
  <c r="N4380" i="6"/>
  <c r="N4382" i="6"/>
  <c r="N3038" i="6"/>
  <c r="N2783" i="6"/>
  <c r="N3943" i="6"/>
  <c r="N4102" i="6"/>
  <c r="N4013" i="6"/>
  <c r="N399" i="6"/>
  <c r="N3990" i="6"/>
  <c r="N1642" i="6"/>
  <c r="N826" i="6"/>
  <c r="N1899" i="6"/>
  <c r="N696" i="6"/>
  <c r="N4085" i="6"/>
  <c r="N2573" i="6"/>
  <c r="N3019" i="6"/>
  <c r="N1679" i="6"/>
  <c r="N4143" i="6"/>
  <c r="N2463" i="6"/>
  <c r="N2708" i="6"/>
  <c r="N3933" i="6"/>
  <c r="N525" i="6"/>
  <c r="N1521" i="6"/>
  <c r="N1336" i="6"/>
  <c r="N1720" i="6"/>
  <c r="N2267" i="6"/>
  <c r="N535" i="6"/>
  <c r="N4342" i="6"/>
  <c r="N4208" i="6"/>
  <c r="N3448" i="6"/>
  <c r="N4184" i="6"/>
  <c r="N260" i="6"/>
  <c r="N3905" i="6"/>
  <c r="N1670" i="6"/>
  <c r="N1669" i="6"/>
  <c r="N1668" i="6"/>
  <c r="N1667" i="6"/>
  <c r="N1137" i="6"/>
  <c r="N1136" i="6"/>
  <c r="N1135" i="6"/>
  <c r="N1134" i="6"/>
  <c r="N851" i="6"/>
  <c r="N850" i="6"/>
  <c r="N849" i="6"/>
  <c r="N848" i="6"/>
  <c r="N847" i="6"/>
  <c r="N846" i="6"/>
  <c r="N2983" i="6"/>
  <c r="N2982" i="6"/>
  <c r="N2981" i="6"/>
  <c r="N2980" i="6"/>
  <c r="N2979" i="6"/>
  <c r="N1517" i="6"/>
  <c r="N1516" i="6"/>
  <c r="N1518" i="6"/>
  <c r="N1519" i="6"/>
  <c r="N1520" i="6"/>
  <c r="N401" i="6"/>
  <c r="N3970" i="6"/>
  <c r="N3518" i="6"/>
  <c r="N4086" i="6"/>
  <c r="N3395" i="6"/>
  <c r="N1051" i="6" l="1"/>
  <c r="N1050" i="6"/>
  <c r="N4035" i="6"/>
  <c r="N2199" i="6"/>
  <c r="N2198" i="6"/>
  <c r="N2197" i="6"/>
  <c r="N2065" i="6"/>
  <c r="N2066" i="6"/>
  <c r="N2067" i="6"/>
  <c r="N2068" i="6"/>
  <c r="N2069" i="6"/>
  <c r="N2070" i="6"/>
  <c r="N2071" i="6"/>
  <c r="N2072" i="6"/>
  <c r="N2073" i="6"/>
  <c r="N2074" i="6"/>
  <c r="N3039" i="6"/>
  <c r="N2657" i="6" l="1"/>
  <c r="N2669" i="6"/>
  <c r="N2659" i="6"/>
  <c r="N3164" i="6"/>
  <c r="N2101" i="6"/>
  <c r="N36" i="6"/>
  <c r="N1228" i="6"/>
  <c r="N852" i="6"/>
  <c r="N3906" i="6" l="1"/>
  <c r="N2898" i="6"/>
  <c r="N2629" i="6"/>
  <c r="N2993" i="6"/>
  <c r="N1788" i="6"/>
  <c r="N1789" i="6"/>
  <c r="N1790" i="6"/>
  <c r="N1791" i="6"/>
  <c r="N1792" i="6"/>
  <c r="N1787" i="6"/>
  <c r="N4305" i="6"/>
  <c r="N2177" i="6"/>
  <c r="N3158" i="6"/>
  <c r="N3159" i="6"/>
  <c r="N3153" i="6"/>
  <c r="N3154" i="6"/>
  <c r="N3155" i="6"/>
  <c r="N3156" i="6"/>
  <c r="N3157" i="6"/>
  <c r="N3160" i="6"/>
  <c r="N1503" i="6"/>
  <c r="N1504" i="6"/>
  <c r="N1505" i="6"/>
  <c r="N1506" i="6"/>
  <c r="N1507" i="6"/>
  <c r="N1508" i="6"/>
  <c r="N1509" i="6"/>
  <c r="N1510" i="6"/>
  <c r="N2941" i="6"/>
  <c r="N2942" i="6"/>
  <c r="N2943" i="6"/>
  <c r="N2944" i="6"/>
  <c r="N2303" i="6"/>
  <c r="N497" i="6"/>
  <c r="N3389" i="6"/>
  <c r="N3709" i="6"/>
  <c r="N3710" i="6"/>
  <c r="N3708" i="6"/>
  <c r="N2945" i="6"/>
  <c r="N3058" i="6"/>
  <c r="N4232" i="6"/>
  <c r="N4231" i="6"/>
  <c r="N2302" i="6"/>
  <c r="N3447" i="6"/>
  <c r="N3904" i="6"/>
  <c r="N1698" i="6" l="1"/>
  <c r="K1696" i="6" l="1"/>
  <c r="K316" i="6" l="1"/>
  <c r="N316" i="6"/>
  <c r="K1997" i="6"/>
  <c r="N1997" i="6"/>
  <c r="N1906" i="6"/>
  <c r="N296" i="6" l="1"/>
  <c r="N524" i="6"/>
  <c r="N2762" i="6"/>
  <c r="N1386" i="6"/>
  <c r="N2064" i="6"/>
  <c r="N4071" i="6"/>
  <c r="N3810" i="6"/>
  <c r="N3809" i="6"/>
  <c r="N3808" i="6"/>
  <c r="K4333" i="6"/>
  <c r="N4333" i="6"/>
  <c r="N3921" i="6"/>
  <c r="N1499" i="6"/>
  <c r="N1500" i="6"/>
  <c r="N1501" i="6"/>
  <c r="N1502" i="6"/>
  <c r="N3145" i="6"/>
  <c r="N3146" i="6"/>
  <c r="N3148" i="6"/>
  <c r="N3149" i="6"/>
  <c r="N3150" i="6"/>
  <c r="N3151" i="6"/>
  <c r="N3152" i="6"/>
  <c r="N104" i="6"/>
  <c r="N105" i="6"/>
  <c r="N392" i="6"/>
  <c r="N391" i="6"/>
  <c r="N390" i="6"/>
  <c r="N2176" i="6"/>
  <c r="N3007" i="6"/>
  <c r="N903" i="6"/>
  <c r="N4524" i="6"/>
  <c r="N1981" i="6"/>
  <c r="N4218" i="6"/>
  <c r="N1133" i="6"/>
  <c r="N1132" i="6"/>
  <c r="N1131" i="6"/>
  <c r="N1130" i="6"/>
  <c r="N1129" i="6"/>
  <c r="N1128" i="6"/>
  <c r="N1127" i="6"/>
  <c r="N1126" i="6"/>
  <c r="N1125" i="6"/>
  <c r="N1124" i="6"/>
  <c r="N1123" i="6"/>
  <c r="N2100" i="6"/>
  <c r="N1278" i="6"/>
  <c r="N3494" i="6"/>
  <c r="N4414" i="6"/>
  <c r="N3922" i="6"/>
  <c r="N259" i="6" l="1"/>
  <c r="N2124" i="6"/>
  <c r="N2850" i="6"/>
  <c r="K344" i="6"/>
  <c r="N344" i="6"/>
  <c r="N4204" i="6"/>
  <c r="N3784" i="6"/>
  <c r="N1511" i="6"/>
  <c r="N3903" i="6"/>
  <c r="N3514" i="6" l="1"/>
  <c r="N3449" i="6"/>
  <c r="N2656" i="6"/>
  <c r="N2628" i="6"/>
  <c r="N4343" i="6"/>
  <c r="N2439" i="6" l="1"/>
  <c r="N2200" i="6"/>
  <c r="N2196" i="6"/>
  <c r="N4072" i="6"/>
  <c r="N4070" i="6"/>
  <c r="N4069" i="6"/>
  <c r="N4523" i="6"/>
  <c r="N4522" i="6"/>
  <c r="N3285" i="6"/>
  <c r="N3284" i="6"/>
  <c r="N3283" i="6"/>
  <c r="N3282" i="6"/>
  <c r="N1752" i="6"/>
  <c r="N2279" i="6"/>
  <c r="N30" i="6"/>
  <c r="N1043" i="6"/>
  <c r="N902" i="6"/>
  <c r="N3531" i="6"/>
  <c r="N3530" i="6"/>
  <c r="N3529" i="6"/>
  <c r="N3957" i="6"/>
  <c r="N3846" i="6"/>
  <c r="N3845" i="6"/>
  <c r="N3844" i="6"/>
  <c r="N3843" i="6"/>
  <c r="N734" i="6"/>
  <c r="N2897" i="6" l="1"/>
  <c r="N209" i="6" l="1"/>
  <c r="N4490" i="6" l="1"/>
  <c r="N4491" i="6"/>
  <c r="N4489" i="6"/>
  <c r="N718" i="6"/>
  <c r="N717" i="6"/>
  <c r="N716" i="6"/>
  <c r="N715" i="6"/>
  <c r="N1494" i="6"/>
  <c r="N1495" i="6"/>
  <c r="N1496" i="6"/>
  <c r="N1497" i="6"/>
  <c r="N672" i="6"/>
  <c r="N3139" i="6"/>
  <c r="N3140" i="6"/>
  <c r="N3141" i="6"/>
  <c r="N3142" i="6"/>
  <c r="N3143" i="6"/>
  <c r="N3144" i="6"/>
  <c r="N3147" i="6"/>
  <c r="N1577" i="6"/>
  <c r="N1498" i="6"/>
  <c r="N607" i="6"/>
  <c r="N585" i="6"/>
  <c r="N1042" i="6"/>
  <c r="N2087" i="6"/>
  <c r="N2438" i="6"/>
  <c r="N2733" i="6"/>
  <c r="N2734" i="6"/>
  <c r="N2390" i="6"/>
  <c r="N2389" i="6"/>
  <c r="N2388" i="6"/>
  <c r="N1786" i="6"/>
  <c r="N3707" i="6"/>
  <c r="N4452" i="6"/>
  <c r="N3006" i="6"/>
  <c r="N4509" i="6"/>
  <c r="N1738" i="6"/>
  <c r="N2779" i="6"/>
  <c r="N602" i="6"/>
  <c r="N1281" i="6"/>
  <c r="N151" i="6"/>
  <c r="N3992" i="6"/>
  <c r="N3993" i="6"/>
  <c r="N3994" i="6"/>
  <c r="N3307" i="6"/>
  <c r="N3611" i="6" l="1"/>
  <c r="N3612" i="6"/>
  <c r="N2022" i="6"/>
  <c r="N2896" i="6"/>
  <c r="N2021" i="6"/>
  <c r="N2020" i="6"/>
  <c r="N1696" i="6"/>
  <c r="N2627" i="6" l="1"/>
  <c r="N2761" i="6"/>
  <c r="N1785" i="6"/>
  <c r="N1784" i="6"/>
  <c r="N582" i="6" l="1"/>
  <c r="N2939" i="6"/>
  <c r="N2940" i="6"/>
  <c r="N3513" i="6" l="1"/>
  <c r="N3411" i="6"/>
  <c r="N2266" i="6"/>
  <c r="N900" i="6"/>
  <c r="N2938" i="6"/>
  <c r="N2937" i="6"/>
  <c r="N3902" i="6"/>
  <c r="N3445" i="6"/>
  <c r="N2494" i="6"/>
  <c r="N3134" i="6"/>
  <c r="N3135" i="6"/>
  <c r="N3136" i="6"/>
  <c r="N3137" i="6"/>
  <c r="N3138" i="6"/>
  <c r="N2501" i="6"/>
  <c r="N569" i="6"/>
  <c r="N568" i="6"/>
  <c r="N917" i="6"/>
  <c r="N4393" i="6"/>
  <c r="N4394" i="6"/>
  <c r="N4395" i="6"/>
  <c r="N4499" i="6" l="1"/>
  <c r="N2096" i="6"/>
  <c r="N2099" i="6"/>
  <c r="N2098" i="6"/>
  <c r="N2097" i="6"/>
  <c r="N545" i="6"/>
  <c r="N2437" i="6"/>
  <c r="N4304" i="6"/>
  <c r="N4332" i="6"/>
  <c r="N4142" i="6"/>
  <c r="N1695" i="6"/>
  <c r="N1694" i="6"/>
  <c r="N1782" i="6"/>
  <c r="N1781" i="6"/>
  <c r="N3394" i="6"/>
  <c r="N3393" i="6"/>
  <c r="N3392" i="6"/>
  <c r="N1122" i="6"/>
  <c r="N1121" i="6"/>
  <c r="N1120" i="6"/>
  <c r="N2194" i="6"/>
  <c r="N3615" i="6"/>
  <c r="N2282" i="6"/>
  <c r="N2281" i="6"/>
  <c r="N4068" i="6"/>
  <c r="N2780" i="6"/>
  <c r="N2849" i="6" l="1"/>
  <c r="N3759" i="6"/>
  <c r="N2798" i="6"/>
  <c r="N4396" i="6"/>
  <c r="N481" i="6"/>
  <c r="N4116" i="6"/>
  <c r="N4115" i="6"/>
  <c r="K1294" i="6" l="1"/>
  <c r="N1294" i="6"/>
  <c r="N1293" i="6"/>
  <c r="N901" i="6"/>
  <c r="N1292" i="6" l="1"/>
  <c r="N1291" i="6"/>
  <c r="N511" i="6"/>
  <c r="N911" i="6"/>
  <c r="N2142" i="6"/>
  <c r="N2778" i="6"/>
  <c r="N1840" i="6" l="1"/>
  <c r="N1835" i="6"/>
  <c r="N1834" i="6"/>
  <c r="N2278" i="6"/>
  <c r="N2277" i="6"/>
  <c r="N2276" i="6"/>
  <c r="N2275" i="6"/>
  <c r="N2019" i="6"/>
  <c r="N4203" i="6"/>
  <c r="N1109" i="6"/>
  <c r="N1110" i="6"/>
  <c r="N1111" i="6"/>
  <c r="N1112" i="6"/>
  <c r="N1113" i="6"/>
  <c r="N1114" i="6"/>
  <c r="N1115" i="6"/>
  <c r="N1116" i="6"/>
  <c r="N1117" i="6"/>
  <c r="N1118" i="6"/>
  <c r="N1119" i="6"/>
  <c r="N1097" i="6"/>
  <c r="N1098" i="6"/>
  <c r="N1099" i="6"/>
  <c r="N1100" i="6"/>
  <c r="N1101" i="6"/>
  <c r="N1102" i="6"/>
  <c r="N1103" i="6"/>
  <c r="N1104" i="6"/>
  <c r="N1105" i="6"/>
  <c r="N1096" i="6"/>
  <c r="N1106" i="6"/>
  <c r="N1107" i="6"/>
  <c r="N1108" i="6"/>
  <c r="N880" i="6"/>
  <c r="N881" i="6"/>
  <c r="N882" i="6"/>
  <c r="N883" i="6"/>
  <c r="N884" i="6"/>
  <c r="N885" i="6"/>
  <c r="N2133" i="6"/>
  <c r="N2132" i="6"/>
  <c r="N2131" i="6"/>
  <c r="N2130" i="6"/>
  <c r="N1996" i="6"/>
  <c r="N3713" i="6"/>
  <c r="N1947" i="6"/>
  <c r="N1949" i="6"/>
  <c r="N1948" i="6"/>
  <c r="N1572" i="6" l="1"/>
  <c r="N1573" i="6"/>
  <c r="N1574" i="6"/>
  <c r="N1575" i="6"/>
  <c r="N1576" i="6"/>
  <c r="N1488" i="6"/>
  <c r="N1489" i="6"/>
  <c r="N1490" i="6"/>
  <c r="N1491" i="6"/>
  <c r="N1492" i="6"/>
  <c r="N1493" i="6"/>
  <c r="N1383" i="6"/>
  <c r="N1384" i="6"/>
  <c r="N100" i="6"/>
  <c r="N101" i="6"/>
  <c r="N102" i="6"/>
  <c r="N103" i="6"/>
  <c r="N731" i="6"/>
  <c r="N730" i="6"/>
  <c r="K2461" i="6"/>
  <c r="N2460" i="6"/>
  <c r="N4103" i="6"/>
  <c r="N2298" i="6"/>
  <c r="N2299" i="6"/>
  <c r="N2300" i="6"/>
  <c r="N952" i="6"/>
  <c r="N3675" i="6"/>
  <c r="N3674" i="6"/>
  <c r="N3673" i="6"/>
  <c r="N3557" i="6"/>
  <c r="N3556" i="6"/>
  <c r="N3555" i="6"/>
  <c r="N4591" i="6"/>
  <c r="N3004" i="6"/>
  <c r="N2366" i="6"/>
  <c r="N2365" i="6"/>
  <c r="N2364" i="6"/>
  <c r="N2363" i="6"/>
  <c r="N2553" i="6"/>
  <c r="N2552" i="6"/>
  <c r="N2776" i="6"/>
  <c r="N2935" i="6"/>
  <c r="N2936" i="6"/>
  <c r="N1980" i="6" l="1"/>
  <c r="N1979" i="6"/>
  <c r="N1978" i="6"/>
  <c r="N1977" i="6"/>
  <c r="N1976" i="6"/>
  <c r="N2436" i="6"/>
  <c r="N2435" i="6"/>
  <c r="N2542" i="6"/>
  <c r="N17" i="6"/>
  <c r="N18" i="6"/>
  <c r="N4551" i="6"/>
  <c r="N2782" i="6"/>
  <c r="N4590" i="6"/>
  <c r="N3783" i="6"/>
  <c r="N2934" i="6"/>
  <c r="N3446" i="6"/>
  <c r="N3133" i="6"/>
  <c r="N2797" i="6"/>
  <c r="N732" i="6" l="1"/>
  <c r="N2095" i="6" l="1"/>
  <c r="K2655" i="6"/>
  <c r="N2654" i="6"/>
  <c r="N1614" i="6"/>
  <c r="N2031" i="6"/>
  <c r="N1737" i="6"/>
  <c r="N1833" i="6"/>
  <c r="N1032" i="6"/>
  <c r="N529" i="6"/>
  <c r="N683" i="6"/>
  <c r="N598" i="6"/>
  <c r="N1637" i="6"/>
  <c r="N3969" i="6"/>
  <c r="N3467" i="6"/>
  <c r="N3468" i="6"/>
  <c r="N4081" i="6"/>
  <c r="N4082" i="6"/>
  <c r="N4083" i="6"/>
  <c r="N4084" i="6"/>
  <c r="N4065" i="6"/>
  <c r="N4064" i="6"/>
  <c r="N4063" i="6"/>
  <c r="N2322" i="6"/>
  <c r="N2321" i="6"/>
  <c r="N1909" i="6"/>
  <c r="N2541" i="6"/>
  <c r="N3915" i="6"/>
  <c r="N4303" i="6"/>
  <c r="N2112" i="6"/>
  <c r="N2111" i="6"/>
  <c r="N2110" i="6"/>
  <c r="N788" i="6"/>
  <c r="N777" i="6"/>
  <c r="N2138" i="6"/>
  <c r="N950" i="6"/>
  <c r="N2387" i="6"/>
  <c r="N2386" i="6"/>
  <c r="N3512" i="6"/>
  <c r="N796" i="6" l="1"/>
  <c r="N383" i="6"/>
  <c r="N728" i="6" l="1"/>
  <c r="N2385" i="6" l="1"/>
  <c r="N2384" i="6"/>
  <c r="N2383" i="6"/>
  <c r="N1777" i="6"/>
  <c r="N1776" i="6"/>
  <c r="N1778" i="6"/>
  <c r="N1779" i="6"/>
  <c r="N1780" i="6"/>
  <c r="N295" i="6"/>
  <c r="N523" i="6"/>
  <c r="N3928" i="6"/>
  <c r="N1678" i="6"/>
  <c r="N1898" i="6"/>
  <c r="N2459" i="6"/>
  <c r="N3016" i="6"/>
  <c r="N2992" i="6"/>
  <c r="N4012" i="6"/>
  <c r="N4114" i="6"/>
  <c r="N4141" i="6"/>
  <c r="N825" i="6"/>
  <c r="N2760" i="6"/>
  <c r="N1335" i="6"/>
  <c r="N1515" i="6"/>
  <c r="N4023" i="6"/>
  <c r="N3869" i="6"/>
  <c r="N2690" i="6"/>
  <c r="N2710" i="6"/>
  <c r="N2931" i="6"/>
  <c r="N2932" i="6"/>
  <c r="N3490" i="6"/>
  <c r="N3128" i="6"/>
  <c r="N3129" i="6"/>
  <c r="N3130" i="6"/>
  <c r="N3131" i="6"/>
  <c r="N38" i="6"/>
  <c r="N3870" i="6"/>
  <c r="N2653" i="6"/>
  <c r="N899" i="6"/>
  <c r="N1691" i="6"/>
  <c r="N1692" i="6"/>
  <c r="N2655" i="6" l="1"/>
  <c r="N3329" i="6"/>
  <c r="N3330" i="6"/>
  <c r="N2175" i="6"/>
  <c r="N656" i="6"/>
  <c r="N2777" i="6"/>
  <c r="K314" i="6"/>
  <c r="N4302" i="6" l="1"/>
  <c r="K480" i="6"/>
  <c r="N3782" i="6"/>
  <c r="N3443" i="6"/>
  <c r="N2796" i="6"/>
  <c r="N467" i="6"/>
  <c r="N1905" i="6"/>
  <c r="N3758" i="6"/>
  <c r="N314" i="6"/>
  <c r="N657" i="6"/>
  <c r="N480" i="6"/>
  <c r="N315" i="6"/>
  <c r="K313" i="6"/>
  <c r="N313" i="6"/>
  <c r="N2933" i="6"/>
  <c r="N246" i="6"/>
  <c r="N3444" i="6"/>
  <c r="K4630" i="6"/>
  <c r="K2432" i="6"/>
  <c r="K1758" i="6"/>
  <c r="K1684" i="6"/>
  <c r="K1385" i="6"/>
  <c r="K398" i="6"/>
  <c r="K124" i="6"/>
  <c r="N1474" i="6" l="1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848" i="6"/>
  <c r="N1571" i="6"/>
  <c r="N1570" i="6"/>
  <c r="N2016" i="6"/>
  <c r="N2017" i="6"/>
  <c r="N2018" i="6"/>
  <c r="N2794" i="6"/>
  <c r="N3489" i="6"/>
  <c r="N1030" i="6"/>
  <c r="N1029" i="6"/>
  <c r="N492" i="6"/>
  <c r="N493" i="6"/>
  <c r="N494" i="6"/>
  <c r="N495" i="6"/>
  <c r="N733" i="6" l="1"/>
  <c r="N33" i="6"/>
  <c r="N32" i="6"/>
  <c r="N31" i="6"/>
  <c r="N1285" i="6"/>
  <c r="N4390" i="6"/>
  <c r="N4391" i="6"/>
  <c r="N2301" i="6"/>
  <c r="N786" i="6"/>
  <c r="N2559" i="6"/>
  <c r="N2540" i="6"/>
  <c r="N4077" i="6"/>
  <c r="N4078" i="6"/>
  <c r="N4079" i="6"/>
  <c r="N4080" i="6"/>
  <c r="N1754" i="6"/>
  <c r="N490" i="6"/>
  <c r="N4589" i="6"/>
  <c r="N2676" i="6"/>
  <c r="N2192" i="6"/>
  <c r="N2193" i="6"/>
  <c r="N3942" i="6"/>
  <c r="N2977" i="6"/>
  <c r="N1767" i="6" l="1"/>
  <c r="N1768" i="6"/>
  <c r="N1769" i="6"/>
  <c r="N1770" i="6"/>
  <c r="N1771" i="6"/>
  <c r="N1772" i="6"/>
  <c r="N1773" i="6"/>
  <c r="N1774" i="6"/>
  <c r="N1904" i="6"/>
  <c r="N1031" i="6"/>
  <c r="N2899" i="6" l="1"/>
  <c r="N1960" i="6"/>
  <c r="N1961" i="6"/>
  <c r="N1962" i="6"/>
  <c r="N2771" i="6"/>
  <c r="N2772" i="6"/>
  <c r="N2773" i="6"/>
  <c r="N2774" i="6"/>
  <c r="N2930" i="6" l="1"/>
  <c r="N1891" i="6"/>
  <c r="N2848" i="6"/>
  <c r="N1693" i="6"/>
  <c r="N2795" i="6" l="1"/>
  <c r="N3132" i="6"/>
  <c r="N3781" i="6" l="1"/>
  <c r="N729" i="6"/>
  <c r="N2626" i="6"/>
  <c r="N567" i="6"/>
  <c r="N3123" i="6" l="1"/>
  <c r="N3124" i="6"/>
  <c r="N3125" i="6"/>
  <c r="N3126" i="6"/>
  <c r="N37" i="6"/>
  <c r="N99" i="6"/>
  <c r="N3909" i="6"/>
  <c r="N3908" i="6"/>
  <c r="N2077" i="6"/>
  <c r="N2076" i="6"/>
  <c r="N1908" i="6"/>
  <c r="N4488" i="6"/>
  <c r="N2644" i="6"/>
  <c r="N4176" i="6"/>
  <c r="N4177" i="6"/>
  <c r="N4178" i="6"/>
  <c r="N4179" i="6"/>
  <c r="N4180" i="6"/>
  <c r="N1028" i="6"/>
  <c r="N3511" i="6"/>
  <c r="N3005" i="6"/>
  <c r="N4624" i="6"/>
  <c r="N4623" i="6"/>
  <c r="N655" i="6"/>
  <c r="N1047" i="6"/>
  <c r="N1048" i="6"/>
  <c r="N98" i="6"/>
  <c r="N797" i="6"/>
  <c r="N4301" i="6" l="1"/>
  <c r="N1040" i="6"/>
  <c r="K1975" i="6"/>
  <c r="N1975" i="6"/>
  <c r="N166" i="6"/>
  <c r="N2978" i="6"/>
  <c r="N2078" i="6" l="1"/>
  <c r="N1775" i="6"/>
  <c r="N426" i="6"/>
  <c r="N3712" i="6"/>
  <c r="N910" i="6"/>
  <c r="N4506" i="6" l="1"/>
  <c r="N4113" i="6"/>
  <c r="N1735" i="6"/>
  <c r="N4220" i="6"/>
  <c r="N1744" i="6"/>
  <c r="N4055" i="6"/>
  <c r="N4056" i="6"/>
  <c r="N4057" i="6"/>
  <c r="N4058" i="6"/>
  <c r="N4059" i="6"/>
  <c r="N4060" i="6"/>
  <c r="N4061" i="6"/>
  <c r="N4062" i="6"/>
  <c r="N1027" i="6"/>
  <c r="N3127" i="6"/>
  <c r="N2775" i="6"/>
  <c r="N2894" i="6" l="1"/>
  <c r="N2664" i="6" l="1"/>
  <c r="N2461" i="6" l="1"/>
  <c r="N1382" i="6" l="1"/>
  <c r="N39" i="6"/>
  <c r="N2108" i="6"/>
  <c r="N2109" i="6"/>
  <c r="N4550" i="6"/>
  <c r="N2730" i="6"/>
  <c r="N2729" i="6"/>
  <c r="N2728" i="6"/>
  <c r="N2727" i="6"/>
  <c r="N2726" i="6"/>
  <c r="N2725" i="6"/>
  <c r="N2724" i="6"/>
  <c r="N2723" i="6"/>
  <c r="N503" i="6"/>
  <c r="N2873" i="6"/>
  <c r="N153" i="6" l="1"/>
  <c r="N1025" i="6" l="1"/>
  <c r="N3868" i="6"/>
  <c r="N479" i="6" l="1"/>
  <c r="N3727" i="6"/>
  <c r="N2645" i="6"/>
  <c r="N3956" i="6"/>
  <c r="N2731" i="6"/>
  <c r="N2735" i="6"/>
  <c r="N1039" i="6"/>
  <c r="N4392" i="6"/>
  <c r="N1381" i="6" l="1"/>
  <c r="N2297" i="6"/>
  <c r="N3741" i="6" l="1"/>
  <c r="N2123" i="6"/>
  <c r="N3122" i="6"/>
  <c r="N581" i="6"/>
  <c r="K1885" i="6"/>
  <c r="N1885" i="6"/>
  <c r="N894" i="6"/>
  <c r="N44" i="6"/>
  <c r="N824" i="6"/>
  <c r="N4385" i="6"/>
  <c r="N4451" i="6"/>
  <c r="N4300" i="6"/>
  <c r="N4630" i="6"/>
  <c r="N4627" i="6"/>
  <c r="N4140" i="6"/>
  <c r="N4112" i="6"/>
  <c r="N4011" i="6"/>
  <c r="N3851" i="6"/>
  <c r="N3842" i="6"/>
  <c r="N3780" i="6"/>
  <c r="N3757" i="6"/>
  <c r="N3706" i="6"/>
  <c r="N2379" i="6"/>
  <c r="N3613" i="6"/>
  <c r="N3602" i="6"/>
  <c r="N3554" i="6"/>
  <c r="N3442" i="6"/>
  <c r="N3331" i="6"/>
  <c r="N3328" i="6"/>
  <c r="N3327" i="6"/>
  <c r="N3326" i="6"/>
  <c r="N3325" i="6"/>
  <c r="N3324" i="6"/>
  <c r="N3323" i="6"/>
  <c r="N3322" i="6"/>
  <c r="N3321" i="6"/>
  <c r="N3320" i="6"/>
  <c r="N3319" i="6"/>
  <c r="N3318" i="6"/>
  <c r="N3317" i="6"/>
  <c r="N3316" i="6"/>
  <c r="N3315" i="6"/>
  <c r="N3314" i="6"/>
  <c r="N3313" i="6"/>
  <c r="N3599" i="6"/>
  <c r="N3121" i="6"/>
  <c r="N2991" i="6"/>
  <c r="N2895" i="6"/>
  <c r="N3015" i="6"/>
  <c r="N2830" i="6"/>
  <c r="N2793" i="6"/>
  <c r="N2995" i="6"/>
  <c r="N2625" i="6"/>
  <c r="N2572" i="6"/>
  <c r="N2744" i="6"/>
  <c r="N2462" i="6"/>
  <c r="N2458" i="6"/>
  <c r="N2195" i="6"/>
  <c r="N2432" i="6"/>
  <c r="N1963" i="6"/>
  <c r="N1965" i="6"/>
  <c r="N1987" i="6"/>
  <c r="N1783" i="6"/>
  <c r="N1758" i="6"/>
  <c r="N3932" i="6"/>
  <c r="N1684" i="6"/>
  <c r="N1380" i="6"/>
  <c r="N1385" i="6"/>
  <c r="N1268" i="6"/>
  <c r="N1248" i="6"/>
  <c r="N1055" i="6"/>
  <c r="N1049" i="6"/>
  <c r="N1033" i="6"/>
  <c r="N984" i="6"/>
  <c r="N886" i="6"/>
  <c r="N727" i="6"/>
  <c r="N621" i="6"/>
  <c r="N534" i="6"/>
  <c r="N522" i="6"/>
  <c r="N504" i="6"/>
  <c r="N403" i="6"/>
  <c r="N389" i="6"/>
  <c r="N388" i="6"/>
  <c r="N387" i="6"/>
  <c r="N386" i="6"/>
  <c r="N28" i="6" l="1"/>
  <c r="N22" i="6"/>
  <c r="N23" i="6"/>
  <c r="N24" i="6"/>
  <c r="N25" i="6"/>
  <c r="N26" i="6"/>
  <c r="N27" i="6"/>
  <c r="N294" i="6"/>
  <c r="N398" i="6"/>
  <c r="N3991" i="6" l="1"/>
  <c r="N4129" i="6"/>
  <c r="N4130" i="6"/>
  <c r="N4131" i="6"/>
  <c r="N2129" i="6"/>
  <c r="N2128" i="6"/>
  <c r="N2127" i="6"/>
  <c r="N4219" i="6"/>
  <c r="N1026" i="6"/>
  <c r="N1697" i="6"/>
  <c r="N2732" i="6"/>
  <c r="N455" i="6"/>
  <c r="N454" i="6"/>
  <c r="N2610" i="6"/>
  <c r="N4365" i="6"/>
  <c r="N2015" i="6" l="1"/>
  <c r="N2014" i="6"/>
  <c r="N2013" i="6"/>
  <c r="N2012" i="6"/>
  <c r="N97" i="6"/>
  <c r="N96" i="6"/>
  <c r="N95" i="6"/>
  <c r="N94" i="6"/>
  <c r="N93" i="6"/>
  <c r="N3120" i="6"/>
  <c r="N3119" i="6"/>
  <c r="N3118" i="6"/>
  <c r="N3117" i="6"/>
  <c r="N1379" i="6"/>
  <c r="N1378" i="6"/>
  <c r="N1377" i="6"/>
  <c r="N1569" i="6"/>
  <c r="N1568" i="6"/>
  <c r="N3116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959" i="6"/>
  <c r="N1958" i="6"/>
  <c r="N1957" i="6"/>
  <c r="N4549" i="6"/>
  <c r="N2847" i="6" l="1"/>
  <c r="N2846" i="6"/>
  <c r="N4588" i="6"/>
  <c r="N4022" i="6"/>
  <c r="N2693" i="6"/>
  <c r="N3867" i="6"/>
  <c r="N3510" i="6"/>
  <c r="N1376" i="6"/>
  <c r="N3441" i="6"/>
  <c r="N3872" i="6"/>
  <c r="N2792" i="6"/>
  <c r="N3873" i="6"/>
  <c r="N3871" i="6"/>
  <c r="N1266" i="6"/>
  <c r="N1245" i="6"/>
  <c r="N876" i="6"/>
  <c r="N877" i="6"/>
  <c r="N878" i="6"/>
  <c r="N2106" i="6" l="1"/>
  <c r="N2107" i="6"/>
  <c r="N2491" i="6"/>
  <c r="N2492" i="6"/>
  <c r="N322" i="6"/>
  <c r="N323" i="6"/>
  <c r="N3955" i="6"/>
  <c r="N3001" i="6"/>
  <c r="N3115" i="6"/>
  <c r="N3114" i="6"/>
  <c r="N3113" i="6"/>
  <c r="N3864" i="6"/>
  <c r="N3779" i="6" l="1"/>
  <c r="N3995" i="6"/>
  <c r="N2694" i="6" l="1"/>
  <c r="N3112" i="6"/>
  <c r="N4202" i="6"/>
  <c r="N1277" i="6"/>
  <c r="N1666" i="6" l="1"/>
  <c r="N3527" i="6"/>
  <c r="N3522" i="6"/>
  <c r="N3523" i="6"/>
  <c r="N3524" i="6"/>
  <c r="N3525" i="6"/>
  <c r="N3526" i="6"/>
  <c r="N3968" i="6"/>
  <c r="N3967" i="6"/>
  <c r="N3966" i="6"/>
  <c r="N2296" i="6"/>
  <c r="N682" i="6"/>
  <c r="N1375" i="6"/>
  <c r="N580" i="6" l="1"/>
  <c r="N2157" i="6"/>
  <c r="N245" i="6"/>
  <c r="N4230" i="6"/>
  <c r="N2719" i="6"/>
  <c r="N2720" i="6"/>
  <c r="N2721" i="6"/>
  <c r="N4297" i="6"/>
  <c r="N4298" i="6"/>
  <c r="N1843" i="6"/>
  <c r="N324" i="6" l="1"/>
  <c r="N695" i="6"/>
  <c r="N3439" i="6"/>
  <c r="N2893" i="6"/>
  <c r="N2293" i="6"/>
  <c r="N4587" i="6"/>
  <c r="N489" i="6"/>
  <c r="N164" i="6"/>
  <c r="N320" i="6" l="1"/>
  <c r="N4448" i="6"/>
  <c r="N4586" i="6"/>
  <c r="N3391" i="6"/>
  <c r="N4511" i="6"/>
  <c r="N1024" i="6"/>
  <c r="N823" i="6"/>
  <c r="N2711" i="6"/>
  <c r="N4548" i="6"/>
  <c r="N4485" i="6"/>
  <c r="N4486" i="6"/>
  <c r="N4487" i="6"/>
  <c r="N4164" i="6"/>
  <c r="N4034" i="6"/>
  <c r="N3841" i="6"/>
  <c r="N3108" i="6"/>
  <c r="N3109" i="6"/>
  <c r="N3110" i="6"/>
  <c r="N3111" i="6"/>
  <c r="N3106" i="6"/>
  <c r="N3107" i="6"/>
  <c r="N2929" i="6"/>
  <c r="N2927" i="6"/>
  <c r="N2928" i="6"/>
  <c r="N2722" i="6"/>
  <c r="N2092" i="6"/>
  <c r="N2093" i="6"/>
  <c r="N1558" i="6"/>
  <c r="N1559" i="6"/>
  <c r="N1560" i="6"/>
  <c r="N1561" i="6"/>
  <c r="N1562" i="6"/>
  <c r="N1563" i="6"/>
  <c r="N1564" i="6"/>
  <c r="N1565" i="6"/>
  <c r="N1566" i="6"/>
  <c r="N1567" i="6"/>
  <c r="N1452" i="6"/>
  <c r="N1453" i="6"/>
  <c r="N1454" i="6"/>
  <c r="N1455" i="6"/>
  <c r="N1456" i="6"/>
  <c r="N1457" i="6"/>
  <c r="N1458" i="6"/>
  <c r="N90" i="6" l="1"/>
  <c r="N91" i="6"/>
  <c r="N92" i="6"/>
  <c r="N89" i="6"/>
  <c r="N671" i="6"/>
  <c r="N2493" i="6"/>
  <c r="N1719" i="6" l="1"/>
  <c r="N4076" i="6"/>
  <c r="N3281" i="6" l="1"/>
  <c r="N1267" i="6"/>
  <c r="K2174" i="6"/>
  <c r="N2174" i="6"/>
  <c r="N124" i="6"/>
  <c r="N319" i="6"/>
  <c r="N318" i="6"/>
  <c r="N4484" i="6"/>
  <c r="N2791" i="6"/>
  <c r="N230" i="6" l="1"/>
  <c r="N3705" i="6"/>
  <c r="N317" i="6" l="1"/>
  <c r="N822" i="6"/>
  <c r="N1332" i="6"/>
  <c r="N2879" i="6"/>
  <c r="N3914" i="6"/>
  <c r="N1373" i="6" l="1"/>
  <c r="N321" i="6" l="1"/>
  <c r="N1450" i="6"/>
  <c r="N3105" i="6"/>
  <c r="N4340" i="6"/>
  <c r="N4163" i="6"/>
  <c r="N2094" i="6"/>
  <c r="N2829" i="6"/>
  <c r="N1264" i="6" l="1"/>
  <c r="N3440" i="6"/>
  <c r="N670" i="6"/>
  <c r="N879" i="6"/>
  <c r="N1247" i="6"/>
  <c r="N1334" i="6"/>
  <c r="N1514" i="6"/>
  <c r="N4547" i="6" l="1"/>
  <c r="K4225" i="6"/>
  <c r="N2126" i="6"/>
  <c r="N4225" i="6"/>
  <c r="N3272" i="6"/>
  <c r="N3466" i="6"/>
  <c r="N2759" i="6"/>
  <c r="N1275" i="6"/>
  <c r="N1274" i="6"/>
  <c r="N4296" i="6"/>
  <c r="N4295" i="6"/>
  <c r="N4294" i="6"/>
  <c r="N630" i="6"/>
  <c r="N629" i="6"/>
  <c r="N1094" i="6"/>
  <c r="N1093" i="6"/>
  <c r="N1092" i="6"/>
  <c r="N1091" i="6"/>
  <c r="N1090" i="6"/>
  <c r="N669" i="6"/>
  <c r="N4299" i="6"/>
  <c r="N1023" i="6"/>
  <c r="N1022" i="6"/>
  <c r="N4293" i="6"/>
  <c r="N3913" i="6"/>
  <c r="N3931" i="6"/>
  <c r="N1513" i="6"/>
  <c r="N3866" i="6"/>
  <c r="N2692" i="6"/>
  <c r="N4021" i="6"/>
  <c r="N1374" i="6"/>
  <c r="N1372" i="6"/>
  <c r="N3840" i="6"/>
  <c r="N3839" i="6"/>
  <c r="N3838" i="6"/>
  <c r="N3837" i="6"/>
  <c r="N3836" i="6"/>
  <c r="N3835" i="6"/>
  <c r="N3964" i="6"/>
  <c r="N3965" i="6"/>
  <c r="N87" i="6"/>
  <c r="N88" i="6"/>
  <c r="N86" i="6"/>
  <c r="N893" i="6" l="1"/>
  <c r="N1690" i="6" l="1"/>
  <c r="N668" i="6"/>
  <c r="N85" i="6"/>
  <c r="N4341" i="6"/>
  <c r="N4338" i="6"/>
  <c r="N3614" i="6"/>
  <c r="N165" i="6"/>
  <c r="N2699" i="6"/>
  <c r="N293" i="6"/>
  <c r="N4139" i="6"/>
  <c r="N533" i="6"/>
  <c r="N1677" i="6"/>
  <c r="N2990" i="6"/>
  <c r="N3014" i="6"/>
  <c r="N4010" i="6"/>
  <c r="N2457" i="6"/>
  <c r="N2191" i="6" l="1"/>
  <c r="N2190" i="6"/>
  <c r="N2189" i="6"/>
  <c r="N3704" i="6"/>
  <c r="N228" i="6"/>
  <c r="N229" i="6"/>
  <c r="N227" i="6"/>
  <c r="N226" i="6"/>
  <c r="N225" i="6"/>
  <c r="N3279" i="6"/>
  <c r="N3278" i="6"/>
  <c r="N3277" i="6"/>
  <c r="N3276" i="6"/>
  <c r="N3275" i="6"/>
  <c r="N3274" i="6"/>
  <c r="N3601" i="6" l="1"/>
  <c r="N469" i="6"/>
  <c r="N2770" i="6"/>
  <c r="N20" i="6"/>
  <c r="N491" i="6"/>
  <c r="N2173" i="6"/>
  <c r="N821" i="6" l="1"/>
  <c r="N3521" i="6"/>
  <c r="N3703" i="6"/>
  <c r="N3702" i="6"/>
  <c r="N3701" i="6"/>
  <c r="N3700" i="6"/>
  <c r="N3699" i="6"/>
  <c r="N4389" i="6" l="1"/>
  <c r="N4388" i="6"/>
  <c r="N220" i="6"/>
  <c r="N221" i="6"/>
  <c r="N222" i="6"/>
  <c r="N223" i="6"/>
  <c r="N224" i="6"/>
  <c r="N2809" i="6"/>
  <c r="N1020" i="6"/>
  <c r="N1019" i="6"/>
  <c r="N1954" i="6"/>
  <c r="N1955" i="6"/>
  <c r="N1956" i="6"/>
  <c r="N3100" i="6" l="1"/>
  <c r="N3101" i="6"/>
  <c r="N3102" i="6"/>
  <c r="N3103" i="6"/>
  <c r="N3104" i="6"/>
  <c r="N521" i="6"/>
  <c r="N2790" i="6" l="1"/>
  <c r="N3093" i="6"/>
  <c r="N3094" i="6"/>
  <c r="N3095" i="6"/>
  <c r="N3096" i="6"/>
  <c r="N3097" i="6"/>
  <c r="N3098" i="6"/>
  <c r="N3099" i="6"/>
  <c r="N3092" i="6"/>
  <c r="N2011" i="6"/>
  <c r="N1583" i="6"/>
  <c r="N1584" i="6"/>
  <c r="N1585" i="6"/>
  <c r="N1586" i="6"/>
  <c r="N1587" i="6"/>
  <c r="N1588" i="6"/>
  <c r="N1582" i="6"/>
  <c r="N1442" i="6"/>
  <c r="N1443" i="6"/>
  <c r="N1444" i="6"/>
  <c r="N1445" i="6"/>
  <c r="N1446" i="6"/>
  <c r="N1447" i="6"/>
  <c r="N1448" i="6"/>
  <c r="N1449" i="6"/>
  <c r="N80" i="6"/>
  <c r="N81" i="6"/>
  <c r="N82" i="6"/>
  <c r="N83" i="6"/>
  <c r="N84" i="6"/>
  <c r="N2844" i="6"/>
  <c r="N2924" i="6"/>
  <c r="N2925" i="6"/>
  <c r="N566" i="6"/>
  <c r="N4339" i="6"/>
  <c r="N4224" i="6"/>
  <c r="N4363" i="6"/>
  <c r="N909" i="6"/>
  <c r="N2845" i="6"/>
  <c r="N1852" i="6"/>
  <c r="N4379" i="6" l="1"/>
  <c r="N3057" i="6"/>
  <c r="N2891" i="6"/>
  <c r="N3509" i="6" l="1"/>
  <c r="N3438" i="6"/>
  <c r="N1371" i="6"/>
  <c r="N4213" i="6"/>
  <c r="N784" i="6"/>
  <c r="N154" i="6"/>
  <c r="N3390" i="6"/>
  <c r="N2652" i="6"/>
  <c r="K478" i="6"/>
  <c r="N478" i="6"/>
  <c r="N4508" i="6"/>
  <c r="N4507" i="6"/>
  <c r="N2292" i="6"/>
  <c r="N3834" i="6"/>
  <c r="N4450" i="6"/>
  <c r="N680" i="6"/>
  <c r="N79" i="6"/>
  <c r="N1011" i="6"/>
  <c r="N907" i="6" l="1"/>
  <c r="N3508" i="6"/>
  <c r="N2291" i="6"/>
  <c r="N4174" i="6"/>
  <c r="N2921" i="6"/>
  <c r="N2922" i="6"/>
  <c r="N3912" i="6"/>
  <c r="N1897" i="6"/>
  <c r="N4135" i="6"/>
  <c r="N4136" i="6"/>
  <c r="N4137" i="6"/>
  <c r="N783" i="6"/>
  <c r="N3739" i="6"/>
  <c r="N4546" i="6"/>
  <c r="N3087" i="6"/>
  <c r="N2758" i="6"/>
  <c r="N3553" i="6"/>
  <c r="N382" i="6"/>
  <c r="N1635" i="6"/>
  <c r="N2295" i="6"/>
  <c r="N3753" i="6"/>
  <c r="N3754" i="6"/>
  <c r="N3755" i="6"/>
  <c r="N1888" i="6"/>
  <c r="N1766" i="6"/>
  <c r="K311" i="6"/>
  <c r="N311" i="6"/>
  <c r="N2828" i="6"/>
  <c r="N1017" i="6"/>
  <c r="N1016" i="6"/>
  <c r="N1015" i="6"/>
  <c r="N1014" i="6"/>
  <c r="N1013" i="6"/>
  <c r="N1012" i="6"/>
  <c r="N1736" i="6"/>
  <c r="N1953" i="6"/>
  <c r="N1952" i="6"/>
  <c r="N1951" i="6"/>
  <c r="N1950" i="6"/>
  <c r="N1589" i="6" l="1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3091" i="6"/>
  <c r="N3090" i="6"/>
  <c r="N3089" i="6"/>
  <c r="N3088" i="6"/>
  <c r="N681" i="6"/>
  <c r="N955" i="6" l="1"/>
  <c r="N4292" i="6"/>
  <c r="N1018" i="6"/>
  <c r="N1021" i="6"/>
  <c r="N1009" i="6"/>
  <c r="N4171" i="6"/>
  <c r="N4172" i="6"/>
  <c r="N4173" i="6"/>
  <c r="N4585" i="6"/>
  <c r="N2651" i="6"/>
  <c r="N1370" i="6"/>
  <c r="N2890" i="6"/>
  <c r="N3437" i="6"/>
  <c r="N4377" i="6"/>
  <c r="N43" i="6"/>
  <c r="N4009" i="6"/>
  <c r="N2571" i="6"/>
  <c r="N312" i="6"/>
  <c r="N1636" i="6"/>
  <c r="N2030" i="6"/>
  <c r="N163" i="6"/>
  <c r="N162" i="6"/>
  <c r="N2583" i="6"/>
  <c r="N1095" i="6"/>
  <c r="N2570" i="6"/>
  <c r="N1676" i="6"/>
  <c r="N820" i="6"/>
  <c r="N532" i="6"/>
  <c r="N4138" i="6"/>
  <c r="N4111" i="6"/>
  <c r="N292" i="6"/>
  <c r="N3013" i="6"/>
  <c r="N2989" i="6"/>
  <c r="N2923" i="6"/>
  <c r="N4510" i="6" l="1"/>
  <c r="N1010" i="6"/>
  <c r="N4291" i="6"/>
  <c r="N2172" i="6"/>
  <c r="N679" i="6"/>
  <c r="N1369" i="6"/>
  <c r="N3436" i="6"/>
  <c r="N3778" i="6"/>
  <c r="N3273" i="6"/>
  <c r="N1995" i="6"/>
  <c r="N1994" i="6"/>
  <c r="N310" i="6"/>
  <c r="N2029" i="6"/>
  <c r="N2028" i="6"/>
  <c r="N908" i="6"/>
  <c r="N420" i="6"/>
  <c r="N4033" i="6"/>
  <c r="N1861" i="6"/>
  <c r="N1862" i="6"/>
  <c r="N1863" i="6"/>
  <c r="N1864" i="6"/>
  <c r="N4449" i="6"/>
  <c r="N1007" i="6"/>
  <c r="N2188" i="6"/>
  <c r="N3833" i="6"/>
  <c r="N3610" i="6"/>
  <c r="N4290" i="6"/>
  <c r="N2456" i="6"/>
  <c r="N2566" i="6" l="1"/>
  <c r="N3726" i="6"/>
  <c r="N3725" i="6"/>
  <c r="N4223" i="6"/>
  <c r="N309" i="6"/>
  <c r="N482" i="6"/>
  <c r="K1907" i="6"/>
  <c r="N1907" i="6"/>
  <c r="N1654" i="6"/>
  <c r="N1246" i="6" l="1"/>
  <c r="N963" i="6"/>
  <c r="N1689" i="6" l="1"/>
  <c r="N2687" i="6" l="1"/>
  <c r="N1367" i="6"/>
  <c r="N722" i="6" l="1"/>
  <c r="N723" i="6"/>
  <c r="N724" i="6"/>
  <c r="N1284" i="6"/>
  <c r="N343" i="6"/>
  <c r="N3963" i="6"/>
  <c r="N1368" i="6"/>
  <c r="N1512" i="6"/>
  <c r="N1333" i="6"/>
  <c r="N212" i="6"/>
  <c r="N2843" i="6"/>
  <c r="N2150" i="6"/>
  <c r="N3948" i="6"/>
  <c r="N3949" i="6"/>
  <c r="N3950" i="6"/>
  <c r="N3951" i="6"/>
  <c r="N3952" i="6"/>
  <c r="N3953" i="6"/>
  <c r="N3954" i="6"/>
  <c r="N1008" i="6"/>
  <c r="N2170" i="6"/>
  <c r="N858" i="6"/>
  <c r="N859" i="6"/>
  <c r="N860" i="6"/>
  <c r="N861" i="6"/>
  <c r="N862" i="6"/>
  <c r="N863" i="6"/>
  <c r="N864" i="6"/>
  <c r="N865" i="6"/>
  <c r="N866" i="6"/>
  <c r="N867" i="6"/>
  <c r="N2691" i="6"/>
  <c r="N4020" i="6"/>
  <c r="N3865" i="6"/>
  <c r="K2125" i="6"/>
  <c r="N2125" i="6"/>
  <c r="N2892" i="6"/>
  <c r="N1896" i="6"/>
  <c r="N244" i="6"/>
  <c r="N2688" i="6"/>
  <c r="N667" i="6"/>
  <c r="N666" i="6"/>
  <c r="N665" i="6"/>
  <c r="N470" i="6"/>
  <c r="N906" i="6"/>
  <c r="N905" i="6"/>
  <c r="N4286" i="6" l="1"/>
  <c r="N4287" i="6"/>
  <c r="N4288" i="6"/>
  <c r="N4280" i="6"/>
  <c r="N4281" i="6"/>
  <c r="N4282" i="6"/>
  <c r="N4283" i="6"/>
  <c r="N4284" i="6"/>
  <c r="N4285" i="6"/>
  <c r="N419" i="6"/>
  <c r="N418" i="6"/>
  <c r="N417" i="6"/>
  <c r="N4336" i="6"/>
  <c r="N726" i="6"/>
  <c r="N3435" i="6"/>
  <c r="N3507" i="6"/>
  <c r="N3777" i="6"/>
  <c r="N3941" i="6"/>
  <c r="N1358" i="6"/>
  <c r="N1359" i="6"/>
  <c r="N1360" i="6"/>
  <c r="N1361" i="6"/>
  <c r="N1362" i="6"/>
  <c r="N1363" i="6"/>
  <c r="N1364" i="6"/>
  <c r="N1365" i="6"/>
  <c r="N1366" i="6"/>
  <c r="N1356" i="6"/>
  <c r="N1357" i="6"/>
  <c r="N1355" i="6"/>
  <c r="N78" i="6"/>
  <c r="N77" i="6"/>
  <c r="N76" i="6"/>
  <c r="N75" i="6"/>
  <c r="N74" i="6"/>
  <c r="N3172" i="6"/>
  <c r="N3171" i="6"/>
  <c r="N3170" i="6"/>
  <c r="N3169" i="6"/>
  <c r="N3168" i="6"/>
  <c r="N3167" i="6"/>
  <c r="N3166" i="6"/>
  <c r="N316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35" i="6"/>
  <c r="N2824" i="6"/>
  <c r="N1006" i="6"/>
  <c r="N4289" i="6"/>
  <c r="N1088" i="6"/>
  <c r="N1085" i="6"/>
  <c r="N1086" i="6"/>
  <c r="N1087" i="6"/>
  <c r="N1089" i="6"/>
  <c r="N3776" i="6"/>
  <c r="N2683" i="6"/>
  <c r="N4175" i="6"/>
  <c r="N1004" i="6"/>
  <c r="N1338" i="6" l="1"/>
  <c r="N961" i="6"/>
  <c r="N430" i="6"/>
  <c r="N948" i="6"/>
  <c r="N1765" i="6"/>
  <c r="N3832" i="6"/>
  <c r="N2888" i="6"/>
  <c r="N342" i="6"/>
  <c r="N3740" i="6"/>
  <c r="N206" i="6"/>
  <c r="N4405" i="6"/>
  <c r="N4404" i="6"/>
  <c r="N4403" i="6"/>
  <c r="N1081" i="6" l="1"/>
  <c r="N1082" i="6"/>
  <c r="N1083" i="6"/>
  <c r="N1084" i="6"/>
  <c r="N1080" i="6"/>
  <c r="N1079" i="6"/>
  <c r="N4110" i="6"/>
  <c r="N4277" i="6"/>
  <c r="N1002" i="6"/>
  <c r="N4279" i="6"/>
  <c r="N3608" i="6"/>
  <c r="N2455" i="6"/>
  <c r="N3506" i="6"/>
  <c r="N3434" i="6"/>
  <c r="N725" i="6"/>
  <c r="N2826" i="6"/>
  <c r="N2878" i="6"/>
  <c r="N2877" i="6"/>
  <c r="N2876" i="6"/>
  <c r="N2875" i="6"/>
  <c r="N3086" i="6"/>
  <c r="N3085" i="6"/>
  <c r="N564" i="6"/>
  <c r="N563" i="6"/>
  <c r="N562" i="6"/>
  <c r="N561" i="6"/>
  <c r="N3404" i="6"/>
  <c r="N3405" i="6"/>
  <c r="N2919" i="6"/>
  <c r="N2918" i="6"/>
  <c r="N2500" i="6"/>
  <c r="N2499" i="6"/>
  <c r="N2498" i="6"/>
  <c r="N551" i="6"/>
  <c r="N550" i="6"/>
  <c r="N2290" i="6"/>
  <c r="N152" i="6"/>
  <c r="N565" i="6"/>
  <c r="N3433" i="6"/>
  <c r="N4073" i="6"/>
  <c r="N4074" i="6"/>
  <c r="N4075" i="6"/>
  <c r="N653" i="6"/>
  <c r="N501" i="6"/>
  <c r="N1851" i="6" l="1"/>
  <c r="N3018" i="6"/>
  <c r="N1330" i="6"/>
  <c r="N2032" i="6"/>
  <c r="N2827" i="6"/>
  <c r="N4545" i="6"/>
  <c r="N531" i="6"/>
  <c r="N1548" i="6"/>
  <c r="N1641" i="6"/>
  <c r="N819" i="6" l="1"/>
  <c r="N4447" i="6"/>
  <c r="N4133" i="6"/>
  <c r="N2569" i="6"/>
  <c r="N3012" i="6"/>
  <c r="N1674" i="6"/>
  <c r="N2326" i="6"/>
  <c r="N3735" i="6"/>
  <c r="N471" i="6"/>
  <c r="N19" i="6"/>
  <c r="N1893" i="6"/>
  <c r="N947" i="6"/>
  <c r="N4008" i="6"/>
  <c r="N1005" i="6"/>
  <c r="N654" i="6" l="1"/>
  <c r="N721" i="6"/>
  <c r="N1354" i="6"/>
  <c r="N1665" i="6"/>
  <c r="N2920" i="6"/>
  <c r="N2607" i="6"/>
  <c r="N2608" i="6"/>
  <c r="N2609" i="6"/>
  <c r="N2606" i="6"/>
  <c r="N1003" i="6"/>
  <c r="N4278" i="6"/>
  <c r="N3910" i="6" l="1"/>
  <c r="N1339" i="6"/>
  <c r="N3000" i="6"/>
  <c r="N2999" i="6"/>
  <c r="N2974" i="6"/>
  <c r="N2975" i="6"/>
  <c r="N2976" i="6"/>
  <c r="N1283" i="6"/>
  <c r="N1282" i="6"/>
  <c r="N3386" i="6"/>
  <c r="N308" i="6"/>
  <c r="N904" i="6"/>
  <c r="N1329" i="6"/>
  <c r="N4275" i="6"/>
  <c r="N2842" i="6"/>
  <c r="N1000" i="6"/>
  <c r="N29" i="6"/>
  <c r="N58" i="6"/>
  <c r="N1034" i="6"/>
  <c r="N3609" i="6"/>
  <c r="N4402" i="6"/>
  <c r="N1265" i="6"/>
  <c r="N3775" i="6"/>
  <c r="N4109" i="6"/>
  <c r="N2362" i="6"/>
  <c r="N3432" i="6"/>
  <c r="N3880" i="6" l="1"/>
  <c r="N3879" i="6"/>
  <c r="N3878" i="6"/>
  <c r="N3877" i="6"/>
  <c r="N3876" i="6"/>
  <c r="N4376" i="6"/>
  <c r="N4375" i="6"/>
  <c r="N4374" i="6"/>
  <c r="N4373" i="6"/>
  <c r="N628" i="6" l="1"/>
  <c r="N1353" i="6"/>
  <c r="N4048" i="6" l="1"/>
  <c r="N4047" i="6"/>
  <c r="N874" i="6"/>
  <c r="N873" i="6"/>
  <c r="N872" i="6"/>
  <c r="N871" i="6"/>
  <c r="N870" i="6"/>
  <c r="N520" i="6"/>
  <c r="N2320" i="6"/>
  <c r="N15" i="6"/>
  <c r="N14" i="6"/>
  <c r="N13" i="6"/>
  <c r="N1054" i="6"/>
  <c r="N925" i="6"/>
  <c r="N3084" i="6"/>
  <c r="N3083" i="6"/>
  <c r="N3082" i="6"/>
  <c r="N4481" i="6"/>
  <c r="N4480" i="6"/>
  <c r="N4479" i="6"/>
  <c r="N4478" i="6"/>
  <c r="N954" i="6"/>
  <c r="N953" i="6"/>
  <c r="N1328" i="6"/>
  <c r="N4274" i="6"/>
  <c r="N4273" i="6"/>
  <c r="N4272" i="6"/>
  <c r="N4271" i="6"/>
  <c r="N4270" i="6"/>
  <c r="N4269" i="6"/>
  <c r="N4268" i="6"/>
  <c r="N4267" i="6"/>
  <c r="N4266" i="6"/>
  <c r="N3831" i="6"/>
  <c r="N3830" i="6"/>
  <c r="N3829" i="6"/>
  <c r="N3828" i="6"/>
  <c r="N3827" i="6"/>
  <c r="N3826" i="6"/>
  <c r="N3825" i="6"/>
  <c r="N3824" i="6"/>
  <c r="N3823" i="6"/>
  <c r="N3822" i="6"/>
  <c r="N3821" i="6"/>
  <c r="N3820" i="6"/>
  <c r="N3819" i="6"/>
  <c r="N3818" i="6"/>
  <c r="N3817" i="6"/>
  <c r="N3816" i="6"/>
  <c r="N3815" i="6"/>
  <c r="N4233" i="6"/>
  <c r="N4521" i="6"/>
  <c r="N4520" i="6"/>
  <c r="N4519" i="6"/>
  <c r="N3917" i="6"/>
  <c r="N1895" i="6"/>
  <c r="N3528" i="6"/>
  <c r="N2686" i="6" l="1"/>
  <c r="N2140" i="6"/>
  <c r="N4276" i="6"/>
  <c r="N4265" i="6"/>
  <c r="N1001" i="6"/>
  <c r="N2171" i="6"/>
  <c r="N2314" i="6"/>
  <c r="N924" i="6"/>
  <c r="N416" i="6"/>
  <c r="N1675" i="6"/>
  <c r="N2988" i="6"/>
  <c r="N782" i="6"/>
  <c r="N415" i="6"/>
  <c r="N1392" i="6"/>
  <c r="N1331" i="6"/>
  <c r="N627" i="6"/>
  <c r="N2825" i="6"/>
  <c r="N3081" i="6"/>
  <c r="N3080" i="6"/>
  <c r="N3920" i="6"/>
  <c r="N3079" i="6"/>
  <c r="N3756" i="6" l="1"/>
  <c r="N664" i="6"/>
  <c r="N2169" i="6"/>
  <c r="N3431" i="6"/>
  <c r="N3505" i="6"/>
  <c r="N3806" i="6"/>
  <c r="N1352" i="6"/>
  <c r="N2889" i="6"/>
  <c r="N1547" i="6"/>
  <c r="N975" i="6"/>
  <c r="N974" i="6"/>
  <c r="N973" i="6"/>
  <c r="N3771" i="6" l="1"/>
  <c r="N972" i="6" l="1"/>
  <c r="N4401" i="6"/>
  <c r="N4400" i="6"/>
  <c r="N1613" i="6"/>
  <c r="N4214" i="6"/>
  <c r="N3738" i="6"/>
  <c r="N3552" i="6"/>
  <c r="N3549" i="6"/>
  <c r="N3550" i="6"/>
  <c r="N3551" i="6"/>
  <c r="N3544" i="6"/>
  <c r="N3545" i="6"/>
  <c r="N3546" i="6"/>
  <c r="N3547" i="6"/>
  <c r="N3548" i="6"/>
  <c r="N3543" i="6"/>
  <c r="N1993" i="6"/>
  <c r="N1992" i="6"/>
  <c r="N1839" i="6"/>
  <c r="N4264" i="6"/>
  <c r="N4263" i="6"/>
  <c r="N4262" i="6"/>
  <c r="N4261" i="6"/>
  <c r="N4260" i="6"/>
  <c r="N4259" i="6"/>
  <c r="N4258" i="6"/>
  <c r="N1999" i="6"/>
  <c r="N789" i="6"/>
  <c r="N2325" i="6"/>
  <c r="N4046" i="6"/>
  <c r="N3430" i="6"/>
  <c r="N626" i="6" l="1"/>
  <c r="N219" i="6" l="1"/>
  <c r="K2841" i="6" l="1"/>
  <c r="N2841" i="6"/>
  <c r="N466" i="6"/>
  <c r="N999" i="6" l="1"/>
  <c r="N4256" i="6"/>
  <c r="N4255" i="6"/>
  <c r="N4254" i="6"/>
  <c r="N4253" i="6"/>
  <c r="N4252" i="6"/>
  <c r="N4251" i="6"/>
  <c r="N4250" i="6"/>
  <c r="N4249" i="6"/>
  <c r="N4248" i="6"/>
  <c r="N4247" i="6"/>
  <c r="N997" i="6" l="1"/>
  <c r="N1764" i="6" l="1"/>
  <c r="N1763" i="6"/>
  <c r="N1052" i="6"/>
  <c r="N400" i="6"/>
  <c r="N2757" i="6"/>
  <c r="N2840" i="6" l="1"/>
  <c r="N341" i="6"/>
  <c r="N647" i="6"/>
  <c r="N2453" i="6" l="1"/>
  <c r="N1351" i="6"/>
  <c r="N3429" i="6"/>
  <c r="N3504" i="6"/>
  <c r="N4544" i="6"/>
  <c r="N648" i="6"/>
  <c r="N2158" i="6"/>
  <c r="N1838" i="6"/>
  <c r="N2887" i="6"/>
  <c r="N2886" i="6"/>
  <c r="N584" i="6" l="1"/>
  <c r="N1451" i="6"/>
  <c r="N4257" i="6"/>
  <c r="N3072" i="6"/>
  <c r="N201" i="6"/>
  <c r="N1441" i="6"/>
  <c r="N4518" i="6"/>
  <c r="N4543" i="6"/>
  <c r="N3064" i="6"/>
  <c r="N3065" i="6"/>
  <c r="N3066" i="6"/>
  <c r="N3067" i="6"/>
  <c r="N3068" i="6"/>
  <c r="N3069" i="6"/>
  <c r="N3070" i="6"/>
  <c r="N3071" i="6"/>
  <c r="N73" i="6"/>
  <c r="N72" i="6"/>
  <c r="N71" i="6"/>
  <c r="N70" i="6"/>
  <c r="N69" i="6"/>
  <c r="N68" i="6"/>
  <c r="N67" i="6"/>
  <c r="N4246" i="6"/>
  <c r="N1946" i="6"/>
  <c r="N1943" i="6"/>
  <c r="N1944" i="6"/>
  <c r="N1945" i="6"/>
  <c r="K2489" i="6" l="1"/>
  <c r="K2490" i="6"/>
  <c r="N2490" i="6"/>
  <c r="N996" i="6"/>
  <c r="N291" i="6" l="1"/>
  <c r="N3805" i="6"/>
  <c r="N1894" i="6" l="1"/>
  <c r="N203" i="6"/>
  <c r="N1688" i="6" l="1"/>
  <c r="N802" i="6" l="1"/>
  <c r="N4245" i="6"/>
  <c r="N3678" i="6"/>
  <c r="N66" i="6"/>
  <c r="N4007" i="6"/>
  <c r="N1991" i="6"/>
  <c r="N1990" i="6"/>
  <c r="N2313" i="6"/>
  <c r="N3503" i="6"/>
  <c r="N995" i="6"/>
  <c r="N2885" i="6"/>
  <c r="N2489" i="6"/>
  <c r="N818" i="6"/>
  <c r="N4372" i="6"/>
  <c r="N1687" i="6"/>
  <c r="N4162" i="6"/>
  <c r="N2696" i="6"/>
  <c r="N340" i="6"/>
  <c r="K339" i="6"/>
  <c r="N3542" i="6"/>
  <c r="N1942" i="6" l="1"/>
  <c r="N1941" i="6"/>
  <c r="N1940" i="6"/>
  <c r="N1939" i="6"/>
  <c r="N500" i="6"/>
  <c r="N1349" i="6"/>
  <c r="N2998" i="6"/>
  <c r="N1751" i="6"/>
  <c r="N414" i="6"/>
  <c r="N994" i="6"/>
  <c r="N1633" i="6" l="1"/>
  <c r="N1634" i="6"/>
  <c r="N993" i="6"/>
  <c r="N4371" i="6"/>
  <c r="N413" i="6"/>
  <c r="N3388" i="6"/>
  <c r="N960" i="6"/>
  <c r="N4108" i="6"/>
  <c r="N4107" i="6"/>
  <c r="N801" i="6"/>
  <c r="N800" i="6"/>
  <c r="N2434" i="6"/>
  <c r="K3930" i="6" l="1"/>
  <c r="N3930" i="6"/>
  <c r="N4492" i="6"/>
  <c r="N2168" i="6"/>
  <c r="N2454" i="6"/>
  <c r="K4201" i="6"/>
  <c r="N3280" i="6" l="1"/>
  <c r="K251" i="6" l="1"/>
  <c r="N251" i="6"/>
  <c r="N992" i="6" l="1"/>
  <c r="N2451" i="6"/>
  <c r="N3428" i="6"/>
  <c r="N2312" i="6"/>
  <c r="N3063" i="6" l="1"/>
  <c r="N61" i="6"/>
  <c r="N60" i="6"/>
  <c r="N1410" i="6"/>
  <c r="N1409" i="6"/>
  <c r="N1408" i="6"/>
  <c r="N1407" i="6"/>
  <c r="N2167" i="6"/>
  <c r="N991" i="6"/>
  <c r="N3724" i="6" l="1"/>
  <c r="N2624" i="6"/>
  <c r="N652" i="6"/>
  <c r="N2884" i="6"/>
  <c r="N690" i="6"/>
  <c r="N2971" i="6" l="1"/>
  <c r="N2568" i="6"/>
  <c r="N1673" i="6"/>
  <c r="N1411" i="6"/>
  <c r="N2698" i="6"/>
  <c r="N2697" i="6"/>
  <c r="N4006" i="6"/>
  <c r="N218" i="6"/>
  <c r="N2431" i="6"/>
  <c r="N519" i="6"/>
  <c r="N4399" i="6" l="1"/>
  <c r="N1938" i="6" l="1"/>
  <c r="N4134" i="6"/>
  <c r="N4161" i="6"/>
  <c r="N2452" i="6"/>
  <c r="N487" i="6"/>
  <c r="N875" i="6"/>
  <c r="N290" i="6"/>
  <c r="N2987" i="6"/>
  <c r="N625" i="6"/>
  <c r="N3962" i="6"/>
  <c r="N4244" i="6" l="1"/>
  <c r="N4243" i="6"/>
  <c r="N4242" i="6"/>
  <c r="N4241" i="6"/>
  <c r="N338" i="6"/>
  <c r="N337" i="6"/>
  <c r="N1889" i="6" l="1"/>
  <c r="N1887" i="6"/>
  <c r="N3804" i="6"/>
  <c r="N3874" i="6"/>
  <c r="N2623" i="6"/>
  <c r="N3502" i="6"/>
  <c r="N1350" i="6"/>
  <c r="N3427" i="6" l="1"/>
  <c r="N4003" i="6" l="1"/>
  <c r="N4002" i="6"/>
  <c r="N4001" i="6"/>
  <c r="N4000" i="6"/>
  <c r="N3999" i="6"/>
  <c r="N3998" i="6"/>
  <c r="N3997" i="6"/>
  <c r="N3996" i="6"/>
  <c r="N336" i="6"/>
  <c r="N335" i="6"/>
  <c r="N3723" i="6" l="1"/>
  <c r="N3722" i="6"/>
  <c r="N2564" i="6" l="1"/>
  <c r="N339" i="6"/>
  <c r="N1263" i="6"/>
  <c r="N990" i="6" l="1"/>
  <c r="N2311" i="6"/>
  <c r="N2166" i="6"/>
  <c r="N4240" i="6"/>
  <c r="N4370" i="6"/>
  <c r="N4369" i="6"/>
  <c r="N4368" i="6"/>
  <c r="N4367" i="6"/>
  <c r="N4366" i="6"/>
  <c r="N2599" i="6"/>
  <c r="N2598" i="6"/>
  <c r="N2597" i="6"/>
  <c r="N12" i="6"/>
  <c r="N2310" i="6"/>
  <c r="N334" i="6"/>
  <c r="N1348" i="6"/>
  <c r="N4105" i="6" l="1"/>
  <c r="N2450" i="6"/>
  <c r="N923" i="6"/>
  <c r="N2596" i="6"/>
  <c r="K869" i="6"/>
  <c r="N869" i="6"/>
  <c r="N1076" i="6" l="1"/>
  <c r="N1077" i="6"/>
  <c r="N1078" i="6"/>
  <c r="N2592" i="6"/>
  <c r="N2593" i="6"/>
  <c r="N2594" i="6"/>
  <c r="N2595" i="6"/>
  <c r="N62" i="6"/>
  <c r="N63" i="6"/>
  <c r="N64" i="6"/>
  <c r="N65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K2913" i="6" l="1"/>
  <c r="N2913" i="6"/>
  <c r="N2650" i="6"/>
  <c r="N1842" i="6"/>
  <c r="N1632" i="6"/>
  <c r="N158" i="6"/>
  <c r="N4229" i="6"/>
  <c r="N1346" i="6" l="1"/>
  <c r="N2695" i="6"/>
  <c r="N787" i="6"/>
  <c r="N42" i="6"/>
  <c r="N4516" i="6" l="1"/>
  <c r="N4517" i="6"/>
  <c r="N3051" i="6"/>
  <c r="N4515" i="6"/>
  <c r="N4212" i="6"/>
  <c r="N4211" i="6"/>
  <c r="N989" i="6"/>
  <c r="N4239" i="6"/>
  <c r="K327" i="6"/>
  <c r="K326" i="6"/>
  <c r="N161" i="6" l="1"/>
  <c r="N2838" i="6" l="1"/>
  <c r="N1865" i="6"/>
  <c r="N4335" i="6"/>
  <c r="N2054" i="6"/>
  <c r="N47" i="6" l="1"/>
  <c r="N325" i="6"/>
  <c r="N4169" i="6"/>
  <c r="N4170" i="6"/>
  <c r="K4168" i="6" l="1"/>
  <c r="N1926" i="6"/>
  <c r="N21" i="6"/>
  <c r="K1989" i="6"/>
  <c r="K1988" i="6"/>
  <c r="N4234" i="6" l="1"/>
  <c r="N985" i="6"/>
  <c r="N2614" i="6"/>
  <c r="N3426" i="6"/>
  <c r="N3746" i="6" l="1"/>
  <c r="N174" i="6"/>
  <c r="N289" i="6"/>
  <c r="K332" i="6"/>
  <c r="K331" i="6"/>
  <c r="N332" i="6"/>
  <c r="N1262" i="6" l="1"/>
  <c r="N3721" i="6"/>
  <c r="N4238" i="6"/>
  <c r="N331" i="6"/>
  <c r="N658" i="6"/>
  <c r="N2360" i="6"/>
  <c r="N2973" i="6"/>
  <c r="N327" i="6"/>
  <c r="N1989" i="6"/>
  <c r="N1988" i="6"/>
  <c r="K2611" i="6"/>
  <c r="N2611" i="6"/>
  <c r="N499" i="6"/>
  <c r="N4004" i="6"/>
  <c r="N4201" i="6"/>
  <c r="N326" i="6"/>
  <c r="K3813" i="6"/>
  <c r="K2911" i="6"/>
  <c r="N2911" i="6"/>
  <c r="N4106" i="6"/>
  <c r="N3720" i="6"/>
  <c r="N1730" i="6"/>
  <c r="N11" i="6"/>
  <c r="N2605" i="6"/>
  <c r="N624" i="6"/>
  <c r="N1850" i="6"/>
  <c r="N3312" i="6"/>
  <c r="N2309" i="6"/>
  <c r="N1612" i="6" l="1"/>
  <c r="N3425" i="6"/>
  <c r="N4477" i="6"/>
  <c r="N4468" i="6"/>
  <c r="N4476" i="6"/>
  <c r="N596" i="6"/>
  <c r="N330" i="6" l="1"/>
  <c r="N329" i="6"/>
  <c r="N328" i="6"/>
  <c r="N2622" i="6"/>
  <c r="N1937" i="6"/>
  <c r="N546" i="6"/>
  <c r="K2446" i="6" l="1"/>
  <c r="K2449" i="6"/>
  <c r="N2449" i="6"/>
  <c r="N1037" i="6" l="1"/>
  <c r="N1619" i="6" l="1"/>
  <c r="N3604" i="6" l="1"/>
  <c r="N970" i="6"/>
  <c r="N2816" i="6"/>
  <c r="N920" i="6"/>
  <c r="N4159" i="6"/>
  <c r="N2307" i="6"/>
  <c r="N1927" i="6"/>
  <c r="N2585" i="6"/>
  <c r="N2615" i="6"/>
  <c r="N2820" i="6"/>
  <c r="N3418" i="6"/>
  <c r="N719" i="6"/>
  <c r="N1341" i="6"/>
  <c r="N4158" i="6"/>
  <c r="N2701" i="6"/>
  <c r="N2702" i="6"/>
  <c r="N4453" i="6"/>
  <c r="N516" i="6"/>
  <c r="N1290" i="6"/>
  <c r="N1967" i="6"/>
  <c r="N4397" i="6"/>
  <c r="N559" i="6"/>
  <c r="N1762" i="6"/>
  <c r="N3541" i="6"/>
  <c r="N1617" i="6"/>
  <c r="N2187" i="6"/>
  <c r="N2355" i="6"/>
  <c r="N659" i="6"/>
  <c r="N3676" i="6"/>
  <c r="N3677" i="6"/>
  <c r="N3499" i="6"/>
  <c r="N2972" i="6"/>
  <c r="N4503" i="6"/>
  <c r="N1928" i="6"/>
  <c r="N2618" i="6"/>
  <c r="N1261" i="6"/>
  <c r="N3419" i="6"/>
  <c r="N2586" i="6"/>
  <c r="N2587" i="6"/>
  <c r="N2821" i="6"/>
  <c r="N965" i="6"/>
  <c r="N2562" i="6"/>
  <c r="N2817" i="6"/>
  <c r="N2616" i="6"/>
  <c r="N2822" i="6"/>
  <c r="N3420" i="6"/>
  <c r="N1929" i="6"/>
  <c r="N2588" i="6"/>
  <c r="N2589" i="6"/>
  <c r="N3714" i="6"/>
  <c r="N1342" i="6"/>
  <c r="N3421" i="6"/>
  <c r="N2823" i="6"/>
  <c r="N1930" i="6"/>
  <c r="N1652" i="6"/>
  <c r="N3463" i="6"/>
  <c r="N3464" i="6"/>
  <c r="N2619" i="6"/>
  <c r="N2356" i="6"/>
  <c r="N3500" i="6"/>
  <c r="N2083" i="6"/>
  <c r="N180" i="6"/>
  <c r="N1343" i="6"/>
  <c r="N3422" i="6"/>
  <c r="N2914" i="6"/>
  <c r="N2447" i="6"/>
  <c r="N1325" i="6"/>
  <c r="N1326" i="6"/>
  <c r="N1327" i="6"/>
  <c r="N159" i="6"/>
  <c r="N609" i="6"/>
  <c r="N1931" i="6"/>
  <c r="N2600" i="6"/>
  <c r="N4362" i="6"/>
  <c r="N2818" i="6"/>
  <c r="N4622" i="6"/>
  <c r="N149" i="6"/>
  <c r="N2601" i="6"/>
  <c r="N4221" i="6"/>
  <c r="N4222" i="6"/>
  <c r="N2433" i="6"/>
  <c r="N2648" i="6"/>
  <c r="N660" i="6"/>
  <c r="N3605" i="6"/>
  <c r="N1932" i="6"/>
  <c r="N4334" i="6"/>
  <c r="N2361" i="6"/>
  <c r="N2380" i="6"/>
  <c r="N2357" i="6"/>
  <c r="N2034" i="6"/>
  <c r="N2617" i="6"/>
  <c r="N3423" i="6"/>
  <c r="N2602" i="6"/>
  <c r="N160" i="6"/>
  <c r="N249" i="6"/>
  <c r="N250" i="6"/>
  <c r="N2679" i="6"/>
  <c r="N175" i="6"/>
  <c r="N4378" i="6"/>
  <c r="N2915" i="6"/>
  <c r="N1933" i="6"/>
  <c r="N2603" i="6"/>
  <c r="N2819" i="6"/>
  <c r="N3308" i="6"/>
  <c r="N2612" i="6"/>
  <c r="N2613" i="6"/>
  <c r="N2563" i="6"/>
  <c r="N2604" i="6"/>
  <c r="N661" i="6"/>
  <c r="N1934" i="6"/>
  <c r="N2680" i="6"/>
  <c r="N176" i="6"/>
  <c r="N2164" i="6"/>
  <c r="N1998" i="6"/>
  <c r="N2620" i="6"/>
  <c r="N468" i="6"/>
  <c r="N2561" i="6"/>
  <c r="N3919" i="6"/>
  <c r="N1071" i="6"/>
  <c r="N2105" i="6"/>
  <c r="N3718" i="6"/>
  <c r="N1653" i="6"/>
  <c r="N966" i="6"/>
  <c r="N2448" i="6"/>
  <c r="N3719" i="6"/>
  <c r="N2916" i="6"/>
  <c r="N4205" i="6"/>
  <c r="N4228" i="6"/>
  <c r="N10" i="6"/>
  <c r="N157" i="6"/>
  <c r="N177" i="6"/>
  <c r="N798" i="6"/>
  <c r="N1046" i="6"/>
  <c r="N1276" i="6"/>
  <c r="N1344" i="6"/>
  <c r="N1394" i="6"/>
  <c r="N1728" i="6"/>
  <c r="N1750" i="6"/>
  <c r="N2149" i="6"/>
  <c r="N827" i="6"/>
  <c r="N2429" i="6"/>
  <c r="N2430" i="6"/>
  <c r="N2590" i="6"/>
  <c r="N2621" i="6"/>
  <c r="N2649" i="6"/>
  <c r="N3382" i="6"/>
  <c r="N9" i="6"/>
  <c r="N46" i="6"/>
  <c r="N150" i="6"/>
  <c r="N181" i="6"/>
  <c r="N333" i="6"/>
  <c r="N601" i="6"/>
  <c r="N622" i="6"/>
  <c r="N662" i="6"/>
  <c r="N663" i="6"/>
  <c r="N689" i="6"/>
  <c r="N921" i="6"/>
  <c r="N986" i="6"/>
  <c r="N987" i="6"/>
  <c r="N2084" i="6"/>
  <c r="N1935" i="6"/>
  <c r="N2165" i="6"/>
  <c r="N248" i="6"/>
  <c r="N2681" i="6"/>
  <c r="N3606" i="6"/>
  <c r="N3715" i="6"/>
  <c r="N288" i="6"/>
  <c r="N498" i="6"/>
  <c r="N517" i="6"/>
  <c r="N549" i="6"/>
  <c r="N560" i="6"/>
  <c r="N608" i="6"/>
  <c r="N649" i="6"/>
  <c r="N868" i="6"/>
  <c r="N922" i="6"/>
  <c r="N962" i="6"/>
  <c r="N988" i="6"/>
  <c r="N1053" i="6"/>
  <c r="N1073" i="6"/>
  <c r="N1072" i="6"/>
  <c r="N1074" i="6"/>
  <c r="N1075" i="6"/>
  <c r="N1347" i="6"/>
  <c r="N1345" i="6"/>
  <c r="N1546" i="6"/>
  <c r="N1616" i="6"/>
  <c r="N1618" i="6"/>
  <c r="N1672" i="6"/>
  <c r="N1841" i="6"/>
  <c r="N1859" i="6"/>
  <c r="N1860" i="6"/>
  <c r="N1886" i="6"/>
  <c r="N1892" i="6"/>
  <c r="N2033" i="6"/>
  <c r="N2139" i="6"/>
  <c r="N2274" i="6"/>
  <c r="N2446" i="6"/>
  <c r="N2554" i="6"/>
  <c r="N2560" i="6"/>
  <c r="N2567" i="6"/>
  <c r="N2591" i="6"/>
  <c r="N2682" i="6"/>
  <c r="N2839" i="6"/>
  <c r="N2874" i="6"/>
  <c r="N2912" i="6"/>
  <c r="N2986" i="6"/>
  <c r="N3017" i="6"/>
  <c r="N3424" i="6"/>
  <c r="N3465" i="6"/>
  <c r="N3488" i="6"/>
  <c r="N3519" i="6"/>
  <c r="N3520" i="6"/>
  <c r="N3537" i="6"/>
  <c r="N3538" i="6"/>
  <c r="N3539" i="6"/>
  <c r="N3607" i="6"/>
  <c r="N3736" i="6"/>
  <c r="N3752" i="6"/>
  <c r="N3812" i="6"/>
  <c r="N3814" i="6"/>
  <c r="N3813" i="6"/>
  <c r="N3875" i="6"/>
  <c r="N3911" i="6"/>
  <c r="N3929" i="6"/>
  <c r="N4005" i="6"/>
  <c r="N4032" i="6"/>
  <c r="N4104" i="6"/>
  <c r="N4132" i="6"/>
  <c r="N4160" i="6"/>
  <c r="N2910" i="6"/>
  <c r="N2917" i="6"/>
  <c r="N2926" i="6"/>
  <c r="N2308" i="6"/>
  <c r="N4168" i="6"/>
  <c r="N4235" i="6"/>
  <c r="N4236" i="6"/>
  <c r="N4237" i="6"/>
  <c r="N4337" i="6"/>
  <c r="N4398" i="6"/>
  <c r="N623" i="6"/>
  <c r="N4541" i="6"/>
  <c r="N3940" i="6"/>
  <c r="N3501" i="6"/>
  <c r="N720" i="6"/>
  <c r="N817" i="6"/>
  <c r="N518" i="6"/>
  <c r="N2985" i="6"/>
  <c r="N558" i="6"/>
  <c r="N926" i="6"/>
  <c r="N4542" i="6"/>
  <c r="N1393" i="6"/>
  <c r="N530" i="6"/>
  <c r="N1936" i="6"/>
  <c r="N971" i="6"/>
  <c r="N1729" i="6"/>
  <c r="N3540" i="6"/>
  <c r="K4237" i="6" l="1"/>
  <c r="K4236" i="6"/>
  <c r="K4235" i="6"/>
  <c r="K3814" i="6"/>
  <c r="K3520" i="6"/>
  <c r="K3519" i="6"/>
  <c r="K558" i="6"/>
  <c r="K720" i="6"/>
  <c r="K2165" i="6" l="1"/>
  <c r="K649" i="6" l="1"/>
  <c r="K2590" i="6"/>
  <c r="K1886" i="6"/>
  <c r="K10" i="6" l="1"/>
  <c r="K4334" i="6" l="1"/>
  <c r="K159" i="6" l="1"/>
  <c r="K2648" i="6" l="1"/>
  <c r="K1342" i="6"/>
  <c r="K2562" i="6"/>
  <c r="A1" i="6" l="1"/>
  <c r="B1" i="6" s="1"/>
  <c r="I3" i="6" l="1"/>
  <c r="H4" i="6"/>
  <c r="H3" i="6"/>
  <c r="I4" i="6"/>
  <c r="J4" i="6"/>
  <c r="J5" i="6"/>
  <c r="J3" i="6"/>
  <c r="K3" i="6"/>
  <c r="G1" i="6"/>
  <c r="K4" i="6" l="1"/>
  <c r="O4" i="6" l="1"/>
  <c r="N3" i="6"/>
  <c r="L3" i="6"/>
  <c r="L4" i="6"/>
  <c r="K9" i="6" l="1"/>
  <c r="K4027" i="6" l="1"/>
  <c r="I5" i="6" l="1"/>
  <c r="L5" i="6" s="1"/>
  <c r="K5" i="6"/>
  <c r="I1" i="6"/>
  <c r="J4101" i="6"/>
  <c r="K4101" i="6" s="1"/>
  <c r="H5" i="6" l="1"/>
  <c r="H1" i="6"/>
  <c r="I6" i="6"/>
  <c r="H6" i="6" l="1"/>
</calcChain>
</file>

<file path=xl/sharedStrings.xml><?xml version="1.0" encoding="utf-8"?>
<sst xmlns="http://schemas.openxmlformats.org/spreadsheetml/2006/main" count="49781" uniqueCount="4703">
  <si>
    <t>V1</t>
  </si>
  <si>
    <t>V2</t>
  </si>
  <si>
    <t>U$D</t>
  </si>
  <si>
    <t>EUR</t>
  </si>
  <si>
    <t>Efectivo</t>
  </si>
  <si>
    <t>Transferencia</t>
  </si>
  <si>
    <t>Emisión/endoso cheques</t>
  </si>
  <si>
    <t>Semana</t>
  </si>
  <si>
    <t>Proveedor</t>
  </si>
  <si>
    <t>Descripción</t>
  </si>
  <si>
    <t>FTP</t>
  </si>
  <si>
    <t>Rubro</t>
  </si>
  <si>
    <t>Vía</t>
  </si>
  <si>
    <t>Forma  de pago</t>
  </si>
  <si>
    <t>Divisa</t>
  </si>
  <si>
    <t>$</t>
  </si>
  <si>
    <t>Importe AR$</t>
  </si>
  <si>
    <t>Importe U$D</t>
  </si>
  <si>
    <t>Obs.</t>
  </si>
  <si>
    <t>Fecha_Cheque</t>
  </si>
  <si>
    <t>SemanaCh</t>
  </si>
  <si>
    <t>OP</t>
  </si>
  <si>
    <t>Estado</t>
  </si>
  <si>
    <t>2025-22</t>
  </si>
  <si>
    <t>21 de Septiembre</t>
  </si>
  <si>
    <t>Indumentaria personal femenino de planta</t>
  </si>
  <si>
    <t>Total</t>
  </si>
  <si>
    <t>Pagado</t>
  </si>
  <si>
    <t>2025-21</t>
  </si>
  <si>
    <t>Acondicionamiento de aguas</t>
  </si>
  <si>
    <t>Cloruro de calcio 94 %</t>
  </si>
  <si>
    <t>Nuevo</t>
  </si>
  <si>
    <t>Cheque</t>
  </si>
  <si>
    <t>CH 45/60 días</t>
  </si>
  <si>
    <t>2025-32</t>
  </si>
  <si>
    <t>AEB</t>
  </si>
  <si>
    <t>Insumos Bodega - Cremor/Riuxhigh</t>
  </si>
  <si>
    <t>OPN-8730</t>
  </si>
  <si>
    <t>Factura Pendiente de pago</t>
  </si>
  <si>
    <t>2026-14</t>
  </si>
  <si>
    <t>Alarcon Julio</t>
  </si>
  <si>
    <t xml:space="preserve">Reposición de cheque </t>
  </si>
  <si>
    <t>CCHC</t>
  </si>
  <si>
    <t>OPN-6698</t>
  </si>
  <si>
    <t>2025-51</t>
  </si>
  <si>
    <t>Agro Andina SA</t>
  </si>
  <si>
    <t>Envase sandria</t>
  </si>
  <si>
    <t>OPN-10262</t>
  </si>
  <si>
    <t>Servicio sangria</t>
  </si>
  <si>
    <t>OPN-10263</t>
  </si>
  <si>
    <t>2025-25</t>
  </si>
  <si>
    <t xml:space="preserve">Agro Chilecito SA </t>
  </si>
  <si>
    <t>2025-12</t>
  </si>
  <si>
    <t>2025-34</t>
  </si>
  <si>
    <t>Malla acero Inox / Manometro</t>
  </si>
  <si>
    <t>OPN-8892</t>
  </si>
  <si>
    <t>2025-41</t>
  </si>
  <si>
    <t>Agroconection SRL</t>
  </si>
  <si>
    <t xml:space="preserve">Sensores de humedad </t>
  </si>
  <si>
    <t>OPN-9452</t>
  </si>
  <si>
    <t>2025-46</t>
  </si>
  <si>
    <t>Parcial</t>
  </si>
  <si>
    <t>Deuda</t>
  </si>
  <si>
    <t>OPN-9839</t>
  </si>
  <si>
    <t>2025-33</t>
  </si>
  <si>
    <t>Agronomia Villegas SAS</t>
  </si>
  <si>
    <t xml:space="preserve">Pedido Campo - Harrier Bios </t>
  </si>
  <si>
    <t>OPN-8838</t>
  </si>
  <si>
    <t>2026-05</t>
  </si>
  <si>
    <t>Agroredes SRL</t>
  </si>
  <si>
    <t>Tela para secado de pasas</t>
  </si>
  <si>
    <t>OPN-10674</t>
  </si>
  <si>
    <t>2025-48</t>
  </si>
  <si>
    <t>Malla para secado de pasas</t>
  </si>
  <si>
    <t>OPN-10051</t>
  </si>
  <si>
    <t>2026-07</t>
  </si>
  <si>
    <t>Agrosuma SRL</t>
  </si>
  <si>
    <t>TDZ</t>
  </si>
  <si>
    <t>OPN-6315</t>
  </si>
  <si>
    <t>2025-47</t>
  </si>
  <si>
    <t>OPN-5837</t>
  </si>
  <si>
    <t>2025-49</t>
  </si>
  <si>
    <t>OPN-5940</t>
  </si>
  <si>
    <t>Producto solicitado por campo</t>
  </si>
  <si>
    <t>OPN-5822</t>
  </si>
  <si>
    <t>2025-26</t>
  </si>
  <si>
    <t>Agüero Sebastian Albero</t>
  </si>
  <si>
    <t>Agua</t>
  </si>
  <si>
    <t>OPN-8281</t>
  </si>
  <si>
    <t>2025-39</t>
  </si>
  <si>
    <t>Servicio agua - Bidones 20lts</t>
  </si>
  <si>
    <t>Servicio</t>
  </si>
  <si>
    <t>OPN-9314</t>
  </si>
  <si>
    <t>2025-50</t>
  </si>
  <si>
    <t>OPN-10162</t>
  </si>
  <si>
    <t>Aimurai</t>
  </si>
  <si>
    <t>Fruta fresca 2025 - actualizacón tipo de cambio</t>
  </si>
  <si>
    <t>Fijo</t>
  </si>
  <si>
    <t>OPN-</t>
  </si>
  <si>
    <t>2025-28</t>
  </si>
  <si>
    <t>Fruta fresca (Nota de debito por diferencia tipo de cambio)</t>
  </si>
  <si>
    <t>OPN-8481</t>
  </si>
  <si>
    <t>Aislantes Industriales SRL</t>
  </si>
  <si>
    <t>Repuestos Planta / Campo</t>
  </si>
  <si>
    <t>OPN-8835</t>
  </si>
  <si>
    <t>2025-27</t>
  </si>
  <si>
    <t>Fruta fresca</t>
  </si>
  <si>
    <t>OPN-5271</t>
  </si>
  <si>
    <t>Fruta Fresca campaña 2025</t>
  </si>
  <si>
    <t>18/07/2025</t>
  </si>
  <si>
    <t>OPN-5220</t>
  </si>
  <si>
    <t>19/07/2025</t>
  </si>
  <si>
    <t>05/08/2025</t>
  </si>
  <si>
    <t>04/08/2025</t>
  </si>
  <si>
    <t>2025-29</t>
  </si>
  <si>
    <t>Fruta Fresca</t>
  </si>
  <si>
    <t>OPN-5311</t>
  </si>
  <si>
    <t>2025-35</t>
  </si>
  <si>
    <t>Campaña 2025</t>
  </si>
  <si>
    <t>OPN-5497</t>
  </si>
  <si>
    <t>Reposicion cheque fruta</t>
  </si>
  <si>
    <t>OPN-5587</t>
  </si>
  <si>
    <t>2025-40</t>
  </si>
  <si>
    <t>S</t>
  </si>
  <si>
    <t>2025-42</t>
  </si>
  <si>
    <t>Reposición de cheque</t>
  </si>
  <si>
    <t>OPN-5651</t>
  </si>
  <si>
    <t>OPN-2627</t>
  </si>
  <si>
    <t>2025-43</t>
  </si>
  <si>
    <t>OPN-5679</t>
  </si>
  <si>
    <t>2025-45</t>
  </si>
  <si>
    <t>OPN-5740</t>
  </si>
  <si>
    <t>Deuda Fruta</t>
  </si>
  <si>
    <t>OPN-5835</t>
  </si>
  <si>
    <t>OPN-5994</t>
  </si>
  <si>
    <t>OPN-6203</t>
  </si>
  <si>
    <t>Atuel Servicios Integrales SRL</t>
  </si>
  <si>
    <t xml:space="preserve">Servicio de fumigación </t>
  </si>
  <si>
    <t>OPN-11312</t>
  </si>
  <si>
    <t>2026-08</t>
  </si>
  <si>
    <t xml:space="preserve">Alarcon Julio </t>
  </si>
  <si>
    <t>Anticipo cosecha 2026</t>
  </si>
  <si>
    <t>OPN-6387</t>
  </si>
  <si>
    <t>OPN-6388</t>
  </si>
  <si>
    <t>2025-16</t>
  </si>
  <si>
    <t>Alejandro Díaz</t>
  </si>
  <si>
    <t>Viaticos</t>
  </si>
  <si>
    <t>2025-17</t>
  </si>
  <si>
    <t>Aleua Jorge Nadim</t>
  </si>
  <si>
    <t>Repuestos Desmalezadora grosspal</t>
  </si>
  <si>
    <t>CH 20 días</t>
  </si>
  <si>
    <t>OPN-8257</t>
  </si>
  <si>
    <t>2026-04</t>
  </si>
  <si>
    <t>Repuestos - Pedido campo</t>
  </si>
  <si>
    <t>OPN-10648</t>
  </si>
  <si>
    <t>Combustible</t>
  </si>
  <si>
    <t>Aliendro Alejandro Evaristo</t>
  </si>
  <si>
    <t>Ropa EPP personal planta</t>
  </si>
  <si>
    <t>OPN-8939</t>
  </si>
  <si>
    <t>Calzado</t>
  </si>
  <si>
    <t>OPN-9873</t>
  </si>
  <si>
    <t>OPN-9367</t>
  </si>
  <si>
    <t>Aliendro Nicardo Roque</t>
  </si>
  <si>
    <t>Alojamiento Personal Instalacion Transformador planta aceite</t>
  </si>
  <si>
    <t>Alquiler cabañas</t>
  </si>
  <si>
    <t>OPN-8284</t>
  </si>
  <si>
    <t>Alive Emanuel</t>
  </si>
  <si>
    <t>Aceituna Fresca</t>
  </si>
  <si>
    <t>Altamira Nelly Isabel</t>
  </si>
  <si>
    <t>Toner 1330xc</t>
  </si>
  <si>
    <t>OPN-8248</t>
  </si>
  <si>
    <t>2025-38</t>
  </si>
  <si>
    <t>Toner + unidad de imagen Impresora administración</t>
  </si>
  <si>
    <t>OPN-9246</t>
  </si>
  <si>
    <t>Toner Salon de ventas</t>
  </si>
  <si>
    <t>OPN-9682</t>
  </si>
  <si>
    <t>Toner impresora administración - cabezal + tinta impresora campo</t>
  </si>
  <si>
    <t>OPN-9658</t>
  </si>
  <si>
    <t xml:space="preserve">Toner impresora administración </t>
  </si>
  <si>
    <t>OPN-9979</t>
  </si>
  <si>
    <t>2026-09</t>
  </si>
  <si>
    <t>Campaña 2025 - Reposición de cheque</t>
  </si>
  <si>
    <t>OPN-6392</t>
  </si>
  <si>
    <t>Alvarez Alan</t>
  </si>
  <si>
    <t>Pago Saldo Fletes</t>
  </si>
  <si>
    <t>OPN-5213</t>
  </si>
  <si>
    <t>Flete Frutas frescas</t>
  </si>
  <si>
    <t>OPN - 4889</t>
  </si>
  <si>
    <t>2025-19</t>
  </si>
  <si>
    <t>OPN-4960</t>
  </si>
  <si>
    <t>Flete fruta fresca cosecha 2025</t>
  </si>
  <si>
    <t>Alvarez Andres Maximiliano</t>
  </si>
  <si>
    <t>Mano de obra plomeria - planta de aceite anticipo 60%</t>
  </si>
  <si>
    <t>$500000 Transferencia  / $400000 CH 15</t>
  </si>
  <si>
    <t>OPN - 7628</t>
  </si>
  <si>
    <t>Mano de obra plomeria - planta de aceite saldo 40%</t>
  </si>
  <si>
    <t>Amado Antonella</t>
  </si>
  <si>
    <t>Placa Balanza - Planta</t>
  </si>
  <si>
    <t>OPN-8557</t>
  </si>
  <si>
    <t>Amenduni Nicolas SPA</t>
  </si>
  <si>
    <t>Planta de aceite (cuota1/9)</t>
  </si>
  <si>
    <t>Cuota 1 Junio Euro $1605</t>
  </si>
  <si>
    <t>OPN-9766</t>
  </si>
  <si>
    <t>Ancoil SA</t>
  </si>
  <si>
    <t>Repuesto Autoelevador - Pedido campo</t>
  </si>
  <si>
    <t>OPN-8981</t>
  </si>
  <si>
    <t>2026-06</t>
  </si>
  <si>
    <t>Andina Motor SA</t>
  </si>
  <si>
    <t xml:space="preserve">Service camioneta Floriana Rondina </t>
  </si>
  <si>
    <t>OPN-10749</t>
  </si>
  <si>
    <t>2025-37</t>
  </si>
  <si>
    <t>Answer Soft</t>
  </si>
  <si>
    <t>Sistema salon de ventas</t>
  </si>
  <si>
    <t>OPN-9176</t>
  </si>
  <si>
    <t>Aqua Drip SRL</t>
  </si>
  <si>
    <t>CH 30 días</t>
  </si>
  <si>
    <t>2025-15</t>
  </si>
  <si>
    <t>2025-30</t>
  </si>
  <si>
    <t>Pago Cuenta corriente</t>
  </si>
  <si>
    <t>CH 30 60 días</t>
  </si>
  <si>
    <t>OPN-8579</t>
  </si>
  <si>
    <t>Cinta Tomate</t>
  </si>
  <si>
    <t>Cuenta Corriente</t>
  </si>
  <si>
    <t>30/10/2025</t>
  </si>
  <si>
    <t>Cuenta corriente</t>
  </si>
  <si>
    <t>C/C</t>
  </si>
  <si>
    <t>Pago Agro Nacion</t>
  </si>
  <si>
    <t>OPN-10679</t>
  </si>
  <si>
    <t>Herrera Pedro</t>
  </si>
  <si>
    <t>OPN-11029</t>
  </si>
  <si>
    <t>Arana Chade Germinal</t>
  </si>
  <si>
    <t>Acesoramiento manejo de plagas</t>
  </si>
  <si>
    <t>2025-44</t>
  </si>
  <si>
    <t>Arana chade Germinal</t>
  </si>
  <si>
    <t>Acesoramiento campo</t>
  </si>
  <si>
    <t>OPN-9747</t>
  </si>
  <si>
    <t>Asesoramiento manejo de plagas</t>
  </si>
  <si>
    <t>OPN-10334</t>
  </si>
  <si>
    <t>Argentop SRL</t>
  </si>
  <si>
    <t>Sello Mecanico - Pedido planta</t>
  </si>
  <si>
    <t>OPN-8256</t>
  </si>
  <si>
    <t>Factura 2563</t>
  </si>
  <si>
    <t>CH 01/05</t>
  </si>
  <si>
    <t>OPN - 7659</t>
  </si>
  <si>
    <t>Factura 2754</t>
  </si>
  <si>
    <t>OPN - 7707</t>
  </si>
  <si>
    <t>Sellos mecanicos - Bodega</t>
  </si>
  <si>
    <t>OPN-8926</t>
  </si>
  <si>
    <t>Astrada Carlos Domingo</t>
  </si>
  <si>
    <t>Manguera COE</t>
  </si>
  <si>
    <t>OPN-10707</t>
  </si>
  <si>
    <t>Cajas de oring Milimetricos y pulgadas</t>
  </si>
  <si>
    <t>OP-10889</t>
  </si>
  <si>
    <t>2025-24</t>
  </si>
  <si>
    <t xml:space="preserve">Servicio </t>
  </si>
  <si>
    <t>OPN-8208</t>
  </si>
  <si>
    <t>OPN-8536</t>
  </si>
  <si>
    <t>Chapas matafuegos Planta / bodega</t>
  </si>
  <si>
    <t>Manejo de plagas integradas</t>
  </si>
  <si>
    <t>OPN-8904</t>
  </si>
  <si>
    <t>OPN-9639</t>
  </si>
  <si>
    <t>OPN-9893</t>
  </si>
  <si>
    <t>Servicio Fumigación</t>
  </si>
  <si>
    <t>OPN-10165</t>
  </si>
  <si>
    <t>Servicio de fumigación</t>
  </si>
  <si>
    <t>OPN-10888</t>
  </si>
  <si>
    <t>B &amp; C SA</t>
  </si>
  <si>
    <t>Pedido EPP - Planta - Campo</t>
  </si>
  <si>
    <t>OPN-8784</t>
  </si>
  <si>
    <t>Pedido Ferreteria septiembre 2025</t>
  </si>
  <si>
    <t>Pedido EPP septiembre 2025</t>
  </si>
  <si>
    <t xml:space="preserve">Pedido Campo - Mascaras </t>
  </si>
  <si>
    <t>Hidrolavadora + Pistola para pintar</t>
  </si>
  <si>
    <t>OPN-10172</t>
  </si>
  <si>
    <t>Ventilador Industrial 2 - Pedido Bodega</t>
  </si>
  <si>
    <t xml:space="preserve">Articulos de ferreteria pedido planta </t>
  </si>
  <si>
    <t>EPP / Insumos mantenimiento - Planta Facturas 28179/28178</t>
  </si>
  <si>
    <t>Pagar</t>
  </si>
  <si>
    <t>OPN-10774</t>
  </si>
  <si>
    <t>Pedidos Cava</t>
  </si>
  <si>
    <t>OPN-9611</t>
  </si>
  <si>
    <t>Pedidos EPP - Campo</t>
  </si>
  <si>
    <t>Pedidos EPP - Limpiesa / planta / campo / bodega</t>
  </si>
  <si>
    <t>OPN-9740</t>
  </si>
  <si>
    <t>Pedido Planta / Bodega</t>
  </si>
  <si>
    <t>CH 30días</t>
  </si>
  <si>
    <t>OPN-8223</t>
  </si>
  <si>
    <t xml:space="preserve">Pedido Campo - Poda </t>
  </si>
  <si>
    <t>OPN-8249</t>
  </si>
  <si>
    <t>CH 45 días</t>
  </si>
  <si>
    <t>2025-23</t>
  </si>
  <si>
    <t>EPP - Ferreteria  - Pedido Planta/campo/bodega</t>
  </si>
  <si>
    <t>OP N 8128</t>
  </si>
  <si>
    <t xml:space="preserve">Pedido planta / </t>
  </si>
  <si>
    <t>OPN8207</t>
  </si>
  <si>
    <t xml:space="preserve">EPP - Ferreteria </t>
  </si>
  <si>
    <t>OPN-7996</t>
  </si>
  <si>
    <t>Pedido ferreteria - campo</t>
  </si>
  <si>
    <t>OPN-8426</t>
  </si>
  <si>
    <t>CH 30 Días</t>
  </si>
  <si>
    <t>OPN-8360</t>
  </si>
  <si>
    <t>Articulos de limpieza Planta / campo / bodega</t>
  </si>
  <si>
    <t>OPN-8400</t>
  </si>
  <si>
    <t>Pedido Ferreteria Planta</t>
  </si>
  <si>
    <t>OPN-8506</t>
  </si>
  <si>
    <t>2025-31</t>
  </si>
  <si>
    <t>Pedido EPP planta / campo</t>
  </si>
  <si>
    <t>OPN-8643</t>
  </si>
  <si>
    <t>Pedido EPP / Ferreteria - Planta - bodega - campo</t>
  </si>
  <si>
    <t>OPN-8983</t>
  </si>
  <si>
    <t>2025-36</t>
  </si>
  <si>
    <t>Pedido limpieza planta / campo</t>
  </si>
  <si>
    <t>EPP / Insumos mantenimiento - Planta Facturas 28046/28048/28045</t>
  </si>
  <si>
    <t>OPN-10711</t>
  </si>
  <si>
    <t>Anzalaz Arnaldo antonio</t>
  </si>
  <si>
    <t>Consulta oftalmologica</t>
  </si>
  <si>
    <t>OPN-10993</t>
  </si>
  <si>
    <t>Bailo SA</t>
  </si>
  <si>
    <t>Pedido Planta - Vinagre</t>
  </si>
  <si>
    <t>Balfer SRL</t>
  </si>
  <si>
    <t>Cubierta camioneta David 255/65 r18</t>
  </si>
  <si>
    <t>OPN-10208</t>
  </si>
  <si>
    <t>Ballerini Raul Enrique</t>
  </si>
  <si>
    <t>Pedio Planta de aceite (Richetta) - gestiono Jorge</t>
  </si>
  <si>
    <t>OPN-5782</t>
  </si>
  <si>
    <t xml:space="preserve">Bomba Mouvex F-89 Auxerre </t>
  </si>
  <si>
    <t>OPN-6202</t>
  </si>
  <si>
    <t>Ballespin Carlos Ariel</t>
  </si>
  <si>
    <t>OPN-10896</t>
  </si>
  <si>
    <t>Pedido Limpieza - Planta - Bodega - Campo</t>
  </si>
  <si>
    <t>OPN-9003</t>
  </si>
  <si>
    <t>Articulos de librería</t>
  </si>
  <si>
    <t>2026-12</t>
  </si>
  <si>
    <t>OPN-6551</t>
  </si>
  <si>
    <t>Balmaceda Gustavo Luis</t>
  </si>
  <si>
    <t>Aridos</t>
  </si>
  <si>
    <t>OPN-8466</t>
  </si>
  <si>
    <t>OPN-8703</t>
  </si>
  <si>
    <t>Provisión de aridos porton de ingreso</t>
  </si>
  <si>
    <t xml:space="preserve">Aridos (cheque rechazado) </t>
  </si>
  <si>
    <t>Retenciones</t>
  </si>
  <si>
    <t>OPN-10937</t>
  </si>
  <si>
    <t>Banco Rioja</t>
  </si>
  <si>
    <t>Pedido RRHH (4 aportes profesionales)</t>
  </si>
  <si>
    <t>Basualdo Fernando Luis</t>
  </si>
  <si>
    <t>Reparación electrica Toyota 3.0</t>
  </si>
  <si>
    <t>OPN-10884</t>
  </si>
  <si>
    <t>Goma 10mm con tela - COE</t>
  </si>
  <si>
    <t>OPN-11023</t>
  </si>
  <si>
    <t>Bazar Avenida</t>
  </si>
  <si>
    <t>Pava elctrica - Planta</t>
  </si>
  <si>
    <t>OPN-9824</t>
  </si>
  <si>
    <t>Aire compras</t>
  </si>
  <si>
    <t>OPN-9807</t>
  </si>
  <si>
    <t>Blanco Daniel Orlando</t>
  </si>
  <si>
    <t>Flete Mendoza - Anguinan (1 pallet)</t>
  </si>
  <si>
    <t>OPN-8923</t>
  </si>
  <si>
    <t>Flete - retiro carga plastiandino</t>
  </si>
  <si>
    <t>OPN-10335</t>
  </si>
  <si>
    <t>Blu Logistics Argentina</t>
  </si>
  <si>
    <t>Importación Pepinitos - FC - INAL ANMAT</t>
  </si>
  <si>
    <t>CH 15 días</t>
  </si>
  <si>
    <t>OPN-7820</t>
  </si>
  <si>
    <t>Bocco Hnos</t>
  </si>
  <si>
    <t>Resvicio tecnico preventivo grupo electrogeno + viaticos</t>
  </si>
  <si>
    <t>OPN-9645</t>
  </si>
  <si>
    <t>Bordon Juan Ramon Nicolas</t>
  </si>
  <si>
    <t xml:space="preserve">Reparacion y limpieza Radiador  New Holand </t>
  </si>
  <si>
    <t>Reparacion radiador Toyota 4x4</t>
  </si>
  <si>
    <t>OPN-8860</t>
  </si>
  <si>
    <t xml:space="preserve">BRAVO ROBERTO LUIS </t>
  </si>
  <si>
    <t>Estacones 200x$3500</t>
  </si>
  <si>
    <t>OPN-5591</t>
  </si>
  <si>
    <t>Buenos Ayres Management</t>
  </si>
  <si>
    <t>Pintura sintetica x 60 litros (Marron) pintado de bines</t>
  </si>
  <si>
    <t>OPN-5863</t>
  </si>
  <si>
    <t>Pintura sintetica 80 litros</t>
  </si>
  <si>
    <t>OPN-5936</t>
  </si>
  <si>
    <t>2026-03</t>
  </si>
  <si>
    <t>Bines x 1000 lts - 20 unidades</t>
  </si>
  <si>
    <t>OPN-5156</t>
  </si>
  <si>
    <t>Buloneria Mitre</t>
  </si>
  <si>
    <t>Bustos Luciana Marianela</t>
  </si>
  <si>
    <t>Servicio GPS</t>
  </si>
  <si>
    <t>OPN-8548</t>
  </si>
  <si>
    <t>C.E.F.I. SRL</t>
  </si>
  <si>
    <t>Pedido campo - Filtros</t>
  </si>
  <si>
    <t>OPN-9679</t>
  </si>
  <si>
    <t>Pedido filtros</t>
  </si>
  <si>
    <t>OPN-10032</t>
  </si>
  <si>
    <t>Cabo Sounion SA</t>
  </si>
  <si>
    <t>Servicio Tratamiento Volatil Bodega - Factura 1846/1871</t>
  </si>
  <si>
    <t>OPN-9449</t>
  </si>
  <si>
    <t>OPN-10062</t>
  </si>
  <si>
    <t>Automecanica Hidalgo</t>
  </si>
  <si>
    <t>Reparación frenso Combi Kia</t>
  </si>
  <si>
    <t>OPN-11319</t>
  </si>
  <si>
    <t>2026-11</t>
  </si>
  <si>
    <t>Flete santa cruz (Tractor)</t>
  </si>
  <si>
    <t>OPN-6538</t>
  </si>
  <si>
    <t>Caceres Ines Cecilia</t>
  </si>
  <si>
    <t>Certificacion firma alquiler departamento</t>
  </si>
  <si>
    <t>OPN-10801</t>
  </si>
  <si>
    <t>Pedidlo epp / ferreteria / limpieza - bodega - Campo - Planta</t>
  </si>
  <si>
    <t>OPN-11026</t>
  </si>
  <si>
    <t>Acta Notificacion / sertificacion firma (Macarena</t>
  </si>
  <si>
    <t>OP N 8074</t>
  </si>
  <si>
    <t>Gastos administrativos - honorarios profesionales</t>
  </si>
  <si>
    <t>honorarios</t>
  </si>
  <si>
    <t>OPN-8475</t>
  </si>
  <si>
    <t>Servicio de escribania</t>
  </si>
  <si>
    <t>OPN-8882</t>
  </si>
  <si>
    <t>Caceres Osvaldo Enrique</t>
  </si>
  <si>
    <t>Materiales pileta Luciano H.</t>
  </si>
  <si>
    <t>OPN-9894</t>
  </si>
  <si>
    <t>Materialespileta Luciano H.</t>
  </si>
  <si>
    <t>2025-52</t>
  </si>
  <si>
    <t>Caliva Alejandro Adolfo</t>
  </si>
  <si>
    <t>Liquido refrigerante - taller</t>
  </si>
  <si>
    <t>OPN-10417</t>
  </si>
  <si>
    <t>Calligaro Luis Miguel</t>
  </si>
  <si>
    <t>Honorarios Profesionales</t>
  </si>
  <si>
    <t>Honorarios</t>
  </si>
  <si>
    <t>OPN-8476</t>
  </si>
  <si>
    <t>OPN-8537</t>
  </si>
  <si>
    <t>OPN-9325</t>
  </si>
  <si>
    <t>OPN-9510</t>
  </si>
  <si>
    <t>OPN-9637</t>
  </si>
  <si>
    <t>OPN-9891</t>
  </si>
  <si>
    <t xml:space="preserve">Obra Planta de Aceite   </t>
  </si>
  <si>
    <t>OPN-10155</t>
  </si>
  <si>
    <t>OPN-10802</t>
  </si>
  <si>
    <t>Factura Enero</t>
  </si>
  <si>
    <t>OPN-10910</t>
  </si>
  <si>
    <t>Camara de Comercio Exterior de Cuyo</t>
  </si>
  <si>
    <t>OPN-10219</t>
  </si>
  <si>
    <t>Honorarios profesionales permisos de exportación</t>
  </si>
  <si>
    <t>OPN-8930</t>
  </si>
  <si>
    <t>OPN-9636</t>
  </si>
  <si>
    <t>OPN-10477</t>
  </si>
  <si>
    <t>OPN-10915</t>
  </si>
  <si>
    <t>Camara Olivicola Riojana</t>
  </si>
  <si>
    <t>OPN-10513</t>
  </si>
  <si>
    <t>Campillay Jose Luis</t>
  </si>
  <si>
    <t>Aviso Busqueda de personal</t>
  </si>
  <si>
    <t>OP N 8101</t>
  </si>
  <si>
    <t>Recibos USARES cod 1823</t>
  </si>
  <si>
    <t>OPN-11323</t>
  </si>
  <si>
    <t xml:space="preserve">Articulos de librería  </t>
  </si>
  <si>
    <t>Campo Vial Sas</t>
  </si>
  <si>
    <t>Repuestos autoelevadores</t>
  </si>
  <si>
    <t>OPN-8266</t>
  </si>
  <si>
    <t>Cubiertas autoelevadores</t>
  </si>
  <si>
    <t>OPN-8946</t>
  </si>
  <si>
    <t>Capello Hnos SRL</t>
  </si>
  <si>
    <t>Obra bodega - Solicita Dr. Veder Herrera</t>
  </si>
  <si>
    <t>OPN-8265</t>
  </si>
  <si>
    <t>Materiales Reparación acoplado Monte Negro</t>
  </si>
  <si>
    <t>20/días</t>
  </si>
  <si>
    <t>Factura 3029 - Materiales Cava</t>
  </si>
  <si>
    <t>Pago 16/06/2025</t>
  </si>
  <si>
    <t>OPN-8150</t>
  </si>
  <si>
    <t>Facturas 3193/3259/3286</t>
  </si>
  <si>
    <t>OPN-8943</t>
  </si>
  <si>
    <t>Materiales planta de aceite</t>
  </si>
  <si>
    <t>OPN-9405</t>
  </si>
  <si>
    <t>Materiales Cava</t>
  </si>
  <si>
    <t>OPN-10102</t>
  </si>
  <si>
    <t>Materiales construccion</t>
  </si>
  <si>
    <t>OPN-10480</t>
  </si>
  <si>
    <t>OPN-10698</t>
  </si>
  <si>
    <t>Carrizo Claudio</t>
  </si>
  <si>
    <t>Reparacion Aire oficina administracion</t>
  </si>
  <si>
    <t>OPN-5732</t>
  </si>
  <si>
    <t>Instalacion aire compras</t>
  </si>
  <si>
    <t>OPN-5824</t>
  </si>
  <si>
    <t xml:space="preserve">Reparación aires administración </t>
  </si>
  <si>
    <t>OPN-6182</t>
  </si>
  <si>
    <t>Cartocor SA</t>
  </si>
  <si>
    <t>Tarjeta Agro Nacion</t>
  </si>
  <si>
    <t>OPN-8549</t>
  </si>
  <si>
    <t>Cajas Exibidoras aceituna</t>
  </si>
  <si>
    <t>OPN-10592</t>
  </si>
  <si>
    <t>Chancalay Daniel</t>
  </si>
  <si>
    <t>Flete</t>
  </si>
  <si>
    <t>OPN-11301</t>
  </si>
  <si>
    <t>Casa Granillo</t>
  </si>
  <si>
    <t>Baterias + repuestos - Pedido de campo</t>
  </si>
  <si>
    <t>OPN-8341</t>
  </si>
  <si>
    <t>Reparaciones electricas flota de camionetas</t>
  </si>
  <si>
    <t>OPN-11030</t>
  </si>
  <si>
    <t>Casa y Diseño SRL</t>
  </si>
  <si>
    <t>Silla salon de ventas</t>
  </si>
  <si>
    <t>OPN-10218</t>
  </si>
  <si>
    <t>Casas Marcelo Ismael</t>
  </si>
  <si>
    <t>Repuestsos equipo de frio - Bodega</t>
  </si>
  <si>
    <t>Reparación aire casa Doctor</t>
  </si>
  <si>
    <t>OPN-10645</t>
  </si>
  <si>
    <t>Casiva Claudio</t>
  </si>
  <si>
    <t>Service Toro</t>
  </si>
  <si>
    <t>OPN-8258</t>
  </si>
  <si>
    <t>Service S10 (Moyano)</t>
  </si>
  <si>
    <t>OPN - 7639</t>
  </si>
  <si>
    <t>Casulli Hermanos SOC Hecho</t>
  </si>
  <si>
    <t xml:space="preserve">2 tubos de gas x 45 para planta </t>
  </si>
  <si>
    <t>Tubo Gas - nuez</t>
  </si>
  <si>
    <t>Bubos de gas Planta / Bodega</t>
  </si>
  <si>
    <t>Tubos de gas planta</t>
  </si>
  <si>
    <t>OPN-8377</t>
  </si>
  <si>
    <t>OPN-8633</t>
  </si>
  <si>
    <t>Tubos de cas - calefaccion planta</t>
  </si>
  <si>
    <t>OPN-8700</t>
  </si>
  <si>
    <t>Tubos - garrafa - pedido bodega</t>
  </si>
  <si>
    <t>OPN-9388</t>
  </si>
  <si>
    <t>Gas</t>
  </si>
  <si>
    <t>OPN-9539</t>
  </si>
  <si>
    <t>OPN-9540</t>
  </si>
  <si>
    <t>OPN-11033</t>
  </si>
  <si>
    <t>Cataldo Sergio Hector</t>
  </si>
  <si>
    <t>Cefi SRL</t>
  </si>
  <si>
    <t>Filtros Service Campo</t>
  </si>
  <si>
    <t>OPN-8583</t>
  </si>
  <si>
    <t>Cen.i.co SA</t>
  </si>
  <si>
    <t>200 KG alambre 4.2 - Cava</t>
  </si>
  <si>
    <t>OPN+8263</t>
  </si>
  <si>
    <t>Centro Plastico SRL</t>
  </si>
  <si>
    <t>Viñetas (Poda)</t>
  </si>
  <si>
    <t>OPN-8507</t>
  </si>
  <si>
    <t>Cintas de atar vid</t>
  </si>
  <si>
    <t>OPN-8875</t>
  </si>
  <si>
    <t>Cinta atar vid</t>
  </si>
  <si>
    <t>Cerezo Fabia Gregorio</t>
  </si>
  <si>
    <t>Reparacion de morores varios planta</t>
  </si>
  <si>
    <t>OPN-10004</t>
  </si>
  <si>
    <t>Reparacion y bolindo de motores 2 hp 3hp</t>
  </si>
  <si>
    <t>OPN-10199</t>
  </si>
  <si>
    <t>Sellos mecanico / Planta</t>
  </si>
  <si>
    <t>OPN-8252</t>
  </si>
  <si>
    <t>2025-13</t>
  </si>
  <si>
    <t>Reparacion motores varios - bodega  (trabajos ya realizados)</t>
  </si>
  <si>
    <t>Reparaciòn motores varios - Planta (trabajos ya realizados)</t>
  </si>
  <si>
    <t>OPN - 7577</t>
  </si>
  <si>
    <t>Reparacion talado / amoladora</t>
  </si>
  <si>
    <t>OPN-7781</t>
  </si>
  <si>
    <t>Reparacion motores planta</t>
  </si>
  <si>
    <t>OPN-7997</t>
  </si>
  <si>
    <t xml:space="preserve">Sellos mecanicos - Planta </t>
  </si>
  <si>
    <t>Repararcion de motores varios - Planta</t>
  </si>
  <si>
    <t>OPN-8822</t>
  </si>
  <si>
    <t>Pedido bodega - Bomba de trasiego</t>
  </si>
  <si>
    <t>OPN-5645</t>
  </si>
  <si>
    <t>OPN-5650</t>
  </si>
  <si>
    <t>OPN-5735</t>
  </si>
  <si>
    <t>OPN-5702</t>
  </si>
  <si>
    <t>Reposición cheque rehasado</t>
  </si>
  <si>
    <t>OPN-6159</t>
  </si>
  <si>
    <t>Cerveny SAS</t>
  </si>
  <si>
    <t xml:space="preserve">Bolsas termocontraibles </t>
  </si>
  <si>
    <t>Bolsas para Nueces</t>
  </si>
  <si>
    <t>Bolsas 40 x 60 90 micrones (al vacio)</t>
  </si>
  <si>
    <t>OPN-9239</t>
  </si>
  <si>
    <t>Bolsas termocontraibles para nueces</t>
  </si>
  <si>
    <t>OPN-9719</t>
  </si>
  <si>
    <t>OPN-10215</t>
  </si>
  <si>
    <t xml:space="preserve">Cerveny SAS </t>
  </si>
  <si>
    <t>Bolsas 60x40 90Mic.</t>
  </si>
  <si>
    <t>CH 7 días</t>
  </si>
  <si>
    <t>OPN-8424</t>
  </si>
  <si>
    <t>CGE SOCIEDAD ANONIMA</t>
  </si>
  <si>
    <t>Estudio contable</t>
  </si>
  <si>
    <t>OPN-9755</t>
  </si>
  <si>
    <t>OPN-10901</t>
  </si>
  <si>
    <t>Ventiladores tipo industrial - Pedid planta</t>
  </si>
  <si>
    <t>OPN-11147</t>
  </si>
  <si>
    <t>Fletes</t>
  </si>
  <si>
    <t>OPN-6157</t>
  </si>
  <si>
    <t>OPN-9149/9148</t>
  </si>
  <si>
    <t>OPN-9363</t>
  </si>
  <si>
    <t>OPN-10108</t>
  </si>
  <si>
    <t>OPN-10187</t>
  </si>
  <si>
    <t>OPN-10333</t>
  </si>
  <si>
    <t>OPN-10332</t>
  </si>
  <si>
    <t>Flete canastos</t>
  </si>
  <si>
    <t>OPN-10250</t>
  </si>
  <si>
    <t>Flete campana</t>
  </si>
  <si>
    <t>OPN-10056</t>
  </si>
  <si>
    <t>OPN-10676</t>
  </si>
  <si>
    <t xml:space="preserve">Reparacón plaqueta </t>
  </si>
  <si>
    <t>OPN-6417</t>
  </si>
  <si>
    <t>OPN-10947</t>
  </si>
  <si>
    <t>Chandia Miguel Eduardo</t>
  </si>
  <si>
    <t>Movilidad y viatico - alojamiento Barreini Jorge</t>
  </si>
  <si>
    <t>OPN-8699</t>
  </si>
  <si>
    <t>Hospedaje Jorge Ballerini</t>
  </si>
  <si>
    <t>OPN-9327</t>
  </si>
  <si>
    <t>OPN-9368</t>
  </si>
  <si>
    <t xml:space="preserve">Cisneros Graciela </t>
  </si>
  <si>
    <t>Vajillas Almuerzo fin de capactación</t>
  </si>
  <si>
    <t>OPN-10012</t>
  </si>
  <si>
    <t>Claudia Marcela Liemich</t>
  </si>
  <si>
    <t>Griferia salon de ventas</t>
  </si>
  <si>
    <t>Clean Cor SA</t>
  </si>
  <si>
    <t>Dispenser para papel y jabon - planta</t>
  </si>
  <si>
    <t>OPN-10212</t>
  </si>
  <si>
    <t>Clinica de Ojos</t>
  </si>
  <si>
    <t>Estudios oftalmologico</t>
  </si>
  <si>
    <t>OPN-8648</t>
  </si>
  <si>
    <t>CNH Industria capital</t>
  </si>
  <si>
    <t xml:space="preserve">Couta tractores </t>
  </si>
  <si>
    <t>OPN-10196</t>
  </si>
  <si>
    <t>OPN-10197</t>
  </si>
  <si>
    <t>Pago 50% cuota mayo 2025</t>
  </si>
  <si>
    <t>OPN-8462</t>
  </si>
  <si>
    <t>28</t>
  </si>
  <si>
    <t>OPN-8463</t>
  </si>
  <si>
    <t>OPN-8486</t>
  </si>
  <si>
    <t>OPN-8487</t>
  </si>
  <si>
    <t>Tractores (retenciones)</t>
  </si>
  <si>
    <t>OPN-8588</t>
  </si>
  <si>
    <t>2026-10</t>
  </si>
  <si>
    <t>B Y B SRL</t>
  </si>
  <si>
    <t>Acido tartarico - bodega</t>
  </si>
  <si>
    <t>OPN-11049</t>
  </si>
  <si>
    <t>Coita Civit Luis Manuel</t>
  </si>
  <si>
    <t>Comision por venta</t>
  </si>
  <si>
    <t>saldo actualizado 19/06 OP N 5212</t>
  </si>
  <si>
    <t>Consultoria vitivinicola</t>
  </si>
  <si>
    <t>OPN-8544</t>
  </si>
  <si>
    <t>Acesor</t>
  </si>
  <si>
    <t>Consultor</t>
  </si>
  <si>
    <t>OPN-9315</t>
  </si>
  <si>
    <t>Anticipo - Autorizado por H Macarena</t>
  </si>
  <si>
    <t>OPN-9435</t>
  </si>
  <si>
    <t>Acesoramiento Bodega</t>
  </si>
  <si>
    <t>Honorarios bodega</t>
  </si>
  <si>
    <t>OPN-9638</t>
  </si>
  <si>
    <t>OPN-9890</t>
  </si>
  <si>
    <t xml:space="preserve">Asesor  Bodega </t>
  </si>
  <si>
    <t>OPN-10154</t>
  </si>
  <si>
    <t xml:space="preserve">Honorarios profesionales </t>
  </si>
  <si>
    <t>OPN-10899</t>
  </si>
  <si>
    <t>Combustible Italo Argentino</t>
  </si>
  <si>
    <t>OPN-6267</t>
  </si>
  <si>
    <t>Combustibles Barceló S.R.L.</t>
  </si>
  <si>
    <t>OPN-9070</t>
  </si>
  <si>
    <t>Pago 02/07/2025</t>
  </si>
  <si>
    <t>OPN-8041</t>
  </si>
  <si>
    <t>Combustibles</t>
  </si>
  <si>
    <t>Combustrtibles y lubricantes</t>
  </si>
  <si>
    <t>OPN-8711</t>
  </si>
  <si>
    <t>OPN-9550</t>
  </si>
  <si>
    <t>OPN-9729</t>
  </si>
  <si>
    <t>OPN-10371</t>
  </si>
  <si>
    <t xml:space="preserve">Pedido bodega </t>
  </si>
  <si>
    <t>OPN-11032</t>
  </si>
  <si>
    <t>Compañía de Seguros El Norte</t>
  </si>
  <si>
    <t>OPN-9853</t>
  </si>
  <si>
    <t>Construir Hermanos SA</t>
  </si>
  <si>
    <t>Pedido planta - bodega</t>
  </si>
  <si>
    <t>OPN-10137</t>
  </si>
  <si>
    <t>Repuestos mochila baño administración</t>
  </si>
  <si>
    <t>OPN-10541</t>
  </si>
  <si>
    <t>Rollos de polietileno 200mic. - Planta</t>
  </si>
  <si>
    <t>OPN-10491</t>
  </si>
  <si>
    <t xml:space="preserve">Tela media sombra - Campo </t>
  </si>
  <si>
    <t>OPN-10678</t>
  </si>
  <si>
    <t>Pedido de bodega</t>
  </si>
  <si>
    <t>OPN-10894</t>
  </si>
  <si>
    <t>Pedido materiales Cava - Membranas</t>
  </si>
  <si>
    <t>OPN-7878</t>
  </si>
  <si>
    <t>Pedido Cava</t>
  </si>
  <si>
    <t>OPN-9206</t>
  </si>
  <si>
    <t>Mareriales plomeria casa Luciano</t>
  </si>
  <si>
    <t>OPN-9358</t>
  </si>
  <si>
    <t>Pedido planta de aceite</t>
  </si>
  <si>
    <t>Materiales reparación Casa Luciano H</t>
  </si>
  <si>
    <t>OPN-9433</t>
  </si>
  <si>
    <t>2 rollos polietileno 200 mic. X 50 mts x 4mts</t>
  </si>
  <si>
    <t>OPN-9959</t>
  </si>
  <si>
    <t>Flotante para pastilla de coloro + focos 75w - bodega</t>
  </si>
  <si>
    <t>OPN-10418</t>
  </si>
  <si>
    <t>Contreras Romina Janet</t>
  </si>
  <si>
    <t>Servicio Aire casa LH</t>
  </si>
  <si>
    <t>OPN-10501</t>
  </si>
  <si>
    <t>Copacaba José</t>
  </si>
  <si>
    <t>Pago saldo fruta</t>
  </si>
  <si>
    <t>OPN-5125</t>
  </si>
  <si>
    <t>OP N 5147</t>
  </si>
  <si>
    <t>OPN-5253</t>
  </si>
  <si>
    <t>Fruta Frersca campaña 2025</t>
  </si>
  <si>
    <t>OPN-5419</t>
  </si>
  <si>
    <t>OPN-5420</t>
  </si>
  <si>
    <t>Corporación Vitivinicola Argentina</t>
  </si>
  <si>
    <t>Honorarios profesionales</t>
  </si>
  <si>
    <t>OP N 8120</t>
  </si>
  <si>
    <t>Cortes Ana Maria Teresa (Electrimac)</t>
  </si>
  <si>
    <t>Toma corriente</t>
  </si>
  <si>
    <t>Materiales Pozo N°15</t>
  </si>
  <si>
    <t>Cortes Juan Emilio</t>
  </si>
  <si>
    <t>Estabilizador TRV - planta</t>
  </si>
  <si>
    <t>OPN10214</t>
  </si>
  <si>
    <t>Cortez Ana Maria</t>
  </si>
  <si>
    <t>Materiales iluminacion provisoria cava</t>
  </si>
  <si>
    <t>OPN-10312</t>
  </si>
  <si>
    <t>Cortez Julio Emilio - IGTech</t>
  </si>
  <si>
    <t>Computadora + impresora salon de ventas</t>
  </si>
  <si>
    <t>OPN-8743</t>
  </si>
  <si>
    <t>CPU oficina planta</t>
  </si>
  <si>
    <t>OPN-9255</t>
  </si>
  <si>
    <t>Cuello Construcción</t>
  </si>
  <si>
    <t>Malla Job 25x25 (salon de ventas)</t>
  </si>
  <si>
    <t>OPN-8501</t>
  </si>
  <si>
    <t>Pedido Cava - Clavos punta paris 2 1/2 - 10KG</t>
  </si>
  <si>
    <t>Dal Lago Marcos Daniel</t>
  </si>
  <si>
    <t>Saldo factura 3097</t>
  </si>
  <si>
    <t>OPN-8246</t>
  </si>
  <si>
    <t xml:space="preserve">Repuesto Tractor </t>
  </si>
  <si>
    <t>David Enrici</t>
  </si>
  <si>
    <t>2025-18</t>
  </si>
  <si>
    <t>2025-20</t>
  </si>
  <si>
    <t>OPN-7934</t>
  </si>
  <si>
    <t>Del Castillo Fernando</t>
  </si>
  <si>
    <t>Obra deposito bodega</t>
  </si>
  <si>
    <t>Trabajo en Bodega - solicita y Autoriza Dr. Beder Herrera</t>
  </si>
  <si>
    <t>OPN-5197</t>
  </si>
  <si>
    <t>Pozo negro / camara septica Bodega</t>
  </si>
  <si>
    <t>OPN-5376</t>
  </si>
  <si>
    <t>Dildrome SA</t>
  </si>
  <si>
    <t>OPN-8230</t>
  </si>
  <si>
    <t>Fruta fresca campaña 2025</t>
  </si>
  <si>
    <t>OPN-8011</t>
  </si>
  <si>
    <t>OPN-8035</t>
  </si>
  <si>
    <t>OP N 8112</t>
  </si>
  <si>
    <t>pagado</t>
  </si>
  <si>
    <t>OPN-8342</t>
  </si>
  <si>
    <t xml:space="preserve">Fruta fresca  </t>
  </si>
  <si>
    <t>OPN-8421</t>
  </si>
  <si>
    <t>OPN-8438</t>
  </si>
  <si>
    <t>OPN-8477</t>
  </si>
  <si>
    <t>OPN-8467</t>
  </si>
  <si>
    <t>OPN-8471</t>
  </si>
  <si>
    <t>OPN-8534</t>
  </si>
  <si>
    <t>OPN-8551</t>
  </si>
  <si>
    <t>OPN-8591</t>
  </si>
  <si>
    <t>29</t>
  </si>
  <si>
    <t>OPN-8602</t>
  </si>
  <si>
    <t>OPN-8660</t>
  </si>
  <si>
    <t>OPN-8824</t>
  </si>
  <si>
    <t>OPN-8829</t>
  </si>
  <si>
    <t>OPN-9262</t>
  </si>
  <si>
    <t>OPN-9263</t>
  </si>
  <si>
    <t>OPN-9341</t>
  </si>
  <si>
    <t>OPN-9280</t>
  </si>
  <si>
    <t>OPN-9436</t>
  </si>
  <si>
    <t>OPN-9439</t>
  </si>
  <si>
    <t>OPN-9440</t>
  </si>
  <si>
    <t>OPN-9441</t>
  </si>
  <si>
    <t>OPN-9498</t>
  </si>
  <si>
    <t>OPN-9741</t>
  </si>
  <si>
    <t>OPN-9665</t>
  </si>
  <si>
    <t>OPN-9883</t>
  </si>
  <si>
    <t>OPN-9802</t>
  </si>
  <si>
    <t>OPN-9934</t>
  </si>
  <si>
    <t>OPN-9988</t>
  </si>
  <si>
    <t>OPN-10060</t>
  </si>
  <si>
    <t>OPN-10070</t>
  </si>
  <si>
    <t>OPN-10046</t>
  </si>
  <si>
    <t>OPN-10311</t>
  </si>
  <si>
    <t>OPN-10330</t>
  </si>
  <si>
    <t>Dimotec SA</t>
  </si>
  <si>
    <t>Repuesto de planta</t>
  </si>
  <si>
    <t>OPN-8833</t>
  </si>
  <si>
    <t xml:space="preserve">2025-23 </t>
  </si>
  <si>
    <t>Distribuidora Cattaneo</t>
  </si>
  <si>
    <t>Insumos gomeria - pedido de Campo</t>
  </si>
  <si>
    <t>OP N 8102</t>
  </si>
  <si>
    <t>Distrigal</t>
  </si>
  <si>
    <t>Cajan Navideñas</t>
  </si>
  <si>
    <t>OPN-9942</t>
  </si>
  <si>
    <t>Don Vega SRL</t>
  </si>
  <si>
    <t>Combustible Combi Kia</t>
  </si>
  <si>
    <t>OPN-9976</t>
  </si>
  <si>
    <t>DPE SRL</t>
  </si>
  <si>
    <t>Amplificador de conmutación - planta</t>
  </si>
  <si>
    <t>OPN-10604</t>
  </si>
  <si>
    <t>Dripsa SAU</t>
  </si>
  <si>
    <t>Articulos riego - Ruiz Santiago</t>
  </si>
  <si>
    <t>OPN-10677</t>
  </si>
  <si>
    <t>Drogueria Polo</t>
  </si>
  <si>
    <t xml:space="preserve">Cloruro de calcio </t>
  </si>
  <si>
    <t>Al Día</t>
  </si>
  <si>
    <t>Factura A-21-3832</t>
  </si>
  <si>
    <t>OPN-10005</t>
  </si>
  <si>
    <t>OPN-10006</t>
  </si>
  <si>
    <t>Durang SRL</t>
  </si>
  <si>
    <t>Pickles - pedido de ventas</t>
  </si>
  <si>
    <t>OPN-10811</t>
  </si>
  <si>
    <t>Durox Enologia SRL</t>
  </si>
  <si>
    <t>Insumos Bodega</t>
  </si>
  <si>
    <t>CH 20/30 días</t>
  </si>
  <si>
    <t>OPN-8739</t>
  </si>
  <si>
    <t>Cloro Mendoza SA</t>
  </si>
  <si>
    <t>Acido Clorihidrico</t>
  </si>
  <si>
    <t>OPN-11315</t>
  </si>
  <si>
    <t>Edelar SA</t>
  </si>
  <si>
    <t>Pago mes de marzo</t>
  </si>
  <si>
    <t xml:space="preserve">Energia </t>
  </si>
  <si>
    <t>CH 30/60/90 Días 40%</t>
  </si>
  <si>
    <t>OPN 8152</t>
  </si>
  <si>
    <t xml:space="preserve">25% transferencia </t>
  </si>
  <si>
    <t>Suministro electrico</t>
  </si>
  <si>
    <t>20/07/2025</t>
  </si>
  <si>
    <t>29/07/2025</t>
  </si>
  <si>
    <t>31/07/2025</t>
  </si>
  <si>
    <t>Servicio de energia</t>
  </si>
  <si>
    <t>OPN-8964</t>
  </si>
  <si>
    <t>OPN-5479</t>
  </si>
  <si>
    <t>Servicio de energia Periodo 7 -8</t>
  </si>
  <si>
    <t>OPN-9517</t>
  </si>
  <si>
    <t>Servicio electricidad Periodo 9</t>
  </si>
  <si>
    <t>OPN-10336</t>
  </si>
  <si>
    <t>OPN-6018</t>
  </si>
  <si>
    <t>Servicio energia</t>
  </si>
  <si>
    <t>OPN-10523</t>
  </si>
  <si>
    <t>Servicio Electrico diciembre 2025</t>
  </si>
  <si>
    <t>OPN-10692</t>
  </si>
  <si>
    <t>Finca 2 Nis 1090249 - Periodo 12/25</t>
  </si>
  <si>
    <t>OPN-6266</t>
  </si>
  <si>
    <t>2026-13</t>
  </si>
  <si>
    <t>Atuel</t>
  </si>
  <si>
    <t>Inserctocutores - tampa roedores - Planta de aceite</t>
  </si>
  <si>
    <t>OPN-11253</t>
  </si>
  <si>
    <t>OPN-11276</t>
  </si>
  <si>
    <t>Unipeg NU40 - Cava</t>
  </si>
  <si>
    <t>OPN-11266</t>
  </si>
  <si>
    <t>El Adi Julio Cesar</t>
  </si>
  <si>
    <t>OPN-9727</t>
  </si>
  <si>
    <t>El Auditor</t>
  </si>
  <si>
    <t>Pedido Librería septiembre 2025</t>
  </si>
  <si>
    <t>El Chileciteño</t>
  </si>
  <si>
    <t>OPN-9553</t>
  </si>
  <si>
    <t>Combustible (Pago Daniel)</t>
  </si>
  <si>
    <t>El Obrador SRL</t>
  </si>
  <si>
    <t>Planta de aceite - pintura /aguaras</t>
  </si>
  <si>
    <t>Facturas 4336/4569/4617/4665</t>
  </si>
  <si>
    <t>OPN-8274</t>
  </si>
  <si>
    <t>Factura 4665</t>
  </si>
  <si>
    <t>OPN-8530</t>
  </si>
  <si>
    <t>OPN-9562</t>
  </si>
  <si>
    <t>OPN-9712</t>
  </si>
  <si>
    <t>Presupuesto a actualizar</t>
  </si>
  <si>
    <t>Eladi Julio cesar - ELCON</t>
  </si>
  <si>
    <t>Articulos de electricidad - planta de aceite</t>
  </si>
  <si>
    <t>OPN-9543</t>
  </si>
  <si>
    <t>Electrimac</t>
  </si>
  <si>
    <t>Materiales electricos planta de aceite</t>
  </si>
  <si>
    <t>OPN-7947</t>
  </si>
  <si>
    <t>Materiales para pozo 19</t>
  </si>
  <si>
    <t>OPN-9721</t>
  </si>
  <si>
    <t>Electrocomponentes SA</t>
  </si>
  <si>
    <t>Potenciometros - Planta/bodega</t>
  </si>
  <si>
    <t>OPN-10725</t>
  </si>
  <si>
    <t>Embalajes y corrugados edicion limitada S.R.L</t>
  </si>
  <si>
    <t>Cajas para frascos 350g x 6</t>
  </si>
  <si>
    <t>OPN-10647</t>
  </si>
  <si>
    <t>Cajas para frascos 350 grs x 6</t>
  </si>
  <si>
    <t>Empaque SA</t>
  </si>
  <si>
    <t>Bolsas para cajas sobre de eceitunas</t>
  </si>
  <si>
    <t>OPN-10048</t>
  </si>
  <si>
    <t>Empaque San Juan</t>
  </si>
  <si>
    <t>Bolsas para pasas</t>
  </si>
  <si>
    <t>Empresa Vallecito SRL</t>
  </si>
  <si>
    <t>Flete Mendoza / Chilecito - MAG</t>
  </si>
  <si>
    <t>OPN-10403</t>
  </si>
  <si>
    <t>OPN-10404</t>
  </si>
  <si>
    <t>Flete Itecra / La casa del filtro</t>
  </si>
  <si>
    <t>OPN-10487</t>
  </si>
  <si>
    <t>OPN-10494</t>
  </si>
  <si>
    <t>Encomiendas</t>
  </si>
  <si>
    <t>Encrenaz Claudio</t>
  </si>
  <si>
    <t>Acido Paracetico</t>
  </si>
  <si>
    <t>OPN-8755</t>
  </si>
  <si>
    <t>Acido paracetico</t>
  </si>
  <si>
    <t>Enrici Abril Virginia</t>
  </si>
  <si>
    <t>OPN-8720</t>
  </si>
  <si>
    <t>Monotributo</t>
  </si>
  <si>
    <t>OPN-9640</t>
  </si>
  <si>
    <t>OPN-9087</t>
  </si>
  <si>
    <t>OPN-9552</t>
  </si>
  <si>
    <t>OPN-10166</t>
  </si>
  <si>
    <t>OPN-10912</t>
  </si>
  <si>
    <t>Enrici Benjamin Andres</t>
  </si>
  <si>
    <t>Pedido Cava - 30 Bolsas de Pegamento para ceramicos</t>
  </si>
  <si>
    <t>OPN-9020</t>
  </si>
  <si>
    <t>Materiales Cava - Polietileno</t>
  </si>
  <si>
    <t>Enrici David</t>
  </si>
  <si>
    <t>OPN-5255</t>
  </si>
  <si>
    <t>OPN-5267</t>
  </si>
  <si>
    <t>OPN-8556</t>
  </si>
  <si>
    <t>OPN-8679</t>
  </si>
  <si>
    <t>OPN-8756</t>
  </si>
  <si>
    <t>OPN-9019</t>
  </si>
  <si>
    <t>OPN-5488</t>
  </si>
  <si>
    <t>OPN-9272</t>
  </si>
  <si>
    <t>OPN-9360</t>
  </si>
  <si>
    <t>OPN-9434</t>
  </si>
  <si>
    <t>OPN-9497</t>
  </si>
  <si>
    <t>OPN-9714</t>
  </si>
  <si>
    <t>OPN-9750</t>
  </si>
  <si>
    <t>OPN-9814</t>
  </si>
  <si>
    <t>OPN-5752</t>
  </si>
  <si>
    <t>OPN-9916</t>
  </si>
  <si>
    <t>OPN-5823</t>
  </si>
  <si>
    <t>OPN-9998</t>
  </si>
  <si>
    <t>OPN-5995</t>
  </si>
  <si>
    <t>Pedido ferreteria - limpieza - planta</t>
  </si>
  <si>
    <t>OPN-11202</t>
  </si>
  <si>
    <t>Servicio energia - Enero 2026</t>
  </si>
  <si>
    <t>OPN-11278</t>
  </si>
  <si>
    <t>Reparación motor de arranque - Campo</t>
  </si>
  <si>
    <t>OPN-11088</t>
  </si>
  <si>
    <t>Enrici Esteban Eduardo</t>
  </si>
  <si>
    <t>OPN-8719</t>
  </si>
  <si>
    <t>15/07/2025</t>
  </si>
  <si>
    <t>OPN-5219</t>
  </si>
  <si>
    <t>21/07/2025</t>
  </si>
  <si>
    <t>24/07/2025</t>
  </si>
  <si>
    <t>11/08/2025</t>
  </si>
  <si>
    <t>30/06/2025</t>
  </si>
  <si>
    <t>15/08/2025</t>
  </si>
  <si>
    <t>16/08/2025</t>
  </si>
  <si>
    <t>OPN-5260</t>
  </si>
  <si>
    <t>Fruta fresca (nonotributo)</t>
  </si>
  <si>
    <t>OPN-8423</t>
  </si>
  <si>
    <t>OPN-5313</t>
  </si>
  <si>
    <t>OPN-5592</t>
  </si>
  <si>
    <t>OPN-5653</t>
  </si>
  <si>
    <t>OPN-5749</t>
  </si>
  <si>
    <t>OPN-5905</t>
  </si>
  <si>
    <t>OPN-5997</t>
  </si>
  <si>
    <t>OPN-6160</t>
  </si>
  <si>
    <t>OPN-6169</t>
  </si>
  <si>
    <t>OPN-6205</t>
  </si>
  <si>
    <t>OPN-6228</t>
  </si>
  <si>
    <t>OPN-6223</t>
  </si>
  <si>
    <t>OPN-9088</t>
  </si>
  <si>
    <t>OPN-9511</t>
  </si>
  <si>
    <t>OPN-9551</t>
  </si>
  <si>
    <t>OPN-10167</t>
  </si>
  <si>
    <t>OPN-6272</t>
  </si>
  <si>
    <t>OPN-10911</t>
  </si>
  <si>
    <t>Reparación Radiador tractor Massey Ferguson</t>
  </si>
  <si>
    <t>OPN-11185</t>
  </si>
  <si>
    <t>OPN-11152</t>
  </si>
  <si>
    <t>Scanio Natalia Laura</t>
  </si>
  <si>
    <t>OPN-10152</t>
  </si>
  <si>
    <t>Esquivel Hugo</t>
  </si>
  <si>
    <t>CH 30/45 días</t>
  </si>
  <si>
    <t>Insumos Laboratorio Bodega</t>
  </si>
  <si>
    <t>Pago 25/06/2025</t>
  </si>
  <si>
    <t>OPN-8047</t>
  </si>
  <si>
    <t>Insubos Labortorio</t>
  </si>
  <si>
    <t>Insumos laboratorio bodega</t>
  </si>
  <si>
    <t>Estrella del Sur</t>
  </si>
  <si>
    <t>OPN-5680</t>
  </si>
  <si>
    <t>OPN-5751</t>
  </si>
  <si>
    <t>OPN-5904</t>
  </si>
  <si>
    <t>OPN-5996</t>
  </si>
  <si>
    <t>OPN-6168</t>
  </si>
  <si>
    <t>Bottino Hnos SA</t>
  </si>
  <si>
    <t>Reparación Bomba Grunfos - Planta</t>
  </si>
  <si>
    <t>OPN-11232</t>
  </si>
  <si>
    <t xml:space="preserve">Estrella del Sur </t>
  </si>
  <si>
    <t>OPN-5593</t>
  </si>
  <si>
    <t>OPN-5548</t>
  </si>
  <si>
    <t>Estudio Lacona</t>
  </si>
  <si>
    <t>Registro de marca (Macarena)</t>
  </si>
  <si>
    <t>20 codigos de barra</t>
  </si>
  <si>
    <t>OPN-8644</t>
  </si>
  <si>
    <t>Codigos de barra</t>
  </si>
  <si>
    <t>OPN-10192</t>
  </si>
  <si>
    <t>Evans</t>
  </si>
  <si>
    <t>Flete Pepinitos</t>
  </si>
  <si>
    <t>CH 20 Días</t>
  </si>
  <si>
    <t>OPN-8268</t>
  </si>
  <si>
    <t>Flete Impo 196</t>
  </si>
  <si>
    <t>30-45</t>
  </si>
  <si>
    <t>OPN 7281</t>
  </si>
  <si>
    <t>Flete Aceituna Egipto</t>
  </si>
  <si>
    <t>OPN-8050</t>
  </si>
  <si>
    <t>Exologan</t>
  </si>
  <si>
    <t>Gasto puerto por estadia diaria</t>
  </si>
  <si>
    <t>Famiq SRL</t>
  </si>
  <si>
    <t>Acople / sacamuestra - Planta de aceite /  bodega</t>
  </si>
  <si>
    <t>OPN-10885</t>
  </si>
  <si>
    <t>Fara Julio Eduardo</t>
  </si>
  <si>
    <t>Reparacion Bomba Inyectora motor Toyota</t>
  </si>
  <si>
    <t>OPN-8469</t>
  </si>
  <si>
    <t>Farm Chemicals Argentina S.R.L</t>
  </si>
  <si>
    <t>Producto - Dormex  (solicito Floriana)</t>
  </si>
  <si>
    <t>OPN-9297</t>
  </si>
  <si>
    <t>Federación Patronal Seguros SA</t>
  </si>
  <si>
    <t>OPN-10220</t>
  </si>
  <si>
    <t>Fernandez Claudio Norberto</t>
  </si>
  <si>
    <t>OPN-10898</t>
  </si>
  <si>
    <t>Fernandez Julio Cesar</t>
  </si>
  <si>
    <t>Servicio de gomeria</t>
  </si>
  <si>
    <t>Servicio Gomeria</t>
  </si>
  <si>
    <t>OPN-4971</t>
  </si>
  <si>
    <t>Reparacion de cubierta</t>
  </si>
  <si>
    <t>OPN-5590</t>
  </si>
  <si>
    <t>Fiani Automotores SA</t>
  </si>
  <si>
    <t>Service camioneta Nissan</t>
  </si>
  <si>
    <t xml:space="preserve">Reparación y service Nissan Frontier </t>
  </si>
  <si>
    <t>OPN-9702</t>
  </si>
  <si>
    <t>Finca Lolita SRL</t>
  </si>
  <si>
    <t>Saldo periodo 12/25</t>
  </si>
  <si>
    <t>OPN-6265</t>
  </si>
  <si>
    <t>2025-14</t>
  </si>
  <si>
    <t>Fonzalida Lucas</t>
  </si>
  <si>
    <t>OPN-8540</t>
  </si>
  <si>
    <t xml:space="preserve">Servicio camas </t>
  </si>
  <si>
    <t>OPN-9323</t>
  </si>
  <si>
    <t>OPN-9509</t>
  </si>
  <si>
    <t>OPN-10163</t>
  </si>
  <si>
    <t>OPN-10905</t>
  </si>
  <si>
    <t>Fortaleza  SA</t>
  </si>
  <si>
    <t>Pedido elementos de limpieza - Administracion - planta - bodega</t>
  </si>
  <si>
    <t>OPN-8497</t>
  </si>
  <si>
    <t>Pedido Limpieza - Planta - Bodega - Administracion</t>
  </si>
  <si>
    <t>Pedido Limpieza Planta / campo / Bodega</t>
  </si>
  <si>
    <t>OPN-9145</t>
  </si>
  <si>
    <t xml:space="preserve">Productos de limpieza </t>
  </si>
  <si>
    <t>OPN-9544</t>
  </si>
  <si>
    <t>Pedido Limpieza</t>
  </si>
  <si>
    <t>OPN-10131</t>
  </si>
  <si>
    <t>OPN-10132</t>
  </si>
  <si>
    <t>OPN-10130</t>
  </si>
  <si>
    <t>Productos de limpieza - Pedido Planta</t>
  </si>
  <si>
    <t>OPN-10518</t>
  </si>
  <si>
    <t>Alcohol - pedido bodega</t>
  </si>
  <si>
    <t>OPN-10556</t>
  </si>
  <si>
    <t>Productos de limpieza</t>
  </si>
  <si>
    <t>OPN-10750</t>
  </si>
  <si>
    <t>Filtro de aire primario cosechadora COE</t>
  </si>
  <si>
    <t>OPN-11187</t>
  </si>
  <si>
    <t>Elementos de limpieza - Planta - Campo -  Bodega</t>
  </si>
  <si>
    <t>OPN-9803</t>
  </si>
  <si>
    <t>Franceschi María Liliana</t>
  </si>
  <si>
    <t>Alimento perros</t>
  </si>
  <si>
    <t>OPN-9643</t>
  </si>
  <si>
    <t>OPN-10913</t>
  </si>
  <si>
    <t>Fredi Ribero</t>
  </si>
  <si>
    <t>Tinglado de bodega</t>
  </si>
  <si>
    <t>OPN-5061</t>
  </si>
  <si>
    <t>Tinglado Bodega</t>
  </si>
  <si>
    <t>OP N 5146</t>
  </si>
  <si>
    <t>OPN-5198</t>
  </si>
  <si>
    <t>Fuentes Gastón Nicolás</t>
  </si>
  <si>
    <t>Tienda Nube</t>
  </si>
  <si>
    <t>OPN-9933</t>
  </si>
  <si>
    <t>Tiendanube</t>
  </si>
  <si>
    <t>OPN-9282</t>
  </si>
  <si>
    <t>OPN-10200</t>
  </si>
  <si>
    <t>Tienda nube</t>
  </si>
  <si>
    <t>OPN-10642</t>
  </si>
  <si>
    <t>Fundación para el desarrollo profesional</t>
  </si>
  <si>
    <t>OPN-9935</t>
  </si>
  <si>
    <t>Galdeano Paez Cesar Felix</t>
  </si>
  <si>
    <t>Chapa galvanizada lisa - Planta de aceite</t>
  </si>
  <si>
    <t>OPN-7981</t>
  </si>
  <si>
    <t>Materiales salon de ventas</t>
  </si>
  <si>
    <t>OPN-8470</t>
  </si>
  <si>
    <t>Planchuela perforada - Departamento Maria M</t>
  </si>
  <si>
    <t>OPN-10655</t>
  </si>
  <si>
    <t>Garcia Pablo Javier</t>
  </si>
  <si>
    <t>Devolución Bomba 1Hp</t>
  </si>
  <si>
    <t>OPN-10034</t>
  </si>
  <si>
    <t>OPN-6340</t>
  </si>
  <si>
    <t xml:space="preserve">Geminelli SA  </t>
  </si>
  <si>
    <t>Insumos ventas - Baldes de 1.5 - 3 - 8 - 20</t>
  </si>
  <si>
    <t>30/días</t>
  </si>
  <si>
    <t>Baldes de 20 lts - (pedido URGENTE)</t>
  </si>
  <si>
    <t>CH 30 45 días</t>
  </si>
  <si>
    <t>OPN-8585</t>
  </si>
  <si>
    <t>Baldes -</t>
  </si>
  <si>
    <t>OPN-8985</t>
  </si>
  <si>
    <t>Facturas 112943 / 113147</t>
  </si>
  <si>
    <t>OPN-9301</t>
  </si>
  <si>
    <t xml:space="preserve">Embases </t>
  </si>
  <si>
    <t>OPN-10045</t>
  </si>
  <si>
    <t>Pedido ventas</t>
  </si>
  <si>
    <t>OPN-10174</t>
  </si>
  <si>
    <t>OPN-10520</t>
  </si>
  <si>
    <t>OPN-10584</t>
  </si>
  <si>
    <t>OPN-10624</t>
  </si>
  <si>
    <t>Pedido de ventas</t>
  </si>
  <si>
    <t>OPN-10788</t>
  </si>
  <si>
    <t>Geotub</t>
  </si>
  <si>
    <t>Gerard Gustavo Fabian</t>
  </si>
  <si>
    <t>Flete jugos</t>
  </si>
  <si>
    <t>OPN-10198</t>
  </si>
  <si>
    <t xml:space="preserve">Flete jugos </t>
  </si>
  <si>
    <t>OPN-10401</t>
  </si>
  <si>
    <t>Giordani Martin Sebastian</t>
  </si>
  <si>
    <t>Repuestos moto 110</t>
  </si>
  <si>
    <t>OPN-8661</t>
  </si>
  <si>
    <t>OPN-9364</t>
  </si>
  <si>
    <t>Juego transmision moto 110</t>
  </si>
  <si>
    <t>OPN-10382</t>
  </si>
  <si>
    <t>Giovanini Esteban Alberto</t>
  </si>
  <si>
    <t>Estudio nutricional pasas de uva</t>
  </si>
  <si>
    <t>OP N8119</t>
  </si>
  <si>
    <t xml:space="preserve">Analisis  </t>
  </si>
  <si>
    <t>OPN-8355</t>
  </si>
  <si>
    <t>Analisis - planta</t>
  </si>
  <si>
    <t>OPN-9723</t>
  </si>
  <si>
    <t>OPN-6394</t>
  </si>
  <si>
    <t>Gomez Silvia Marcela</t>
  </si>
  <si>
    <t xml:space="preserve">Escritura N° 54 hipoteca Garantizar </t>
  </si>
  <si>
    <t>Granillo Gustavo Adolfo</t>
  </si>
  <si>
    <t>Pedido campo / Bateria - aceite - liquido refrigerante</t>
  </si>
  <si>
    <t>Pedido campo</t>
  </si>
  <si>
    <t>OPN-9430</t>
  </si>
  <si>
    <t>Greif Argentina SA</t>
  </si>
  <si>
    <t>Bidones 2024</t>
  </si>
  <si>
    <t>Nota de debito por tipo de cambio</t>
  </si>
  <si>
    <t>OPN-9209</t>
  </si>
  <si>
    <t>GREIF ARGENTINA SA</t>
  </si>
  <si>
    <t>Envases</t>
  </si>
  <si>
    <t>OPN-10921</t>
  </si>
  <si>
    <t>Grenouille Vision Systems SL</t>
  </si>
  <si>
    <t>OPN-5780</t>
  </si>
  <si>
    <t>Griffa SA</t>
  </si>
  <si>
    <t>Facturas 4607 / 4610</t>
  </si>
  <si>
    <t>Pago 05/06/2025</t>
  </si>
  <si>
    <t>OPN-8056</t>
  </si>
  <si>
    <t>Servicio 300 horas tractores -Tractor TD4 85F</t>
  </si>
  <si>
    <t>OPN-9303</t>
  </si>
  <si>
    <t>Servicio 300 horas tractores -Tractor TD4 90</t>
  </si>
  <si>
    <t>Grivelli</t>
  </si>
  <si>
    <t>Balanzas CR Ohaus - Pedido planta</t>
  </si>
  <si>
    <t>OPN-10069</t>
  </si>
  <si>
    <t>Grupo Mildonio S.R.L.</t>
  </si>
  <si>
    <t>Redes</t>
  </si>
  <si>
    <t>OP N 8114</t>
  </si>
  <si>
    <t>Produccion de contenidos - redes sociales</t>
  </si>
  <si>
    <t>Servicio Audiovisual</t>
  </si>
  <si>
    <t>OPN-9324</t>
  </si>
  <si>
    <t>OPN-9508</t>
  </si>
  <si>
    <t>OPN-10159</t>
  </si>
  <si>
    <t>OPN-10900</t>
  </si>
  <si>
    <t>Guantex SRL</t>
  </si>
  <si>
    <t>Pedido EPP planta - campo</t>
  </si>
  <si>
    <t>OPN-10042</t>
  </si>
  <si>
    <t>Pedidos EPP Diciembre - Planta - Campo - Bodega</t>
  </si>
  <si>
    <t>OPN-10230</t>
  </si>
  <si>
    <t>Pedido EPP planta</t>
  </si>
  <si>
    <t>OPN-10776</t>
  </si>
  <si>
    <t>OPN-9143</t>
  </si>
  <si>
    <t>Pedido EPP campo - planta</t>
  </si>
  <si>
    <t>OPN-9978</t>
  </si>
  <si>
    <t>EPP - Planta -bodega</t>
  </si>
  <si>
    <t>Hanutec SAS</t>
  </si>
  <si>
    <t>Montacarga Bodega</t>
  </si>
  <si>
    <t>OPN-9281</t>
  </si>
  <si>
    <t>Haled Jadid</t>
  </si>
  <si>
    <t>Obra salon de ventas</t>
  </si>
  <si>
    <t>OPN-5211</t>
  </si>
  <si>
    <t>Mano de obra Salón de ventas / garita de seguridad</t>
  </si>
  <si>
    <t>OPN - 4796</t>
  </si>
  <si>
    <t>OPN-4906</t>
  </si>
  <si>
    <t>OPN-5123</t>
  </si>
  <si>
    <t>OP N 5145</t>
  </si>
  <si>
    <t>OPN-5196</t>
  </si>
  <si>
    <t>Mano de obra salon de ventas</t>
  </si>
  <si>
    <t>OPN-5269</t>
  </si>
  <si>
    <t>OPN-5302</t>
  </si>
  <si>
    <t>OPN-5323</t>
  </si>
  <si>
    <t>Reparación techo laboratorio Bodega</t>
  </si>
  <si>
    <t>OPN-6028</t>
  </si>
  <si>
    <t>OPN-5620</t>
  </si>
  <si>
    <t>Tolvas para cosecha</t>
  </si>
  <si>
    <t>OPN-5748</t>
  </si>
  <si>
    <t>OPN-5864</t>
  </si>
  <si>
    <t>OPN-11174</t>
  </si>
  <si>
    <t>Pedido de bodega - materiales varios</t>
  </si>
  <si>
    <t>OPN-11083</t>
  </si>
  <si>
    <t>Herrera Bruno</t>
  </si>
  <si>
    <t>Cuota Camioneta Amarok (3 cuotas adeudadas)</t>
  </si>
  <si>
    <t>Hidradc SAS</t>
  </si>
  <si>
    <t>Reparacion boba COE</t>
  </si>
  <si>
    <t>OPN-10247</t>
  </si>
  <si>
    <t>2025-05</t>
  </si>
  <si>
    <t>Reparacion de bomba hidraulica A90</t>
  </si>
  <si>
    <t>OPN-10702</t>
  </si>
  <si>
    <t>Hierros Nort</t>
  </si>
  <si>
    <t>Pedido planta</t>
  </si>
  <si>
    <t>OPN-8217</t>
  </si>
  <si>
    <t>CH 60 días</t>
  </si>
  <si>
    <t>Pedido Planta</t>
  </si>
  <si>
    <t>OPN-8505</t>
  </si>
  <si>
    <t xml:space="preserve">Pedido de Campo - Reparacion hidrociclon </t>
  </si>
  <si>
    <t>OPN-8363</t>
  </si>
  <si>
    <t xml:space="preserve">Pedido Planta - Reparacion de bines </t>
  </si>
  <si>
    <t>OPN-9235</t>
  </si>
  <si>
    <t>Materias reparacion Hidrociclones - campo</t>
  </si>
  <si>
    <t>OPN-10383</t>
  </si>
  <si>
    <t>Pedido cava - Puerta Montacarga</t>
  </si>
  <si>
    <t>OPN-10775</t>
  </si>
  <si>
    <t>Hilal</t>
  </si>
  <si>
    <t>Compras casa Doctor</t>
  </si>
  <si>
    <t>OPN-7809</t>
  </si>
  <si>
    <t>Pedido Limpieza Campo</t>
  </si>
  <si>
    <t>OPN-8649</t>
  </si>
  <si>
    <t>Horticola Riojana SRL</t>
  </si>
  <si>
    <t>OPN-5618</t>
  </si>
  <si>
    <t>Alquiler de maquina F2</t>
  </si>
  <si>
    <t>OPN-5739</t>
  </si>
  <si>
    <t>Alquiler maquinaria tomata 2 etapa</t>
  </si>
  <si>
    <t>OPN-5907</t>
  </si>
  <si>
    <t>Pago por cheques rechasados</t>
  </si>
  <si>
    <t>OPN-6030</t>
  </si>
  <si>
    <t>Alquiler de maquinaria para plantación de tomate tardío 2 etapa</t>
  </si>
  <si>
    <t>OPN-6158</t>
  </si>
  <si>
    <t>Repuetos Campo</t>
  </si>
  <si>
    <t>OPN-11176</t>
  </si>
  <si>
    <t>Cajas para pasas</t>
  </si>
  <si>
    <t>OPN-11165</t>
  </si>
  <si>
    <t>Huerta Nuñez Maria Mercedez</t>
  </si>
  <si>
    <t>Servicio reparacion camara de frio Famatina (solicito Floriana) - Materiales</t>
  </si>
  <si>
    <t>OPN-9240</t>
  </si>
  <si>
    <t>OPN-9365</t>
  </si>
  <si>
    <t>Servicio reparacion camara de frio Famatina (solicito Floriana) - Mano de obra</t>
  </si>
  <si>
    <t>OPN-9565</t>
  </si>
  <si>
    <t>Hugo Omar Bustos Nallin</t>
  </si>
  <si>
    <t>Salon cena fin de años</t>
  </si>
  <si>
    <t>OPN-10201</t>
  </si>
  <si>
    <t>Idoria Nestor Fabian</t>
  </si>
  <si>
    <t>Impresiones RRHH</t>
  </si>
  <si>
    <t>IG tech</t>
  </si>
  <si>
    <t>PC completa CPU / monitor / accesorios</t>
  </si>
  <si>
    <t>OPN-8262</t>
  </si>
  <si>
    <t>Impregnadora Anguinan</t>
  </si>
  <si>
    <t>CH 15/30/45 días</t>
  </si>
  <si>
    <t>OPN - 7715</t>
  </si>
  <si>
    <t>Impregnadora Riojana SRL</t>
  </si>
  <si>
    <t>Maderas para cuadros de pasa</t>
  </si>
  <si>
    <t>Imprenta</t>
  </si>
  <si>
    <t>Copias RRHH</t>
  </si>
  <si>
    <t>Industrias ASA SA</t>
  </si>
  <si>
    <t>Junta para boca de tanque inferior</t>
  </si>
  <si>
    <t>OPN-10744</t>
  </si>
  <si>
    <t>Tanques planta de aceite</t>
  </si>
  <si>
    <t>OPN-10854</t>
  </si>
  <si>
    <t>Juntas tanques bodega</t>
  </si>
  <si>
    <t>OPN-10918</t>
  </si>
  <si>
    <t>Industrias Dica</t>
  </si>
  <si>
    <t xml:space="preserve">Mangueras Bodega   </t>
  </si>
  <si>
    <t>OPN-9977</t>
  </si>
  <si>
    <t>Industrias RF</t>
  </si>
  <si>
    <t>saldo rejillas planta de aceite + Adicional</t>
  </si>
  <si>
    <t>$1188850.68 Transf. $1000000 CH 23/04</t>
  </si>
  <si>
    <t>OPN - 7631</t>
  </si>
  <si>
    <t>Saldo Portones planta de aceite</t>
  </si>
  <si>
    <t>CH 23/6</t>
  </si>
  <si>
    <t>INELSA SRL</t>
  </si>
  <si>
    <t>Servicio de grua - Cava</t>
  </si>
  <si>
    <t>OPN-10610</t>
  </si>
  <si>
    <t>Infraestructura &amp; Servicios</t>
  </si>
  <si>
    <t>OPN-9623</t>
  </si>
  <si>
    <t>OPN-9567</t>
  </si>
  <si>
    <t>OPN-10191</t>
  </si>
  <si>
    <t>OPN-10511</t>
  </si>
  <si>
    <t>OPN-10721</t>
  </si>
  <si>
    <t>OPN-11040</t>
  </si>
  <si>
    <t>Ing. Carluccio &amp; Asociados SRL</t>
  </si>
  <si>
    <t xml:space="preserve">Malla anti helada </t>
  </si>
  <si>
    <t>Ingenieria Muñoz</t>
  </si>
  <si>
    <t>Cilindro hidraulico para volcadores de bines (50% anticipo)</t>
  </si>
  <si>
    <t>OPN-9730</t>
  </si>
  <si>
    <t>Reparacion de 2 cilindros hidraulicos (anticipo 50%)</t>
  </si>
  <si>
    <t>OPN-9911</t>
  </si>
  <si>
    <t>Saldo 50% fabricacion cilindro hidraulico - Planta</t>
  </si>
  <si>
    <t>OPN-10236</t>
  </si>
  <si>
    <t>Saldo 50% reparación 2  cilindro hidraulico - Planta</t>
  </si>
  <si>
    <t>Fabricacion de cilindro hidraulico COE - Anticipo</t>
  </si>
  <si>
    <t>OPN-10967</t>
  </si>
  <si>
    <t>Inter West SRL</t>
  </si>
  <si>
    <t>Mangueras - pedido Planta</t>
  </si>
  <si>
    <t>OPN-10780</t>
  </si>
  <si>
    <t>Acople - pedido Planta</t>
  </si>
  <si>
    <t>OPN-10777</t>
  </si>
  <si>
    <t>Interfase3</t>
  </si>
  <si>
    <t>Pedido bodega - Turbidimetro</t>
  </si>
  <si>
    <t>OPN-9172</t>
  </si>
  <si>
    <t xml:space="preserve">INV </t>
  </si>
  <si>
    <t>Analisis</t>
  </si>
  <si>
    <t>Irrigación y Aspersión SRL</t>
  </si>
  <si>
    <t>Perforacion (Rapachioli)</t>
  </si>
  <si>
    <t>OPN-9792</t>
  </si>
  <si>
    <t>Preforacion poso - Pago se entrego a combustibles Barceló</t>
  </si>
  <si>
    <t>OPN-10374</t>
  </si>
  <si>
    <t xml:space="preserve">Isaias Goldman </t>
  </si>
  <si>
    <t>Garrafa R22 - Bodega</t>
  </si>
  <si>
    <t>OPN-10213</t>
  </si>
  <si>
    <t>Itecra</t>
  </si>
  <si>
    <t>Etiquetas</t>
  </si>
  <si>
    <t>OPN-8048</t>
  </si>
  <si>
    <t xml:space="preserve">Etiquetas - pedido de planta </t>
  </si>
  <si>
    <t>OPN-8721</t>
  </si>
  <si>
    <t xml:space="preserve">Itecra </t>
  </si>
  <si>
    <t>Etiquetas 100x150 + ribons</t>
  </si>
  <si>
    <t>OPN-10422</t>
  </si>
  <si>
    <t>JLA Argentina SA</t>
  </si>
  <si>
    <t>Analisis Multiresiduos</t>
  </si>
  <si>
    <t>OPN-7958</t>
  </si>
  <si>
    <t>Analisis nueces</t>
  </si>
  <si>
    <t>OPN-9078</t>
  </si>
  <si>
    <t>Jonatan Corzo</t>
  </si>
  <si>
    <t>Trabajo casa luciano</t>
  </si>
  <si>
    <t>OPN-5708</t>
  </si>
  <si>
    <t>Jorge Ballerini</t>
  </si>
  <si>
    <t xml:space="preserve">Trabajo planta - linea de envasado </t>
  </si>
  <si>
    <t>OPN-5343</t>
  </si>
  <si>
    <t>Juan J. Santa Cruz y Eduardo G. Luchetti</t>
  </si>
  <si>
    <t>Almohadas pinza coe</t>
  </si>
  <si>
    <t>OPN-10876</t>
  </si>
  <si>
    <t>KEK Producers</t>
  </si>
  <si>
    <t>OPN-7810</t>
  </si>
  <si>
    <t>Fruta fresca (2024)</t>
  </si>
  <si>
    <t>OPN-8036</t>
  </si>
  <si>
    <t>OPN-8418</t>
  </si>
  <si>
    <t>OPN-8482</t>
  </si>
  <si>
    <t>OPN-9066</t>
  </si>
  <si>
    <t xml:space="preserve">Frura fresca </t>
  </si>
  <si>
    <t>OPN-9185</t>
  </si>
  <si>
    <t>OPN-9437</t>
  </si>
  <si>
    <t>OPN-9453</t>
  </si>
  <si>
    <t>OPN-9663</t>
  </si>
  <si>
    <t>OPN-10115</t>
  </si>
  <si>
    <t>OPN-10690</t>
  </si>
  <si>
    <t>OPN10796</t>
  </si>
  <si>
    <t xml:space="preserve">Chancalay Diego </t>
  </si>
  <si>
    <t>Combustible los cerrillos</t>
  </si>
  <si>
    <t>OPN-11119</t>
  </si>
  <si>
    <t>OPN-10958</t>
  </si>
  <si>
    <t xml:space="preserve">La Industrial Salinera </t>
  </si>
  <si>
    <t>Insumos planta conserva (Sal a Granel y en Bolsa)</t>
  </si>
  <si>
    <t>30-60-90</t>
  </si>
  <si>
    <t>OPN7286</t>
  </si>
  <si>
    <t>Sal</t>
  </si>
  <si>
    <t>OPN-9188</t>
  </si>
  <si>
    <t xml:space="preserve">Sal </t>
  </si>
  <si>
    <t>OPN-9465</t>
  </si>
  <si>
    <t>OPN-10037</t>
  </si>
  <si>
    <t>OPN-10537</t>
  </si>
  <si>
    <t>Equipo de Sal</t>
  </si>
  <si>
    <t>OPN-10650</t>
  </si>
  <si>
    <t>Equipo de sal a granel</t>
  </si>
  <si>
    <t>OPN-10836</t>
  </si>
  <si>
    <t>EPP - pedido planta / bodega / campo</t>
  </si>
  <si>
    <t>OPN-11028</t>
  </si>
  <si>
    <t>LA RIOJA TELECOMUNICACIONES S.A.P.E.M.</t>
  </si>
  <si>
    <t>Abono internet Campana</t>
  </si>
  <si>
    <t>OPN-10567</t>
  </si>
  <si>
    <t>OPN-10914</t>
  </si>
  <si>
    <t xml:space="preserve">La Union </t>
  </si>
  <si>
    <t>Cubiertas 195/65/15 - Camioneta bordo</t>
  </si>
  <si>
    <t>Insumos campaña</t>
  </si>
  <si>
    <t>Label Solitions SRL</t>
  </si>
  <si>
    <t>Etiquetas vinos - Bodega</t>
  </si>
  <si>
    <t>OPN-10385</t>
  </si>
  <si>
    <t>OPN-10669</t>
  </si>
  <si>
    <t>OPN-6397</t>
  </si>
  <si>
    <t>Laboratorio Quimico</t>
  </si>
  <si>
    <t>Soda Caustica - Insumo campaña</t>
  </si>
  <si>
    <t>OPN-10544</t>
  </si>
  <si>
    <t>Lagache Alberto</t>
  </si>
  <si>
    <t xml:space="preserve">Pedido de campo  </t>
  </si>
  <si>
    <t>OPN-8938</t>
  </si>
  <si>
    <t>Insumos campo - Conectores</t>
  </si>
  <si>
    <t>OPN-9331</t>
  </si>
  <si>
    <t>OPN-9484</t>
  </si>
  <si>
    <t>OPN-9685</t>
  </si>
  <si>
    <t>Lar Chilecito SA</t>
  </si>
  <si>
    <t>Materiales reparacion casa Luciano H</t>
  </si>
  <si>
    <t>OPN-9302</t>
  </si>
  <si>
    <t>Materiales casa Luciano</t>
  </si>
  <si>
    <t>OPN-9715</t>
  </si>
  <si>
    <t>OPN-10018</t>
  </si>
  <si>
    <t>OPN-10285</t>
  </si>
  <si>
    <t>OPN-10286</t>
  </si>
  <si>
    <t>OPN-10287</t>
  </si>
  <si>
    <t>OPN-10260</t>
  </si>
  <si>
    <t>OPN-10779</t>
  </si>
  <si>
    <t>OPN-10797</t>
  </si>
  <si>
    <t>Las Claritas</t>
  </si>
  <si>
    <t>Fruta fresca 2025</t>
  </si>
  <si>
    <t>OPN-5126</t>
  </si>
  <si>
    <t>OPN-5254</t>
  </si>
  <si>
    <t>OPN-5266</t>
  </si>
  <si>
    <t>OPN-5299</t>
  </si>
  <si>
    <t>OPN-5340</t>
  </si>
  <si>
    <t>Leonardo Brigido y CIA</t>
  </si>
  <si>
    <t>Viaticos consultores</t>
  </si>
  <si>
    <t>Lescura Mariano Antonio</t>
  </si>
  <si>
    <t>Pozo 19 los cerrillos</t>
  </si>
  <si>
    <t>OPN-10227</t>
  </si>
  <si>
    <t>Liemich Ramon Guillermo</t>
  </si>
  <si>
    <t>Pedido planta - canilla con temporizador</t>
  </si>
  <si>
    <t>OPN-8641</t>
  </si>
  <si>
    <t>Pedido Julio / planta / bodega</t>
  </si>
  <si>
    <t>OPN-8885</t>
  </si>
  <si>
    <t>Logistica Paola</t>
  </si>
  <si>
    <t>Flete de fruta (aceitunas)</t>
  </si>
  <si>
    <t>Saldo Transf. $1000000</t>
  </si>
  <si>
    <t>OPN7354/55</t>
  </si>
  <si>
    <t>Flete de fruta (aceitunas) Factura 2-631</t>
  </si>
  <si>
    <t>CH 7/15/30/45</t>
  </si>
  <si>
    <t>OPN - 7630</t>
  </si>
  <si>
    <t>OPN - 7713</t>
  </si>
  <si>
    <t>Londero Paolo Edgardo</t>
  </si>
  <si>
    <t>Construccion de mangueras hidraulicas / campo</t>
  </si>
  <si>
    <t>OPN-8255</t>
  </si>
  <si>
    <t>Reparaciones Varias taller</t>
  </si>
  <si>
    <t>CH 20 dias</t>
  </si>
  <si>
    <t>OPN - 7711</t>
  </si>
  <si>
    <t>Fabricación de mangueras varias</t>
  </si>
  <si>
    <t>OPN-8881</t>
  </si>
  <si>
    <t>Reparaciones mangueras hidraulicas planta campo</t>
  </si>
  <si>
    <t>OPN-10303</t>
  </si>
  <si>
    <t>Trabajos  varios - reparacion y fabricación mangueras hidraulicas</t>
  </si>
  <si>
    <t>OPN-10887</t>
  </si>
  <si>
    <t>Lopez Castro Leandro</t>
  </si>
  <si>
    <t>OPN - 7712</t>
  </si>
  <si>
    <t>Luis A Carrizo y Cia SRL</t>
  </si>
  <si>
    <t>Combustilble</t>
  </si>
  <si>
    <t>OPN-10175</t>
  </si>
  <si>
    <t>Garrafa x 10KG</t>
  </si>
  <si>
    <t>Gasoil Combi Kia - Antonio</t>
  </si>
  <si>
    <t>OPN-10216</t>
  </si>
  <si>
    <t>Lubricantes</t>
  </si>
  <si>
    <t>OPN-10623</t>
  </si>
  <si>
    <t>OPN-10927</t>
  </si>
  <si>
    <t>Macarena</t>
  </si>
  <si>
    <t>Cuota Camioneta - Abril / Mayo</t>
  </si>
  <si>
    <t>Macata</t>
  </si>
  <si>
    <t>Camperas - Campo</t>
  </si>
  <si>
    <t>Madersama</t>
  </si>
  <si>
    <t>Fenolicos + tirantes (Cava)</t>
  </si>
  <si>
    <t>Fenolicos  (Cava)</t>
  </si>
  <si>
    <t>CH 30 dias</t>
  </si>
  <si>
    <t>OPN-8578</t>
  </si>
  <si>
    <t>Mag SRL</t>
  </si>
  <si>
    <t>OPN-10249</t>
  </si>
  <si>
    <t>Insumos laboratorio planta</t>
  </si>
  <si>
    <t>OPN-10514</t>
  </si>
  <si>
    <t>Insumos bodega</t>
  </si>
  <si>
    <t>OPN-10616</t>
  </si>
  <si>
    <t>Insumos / instrumental laboratorio planta</t>
  </si>
  <si>
    <t>OPN-10680</t>
  </si>
  <si>
    <t>Makowski Matías Jorge</t>
  </si>
  <si>
    <t>OPN-8244</t>
  </si>
  <si>
    <t>OPN-7892</t>
  </si>
  <si>
    <t>OP N 8110</t>
  </si>
  <si>
    <t>OPN-8483</t>
  </si>
  <si>
    <t>OPN-8489</t>
  </si>
  <si>
    <t>OPN-8538</t>
  </si>
  <si>
    <t>OPN-8584</t>
  </si>
  <si>
    <t>OPN-8901</t>
  </si>
  <si>
    <t>OPN-9312</t>
  </si>
  <si>
    <t>OPN-9512</t>
  </si>
  <si>
    <t>OPN-9919</t>
  </si>
  <si>
    <t>OPN-10153</t>
  </si>
  <si>
    <t>Combustible (2 facturas)</t>
  </si>
  <si>
    <t>OPN-10272</t>
  </si>
  <si>
    <t>OPN-1073</t>
  </si>
  <si>
    <t>OPN-10267</t>
  </si>
  <si>
    <t>OPN-10907</t>
  </si>
  <si>
    <t>Martin Raul Eduardo</t>
  </si>
  <si>
    <t>Cigüeñal Deuts</t>
  </si>
  <si>
    <t>OPN-8529</t>
  </si>
  <si>
    <t>Reparacion tapa de cilindro Toyota</t>
  </si>
  <si>
    <t>OPN-9736</t>
  </si>
  <si>
    <t>Martinez Gonzalo Maximiliano</t>
  </si>
  <si>
    <t>Calzado Olmos</t>
  </si>
  <si>
    <t>OPN-10562</t>
  </si>
  <si>
    <t>Edelar SA (Finca Lolita)</t>
  </si>
  <si>
    <t>Finca Lolita</t>
  </si>
  <si>
    <t>OPN-6339</t>
  </si>
  <si>
    <t>Martinez Vanina Soledad</t>
  </si>
  <si>
    <t>Kit de filtros Pauny 250A</t>
  </si>
  <si>
    <t>OPN-8947</t>
  </si>
  <si>
    <t>Mayo Transformadores SRL</t>
  </si>
  <si>
    <t>OPN-10559</t>
  </si>
  <si>
    <t>Mendez Juan Fabricio</t>
  </si>
  <si>
    <t>Carne - almuerzo fin de capacitacón</t>
  </si>
  <si>
    <t>OPN-10020</t>
  </si>
  <si>
    <t>Cena Fin de año</t>
  </si>
  <si>
    <t>OPN-10233</t>
  </si>
  <si>
    <t>Cena fin de año</t>
  </si>
  <si>
    <t>OPN-10264</t>
  </si>
  <si>
    <t>Mercado Eduaro Daniel</t>
  </si>
  <si>
    <t>Reparacion tractor John Deere Macarena</t>
  </si>
  <si>
    <t>OPN-10301</t>
  </si>
  <si>
    <t>Metalurgica Dupont</t>
  </si>
  <si>
    <t>Discos Toping</t>
  </si>
  <si>
    <t>Urgente!</t>
  </si>
  <si>
    <t>Mete Damian Ariel</t>
  </si>
  <si>
    <t>Tapas Frascos</t>
  </si>
  <si>
    <t>OPN-10023</t>
  </si>
  <si>
    <t>ML</t>
  </si>
  <si>
    <t xml:space="preserve">Mangas Descartables - Pedido de planta </t>
  </si>
  <si>
    <t>Monje Susana</t>
  </si>
  <si>
    <t>OPN-7881</t>
  </si>
  <si>
    <t>Productos de limpieza - Planta / Campo / Bodega</t>
  </si>
  <si>
    <t>Transf. 50% 01/04 -50% 08/04</t>
  </si>
  <si>
    <t xml:space="preserve">Productos de limpieza - Planta / Campo </t>
  </si>
  <si>
    <t>OPN-7735</t>
  </si>
  <si>
    <t>Productos de limpieza - Planta - Campo</t>
  </si>
  <si>
    <t>OPN-8376</t>
  </si>
  <si>
    <t>Monte Hernan J.A.</t>
  </si>
  <si>
    <t>Pedido de campo - herramientas</t>
  </si>
  <si>
    <t>OPN-9171</t>
  </si>
  <si>
    <t>Moran Mauricio Edgar</t>
  </si>
  <si>
    <t>Honorario</t>
  </si>
  <si>
    <t>OP N 8115</t>
  </si>
  <si>
    <t>OPN-8504</t>
  </si>
  <si>
    <t>Servicio control factura energia</t>
  </si>
  <si>
    <t>OPN-8912</t>
  </si>
  <si>
    <t>OPN-9313</t>
  </si>
  <si>
    <t>Analisis Facturas Edelar</t>
  </si>
  <si>
    <t>OPN-9641</t>
  </si>
  <si>
    <t>OPN-9897</t>
  </si>
  <si>
    <t>OPN-10903</t>
  </si>
  <si>
    <t>Morandi Natalia</t>
  </si>
  <si>
    <t>Cubiertas Fiat Toro</t>
  </si>
  <si>
    <t>OPN-9243</t>
  </si>
  <si>
    <t xml:space="preserve">Moreno Raul </t>
  </si>
  <si>
    <t>Obra Planta de Aceite  contrapiso/cierre/adicionales</t>
  </si>
  <si>
    <t xml:space="preserve">Pago por trabajos planta de aceite </t>
  </si>
  <si>
    <t xml:space="preserve">Cava  </t>
  </si>
  <si>
    <t>Obra Cava</t>
  </si>
  <si>
    <t>Cheque 03/06</t>
  </si>
  <si>
    <t>25/07/2025</t>
  </si>
  <si>
    <t>OPN-5256</t>
  </si>
  <si>
    <t>OPN-5257</t>
  </si>
  <si>
    <t xml:space="preserve">Planta de aceite   </t>
  </si>
  <si>
    <t>Cava / Planta Aceite</t>
  </si>
  <si>
    <t>OPN-4957</t>
  </si>
  <si>
    <t>Trabajo rio Cerrillos</t>
  </si>
  <si>
    <t>OPN-5199</t>
  </si>
  <si>
    <t>Moreno Refrigeración SRL</t>
  </si>
  <si>
    <t>Reparación camara de frio famatina</t>
  </si>
  <si>
    <t>OPN-8890</t>
  </si>
  <si>
    <t>Moreno Refrigeraciones</t>
  </si>
  <si>
    <t>Materiales intalacion de aire compras</t>
  </si>
  <si>
    <t>OPN-9809</t>
  </si>
  <si>
    <t>Moreno Victor Hugo</t>
  </si>
  <si>
    <t>Mesada e unstalacion de baño salon de ventas</t>
  </si>
  <si>
    <t>Moscarola Franco</t>
  </si>
  <si>
    <t>Alquiler Baños quimicos</t>
  </si>
  <si>
    <t>OPN-7727</t>
  </si>
  <si>
    <t>OPN-7730</t>
  </si>
  <si>
    <t>Moyano Adrian</t>
  </si>
  <si>
    <t>Combustrible</t>
  </si>
  <si>
    <t>OPN-8490</t>
  </si>
  <si>
    <t>Botas Operario</t>
  </si>
  <si>
    <t>OPN-8491</t>
  </si>
  <si>
    <t>OPN-9917</t>
  </si>
  <si>
    <t>Moyano Adrián</t>
  </si>
  <si>
    <t>OPN-10352</t>
  </si>
  <si>
    <t>OPN-10635</t>
  </si>
  <si>
    <t>OPN-10727</t>
  </si>
  <si>
    <t>OPN-10974</t>
  </si>
  <si>
    <t>MRC Soluciones Industriales</t>
  </si>
  <si>
    <t>Reparacion arranque suave pozo 19</t>
  </si>
  <si>
    <t>OPN-9983</t>
  </si>
  <si>
    <t>OPN-10714</t>
  </si>
  <si>
    <t>Murcia Daniel</t>
  </si>
  <si>
    <t>Reparacion Lagard Bodega / 50%</t>
  </si>
  <si>
    <t>CH día</t>
  </si>
  <si>
    <t>Reparacion Lagard Bodega / saldo</t>
  </si>
  <si>
    <t>OPN-5054</t>
  </si>
  <si>
    <t>Trabajo en planta de aceite (bajada de pontencia a tablero)</t>
  </si>
  <si>
    <t>Combustible - Retiro Ballerini</t>
  </si>
  <si>
    <t>OPN-9273</t>
  </si>
  <si>
    <t>Trabajo iluminacion Salon de ventas</t>
  </si>
  <si>
    <t>OPN-5586</t>
  </si>
  <si>
    <t>Trabajo en bodega - reparacion de moledora y bomba a tornillo VELO150</t>
  </si>
  <si>
    <t>OPN-5939</t>
  </si>
  <si>
    <t>OPN-5985</t>
  </si>
  <si>
    <t>OPN-6023</t>
  </si>
  <si>
    <t>OPN-10728</t>
  </si>
  <si>
    <t>Repacaion equipo de frio 2</t>
  </si>
  <si>
    <t>OPN-6275</t>
  </si>
  <si>
    <t>Empaquetaduras cilindro hidraulico COE</t>
  </si>
  <si>
    <t>OPN-11027</t>
  </si>
  <si>
    <t>OPN-10977</t>
  </si>
  <si>
    <t>Nader Mabel Monica</t>
  </si>
  <si>
    <t>Postre almuerzo fin de capacitacón</t>
  </si>
  <si>
    <t>OPN-10030</t>
  </si>
  <si>
    <t>Narvaez Nahuel</t>
  </si>
  <si>
    <t>OPN - 4888</t>
  </si>
  <si>
    <t>OPN-4961</t>
  </si>
  <si>
    <t>Narvaez Tristan Demetrio</t>
  </si>
  <si>
    <t xml:space="preserve">Flete Plantas olivo </t>
  </si>
  <si>
    <t>OPN-8273</t>
  </si>
  <si>
    <t>Flete pasas Valle sol / agropecuaria</t>
  </si>
  <si>
    <t>Natalia Escanio</t>
  </si>
  <si>
    <t>OPN-8883</t>
  </si>
  <si>
    <t>Natalia Morandi</t>
  </si>
  <si>
    <t>Cubiertas Kia</t>
  </si>
  <si>
    <t>OPN-9118</t>
  </si>
  <si>
    <t>Navarro Mendegazzo Rosana Ines</t>
  </si>
  <si>
    <t>OPN-10170</t>
  </si>
  <si>
    <t>Navarro Menegazzo</t>
  </si>
  <si>
    <t>Honorarios profesionales - capacitación</t>
  </si>
  <si>
    <t>OPN-9068</t>
  </si>
  <si>
    <t>Asesoría - capacitación</t>
  </si>
  <si>
    <t>OPN-9306</t>
  </si>
  <si>
    <t>Honorarios consultora</t>
  </si>
  <si>
    <t>OPN-9778</t>
  </si>
  <si>
    <t xml:space="preserve">Neira Sergio </t>
  </si>
  <si>
    <t>Cubiertas Camioneta 4x2 - 235/70R16  usadas</t>
  </si>
  <si>
    <t>OPN-5733</t>
  </si>
  <si>
    <t>New Valles sas</t>
  </si>
  <si>
    <t>Cosecha Mecanica Olivos</t>
  </si>
  <si>
    <t>OPN-8521</t>
  </si>
  <si>
    <t>OPN-8607</t>
  </si>
  <si>
    <t>Nicolas San Martin</t>
  </si>
  <si>
    <t>Comisionista</t>
  </si>
  <si>
    <t>OPN-9316</t>
  </si>
  <si>
    <t>Nissan Fiani Automotores</t>
  </si>
  <si>
    <t xml:space="preserve">Service Nissan </t>
  </si>
  <si>
    <t>Combustible Nissan</t>
  </si>
  <si>
    <t>Nuñez Micaela Belen</t>
  </si>
  <si>
    <t>OPN-10908</t>
  </si>
  <si>
    <t>Nuñez Micaela Belén</t>
  </si>
  <si>
    <t>INV</t>
  </si>
  <si>
    <t>OPN-10164</t>
  </si>
  <si>
    <t>Nutrientes</t>
  </si>
  <si>
    <t>OPN-9601</t>
  </si>
  <si>
    <t>Nutriterra</t>
  </si>
  <si>
    <t xml:space="preserve">Compra de fertilizantes </t>
  </si>
  <si>
    <t>OPN-9697</t>
  </si>
  <si>
    <t>OPN-9909</t>
  </si>
  <si>
    <t>Paraquat</t>
  </si>
  <si>
    <t>OPN-9801</t>
  </si>
  <si>
    <t>OPN-10621</t>
  </si>
  <si>
    <t>Pozo finca 6</t>
  </si>
  <si>
    <t>OPN-9398</t>
  </si>
  <si>
    <t>Ocampo Rafael</t>
  </si>
  <si>
    <t>OPN-5574</t>
  </si>
  <si>
    <t>Servicios legales</t>
  </si>
  <si>
    <t>OPN-5700</t>
  </si>
  <si>
    <t>OPN-6003</t>
  </si>
  <si>
    <t>OPN-8164</t>
  </si>
  <si>
    <t>Oleohidraulica Venado SRL</t>
  </si>
  <si>
    <t>Brazo Pitman F100 4x4 - Pedido taller campo</t>
  </si>
  <si>
    <t>OPN-9644</t>
  </si>
  <si>
    <t>Olguin Julian</t>
  </si>
  <si>
    <t>Trabajo contrapiso tolva planta de aceite</t>
  </si>
  <si>
    <t>OPN-10041</t>
  </si>
  <si>
    <t>Base de ormigon tanque bodega</t>
  </si>
  <si>
    <t>OPN-6002</t>
  </si>
  <si>
    <t>Desague pluvial planta de aceite 60% obra</t>
  </si>
  <si>
    <t>OPN-10421</t>
  </si>
  <si>
    <t>Tabajo canaletas planta de aceite</t>
  </si>
  <si>
    <t>OPN-10644</t>
  </si>
  <si>
    <t>OPN-10708</t>
  </si>
  <si>
    <t>efectivo</t>
  </si>
  <si>
    <t>OPN-6347</t>
  </si>
  <si>
    <t>Oliva Luis Alberto</t>
  </si>
  <si>
    <t>Sellos para etiquetas bodega</t>
  </si>
  <si>
    <t>OPN-10892</t>
  </si>
  <si>
    <t>Olmos Alfonso</t>
  </si>
  <si>
    <t>Armado de parreles fina del norte</t>
  </si>
  <si>
    <t>OPN-5644</t>
  </si>
  <si>
    <t>Espalderos finca del norte</t>
  </si>
  <si>
    <t>OPN-5701</t>
  </si>
  <si>
    <t>Trabajo realizado en Campana (Norte)</t>
  </si>
  <si>
    <t>OPN-5742</t>
  </si>
  <si>
    <t>OPN-5918</t>
  </si>
  <si>
    <t>OPN-5911</t>
  </si>
  <si>
    <t>OPN-5947</t>
  </si>
  <si>
    <t>OPN-6000</t>
  </si>
  <si>
    <t>Trabajo en campo</t>
  </si>
  <si>
    <t>OPN-6155</t>
  </si>
  <si>
    <t>Olmos Esteban Alfonso</t>
  </si>
  <si>
    <t>OPN-5621</t>
  </si>
  <si>
    <t>Ontivero</t>
  </si>
  <si>
    <t>Reparación motor pauny ($2987000)</t>
  </si>
  <si>
    <t>Reparación motor pauny ($2987000) s/$1487000</t>
  </si>
  <si>
    <t>Reparación motor pauny ($2987000) s/$987000</t>
  </si>
  <si>
    <t>OPN-4926</t>
  </si>
  <si>
    <t>Ontivero Luis</t>
  </si>
  <si>
    <t>Orticola Riojana SRL</t>
  </si>
  <si>
    <t>OPN-5485</t>
  </si>
  <si>
    <t>Ortiz Narciso Nicolas</t>
  </si>
  <si>
    <t xml:space="preserve">Carga de Nitrogeno / gas carbonico </t>
  </si>
  <si>
    <t>Carga de gas / nitrogeno</t>
  </si>
  <si>
    <t>OPN-8950</t>
  </si>
  <si>
    <t>OPN-8927</t>
  </si>
  <si>
    <t>Pedido de bodega / fraccionado - Nitrogeno</t>
  </si>
  <si>
    <t>OPN-9279</t>
  </si>
  <si>
    <t>Nitrogeno - bodega</t>
  </si>
  <si>
    <t>OPN-9566</t>
  </si>
  <si>
    <t>Carga tubo nitrogeno</t>
  </si>
  <si>
    <t>OPN-10706</t>
  </si>
  <si>
    <t>Packing</t>
  </si>
  <si>
    <t>Articulos de embalaje - Pedido planta / bodega</t>
  </si>
  <si>
    <t>Pago 02/06/2025</t>
  </si>
  <si>
    <t>OPN-8049</t>
  </si>
  <si>
    <t xml:space="preserve">Pedido planta </t>
  </si>
  <si>
    <t>OPN-8580</t>
  </si>
  <si>
    <t>Pedido de planta -</t>
  </si>
  <si>
    <t>OPN-8642</t>
  </si>
  <si>
    <t>Packing SA</t>
  </si>
  <si>
    <t>Pedido Bodega - Esquineros</t>
  </si>
  <si>
    <t>Insumos embalaje planta</t>
  </si>
  <si>
    <t>OPN-9076</t>
  </si>
  <si>
    <t>Materiales embalaje - Planta / salon de ventas</t>
  </si>
  <si>
    <t>OPN-9403</t>
  </si>
  <si>
    <t>Pedido insumos embalaje - Planta / Bodega</t>
  </si>
  <si>
    <t>OPN-9782</t>
  </si>
  <si>
    <t>Pedido embaleje plata - bodega</t>
  </si>
  <si>
    <t>OPN-10302</t>
  </si>
  <si>
    <t>OPN-10526</t>
  </si>
  <si>
    <t>Paez Dora Esther</t>
  </si>
  <si>
    <t>Baldes - Rosario/anguinan</t>
  </si>
  <si>
    <t>OPN-9887</t>
  </si>
  <si>
    <t xml:space="preserve">Flete Fenolcos </t>
  </si>
  <si>
    <t>Flete - Fenolicos / baldes</t>
  </si>
  <si>
    <t>OPN-8942</t>
  </si>
  <si>
    <t>Flete Baldes</t>
  </si>
  <si>
    <t>OPN-9655</t>
  </si>
  <si>
    <t>Perez Joel Dario</t>
  </si>
  <si>
    <t>OPN-8911</t>
  </si>
  <si>
    <t>OPN-9642</t>
  </si>
  <si>
    <t>OPN-10161</t>
  </si>
  <si>
    <t>Paez Maximiliano</t>
  </si>
  <si>
    <t>Nafta Campo</t>
  </si>
  <si>
    <t>OPN-8444</t>
  </si>
  <si>
    <t>OPN-8523</t>
  </si>
  <si>
    <t>Nafta Senda</t>
  </si>
  <si>
    <t>Combustible campo</t>
  </si>
  <si>
    <t>Nafta taller</t>
  </si>
  <si>
    <t>OPN-9128</t>
  </si>
  <si>
    <t>OPN-9291</t>
  </si>
  <si>
    <t>OPN-9378</t>
  </si>
  <si>
    <t>OPN-9694</t>
  </si>
  <si>
    <t>OPN-9758</t>
  </si>
  <si>
    <t>OPN-9941</t>
  </si>
  <si>
    <t>OPN-10043</t>
  </si>
  <si>
    <t>OPN-10590</t>
  </si>
  <si>
    <t>OPN-10675</t>
  </si>
  <si>
    <t>OPN-10844</t>
  </si>
  <si>
    <t>OPN-10978</t>
  </si>
  <si>
    <t>Paez Sebastian</t>
  </si>
  <si>
    <t>Reparacion de caja de velocidad Combi KIA (PIC 1-34)</t>
  </si>
  <si>
    <t>OPN-8264</t>
  </si>
  <si>
    <t>OPN-8267</t>
  </si>
  <si>
    <t>Bomba superior/inferior Toyota (Olmos)</t>
  </si>
  <si>
    <t>Reparacion camioneta Nissan / Ford Ranger 3.0</t>
  </si>
  <si>
    <t>OPN-8344</t>
  </si>
  <si>
    <t>Nafta</t>
  </si>
  <si>
    <t>OPN-7796</t>
  </si>
  <si>
    <t>Rep. Bomba hidraulica / radiador / paletas ventiladro Perkins (saldo)</t>
  </si>
  <si>
    <t>Armado Motor Toyota 4x2 (PIC 1-34)</t>
  </si>
  <si>
    <t>OPN-8671</t>
  </si>
  <si>
    <t>Trabajos varios  según remitos</t>
  </si>
  <si>
    <t>OPN-5478</t>
  </si>
  <si>
    <t>OPN-9304</t>
  </si>
  <si>
    <t>Cambio de Cigüeñal de Cigüeñal Agco Allis 610 (PIC1-34)</t>
  </si>
  <si>
    <t>OPN-9406</t>
  </si>
  <si>
    <t>Reparacones taller Campo</t>
  </si>
  <si>
    <t>OPN-9628</t>
  </si>
  <si>
    <t>Trabajos varios taller</t>
  </si>
  <si>
    <t>OPN-10057</t>
  </si>
  <si>
    <t xml:space="preserve">Reparación Bomba Fumigadora </t>
  </si>
  <si>
    <t>OPN-10127</t>
  </si>
  <si>
    <t>Reparaciones Varias Taller</t>
  </si>
  <si>
    <t>OPN-10331</t>
  </si>
  <si>
    <t>Servicio reparación COE</t>
  </si>
  <si>
    <t>OPN-10579</t>
  </si>
  <si>
    <t>Trabajos varios de taller</t>
  </si>
  <si>
    <t>OPN-10717</t>
  </si>
  <si>
    <t>OPN-6230</t>
  </si>
  <si>
    <t>Reparación COE + filtros</t>
  </si>
  <si>
    <t>OPN-6262</t>
  </si>
  <si>
    <t>Reparación COE</t>
  </si>
  <si>
    <t>OPN-6263</t>
  </si>
  <si>
    <t>COE  (Agroscuadra SRL)</t>
  </si>
  <si>
    <t>Repuestos COE (Agroscuadra SRL)</t>
  </si>
  <si>
    <t>OPN-11139</t>
  </si>
  <si>
    <t>Pagliano Veronica</t>
  </si>
  <si>
    <t>OPN-8425</t>
  </si>
  <si>
    <t>Palermo ferreteria industrial</t>
  </si>
  <si>
    <t>Repuestos motosierra - motoguadaña</t>
  </si>
  <si>
    <t>Papelera del Noa S.A</t>
  </si>
  <si>
    <t>Cajas de pasa reforzada sin Impresion para pasa x 10KG</t>
  </si>
  <si>
    <t xml:space="preserve">Cajas para frascos  </t>
  </si>
  <si>
    <t>OPN-10039</t>
  </si>
  <si>
    <t>Pehuenche SRL</t>
  </si>
  <si>
    <t>OPN-6270</t>
  </si>
  <si>
    <t>Peñaloza Francisco Martin</t>
  </si>
  <si>
    <t>SH</t>
  </si>
  <si>
    <t>OP N 8116</t>
  </si>
  <si>
    <t>Servicio SH</t>
  </si>
  <si>
    <t>OPN-8903</t>
  </si>
  <si>
    <t>OPN-9322</t>
  </si>
  <si>
    <t>OPN-9648</t>
  </si>
  <si>
    <t>Honorarios SH</t>
  </si>
  <si>
    <t>OPN-9888</t>
  </si>
  <si>
    <t>OPN-10156</t>
  </si>
  <si>
    <t>OPN-6436</t>
  </si>
  <si>
    <t>Peralta Juan Ignacio</t>
  </si>
  <si>
    <t>maderas Cava</t>
  </si>
  <si>
    <t>OPN-8474</t>
  </si>
  <si>
    <t>Maderas Cava Bodega</t>
  </si>
  <si>
    <t>Maderas Cava</t>
  </si>
  <si>
    <t>OPN-9749</t>
  </si>
  <si>
    <t>Pedido materiales Cava</t>
  </si>
  <si>
    <t>OPN-11024</t>
  </si>
  <si>
    <t>OPN-6437</t>
  </si>
  <si>
    <t>Servicio de gomeria - reparacion 2 cubiertas de tractor + camara</t>
  </si>
  <si>
    <t>OPN-6478</t>
  </si>
  <si>
    <t>Pereira Raul Nicolas</t>
  </si>
  <si>
    <t>Flete etiquetas</t>
  </si>
  <si>
    <t>OPN-10306</t>
  </si>
  <si>
    <t>Pereyra Raul Nicolas</t>
  </si>
  <si>
    <t>OPN-9999</t>
  </si>
  <si>
    <t>Flete Bomba COE</t>
  </si>
  <si>
    <t>OPN-10639</t>
  </si>
  <si>
    <t>Flete Chilecito / La Rioja - Bodega</t>
  </si>
  <si>
    <t>OPN-10693</t>
  </si>
  <si>
    <t>OPN-10904</t>
  </si>
  <si>
    <t>Pintos Alicia Soledad</t>
  </si>
  <si>
    <t>OPM-10891</t>
  </si>
  <si>
    <t>Pintos Franco Alberto</t>
  </si>
  <si>
    <t>Trabajo Cava / bodega</t>
  </si>
  <si>
    <t>OPN-6325</t>
  </si>
  <si>
    <t>Trabajo en cava</t>
  </si>
  <si>
    <t>OPN-6391</t>
  </si>
  <si>
    <t>Pintos Juan Nicolas</t>
  </si>
  <si>
    <t>Remitos  R/X</t>
  </si>
  <si>
    <t xml:space="preserve">Pintos Juan Nicolás </t>
  </si>
  <si>
    <t>Talonarios X</t>
  </si>
  <si>
    <t>OPN-9391</t>
  </si>
  <si>
    <t>Pintos Mercado Luis Exequiel</t>
  </si>
  <si>
    <t>Acido Acetico - disgregante para baños quimicos</t>
  </si>
  <si>
    <t>OPN-10784</t>
  </si>
  <si>
    <t>Pircas Negras</t>
  </si>
  <si>
    <t>OPN-5272</t>
  </si>
  <si>
    <t>OPN-5312</t>
  </si>
  <si>
    <t>OPN5338</t>
  </si>
  <si>
    <t>OPN-5468</t>
  </si>
  <si>
    <t>OPN-5588</t>
  </si>
  <si>
    <t>Hormigon - Cava / Bodega</t>
  </si>
  <si>
    <t>OPN-9220</t>
  </si>
  <si>
    <t xml:space="preserve">Hormigon Cava </t>
  </si>
  <si>
    <t>OPN-5596</t>
  </si>
  <si>
    <t>OPN-5597</t>
  </si>
  <si>
    <t>OPN-5595</t>
  </si>
  <si>
    <t>OPN-5654</t>
  </si>
  <si>
    <t>Cava / Bodega</t>
  </si>
  <si>
    <t>OPN-5681</t>
  </si>
  <si>
    <t>OPN-5682</t>
  </si>
  <si>
    <t>OPN-5731</t>
  </si>
  <si>
    <t>Cheque rechasado</t>
  </si>
  <si>
    <t>OPN-5750</t>
  </si>
  <si>
    <t>OPN-5753</t>
  </si>
  <si>
    <t>OPN-5788</t>
  </si>
  <si>
    <t xml:space="preserve">Reposisción de cheque </t>
  </si>
  <si>
    <t>OPN-5783</t>
  </si>
  <si>
    <t>OPN-5836</t>
  </si>
  <si>
    <t>OPN-5917</t>
  </si>
  <si>
    <t>OPN-5982</t>
  </si>
  <si>
    <t>OPN-6001</t>
  </si>
  <si>
    <t>OPN-6138</t>
  </si>
  <si>
    <t>OPN-6165</t>
  </si>
  <si>
    <t>OPN-2604</t>
  </si>
  <si>
    <t>OPN-6227</t>
  </si>
  <si>
    <t>Maquinas cava Bodega</t>
  </si>
  <si>
    <t>OPN-6324</t>
  </si>
  <si>
    <t>Martinez Vanina</t>
  </si>
  <si>
    <t>Correas tractor  - Campo</t>
  </si>
  <si>
    <t>OPN-11035</t>
  </si>
  <si>
    <t>Franco Pintos</t>
  </si>
  <si>
    <t>OPN-6480</t>
  </si>
  <si>
    <t>OPN-5486</t>
  </si>
  <si>
    <t>Cantera La Helena</t>
  </si>
  <si>
    <t>Grava - Pozo nuevo</t>
  </si>
  <si>
    <t>OPN-11267</t>
  </si>
  <si>
    <t>Pisos XX1 SRL</t>
  </si>
  <si>
    <t xml:space="preserve">180 Kg fibra polipropileno P06 - Pedido de cava </t>
  </si>
  <si>
    <t>OPN-9654</t>
  </si>
  <si>
    <t>Plastiandino</t>
  </si>
  <si>
    <t>Bobinas de sobres 50%</t>
  </si>
  <si>
    <t>OPN-9238</t>
  </si>
  <si>
    <t>OPN-9460</t>
  </si>
  <si>
    <t>Bobinas de sobres - Saldo</t>
  </si>
  <si>
    <t>OPN9548</t>
  </si>
  <si>
    <t>Bobinas para sobres</t>
  </si>
  <si>
    <t>OPN-9673</t>
  </si>
  <si>
    <t>Bobina para sobres - Anticipo</t>
  </si>
  <si>
    <t>OPN-10653</t>
  </si>
  <si>
    <t>OPN-11197</t>
  </si>
  <si>
    <t>OPN-11150</t>
  </si>
  <si>
    <t>Plaza Mirta Norma</t>
  </si>
  <si>
    <t>Electro Ventilador</t>
  </si>
  <si>
    <t>OPN-7797</t>
  </si>
  <si>
    <t>Plustec SA</t>
  </si>
  <si>
    <t>Bidones TAU 240</t>
  </si>
  <si>
    <t xml:space="preserve">Pago Factura - Rejillas </t>
  </si>
  <si>
    <t>Trabajo planta de aceite</t>
  </si>
  <si>
    <t>OPN-11034</t>
  </si>
  <si>
    <t>OPN-11025</t>
  </si>
  <si>
    <t>OPN-6439</t>
  </si>
  <si>
    <t>Servicio energia - Finca 2 - NIS 1090249</t>
  </si>
  <si>
    <t>OPN-6548</t>
  </si>
  <si>
    <t>Servicio energia - Finca Lolita - NIS 5053745</t>
  </si>
  <si>
    <t>OPN-11164</t>
  </si>
  <si>
    <t>OPN-6547</t>
  </si>
  <si>
    <t xml:space="preserve">Facturas Varias </t>
  </si>
  <si>
    <t>AS</t>
  </si>
  <si>
    <t>OPN-11156</t>
  </si>
  <si>
    <t>Maderas Para escaleras - campo</t>
  </si>
  <si>
    <t>OPN-10932</t>
  </si>
  <si>
    <t>OPN-6396</t>
  </si>
  <si>
    <t>OPN-11143</t>
  </si>
  <si>
    <t>OPN-11135</t>
  </si>
  <si>
    <t>OPN-11096</t>
  </si>
  <si>
    <t>OPN-11178</t>
  </si>
  <si>
    <t>OPN-6393</t>
  </si>
  <si>
    <t>Mangueras Hidraulicas Coe</t>
  </si>
  <si>
    <t>OPN-11086</t>
  </si>
  <si>
    <t>OPN-6338</t>
  </si>
  <si>
    <t xml:space="preserve">Pedido Laboratorio </t>
  </si>
  <si>
    <t>OPN-11048</t>
  </si>
  <si>
    <t>OPN-11131</t>
  </si>
  <si>
    <t>OPN-11137</t>
  </si>
  <si>
    <t>Servicio energia - Febrero 2026</t>
  </si>
  <si>
    <t>OPN-11280</t>
  </si>
  <si>
    <t>OPN-11075</t>
  </si>
  <si>
    <t>OPN-11074</t>
  </si>
  <si>
    <t>Pedido Casa Doctor</t>
  </si>
  <si>
    <t>OPN-11047</t>
  </si>
  <si>
    <t>OPN-11133</t>
  </si>
  <si>
    <t>OPN-11093</t>
  </si>
  <si>
    <t>Repacaion equipo de frio 1 bodega</t>
  </si>
  <si>
    <t>OPN-6477</t>
  </si>
  <si>
    <t>Polifibra</t>
  </si>
  <si>
    <t xml:space="preserve">Resina / Catalizador  </t>
  </si>
  <si>
    <t>OPN-7949</t>
  </si>
  <si>
    <t>Fabricacion de cilindro hidraulico COE - Saldo</t>
  </si>
  <si>
    <t>OPN-11142</t>
  </si>
  <si>
    <t>Ponce Patricio Ariel</t>
  </si>
  <si>
    <t>Bulones porton de entrada</t>
  </si>
  <si>
    <t>OPN-8891</t>
  </si>
  <si>
    <t xml:space="preserve">Porco </t>
  </si>
  <si>
    <t xml:space="preserve">Tarimas </t>
  </si>
  <si>
    <t>Porco Hugo Gustavo</t>
  </si>
  <si>
    <t>Fletes mendoza anguinan</t>
  </si>
  <si>
    <t>OPN-10804</t>
  </si>
  <si>
    <t>Porco Nina Hugo Gustavo</t>
  </si>
  <si>
    <t>OPN-9366</t>
  </si>
  <si>
    <t>OPN-9661</t>
  </si>
  <si>
    <t>Flete Mendoza / Chilecito - Send - Sabatini</t>
  </si>
  <si>
    <t>OPN-10521</t>
  </si>
  <si>
    <t>OPN-10810</t>
  </si>
  <si>
    <t>Porco Nina Oscar Alfredo</t>
  </si>
  <si>
    <t>Tarimas Planta</t>
  </si>
  <si>
    <t>OPN-8955</t>
  </si>
  <si>
    <t>Porco Ruben Hector</t>
  </si>
  <si>
    <t>Tarimas planta</t>
  </si>
  <si>
    <t>OPN-10582</t>
  </si>
  <si>
    <t>Pose Analía</t>
  </si>
  <si>
    <t>OPN-8328</t>
  </si>
  <si>
    <t>OPN-8485</t>
  </si>
  <si>
    <t>OPN-8565</t>
  </si>
  <si>
    <t>OPN-8605</t>
  </si>
  <si>
    <t>OPN-8836</t>
  </si>
  <si>
    <t xml:space="preserve">Combustible - </t>
  </si>
  <si>
    <t>OPN-8782</t>
  </si>
  <si>
    <t>OPN-8940</t>
  </si>
  <si>
    <t>OPN-9147</t>
  </si>
  <si>
    <t>OPN-9275</t>
  </si>
  <si>
    <t>OPN-9359</t>
  </si>
  <si>
    <t>OPN-9560</t>
  </si>
  <si>
    <t>OPN-9693</t>
  </si>
  <si>
    <t>OPN-9752</t>
  </si>
  <si>
    <t>OPN-9815</t>
  </si>
  <si>
    <t>OPN-9930</t>
  </si>
  <si>
    <t>OPN-10188</t>
  </si>
  <si>
    <t>OPN-10351</t>
  </si>
  <si>
    <t>OPN-10580</t>
  </si>
  <si>
    <t>OPN-10691</t>
  </si>
  <si>
    <t>OPN-10785</t>
  </si>
  <si>
    <t>OPN-10868</t>
  </si>
  <si>
    <t>Pozo Manuel Ramon</t>
  </si>
  <si>
    <t>Repuestos Varios Motos</t>
  </si>
  <si>
    <t>Repuestos varios Campo</t>
  </si>
  <si>
    <t>Facturas varias</t>
  </si>
  <si>
    <t>CH 20/30 dìas</t>
  </si>
  <si>
    <t>OPN-8040</t>
  </si>
  <si>
    <t>Insumos Service camioneta Chebrolet S10 (Moyano)</t>
  </si>
  <si>
    <t>OPN-9692</t>
  </si>
  <si>
    <t xml:space="preserve">Cuenta corriente </t>
  </si>
  <si>
    <t>OPN-10223</t>
  </si>
  <si>
    <t>Precincor</t>
  </si>
  <si>
    <t>Hebillas acero inox 5/8 - Pedido Planta</t>
  </si>
  <si>
    <t>Precincor SA</t>
  </si>
  <si>
    <t>Precintos cola de ratón - pedido planta</t>
  </si>
  <si>
    <t>OPN-10066</t>
  </si>
  <si>
    <t>Precintos cola raton - pedido planta</t>
  </si>
  <si>
    <t>OPN-10150</t>
  </si>
  <si>
    <t>Proquimicos SRL</t>
  </si>
  <si>
    <t>Cloruro de calcio - pasta</t>
  </si>
  <si>
    <t>OPN-10729</t>
  </si>
  <si>
    <t>Pulido Mariano</t>
  </si>
  <si>
    <t>Infinia Diesel - Fiat Toro</t>
  </si>
  <si>
    <t>OPN-8488</t>
  </si>
  <si>
    <t>OPN-8566</t>
  </si>
  <si>
    <t>OPN-8606</t>
  </si>
  <si>
    <t>OPN-8837</t>
  </si>
  <si>
    <t>OPN-9274</t>
  </si>
  <si>
    <t>OPN-9362</t>
  </si>
  <si>
    <t>opn-9706</t>
  </si>
  <si>
    <t>OPN-9813</t>
  </si>
  <si>
    <t>OPN-9997</t>
  </si>
  <si>
    <t>OPN-10217</t>
  </si>
  <si>
    <t>OPN-10581</t>
  </si>
  <si>
    <t>OPN-10808</t>
  </si>
  <si>
    <t>OPN-10975</t>
  </si>
  <si>
    <t>Quatec SRL</t>
  </si>
  <si>
    <t>Pedido de Cava - producto sika</t>
  </si>
  <si>
    <t>OPN-10855</t>
  </si>
  <si>
    <t>Quimax SA</t>
  </si>
  <si>
    <t>Insumos planta conserva</t>
  </si>
  <si>
    <t>OPN-8072</t>
  </si>
  <si>
    <t xml:space="preserve">Insumos de planta </t>
  </si>
  <si>
    <t>OPN-9432</t>
  </si>
  <si>
    <t>OPN-9711</t>
  </si>
  <si>
    <t>Cloro</t>
  </si>
  <si>
    <t>OPN-10670</t>
  </si>
  <si>
    <t>OPN-11136</t>
  </si>
  <si>
    <t>Quimica Mega</t>
  </si>
  <si>
    <t>OP N 8086</t>
  </si>
  <si>
    <t>Insumos Planta Conserva (Calcio) - Bodega (Peracético)</t>
  </si>
  <si>
    <t>30/45 días</t>
  </si>
  <si>
    <t>OPN-8492</t>
  </si>
  <si>
    <t>OPN-9311</t>
  </si>
  <si>
    <t>OPN-10052</t>
  </si>
  <si>
    <t>Pedido Soda Caustica en perlas</t>
  </si>
  <si>
    <t>OPN-10299</t>
  </si>
  <si>
    <t>Quimicos Industriales SA</t>
  </si>
  <si>
    <t>Caseinato x 20kg - pedido bodega</t>
  </si>
  <si>
    <t>OPN-9676</t>
  </si>
  <si>
    <t xml:space="preserve">Quinteros Ramon </t>
  </si>
  <si>
    <t>INV Bodega</t>
  </si>
  <si>
    <t>OPN-9886</t>
  </si>
  <si>
    <t>Rafael Ocampo</t>
  </si>
  <si>
    <t>Honorarios Febrero</t>
  </si>
  <si>
    <t>Ramirez Mabel Beatriz</t>
  </si>
  <si>
    <t>Flete Calcio / Mendoza - finca</t>
  </si>
  <si>
    <t>Tarimas - Planta / bodega</t>
  </si>
  <si>
    <t>OPN-8944</t>
  </si>
  <si>
    <t>OPN91892</t>
  </si>
  <si>
    <t>OPN-9192</t>
  </si>
  <si>
    <t>OPN-10602</t>
  </si>
  <si>
    <t>Ramon Quinteros</t>
  </si>
  <si>
    <t>OPN-9650</t>
  </si>
  <si>
    <t>OPN-10538</t>
  </si>
  <si>
    <t>Trabajos Varios - Remitos 72</t>
  </si>
  <si>
    <t>OPN-11090</t>
  </si>
  <si>
    <t>Red Emprender SRL</t>
  </si>
  <si>
    <t>Materiales Cava Bodega</t>
  </si>
  <si>
    <t>OPN-10305</t>
  </si>
  <si>
    <t>Refrigeración Aylan SA</t>
  </si>
  <si>
    <t>Servicio equipo de frio ZR144KC (anticipo)</t>
  </si>
  <si>
    <t>Servicio equipo de frio ZR144KC (Saldo)</t>
  </si>
  <si>
    <t>Reparacion equipo de frio bodega - saldo 50%</t>
  </si>
  <si>
    <t>OPN-8543</t>
  </si>
  <si>
    <t>Reynoso Maria Cecilia</t>
  </si>
  <si>
    <t>Maderas - pedido campo</t>
  </si>
  <si>
    <t>OPN-9431</t>
  </si>
  <si>
    <t>Pedido campo - maderas - PIC 38</t>
  </si>
  <si>
    <t>OPN-9731</t>
  </si>
  <si>
    <t>OPN-10222</t>
  </si>
  <si>
    <t xml:space="preserve">Escaleras - pedido planta campaña 250 unidades </t>
  </si>
  <si>
    <t>OPN-10625</t>
  </si>
  <si>
    <t>OPN-10807</t>
  </si>
  <si>
    <t>OPN-11124</t>
  </si>
  <si>
    <t>Equipos de sal</t>
  </si>
  <si>
    <t>OPN-11140</t>
  </si>
  <si>
    <t>Trabajos Varios - Remitos 73/74</t>
  </si>
  <si>
    <t>OPN-6468</t>
  </si>
  <si>
    <t>RHI</t>
  </si>
  <si>
    <t>Manguera compresor campo / oring bodega</t>
  </si>
  <si>
    <t>OPN-10375</t>
  </si>
  <si>
    <t>Ribero Fredy</t>
  </si>
  <si>
    <t>Trabajo tinglado Bodega</t>
  </si>
  <si>
    <t>OPN-5124</t>
  </si>
  <si>
    <t>Richetta y CIA</t>
  </si>
  <si>
    <t>Planta de aceite - Gabinete</t>
  </si>
  <si>
    <t>OPN-7922</t>
  </si>
  <si>
    <t>Materiales electricos Bodega / campo</t>
  </si>
  <si>
    <t>OPN-8176</t>
  </si>
  <si>
    <t>Pedido Bruno</t>
  </si>
  <si>
    <t>OPN-8183</t>
  </si>
  <si>
    <t>Materiales electricos para bajada de linea entrada</t>
  </si>
  <si>
    <t>cheque</t>
  </si>
  <si>
    <t>OPN-8358</t>
  </si>
  <si>
    <t>Pedido Planta / campo</t>
  </si>
  <si>
    <t>OPN-8359</t>
  </si>
  <si>
    <t>Fusibles</t>
  </si>
  <si>
    <t>OPN-8582</t>
  </si>
  <si>
    <t>materiales para reparacion de molrdora bodega</t>
  </si>
  <si>
    <t>OPN-9178</t>
  </si>
  <si>
    <t>Pedido materiales electricos planta / campo</t>
  </si>
  <si>
    <t>OPN-10017</t>
  </si>
  <si>
    <t>Rivafer SRL</t>
  </si>
  <si>
    <t>Pedido Cava - Soporte para malla estructural</t>
  </si>
  <si>
    <t>OPN-8874</t>
  </si>
  <si>
    <t>Rivera Jose Guillermo</t>
  </si>
  <si>
    <t>Factura N° 431 - Repuestos / reparaciones varias campo</t>
  </si>
  <si>
    <t xml:space="preserve">Robador Emmanuel </t>
  </si>
  <si>
    <t>Mosuse - Compras / Planta</t>
  </si>
  <si>
    <t>Robles Alexis Adrian</t>
  </si>
  <si>
    <t>Flete Cordoba / anguinan</t>
  </si>
  <si>
    <t>OPN-9328</t>
  </si>
  <si>
    <t>Rodamientos Caroya SA</t>
  </si>
  <si>
    <t>Pedido de planta - Rodamientos YAT 205</t>
  </si>
  <si>
    <t>OPN-8982</t>
  </si>
  <si>
    <t>Pedido 1 - rodamientos planta</t>
  </si>
  <si>
    <t>OPN-9936</t>
  </si>
  <si>
    <t>Rodamientos Iriondo</t>
  </si>
  <si>
    <t>Pedido de planta - rodamientos/retenes</t>
  </si>
  <si>
    <t>OPN-8272</t>
  </si>
  <si>
    <t>Rolls</t>
  </si>
  <si>
    <t>OPN-8260</t>
  </si>
  <si>
    <t xml:space="preserve">Rolls </t>
  </si>
  <si>
    <t xml:space="preserve">Pedido de Planta - </t>
  </si>
  <si>
    <t>OPN-9305</t>
  </si>
  <si>
    <t>Productos solicitados por planta (2 facturas)</t>
  </si>
  <si>
    <t>OPN-10119</t>
  </si>
  <si>
    <t>E100 - Planta</t>
  </si>
  <si>
    <t>OPN-10528</t>
  </si>
  <si>
    <t>Romero Francisco</t>
  </si>
  <si>
    <t>Trabajo herreria planta de aceite</t>
  </si>
  <si>
    <t>Rondina Floriana</t>
  </si>
  <si>
    <t>OPN-9092</t>
  </si>
  <si>
    <t>OPN-9705</t>
  </si>
  <si>
    <t>OPN-9751</t>
  </si>
  <si>
    <t>OPN-9920</t>
  </si>
  <si>
    <t>OPN-10123</t>
  </si>
  <si>
    <t>OPN-10231</t>
  </si>
  <si>
    <t>OPN-10636</t>
  </si>
  <si>
    <t>OPN-10809</t>
  </si>
  <si>
    <t>OPN-10972</t>
  </si>
  <si>
    <t xml:space="preserve">Rondina Floriana </t>
  </si>
  <si>
    <t>OPN-8484</t>
  </si>
  <si>
    <t>OPN-8563</t>
  </si>
  <si>
    <t>Rossi Maria Eugenia</t>
  </si>
  <si>
    <t>Servicio Medico - Informe psiquiatrico</t>
  </si>
  <si>
    <t>OPN-10966</t>
  </si>
  <si>
    <t>Rotomodel SRL</t>
  </si>
  <si>
    <t>OPN-10731</t>
  </si>
  <si>
    <t>Sabatini Daniel Prod. Quimicos SRL</t>
  </si>
  <si>
    <t>Columna acidificacion p/vino</t>
  </si>
  <si>
    <t>Pago 20/06/2025</t>
  </si>
  <si>
    <t>OPN-8042</t>
  </si>
  <si>
    <t>Pedido Producción - Productos Químico</t>
  </si>
  <si>
    <t>OPN-3227</t>
  </si>
  <si>
    <t>Insumos Planta</t>
  </si>
  <si>
    <t>OPN-8984</t>
  </si>
  <si>
    <t>OPN-9187</t>
  </si>
  <si>
    <t>OPN-9345</t>
  </si>
  <si>
    <t>Insumos planta</t>
  </si>
  <si>
    <t>OPN-9485</t>
  </si>
  <si>
    <t>OPN-9606</t>
  </si>
  <si>
    <t>OPN-10029</t>
  </si>
  <si>
    <t>OPN-10649</t>
  </si>
  <si>
    <t>OPN-11036</t>
  </si>
  <si>
    <t>Saez Adrian</t>
  </si>
  <si>
    <t>Viaticos consultora</t>
  </si>
  <si>
    <t>OPN-9725</t>
  </si>
  <si>
    <t>OPN-9067</t>
  </si>
  <si>
    <t>OPN-9307</t>
  </si>
  <si>
    <t>OPN-9777</t>
  </si>
  <si>
    <t>OPN-9880</t>
  </si>
  <si>
    <t>OPN-10169</t>
  </si>
  <si>
    <t>Sahya Diego Guillermo</t>
  </si>
  <si>
    <t>Reparacion telefon NINA - Autoriza LH</t>
  </si>
  <si>
    <t>OPN--5941</t>
  </si>
  <si>
    <t>Salazar José Osvaldo Nicolás</t>
  </si>
  <si>
    <t>Pimenton /  aji</t>
  </si>
  <si>
    <t>OPN-4738</t>
  </si>
  <si>
    <t xml:space="preserve">Cheques rechazados </t>
  </si>
  <si>
    <t>Pedido Producción - Pimentón</t>
  </si>
  <si>
    <t>OPN-5259</t>
  </si>
  <si>
    <t>OPN-5423</t>
  </si>
  <si>
    <t>Salinas Mario Rodolfo</t>
  </si>
  <si>
    <t>Trabajo de pintura administración</t>
  </si>
  <si>
    <t>OPN-6149</t>
  </si>
  <si>
    <t xml:space="preserve">Pintura administración </t>
  </si>
  <si>
    <t>OPN-6220</t>
  </si>
  <si>
    <t>OPN-6261</t>
  </si>
  <si>
    <t>OPN-6314</t>
  </si>
  <si>
    <t>OPN-6386</t>
  </si>
  <si>
    <t>Salusso Figueroa Giuliano</t>
  </si>
  <si>
    <t>Acoples Fafer 45 - Bodega</t>
  </si>
  <si>
    <t>OPN-10003</t>
  </si>
  <si>
    <t>Sampaolesi Daniel</t>
  </si>
  <si>
    <t>Servicio de filtrado de vino (Bodega)</t>
  </si>
  <si>
    <t>OPN-5444</t>
  </si>
  <si>
    <t>San Martin Nicolas Pablo</t>
  </si>
  <si>
    <t>OP N 8117</t>
  </si>
  <si>
    <t>OPN-9503</t>
  </si>
  <si>
    <t>Pago Comision</t>
  </si>
  <si>
    <t>OPN-9651</t>
  </si>
  <si>
    <t>OPN-10234</t>
  </si>
  <si>
    <t>San Paolesi</t>
  </si>
  <si>
    <t>Scaglioni Rodolfo Ramon</t>
  </si>
  <si>
    <t>Desagote Bodega</t>
  </si>
  <si>
    <t>OPN-4965</t>
  </si>
  <si>
    <t>Desagote 2 pozo mas una cama septica planta</t>
  </si>
  <si>
    <t>Desagote pozo planta</t>
  </si>
  <si>
    <t>OPN-6206</t>
  </si>
  <si>
    <t>OP N 8118</t>
  </si>
  <si>
    <t>OPN-8503</t>
  </si>
  <si>
    <t>OPN-9504</t>
  </si>
  <si>
    <t>OPN-9885</t>
  </si>
  <si>
    <t>OPN-10909</t>
  </si>
  <si>
    <t>Searez Carlos Ramón</t>
  </si>
  <si>
    <t xml:space="preserve">Alojamiento  </t>
  </si>
  <si>
    <t>OPN-8055</t>
  </si>
  <si>
    <t>Alojamiento Personal Bodega</t>
  </si>
  <si>
    <t>OPN-9014</t>
  </si>
  <si>
    <t>Alojamiento - Luis Coita</t>
  </si>
  <si>
    <t>OPN-10038</t>
  </si>
  <si>
    <t>OPN-10893</t>
  </si>
  <si>
    <t>Send SA</t>
  </si>
  <si>
    <t>Materiales entregados en enero</t>
  </si>
  <si>
    <t>OPN-9059</t>
  </si>
  <si>
    <t xml:space="preserve">Banda trasportadora planta - Saldo </t>
  </si>
  <si>
    <t>OPN-9743</t>
  </si>
  <si>
    <t>Banda trasportadora planta - 5/9</t>
  </si>
  <si>
    <t>OPN-10536</t>
  </si>
  <si>
    <t>OPN-10665</t>
  </si>
  <si>
    <t>Servicio Internet - Campana</t>
  </si>
  <si>
    <t>OPN-11160</t>
  </si>
  <si>
    <t>Serafini Roberto</t>
  </si>
  <si>
    <t>Reparacion y mantenimiento</t>
  </si>
  <si>
    <t>OPN-8918</t>
  </si>
  <si>
    <t>Trabajos de torneria / repuestos</t>
  </si>
  <si>
    <t>OPN-9090</t>
  </si>
  <si>
    <t>Trabajos torneria</t>
  </si>
  <si>
    <t>OPN-9483</t>
  </si>
  <si>
    <t>Trabajos torneria planta</t>
  </si>
  <si>
    <t>OPN-9713</t>
  </si>
  <si>
    <t>Trabajos de torneria planta - bodega</t>
  </si>
  <si>
    <t>OPN-10221</t>
  </si>
  <si>
    <t>Reparaciones Varias - Planta / Bodega</t>
  </si>
  <si>
    <t>OPN-10845</t>
  </si>
  <si>
    <t>Serin SA</t>
  </si>
  <si>
    <t>OPN-10897</t>
  </si>
  <si>
    <t>Cajones cosecha</t>
  </si>
  <si>
    <t>OPN-9790</t>
  </si>
  <si>
    <t>Cajones cosecha ($17028000)</t>
  </si>
  <si>
    <t>OPN-10654</t>
  </si>
  <si>
    <t>OPN-11157</t>
  </si>
  <si>
    <t>Shaya Diego Guillermo</t>
  </si>
  <si>
    <t>Reparacion vehiculo</t>
  </si>
  <si>
    <t>OPN-5736</t>
  </si>
  <si>
    <t>SIERRAS DE MAZAN SA</t>
  </si>
  <si>
    <t>52 días</t>
  </si>
  <si>
    <t>OPN-8361</t>
  </si>
  <si>
    <t>31 días</t>
  </si>
  <si>
    <t>45 días</t>
  </si>
  <si>
    <t>73 día</t>
  </si>
  <si>
    <t>66 días</t>
  </si>
  <si>
    <t>87 días</t>
  </si>
  <si>
    <t>59 días</t>
  </si>
  <si>
    <t>80 días</t>
  </si>
  <si>
    <t>Siman Carolina Andrea</t>
  </si>
  <si>
    <t>OPN-8242</t>
  </si>
  <si>
    <t>Honorarios profesionales - Liquidación de haberes</t>
  </si>
  <si>
    <t>OPN-8518</t>
  </si>
  <si>
    <t>Liquidacion de sueldos julio 2025</t>
  </si>
  <si>
    <t>Liquidación de sueldos</t>
  </si>
  <si>
    <t>OPN-9317</t>
  </si>
  <si>
    <t>OPN-9646</t>
  </si>
  <si>
    <t>OPN-9889</t>
  </si>
  <si>
    <t>OPN-10158</t>
  </si>
  <si>
    <t>OPN-10895</t>
  </si>
  <si>
    <t>Simone Viviana Del Valle</t>
  </si>
  <si>
    <t>OPN-9069</t>
  </si>
  <si>
    <t>OPN-9779</t>
  </si>
  <si>
    <t>Simone Viviana del Valle</t>
  </si>
  <si>
    <t>Consultora</t>
  </si>
  <si>
    <t>OPN-10168</t>
  </si>
  <si>
    <t>Sul Mineira SA</t>
  </si>
  <si>
    <t xml:space="preserve">Importación  </t>
  </si>
  <si>
    <t>OPN-10651</t>
  </si>
  <si>
    <t>Importación  - Pago factura 27347</t>
  </si>
  <si>
    <t>OPN-10732</t>
  </si>
  <si>
    <t>OPN-10902</t>
  </si>
  <si>
    <t>OPN-6481</t>
  </si>
  <si>
    <t>Starplastic SA</t>
  </si>
  <si>
    <t>Envases (Doctor)</t>
  </si>
  <si>
    <t>Frascos morrones</t>
  </si>
  <si>
    <t>OPN-9284</t>
  </si>
  <si>
    <t>Bidones 2lts - 5lts</t>
  </si>
  <si>
    <t>OPN-9602</t>
  </si>
  <si>
    <t>OPN-10834</t>
  </si>
  <si>
    <t>Stick Guido</t>
  </si>
  <si>
    <t>Maderas Cavas</t>
  </si>
  <si>
    <t>Sucesion de Garay Enrique</t>
  </si>
  <si>
    <t>Tolva Carro viñatero</t>
  </si>
  <si>
    <t>OPN-5826</t>
  </si>
  <si>
    <t>Carro tipo viñatero volcador</t>
  </si>
  <si>
    <t>OPN-10226</t>
  </si>
  <si>
    <t>Suelo y Vinos</t>
  </si>
  <si>
    <t>Sebo bodeguero</t>
  </si>
  <si>
    <t>OPN-10545</t>
  </si>
  <si>
    <t xml:space="preserve">Servicio de aduana </t>
  </si>
  <si>
    <t>transferencia</t>
  </si>
  <si>
    <t xml:space="preserve">Deuda facturas </t>
  </si>
  <si>
    <t>OPN-9659</t>
  </si>
  <si>
    <t>OPN-10028</t>
  </si>
  <si>
    <t>OPN-10224</t>
  </si>
  <si>
    <t>SUM S.R.L.</t>
  </si>
  <si>
    <t>Consulta (Julio Tello)</t>
  </si>
  <si>
    <t>OPN-10300</t>
  </si>
  <si>
    <t>OPN-8241</t>
  </si>
  <si>
    <t>Preocupacional</t>
  </si>
  <si>
    <t>OPN-8547</t>
  </si>
  <si>
    <t>Area protegida</t>
  </si>
  <si>
    <t>Control ausentismo</t>
  </si>
  <si>
    <t>Preocupacional - Llanos - Viña - Paez</t>
  </si>
  <si>
    <t>Control Ausentismo</t>
  </si>
  <si>
    <t>OPN-8962</t>
  </si>
  <si>
    <t>OPN-9321</t>
  </si>
  <si>
    <t>OPN-9896</t>
  </si>
  <si>
    <t>Preocupacional Herrera</t>
  </si>
  <si>
    <t>OPN-9932</t>
  </si>
  <si>
    <t>OPN-10157</t>
  </si>
  <si>
    <t>OPN-10517</t>
  </si>
  <si>
    <t xml:space="preserve">Supertex </t>
  </si>
  <si>
    <t>2 entrega de calsado anual</t>
  </si>
  <si>
    <t>OPN-9791</t>
  </si>
  <si>
    <t>SYNECO S.R.L</t>
  </si>
  <si>
    <t>Sistema</t>
  </si>
  <si>
    <t>Synagro</t>
  </si>
  <si>
    <t>OPN-9326</t>
  </si>
  <si>
    <t>OPN-9695</t>
  </si>
  <si>
    <t>Sistema Synagro</t>
  </si>
  <si>
    <t>OPN-10160</t>
  </si>
  <si>
    <t>OPN-10519</t>
  </si>
  <si>
    <t>OPN-10906</t>
  </si>
  <si>
    <t>Taller</t>
  </si>
  <si>
    <t>Taquia</t>
  </si>
  <si>
    <t>Bolsones Big-Bag</t>
  </si>
  <si>
    <t>Tarjeta Nacion (Enrici David)</t>
  </si>
  <si>
    <t>Tecniagro Cuyo SRL</t>
  </si>
  <si>
    <t>Semillas</t>
  </si>
  <si>
    <t>OPN-8496</t>
  </si>
  <si>
    <t>Pedido Semillas campo</t>
  </si>
  <si>
    <t>OPN-9561</t>
  </si>
  <si>
    <t>Pedido agroquimicos campo</t>
  </si>
  <si>
    <t>OPN-9615</t>
  </si>
  <si>
    <t>Combustible / lubricantes</t>
  </si>
  <si>
    <t>OPN-11115</t>
  </si>
  <si>
    <t>Tecni-ca de Samuel Carrasco</t>
  </si>
  <si>
    <t>Repuestos maquina deshuesadora</t>
  </si>
  <si>
    <t>OPN-8229</t>
  </si>
  <si>
    <t>Repuestos Deshuesadora - repuetos entregados</t>
  </si>
  <si>
    <t>OPN-9264</t>
  </si>
  <si>
    <t>OPN-9332</t>
  </si>
  <si>
    <t>OPN-9738</t>
  </si>
  <si>
    <t>OPN-9985</t>
  </si>
  <si>
    <t>OPN-11195</t>
  </si>
  <si>
    <t xml:space="preserve">Pedido Planta   </t>
  </si>
  <si>
    <t>OPN-11031</t>
  </si>
  <si>
    <t>OPN-11037</t>
  </si>
  <si>
    <t>OPN-11017</t>
  </si>
  <si>
    <t>OPN-11020</t>
  </si>
  <si>
    <t>OPN-11120</t>
  </si>
  <si>
    <t>Tecno Buenos Aires SRL</t>
  </si>
  <si>
    <t>Desmoldante de encofrado + Sikador32(Cava)</t>
  </si>
  <si>
    <t>OPN-8493</t>
  </si>
  <si>
    <t>Tello Julio</t>
  </si>
  <si>
    <t>Fabricación hidrociclones</t>
  </si>
  <si>
    <t>OPN-5734</t>
  </si>
  <si>
    <t>Reparación hidrociclon</t>
  </si>
  <si>
    <t>OPN-5999</t>
  </si>
  <si>
    <t>Mano de obra trabajo Departamento Maria M - Rejas</t>
  </si>
  <si>
    <t>OPN-6222</t>
  </si>
  <si>
    <t>Toledo Miguel Angel</t>
  </si>
  <si>
    <t>Torres Jose Sergio Nicolas</t>
  </si>
  <si>
    <t>OPN-10917</t>
  </si>
  <si>
    <t>Transporte El Chileciteño</t>
  </si>
  <si>
    <t>OPN-8278</t>
  </si>
  <si>
    <t>Trento &amp; CIA</t>
  </si>
  <si>
    <t>OPN-9369</t>
  </si>
  <si>
    <t>UNDEC</t>
  </si>
  <si>
    <t>Analisis planta</t>
  </si>
  <si>
    <t>Uniformes 21 SA</t>
  </si>
  <si>
    <t>EPP - Chaqueta Laura Cerezo</t>
  </si>
  <si>
    <t>OPN-10705</t>
  </si>
  <si>
    <t>2 entrega indumentaria Mujeres Anual</t>
  </si>
  <si>
    <t>OPN-9799</t>
  </si>
  <si>
    <t>Pedido de gorras (entrega de indumentaria)</t>
  </si>
  <si>
    <t>OPN-9939</t>
  </si>
  <si>
    <t>Universidad Nacional de Chilecito</t>
  </si>
  <si>
    <t>OPN - 7646</t>
  </si>
  <si>
    <t>OPN-9180</t>
  </si>
  <si>
    <t>Analisis de suelo Finaca 2</t>
  </si>
  <si>
    <t>OPN-9438</t>
  </si>
  <si>
    <t>Analisis de agua</t>
  </si>
  <si>
    <t>OPN-9722</t>
  </si>
  <si>
    <t>Vaccaro SRL</t>
  </si>
  <si>
    <t>Repuesto Toyota 3.0 (Olmos)</t>
  </si>
  <si>
    <t>OPN-7923</t>
  </si>
  <si>
    <t>Repustos Toyota Hilux</t>
  </si>
  <si>
    <t>OPN-8307</t>
  </si>
  <si>
    <t>Pedido Campo - Repuesto camioneta</t>
  </si>
  <si>
    <t>OPN-9718</t>
  </si>
  <si>
    <t>Repuestos Toyota 3.0</t>
  </si>
  <si>
    <t>OPN-10766</t>
  </si>
  <si>
    <t>Valenzuela Maximiliano Guillermo</t>
  </si>
  <si>
    <t>Asesoramiento poda</t>
  </si>
  <si>
    <t>Valle de la Puerta SA</t>
  </si>
  <si>
    <t>OPN-8231</t>
  </si>
  <si>
    <t>Pago 13/6 20/6 27/6</t>
  </si>
  <si>
    <t>OPN-8060</t>
  </si>
  <si>
    <t>CH al días</t>
  </si>
  <si>
    <t>OPN-8204</t>
  </si>
  <si>
    <t>OPN-8345</t>
  </si>
  <si>
    <t>CH 87 días</t>
  </si>
  <si>
    <t>OPN-8368</t>
  </si>
  <si>
    <t>CH 66 días</t>
  </si>
  <si>
    <t>CH 80 días</t>
  </si>
  <si>
    <t>CH 73 días</t>
  </si>
  <si>
    <t>OPN-8550</t>
  </si>
  <si>
    <t>OPN-8760</t>
  </si>
  <si>
    <t>OPN-8825</t>
  </si>
  <si>
    <t>OPN-8828</t>
  </si>
  <si>
    <t>OPN-9009</t>
  </si>
  <si>
    <t>OPN-9001</t>
  </si>
  <si>
    <t>OPN-9146</t>
  </si>
  <si>
    <t>OPN-9186</t>
  </si>
  <si>
    <t>OPN-9260</t>
  </si>
  <si>
    <t>OPN-9344</t>
  </si>
  <si>
    <t>OPN-9490</t>
  </si>
  <si>
    <t>OPN-9542</t>
  </si>
  <si>
    <t>OPN-9597</t>
  </si>
  <si>
    <t>OPN-9835</t>
  </si>
  <si>
    <t>OPN-9972</t>
  </si>
  <si>
    <t>OPN-10101</t>
  </si>
  <si>
    <t>OPN-10237</t>
  </si>
  <si>
    <t>OPN-10516</t>
  </si>
  <si>
    <t>OPN-10794</t>
  </si>
  <si>
    <t>Vallesol Sapem</t>
  </si>
  <si>
    <t>Envasado pasas (87 cajas)</t>
  </si>
  <si>
    <t>OPN-10515</t>
  </si>
  <si>
    <t>Vasellati Zarate Cesar Exequiel</t>
  </si>
  <si>
    <t>Trabajos varios Electricidad (Facturas 174/175/176)</t>
  </si>
  <si>
    <t>OPN-10730</t>
  </si>
  <si>
    <t>Insumos Campaña 2026</t>
  </si>
  <si>
    <t>OPN-11015</t>
  </si>
  <si>
    <t>Factura 148/147/146/145</t>
  </si>
  <si>
    <t>OPN - 7721</t>
  </si>
  <si>
    <t>Trabajos realizados de elecricidad</t>
  </si>
  <si>
    <t>CH al día</t>
  </si>
  <si>
    <t>OPN-8420</t>
  </si>
  <si>
    <t>OPN-8987</t>
  </si>
  <si>
    <t>OPN-9105</t>
  </si>
  <si>
    <t>Trabajos de electricidad Facturas 163/164/165/166</t>
  </si>
  <si>
    <t>OPN-9478</t>
  </si>
  <si>
    <t>OPN-9583</t>
  </si>
  <si>
    <t>Servicio de trabajos electricos - Varios</t>
  </si>
  <si>
    <t>OPN-10916</t>
  </si>
  <si>
    <t>Vega</t>
  </si>
  <si>
    <t>Cubiertas 225/16 (usadas) 2 unidades - Jeep</t>
  </si>
  <si>
    <t xml:space="preserve">Vega Isidro Nicolas </t>
  </si>
  <si>
    <t>Reparacion Camioneta Fiat Toro (P/Electrica)</t>
  </si>
  <si>
    <t>OPN-9656</t>
  </si>
  <si>
    <t>Veicolo SRL</t>
  </si>
  <si>
    <t>pedido campo - articulos gomeria</t>
  </si>
  <si>
    <t>OPN-9810</t>
  </si>
  <si>
    <t xml:space="preserve">Vera Barros </t>
  </si>
  <si>
    <t>OPN-5249</t>
  </si>
  <si>
    <t>OPN-5309</t>
  </si>
  <si>
    <t>Fruta - campaña 2025</t>
  </si>
  <si>
    <t>OPN-5422</t>
  </si>
  <si>
    <t>OPN-5539</t>
  </si>
  <si>
    <t>Vera Cruz y CIA</t>
  </si>
  <si>
    <t>Factura a pagar</t>
  </si>
  <si>
    <t>transferencia / CH 30 días</t>
  </si>
  <si>
    <t>OPN-7769</t>
  </si>
  <si>
    <t>Cuenta Corrente</t>
  </si>
  <si>
    <t>OPN-9389</t>
  </si>
  <si>
    <t>OPN-10878</t>
  </si>
  <si>
    <t>Vesely SRL</t>
  </si>
  <si>
    <t>OPN-9418</t>
  </si>
  <si>
    <t xml:space="preserve">Fletes </t>
  </si>
  <si>
    <t>OPN-10016</t>
  </si>
  <si>
    <t>Fletes varios</t>
  </si>
  <si>
    <t>OPN-10506</t>
  </si>
  <si>
    <t>OPN-8053</t>
  </si>
  <si>
    <t>OPN-8963</t>
  </si>
  <si>
    <t>Villafañe Mario Exequiel</t>
  </si>
  <si>
    <t>Gestor camioneta Macarena H</t>
  </si>
  <si>
    <t>Patente Chevrolet S10</t>
  </si>
  <si>
    <t>OPN-9631</t>
  </si>
  <si>
    <t>Viñas y Olivos</t>
  </si>
  <si>
    <t>Diferencia por tipo de cambio</t>
  </si>
  <si>
    <t>OPN-9193</t>
  </si>
  <si>
    <t>OPN-9343</t>
  </si>
  <si>
    <t>OPN-11014</t>
  </si>
  <si>
    <t>Vip Label</t>
  </si>
  <si>
    <t>OPN-10547</t>
  </si>
  <si>
    <t>Etiquetas aceitunas</t>
  </si>
  <si>
    <t>OPN-10626</t>
  </si>
  <si>
    <t>Pimenton - pedido planta</t>
  </si>
  <si>
    <t>OPN-6342</t>
  </si>
  <si>
    <t>Saldo etiquetas para Baldes</t>
  </si>
  <si>
    <t>Virtucom</t>
  </si>
  <si>
    <t>Servicio Hosting</t>
  </si>
  <si>
    <t>OPN 8157</t>
  </si>
  <si>
    <t>Vito Lombardo SA</t>
  </si>
  <si>
    <t>Saldo Subsolador</t>
  </si>
  <si>
    <t xml:space="preserve">CH </t>
  </si>
  <si>
    <t>OPN-5283</t>
  </si>
  <si>
    <t>OPN-5388</t>
  </si>
  <si>
    <t>Vivero del Oeste Riojano</t>
  </si>
  <si>
    <t>Plantines segunda etapa PIC 37</t>
  </si>
  <si>
    <t>OPN-9678</t>
  </si>
  <si>
    <t>OPN-9318</t>
  </si>
  <si>
    <t>OPN-9980</t>
  </si>
  <si>
    <t>OPN-10608</t>
  </si>
  <si>
    <t xml:space="preserve">Vivero San Gabriel </t>
  </si>
  <si>
    <t xml:space="preserve">Pago FC 5-742 por 9,652 plantas Variedad Arbequina </t>
  </si>
  <si>
    <t>Plantines</t>
  </si>
  <si>
    <t>OPN-8531</t>
  </si>
  <si>
    <t>Welschen Pablo Martin</t>
  </si>
  <si>
    <t>Balanza Laboratirio - Bodega</t>
  </si>
  <si>
    <t>OPN-10001</t>
  </si>
  <si>
    <t>Wine Concept SA</t>
  </si>
  <si>
    <t>Plantas variedad Ancellota - 4000</t>
  </si>
  <si>
    <t>OPN-9335</t>
  </si>
  <si>
    <t>Wine Solutions SRL</t>
  </si>
  <si>
    <t>OPN-10641</t>
  </si>
  <si>
    <t>Lacre Bodega</t>
  </si>
  <si>
    <t>OPN-9664</t>
  </si>
  <si>
    <t>XL SA</t>
  </si>
  <si>
    <t>Cubiertas Camioneta David</t>
  </si>
  <si>
    <t>OPN-8502</t>
  </si>
  <si>
    <t>Cubiertas Jeep - for 4x4 cerrillo</t>
  </si>
  <si>
    <t>OPN-8767</t>
  </si>
  <si>
    <t>Cubiertas para carro</t>
  </si>
  <si>
    <t>OPN-10652</t>
  </si>
  <si>
    <t>OPN-10701</t>
  </si>
  <si>
    <t>Yañez Erica</t>
  </si>
  <si>
    <t>Etiquetas p/frascos 350grs</t>
  </si>
  <si>
    <t>OPN-8046</t>
  </si>
  <si>
    <t>Etiquetas para Aceite</t>
  </si>
  <si>
    <t>OPN-8211</t>
  </si>
  <si>
    <t>Etiquetas aceite x 5 litros</t>
  </si>
  <si>
    <t>OPN-8539</t>
  </si>
  <si>
    <t>Etiquetas de frasco de 350G</t>
  </si>
  <si>
    <t>Impresión etiquetas</t>
  </si>
  <si>
    <t>Etiquetas de aceite 2 lts</t>
  </si>
  <si>
    <t>OPN-9329</t>
  </si>
  <si>
    <t>Etiquetas para frasco</t>
  </si>
  <si>
    <t>OPN-9549</t>
  </si>
  <si>
    <t>OPN-9605</t>
  </si>
  <si>
    <t>Etiquetas para frascos 350gr</t>
  </si>
  <si>
    <t>OPN-9788</t>
  </si>
  <si>
    <t>Etiquetas de Aceite</t>
  </si>
  <si>
    <t>OPN-9914</t>
  </si>
  <si>
    <t>OPN-10261</t>
  </si>
  <si>
    <t>Zalazar Ximena</t>
  </si>
  <si>
    <t>Prucuctos  Pedido Luciano H</t>
  </si>
  <si>
    <t>OPN-9270</t>
  </si>
  <si>
    <t>OPN-9657</t>
  </si>
  <si>
    <t>OPN-9680</t>
  </si>
  <si>
    <t>Compras casa</t>
  </si>
  <si>
    <t>OPN-9781</t>
  </si>
  <si>
    <t>almuerzo fin de capacitacón</t>
  </si>
  <si>
    <t>OPN-10031</t>
  </si>
  <si>
    <t>Casa</t>
  </si>
  <si>
    <t>OPN-10268</t>
  </si>
  <si>
    <t>Pedido Dr Beder</t>
  </si>
  <si>
    <t>OPN-10307</t>
  </si>
  <si>
    <t>Zelaya Gastón</t>
  </si>
  <si>
    <t>Limpieza techo Casa Doctor.</t>
  </si>
  <si>
    <t>Zumo Natural SA</t>
  </si>
  <si>
    <t>Jugo p/Sangria</t>
  </si>
  <si>
    <t>OPN-10000</t>
  </si>
  <si>
    <t>Pedido Embalaje planta - bodega</t>
  </si>
  <si>
    <t>OPN-11138</t>
  </si>
  <si>
    <t>OPN-11163</t>
  </si>
  <si>
    <t>OPN-10982</t>
  </si>
  <si>
    <t>OPN-10986</t>
  </si>
  <si>
    <t>Servicio energia - cheques rechazados</t>
  </si>
  <si>
    <t>OPN-11322</t>
  </si>
  <si>
    <t>Cable embrague new holland</t>
  </si>
  <si>
    <t>OPN-11243</t>
  </si>
  <si>
    <t>Sal a granel</t>
  </si>
  <si>
    <t>OPN-11167</t>
  </si>
  <si>
    <t>OPN-11199</t>
  </si>
  <si>
    <t>OPN-6536</t>
  </si>
  <si>
    <t>OPN-11019</t>
  </si>
  <si>
    <t>Pedido planta - Materiales Inox reparacion de balanzas</t>
  </si>
  <si>
    <t>OPN-11290</t>
  </si>
  <si>
    <t>Pedido Epp Planta - Bodega</t>
  </si>
  <si>
    <t>OPN-11265</t>
  </si>
  <si>
    <t>Reposición de cheque rechasado</t>
  </si>
  <si>
    <t>OPN-6496</t>
  </si>
  <si>
    <t>OPN-6495</t>
  </si>
  <si>
    <t>OPN-10928</t>
  </si>
  <si>
    <t>XLA SA</t>
  </si>
  <si>
    <t>Cubiertas Nissan</t>
  </si>
  <si>
    <t>OPN-6229</t>
  </si>
  <si>
    <t>Fabricacion de tolvas</t>
  </si>
  <si>
    <t>OPN-6697</t>
  </si>
  <si>
    <t>Industry Store SRL</t>
  </si>
  <si>
    <t>Correa prensa bodega</t>
  </si>
  <si>
    <t>OPN-11288</t>
  </si>
  <si>
    <t>OPN-00311</t>
  </si>
  <si>
    <t>Correción de factor de potencia</t>
  </si>
  <si>
    <t>OPN-11110</t>
  </si>
  <si>
    <t>OPN-11294</t>
  </si>
  <si>
    <t>OPN-11091</t>
  </si>
  <si>
    <t>Trabajo service compresor planta (Mano de obra)</t>
  </si>
  <si>
    <t>OPN-6584</t>
  </si>
  <si>
    <t>OPN-11220</t>
  </si>
  <si>
    <t>Nutrientes SA</t>
  </si>
  <si>
    <t>Productos quimicos - pedido de campo</t>
  </si>
  <si>
    <t>OPN-11184</t>
  </si>
  <si>
    <t>OPN-11038</t>
  </si>
  <si>
    <t>Escaleras - Reposición cheque rechasado + gastos</t>
  </si>
  <si>
    <t>OPN-11092</t>
  </si>
  <si>
    <t>OPN-11094</t>
  </si>
  <si>
    <t>Sellos bodega</t>
  </si>
  <si>
    <t>OPN-11309</t>
  </si>
  <si>
    <t>Olmos Jose</t>
  </si>
  <si>
    <t>Alambrado (Rio)</t>
  </si>
  <si>
    <t>OPN-6699</t>
  </si>
  <si>
    <t>OPN-11224</t>
  </si>
  <si>
    <t>OPN-6571</t>
  </si>
  <si>
    <t>Combustible - Autoriza Moyano Adrián</t>
  </si>
  <si>
    <t>OPN-11225</t>
  </si>
  <si>
    <t>Nitrogeno - Bodega</t>
  </si>
  <si>
    <t>OPN-11317</t>
  </si>
  <si>
    <t>Ortiz Teresita Isabel</t>
  </si>
  <si>
    <t>Cartulina - Pedido planta</t>
  </si>
  <si>
    <t>OPN-11308</t>
  </si>
  <si>
    <t>OPN-6695</t>
  </si>
  <si>
    <t>Nieto Gutierrez Ariel Adrián</t>
  </si>
  <si>
    <t>OPN-11237</t>
  </si>
  <si>
    <t>Campaña 2026</t>
  </si>
  <si>
    <t>OPN-6696</t>
  </si>
  <si>
    <t>Pintos Juan Nicolás</t>
  </si>
  <si>
    <t>Talonarios X - pedido de planta</t>
  </si>
  <si>
    <t>OPN-11186</t>
  </si>
  <si>
    <t>OPN-11287</t>
  </si>
  <si>
    <t>OPN-11314</t>
  </si>
  <si>
    <t>Vega Martin</t>
  </si>
  <si>
    <t>Cubierta N°13 - Bomba</t>
  </si>
  <si>
    <t>OPN-6479</t>
  </si>
  <si>
    <t>OPN-11221</t>
  </si>
  <si>
    <t>OPN-6550</t>
  </si>
  <si>
    <t>OPN-11149</t>
  </si>
  <si>
    <t>OPN-11080</t>
  </si>
  <si>
    <t>OPN-11046</t>
  </si>
  <si>
    <t>Precinto cola de raton</t>
  </si>
  <si>
    <t>OPN-11087</t>
  </si>
  <si>
    <t>Obra Planta ade aaceite</t>
  </si>
  <si>
    <t>Atencion medica Paez Luis Fernando</t>
  </si>
  <si>
    <t>OPN-11318</t>
  </si>
  <si>
    <t>Rodriguez Erneto Felipe</t>
  </si>
  <si>
    <t>Reparación y mantenimeinto</t>
  </si>
  <si>
    <t>OPN-11153</t>
  </si>
  <si>
    <t>OPN-11171</t>
  </si>
  <si>
    <t>OPN-11076</t>
  </si>
  <si>
    <t>Trabajos de torneria</t>
  </si>
  <si>
    <t>OPN-11154</t>
  </si>
  <si>
    <t>Spinozzi SAS</t>
  </si>
  <si>
    <t>Banda para cubrir almohada COE</t>
  </si>
  <si>
    <t>OPN-11132</t>
  </si>
  <si>
    <t>OPN-11113</t>
  </si>
  <si>
    <t>OPN-11151</t>
  </si>
  <si>
    <t>OPN-11313</t>
  </si>
  <si>
    <t>OPN-11222</t>
  </si>
  <si>
    <t>Pintureria la Española SRL</t>
  </si>
  <si>
    <t>Pintura epoxi Cava - Bodega</t>
  </si>
  <si>
    <t>OPN-11270</t>
  </si>
  <si>
    <t>Vitivinicola Roncal SRL</t>
  </si>
  <si>
    <t>Repuestos Massey ferguson - Los Cerrillos</t>
  </si>
  <si>
    <t>OPN-11114</t>
  </si>
  <si>
    <t>Pedido de planta - Rodamientos</t>
  </si>
  <si>
    <t>OPN-11146</t>
  </si>
  <si>
    <t>OPN-11179</t>
  </si>
  <si>
    <t>OPN-11310</t>
  </si>
  <si>
    <t>2026-15</t>
  </si>
  <si>
    <t>Lauri Agropecuaria</t>
  </si>
  <si>
    <t>Bolsones Big Bag</t>
  </si>
  <si>
    <t>OPN-6730</t>
  </si>
  <si>
    <t>Cheque 45 días</t>
  </si>
  <si>
    <t>OPN-11203</t>
  </si>
  <si>
    <t>Agua - Bidones x 20 lts - 148u</t>
  </si>
  <si>
    <t>OPN-11408</t>
  </si>
  <si>
    <t>OPN-11175</t>
  </si>
  <si>
    <t>OPN-6607</t>
  </si>
  <si>
    <t>Alcaraz Ruben Emilio</t>
  </si>
  <si>
    <t>Repuesto VW Senda - Punta de eje</t>
  </si>
  <si>
    <t>OPN-11376</t>
  </si>
  <si>
    <t>Pedido de Planta - Materiales electrico</t>
  </si>
  <si>
    <t>OPN-11205</t>
  </si>
  <si>
    <t>2026-24</t>
  </si>
  <si>
    <t xml:space="preserve">Insumos Bodega  </t>
  </si>
  <si>
    <t>Alvarez Raul</t>
  </si>
  <si>
    <t>Fletes Fruta 2026</t>
  </si>
  <si>
    <t>OPN-6767</t>
  </si>
  <si>
    <t>2026-17</t>
  </si>
  <si>
    <t>Toner administración</t>
  </si>
  <si>
    <t>OPN-11538</t>
  </si>
  <si>
    <t xml:space="preserve">Planta de aceite </t>
  </si>
  <si>
    <t>Cuota 2 de 9</t>
  </si>
  <si>
    <t>OPN-11366</t>
  </si>
  <si>
    <t>Equipo de bidones TAU 249</t>
  </si>
  <si>
    <t>OPN-11273</t>
  </si>
  <si>
    <t>OPN-11244</t>
  </si>
  <si>
    <t>2026-16</t>
  </si>
  <si>
    <t>Flete Fruta campaña 2026</t>
  </si>
  <si>
    <t>OPN-6796</t>
  </si>
  <si>
    <t>OPN-11223</t>
  </si>
  <si>
    <t>Alvarez Marco Martín</t>
  </si>
  <si>
    <t>Reparación Bomba Toyota</t>
  </si>
  <si>
    <t>OPN-11460</t>
  </si>
  <si>
    <t>Pedido de planta - Sellos mecanicos</t>
  </si>
  <si>
    <t>OPN-11383</t>
  </si>
  <si>
    <t>OPN-11196</t>
  </si>
  <si>
    <t>Pedido de Librería</t>
  </si>
  <si>
    <t>2026-18</t>
  </si>
  <si>
    <t>Aislantes de Cuyo SA</t>
  </si>
  <si>
    <t>Cunas tanques planta de aceite</t>
  </si>
  <si>
    <t>OPN-11572</t>
  </si>
  <si>
    <t>Supaga Valeria Soledad</t>
  </si>
  <si>
    <t>OPN-11183</t>
  </si>
  <si>
    <t>Barrera Julio Cesar</t>
  </si>
  <si>
    <t>Etiquetas de pasta de aceitunas</t>
  </si>
  <si>
    <t>OPN-11329</t>
  </si>
  <si>
    <t>Reparacion electrica VW Senda</t>
  </si>
  <si>
    <t>OPN-11384</t>
  </si>
  <si>
    <t>OPN-11234</t>
  </si>
  <si>
    <t>2026-23</t>
  </si>
  <si>
    <t>Aimurai SA</t>
  </si>
  <si>
    <t>Servicio cosecha mecanica 2026</t>
  </si>
  <si>
    <t>OPN-11865</t>
  </si>
  <si>
    <t>Repuestos desrabadora - Anticipo</t>
  </si>
  <si>
    <t>Anticipo 30/45 - Saldo 30/60</t>
  </si>
  <si>
    <t>OPN-11215</t>
  </si>
  <si>
    <t>honorarios profesionales</t>
  </si>
  <si>
    <t>OPN-11391</t>
  </si>
  <si>
    <t>OPN-11410</t>
  </si>
  <si>
    <t>2026-20</t>
  </si>
  <si>
    <t>Aldo Mitello Gruay y Transporte</t>
  </si>
  <si>
    <t>Flete tanques de aceite - Mendoza / anguinan</t>
  </si>
  <si>
    <t>OPN-11638</t>
  </si>
  <si>
    <t>OPN-11217</t>
  </si>
  <si>
    <t>OPN-11494</t>
  </si>
  <si>
    <t>Pdido campo</t>
  </si>
  <si>
    <t>OPN-11389</t>
  </si>
  <si>
    <t>OPN-11180</t>
  </si>
  <si>
    <t>Garrafa 10 KG</t>
  </si>
  <si>
    <t>OPN-11349</t>
  </si>
  <si>
    <t>Flete finca La Seis a Granuva</t>
  </si>
  <si>
    <t>OPN-11325</t>
  </si>
  <si>
    <t>Plantines de tomate 2 etapa (Tardio)</t>
  </si>
  <si>
    <t>OPN-11194</t>
  </si>
  <si>
    <t>Buspack</t>
  </si>
  <si>
    <t>Flete Cordoba - Chilecito - R Caropya</t>
  </si>
  <si>
    <t>OPN-11466</t>
  </si>
  <si>
    <t>OPN-11212</t>
  </si>
  <si>
    <t>2026-21</t>
  </si>
  <si>
    <t>OPN-7076</t>
  </si>
  <si>
    <t xml:space="preserve">Caceres Osvaldo Enrique </t>
  </si>
  <si>
    <t>Sillon casa doctor</t>
  </si>
  <si>
    <t>OPN-11412</t>
  </si>
  <si>
    <t>OPN-11387</t>
  </si>
  <si>
    <t>Fletes Soda Caustica</t>
  </si>
  <si>
    <t>OPN-11342</t>
  </si>
  <si>
    <t>OPN-11254</t>
  </si>
  <si>
    <t>Chancalay Jose Daniel</t>
  </si>
  <si>
    <t>Flete Grava</t>
  </si>
  <si>
    <t>OPN-11363</t>
  </si>
  <si>
    <t>2026-19</t>
  </si>
  <si>
    <t>OPN-11619</t>
  </si>
  <si>
    <t>Bus Pack SA</t>
  </si>
  <si>
    <t>Encio Cordoba - Chilecito</t>
  </si>
  <si>
    <t>OPN-11511</t>
  </si>
  <si>
    <t>Honorarios Pofesionales</t>
  </si>
  <si>
    <t>OPN-11388</t>
  </si>
  <si>
    <t>Pedido mantenimiento - campo</t>
  </si>
  <si>
    <t>OPN-11558</t>
  </si>
  <si>
    <t>Cubierta autoelevadores</t>
  </si>
  <si>
    <t>OPN-11240</t>
  </si>
  <si>
    <t>OPN-11231</t>
  </si>
  <si>
    <t>OPN-11238</t>
  </si>
  <si>
    <t>Flete nueces Anguinan</t>
  </si>
  <si>
    <t>OPN-11233</t>
  </si>
  <si>
    <t>Tramitar</t>
  </si>
  <si>
    <t>OPN-11235</t>
  </si>
  <si>
    <t>Flete  4 COE Aimurai</t>
  </si>
  <si>
    <t>OPN-6622</t>
  </si>
  <si>
    <t>Viaticos viaje semana 15</t>
  </si>
  <si>
    <t>OPN-11326</t>
  </si>
  <si>
    <t xml:space="preserve">Casa LH </t>
  </si>
  <si>
    <t>OPN-11441</t>
  </si>
  <si>
    <t>Seguro</t>
  </si>
  <si>
    <t>OPN-11399</t>
  </si>
  <si>
    <t>Campillay Mario Alberto</t>
  </si>
  <si>
    <t>Envases para dulce</t>
  </si>
  <si>
    <t>OPN-11510</t>
  </si>
  <si>
    <t>Compra realizada en La Rioja (Zelaya) - Santiago Ruiz</t>
  </si>
  <si>
    <t>OPN-11372</t>
  </si>
  <si>
    <t>Bolsa de bandas elasticas</t>
  </si>
  <si>
    <t>OPN-11561</t>
  </si>
  <si>
    <t>100 vueltas de ripio</t>
  </si>
  <si>
    <t>OPN-11569</t>
  </si>
  <si>
    <t>Febrero</t>
  </si>
  <si>
    <t>OPN-11364</t>
  </si>
  <si>
    <t>OPN-11720</t>
  </si>
  <si>
    <t>2026-22</t>
  </si>
  <si>
    <t xml:space="preserve">Sello mecanico </t>
  </si>
  <si>
    <t>OPN-11748</t>
  </si>
  <si>
    <t>OPN-11464</t>
  </si>
  <si>
    <t>Envio de paquete</t>
  </si>
  <si>
    <t>OPN-11337</t>
  </si>
  <si>
    <t>OPN-11390</t>
  </si>
  <si>
    <t>OPN-11440</t>
  </si>
  <si>
    <t>Honorarios asesoría</t>
  </si>
  <si>
    <t>OPN-11394</t>
  </si>
  <si>
    <t>OPN-11448</t>
  </si>
  <si>
    <t>Reparación Alternador - Camioneta LH Bateria</t>
  </si>
  <si>
    <t>OPN11611</t>
  </si>
  <si>
    <t>ESTECMA</t>
  </si>
  <si>
    <t xml:space="preserve">Repuestos compresor </t>
  </si>
  <si>
    <t>OPN-11386</t>
  </si>
  <si>
    <t>Bazar Colucci SA</t>
  </si>
  <si>
    <t xml:space="preserve">Tapas frascos - </t>
  </si>
  <si>
    <t>OPN-11615</t>
  </si>
  <si>
    <t>Fernandez Rosana Erica Lourdes</t>
  </si>
  <si>
    <t>Reparación compresor - Los cerrillos</t>
  </si>
  <si>
    <t>OPN-11375</t>
  </si>
  <si>
    <t>OPN-11401</t>
  </si>
  <si>
    <t>Insumo Campaña 2026 - Acido Clorhidrico</t>
  </si>
  <si>
    <t>OPN-11458</t>
  </si>
  <si>
    <t>OPN-11377</t>
  </si>
  <si>
    <t>Marzo</t>
  </si>
  <si>
    <t>OPN-11403</t>
  </si>
  <si>
    <t>Pedidos Bodega/cava - Planta</t>
  </si>
  <si>
    <t>OPN-11439</t>
  </si>
  <si>
    <t>OPN-11749</t>
  </si>
  <si>
    <t>Ruedas carro / retenes</t>
  </si>
  <si>
    <t>OPN-11799</t>
  </si>
  <si>
    <t>OPN-11400</t>
  </si>
  <si>
    <t>Cortes Ana Maria Teres</t>
  </si>
  <si>
    <t>Pedido planta - tomas multiples (4)</t>
  </si>
  <si>
    <t>OPN-11504</t>
  </si>
  <si>
    <t>Empaque Sa</t>
  </si>
  <si>
    <t>OPN-11432</t>
  </si>
  <si>
    <t>Alquiler de maquinas tomate segunda etapa</t>
  </si>
  <si>
    <t>OPN-6722</t>
  </si>
  <si>
    <t>OPN-11335</t>
  </si>
  <si>
    <t>OPN-11721</t>
  </si>
  <si>
    <t>Capello Hnos. SRL</t>
  </si>
  <si>
    <t>Compras varias</t>
  </si>
  <si>
    <t>OPN-11621</t>
  </si>
  <si>
    <t>Pedido ferreteria planta</t>
  </si>
  <si>
    <t>OPN-11743</t>
  </si>
  <si>
    <t>OPN-11371</t>
  </si>
  <si>
    <t>Cerezo Fabián Gregorio</t>
  </si>
  <si>
    <t xml:space="preserve">Reparaciones varias </t>
  </si>
  <si>
    <t>OPN-11632</t>
  </si>
  <si>
    <t>Repuestos service camionetas Moyano / Chancalay</t>
  </si>
  <si>
    <t>OPN-11704</t>
  </si>
  <si>
    <t>OPN-11550</t>
  </si>
  <si>
    <t>Tienda Nube Febrero</t>
  </si>
  <si>
    <t>OPN-11413</t>
  </si>
  <si>
    <t>Trabajos varios</t>
  </si>
  <si>
    <t>OPN-11385</t>
  </si>
  <si>
    <t>Pedido Laboratorio planta / bodega</t>
  </si>
  <si>
    <t>OPN-11380</t>
  </si>
  <si>
    <t>OPN-11407</t>
  </si>
  <si>
    <t>OPN-11599</t>
  </si>
  <si>
    <t>Esquivel Hugo Osvaldo</t>
  </si>
  <si>
    <t>Pedido insumos laboratorio  Bodega / Planta</t>
  </si>
  <si>
    <t>OPN-11489</t>
  </si>
  <si>
    <t>OPN-11598</t>
  </si>
  <si>
    <t>Mendez Ana Patricia</t>
  </si>
  <si>
    <t xml:space="preserve">Compras Casa </t>
  </si>
  <si>
    <t>OPN-11348</t>
  </si>
  <si>
    <t>Envio mendoza - Chilecito</t>
  </si>
  <si>
    <t>OPN-11577</t>
  </si>
  <si>
    <t xml:space="preserve">Embalaje - Baldes </t>
  </si>
  <si>
    <t>OPN-11431</t>
  </si>
  <si>
    <t>OPN-11398</t>
  </si>
  <si>
    <t>OPN-11578</t>
  </si>
  <si>
    <t>OPN-11336</t>
  </si>
  <si>
    <t>OPN-11477</t>
  </si>
  <si>
    <t>OPN-11478</t>
  </si>
  <si>
    <t>OPN-11602</t>
  </si>
  <si>
    <t>Semana 24</t>
  </si>
  <si>
    <t>Alarcon Matias</t>
  </si>
  <si>
    <t>Servicio nuez</t>
  </si>
  <si>
    <t>OPN-7219</t>
  </si>
  <si>
    <t>Altasur</t>
  </si>
  <si>
    <t>Corchos bodega - Deuda 2024/2025</t>
  </si>
  <si>
    <t>OPN-11606</t>
  </si>
  <si>
    <t>Acoples - Planta de aceite</t>
  </si>
  <si>
    <t>OPN-11555</t>
  </si>
  <si>
    <t>Hilal SRL</t>
  </si>
  <si>
    <t>OPN-11467</t>
  </si>
  <si>
    <t>Alquiler maquinas cosecha tomate</t>
  </si>
  <si>
    <t>OPN-6795</t>
  </si>
  <si>
    <t xml:space="preserve">Pedido Ventas </t>
  </si>
  <si>
    <t>OPN-11501</t>
  </si>
  <si>
    <t>Oca Log SA</t>
  </si>
  <si>
    <t>Envios tienda nube 2025</t>
  </si>
  <si>
    <t>OPN-22328</t>
  </si>
  <si>
    <t>OPN-11405</t>
  </si>
  <si>
    <t>Ocampo Rafael Jorge</t>
  </si>
  <si>
    <t>OPN-6729</t>
  </si>
  <si>
    <t>OPN-11347</t>
  </si>
  <si>
    <t>Equipo de sal</t>
  </si>
  <si>
    <t>OPN-11427</t>
  </si>
  <si>
    <t>OPN-11395</t>
  </si>
  <si>
    <t>Talonarios R - Planta</t>
  </si>
  <si>
    <t>OPN-11368</t>
  </si>
  <si>
    <t>OPN-11429</t>
  </si>
  <si>
    <t>OPN-6727</t>
  </si>
  <si>
    <t>Resina - Pedido planta</t>
  </si>
  <si>
    <t>OPN-11378</t>
  </si>
  <si>
    <t>Servicio internet campana</t>
  </si>
  <si>
    <t>OPN-11457</t>
  </si>
  <si>
    <t>Lubrilar SRL</t>
  </si>
  <si>
    <t>Flete aceituna 2026- - Chancalay Daniel</t>
  </si>
  <si>
    <t>OPN-11423</t>
  </si>
  <si>
    <t>Compra administracón</t>
  </si>
  <si>
    <t>OPN-11465</t>
  </si>
  <si>
    <t>OPN-11382</t>
  </si>
  <si>
    <t>OPN-6706</t>
  </si>
  <si>
    <t>OPN-6720</t>
  </si>
  <si>
    <t>OPN-11402</t>
  </si>
  <si>
    <t>Alojamiento</t>
  </si>
  <si>
    <t>OPN-11409</t>
  </si>
  <si>
    <t>OPN-11396</t>
  </si>
  <si>
    <t>Paez Dora Ester</t>
  </si>
  <si>
    <t>Fletes insumos planta</t>
  </si>
  <si>
    <t>OPN-11462</t>
  </si>
  <si>
    <t>OPN-11404</t>
  </si>
  <si>
    <t>OPN-11367</t>
  </si>
  <si>
    <t>Torta</t>
  </si>
  <si>
    <t>OPN-11447</t>
  </si>
  <si>
    <t>OPN-11434</t>
  </si>
  <si>
    <t>Combustible VW Senda</t>
  </si>
  <si>
    <t>OPN-11435</t>
  </si>
  <si>
    <t>Bolsas de vacio para nueces</t>
  </si>
  <si>
    <t>OPN-11648</t>
  </si>
  <si>
    <t xml:space="preserve">Via Bariloche </t>
  </si>
  <si>
    <t>Encomienda Bs As - Anguinan</t>
  </si>
  <si>
    <t>OPN-11356</t>
  </si>
  <si>
    <t>OPN-11350</t>
  </si>
  <si>
    <t>OPN-11487</t>
  </si>
  <si>
    <t>OPN-11562</t>
  </si>
  <si>
    <t>Pedido Epp Planta - Bodega - campo</t>
  </si>
  <si>
    <t>OPN-11488</t>
  </si>
  <si>
    <t>OPN-11495</t>
  </si>
  <si>
    <t>Antonio Contreras - Combi Kia</t>
  </si>
  <si>
    <t>OPN-11903</t>
  </si>
  <si>
    <t>OPN-11507</t>
  </si>
  <si>
    <t>Casa LH / Administración / Planta</t>
  </si>
  <si>
    <t>OPN-11369</t>
  </si>
  <si>
    <t>OPN-11676</t>
  </si>
  <si>
    <t>OPN-11658</t>
  </si>
  <si>
    <t>Peyrano Nestor Alejandro</t>
  </si>
  <si>
    <t>Factura 779</t>
  </si>
  <si>
    <t>OPN-11426</t>
  </si>
  <si>
    <t>Flete  Corrugado Cuyo</t>
  </si>
  <si>
    <t>OPN-11625</t>
  </si>
  <si>
    <t>Flete pintura epoxi</t>
  </si>
  <si>
    <t>OPN-11473</t>
  </si>
  <si>
    <t>Flete Itecra</t>
  </si>
  <si>
    <t>OPN-11624</t>
  </si>
  <si>
    <t>OPN-11657</t>
  </si>
  <si>
    <t>OPN-11656</t>
  </si>
  <si>
    <t>Reparacion de motores varios</t>
  </si>
  <si>
    <t>OPN-11725</t>
  </si>
  <si>
    <t>Rudas Carro bodega</t>
  </si>
  <si>
    <t>OPN-11887</t>
  </si>
  <si>
    <t>OPN-6793</t>
  </si>
  <si>
    <t>OPN-11484</t>
  </si>
  <si>
    <t>Bobina para sobres - Saldo</t>
  </si>
  <si>
    <t>OPN-11454</t>
  </si>
  <si>
    <t>OPN-11443</t>
  </si>
  <si>
    <t>OPN-6794</t>
  </si>
  <si>
    <t>OPN-11417</t>
  </si>
  <si>
    <t>OPN-11461</t>
  </si>
  <si>
    <t>Fletes - Mendoza / Anguinan</t>
  </si>
  <si>
    <t>OPN-11463</t>
  </si>
  <si>
    <t>OPN-11723</t>
  </si>
  <si>
    <t>Casulli Gas SRL</t>
  </si>
  <si>
    <t>Gas Planta</t>
  </si>
  <si>
    <t>OPN-11792</t>
  </si>
  <si>
    <t>OPN-11714</t>
  </si>
  <si>
    <t>Lin Qingshan</t>
  </si>
  <si>
    <t xml:space="preserve">Pedido aAdministración </t>
  </si>
  <si>
    <t>OPN-11505</t>
  </si>
  <si>
    <t>OPN-11508</t>
  </si>
  <si>
    <t xml:space="preserve">Pedido planta - Tiner pinceles </t>
  </si>
  <si>
    <t>OPN-11639</t>
  </si>
  <si>
    <t>Flete Bodega - 2 pallets</t>
  </si>
  <si>
    <t>OPN-11793</t>
  </si>
  <si>
    <t xml:space="preserve">Alquiler Grua - Planta de aceite  </t>
  </si>
  <si>
    <t>OPN-11609</t>
  </si>
  <si>
    <t>OPN-11459</t>
  </si>
  <si>
    <t>OPN-11506</t>
  </si>
  <si>
    <t>OPN-11509</t>
  </si>
  <si>
    <t>Plaza Norma Mirtha</t>
  </si>
  <si>
    <t xml:space="preserve">Modulo Interface Nissan </t>
  </si>
  <si>
    <t>OPN-11442</t>
  </si>
  <si>
    <t>Mendez Andrea Fabiola</t>
  </si>
  <si>
    <t>OPN-11525</t>
  </si>
  <si>
    <t>OPN-11576</t>
  </si>
  <si>
    <t>Repuestos bomba - Planta</t>
  </si>
  <si>
    <t>OPN-11416</t>
  </si>
  <si>
    <t>Monje Susana del Carmen</t>
  </si>
  <si>
    <t>Pedido limpieza - Planta - campo -  ventas</t>
  </si>
  <si>
    <t>OPN-11479</t>
  </si>
  <si>
    <t xml:space="preserve">Herrera Pedro </t>
  </si>
  <si>
    <t>Sin rendir</t>
  </si>
  <si>
    <t>OPN-11567</t>
  </si>
  <si>
    <t>Ramos José Manuel</t>
  </si>
  <si>
    <t>Cosecha 2026 - Ribot - Cosecha</t>
  </si>
  <si>
    <t>$1390 equivalente a USD7159</t>
  </si>
  <si>
    <t>OPN-6789</t>
  </si>
  <si>
    <t>Inrenoa Imágenes SRL</t>
  </si>
  <si>
    <t>Estudio radiologico</t>
  </si>
  <si>
    <t>OPN-11573</t>
  </si>
  <si>
    <t>Atuel Serv Integal SRL</t>
  </si>
  <si>
    <t>Servicio de desinfeccion</t>
  </si>
  <si>
    <t>OPN-11836</t>
  </si>
  <si>
    <t>OPN-11634</t>
  </si>
  <si>
    <t>Pedido de embalaje - planta</t>
  </si>
  <si>
    <t>OPN-11557</t>
  </si>
  <si>
    <t>Frutos Patagonicos SRL</t>
  </si>
  <si>
    <t>Enzimas - Planta de aceite</t>
  </si>
  <si>
    <t>OPN-11418</t>
  </si>
  <si>
    <t>OPN-11480</t>
  </si>
  <si>
    <t>Coordinadora de Salud</t>
  </si>
  <si>
    <t>OPN-11709</t>
  </si>
  <si>
    <t>Reparación Tractor  John Deere (caja)</t>
  </si>
  <si>
    <t>OPN-6797</t>
  </si>
  <si>
    <t>Alineado y balanceado</t>
  </si>
  <si>
    <t>OPN-11835</t>
  </si>
  <si>
    <t>OPN-11871</t>
  </si>
  <si>
    <t>Pedidos Planta</t>
  </si>
  <si>
    <t>OPN-11901</t>
  </si>
  <si>
    <t>Pedido planta aceite</t>
  </si>
  <si>
    <t>OPN-11711</t>
  </si>
  <si>
    <t>Cubiertas Chevrolet S10 - Moyano</t>
  </si>
  <si>
    <t>OPN-11438</t>
  </si>
  <si>
    <t>Zalaya Ernesto Daniel</t>
  </si>
  <si>
    <t>Motores -  pedido planta</t>
  </si>
  <si>
    <t>OPN-11469</t>
  </si>
  <si>
    <t>Cosecha 2026 - Ribot</t>
  </si>
  <si>
    <t>OPN-6771</t>
  </si>
  <si>
    <t>Articulos librería - administración</t>
  </si>
  <si>
    <t>OPN-11825</t>
  </si>
  <si>
    <t>OPN-1185</t>
  </si>
  <si>
    <t>Etiquetas pasta de aceituna</t>
  </si>
  <si>
    <t>OPN-11838</t>
  </si>
  <si>
    <t>OPN-7073</t>
  </si>
  <si>
    <t>OPN-11579</t>
  </si>
  <si>
    <t>Industras ASA Sociedad Anonima</t>
  </si>
  <si>
    <t>Panques planta de aceite 30/50</t>
  </si>
  <si>
    <t>OPN-11620</t>
  </si>
  <si>
    <t>OPN-11433</t>
  </si>
  <si>
    <t>OPN-11455</t>
  </si>
  <si>
    <t>OPN-6885</t>
  </si>
  <si>
    <t>Inelza SRL</t>
  </si>
  <si>
    <t>Alquiler Grua - Planta de aceite - Cava (7horas)</t>
  </si>
  <si>
    <t>OPN-11603</t>
  </si>
  <si>
    <t>OPN-6906</t>
  </si>
  <si>
    <t>OPN-6880</t>
  </si>
  <si>
    <t>OPN-6905</t>
  </si>
  <si>
    <t>Plastiandino SA</t>
  </si>
  <si>
    <t>OPN-11490</t>
  </si>
  <si>
    <t>Estructuras SRL</t>
  </si>
  <si>
    <t>Valvulas 1/2 - 3</t>
  </si>
  <si>
    <t>OPN-11717</t>
  </si>
  <si>
    <t>OPN-11493</t>
  </si>
  <si>
    <t>OPN-11559</t>
  </si>
  <si>
    <t>OPN-11564</t>
  </si>
  <si>
    <t>Pedido Campo</t>
  </si>
  <si>
    <t>OPN-11637</t>
  </si>
  <si>
    <t>OPN-6884</t>
  </si>
  <si>
    <t>Envio Cordoba - Chilecito -  Argentop</t>
  </si>
  <si>
    <t>OPN-11856</t>
  </si>
  <si>
    <t>Calibración de maquina</t>
  </si>
  <si>
    <t>Bota N°42 - pedido planta</t>
  </si>
  <si>
    <t>OPN-11627</t>
  </si>
  <si>
    <t>OPN-11456</t>
  </si>
  <si>
    <t>Compra materiales - La Rioja</t>
  </si>
  <si>
    <t>OPN-11794</t>
  </si>
  <si>
    <t>OPN-11690</t>
  </si>
  <si>
    <t>OPN-6938</t>
  </si>
  <si>
    <t>Reparacion camioneta Sose Olmos  + Alternador</t>
  </si>
  <si>
    <t>OPN-11902</t>
  </si>
  <si>
    <t>Cajas</t>
  </si>
  <si>
    <t>OPN-11876</t>
  </si>
  <si>
    <t>Bidones para aceite</t>
  </si>
  <si>
    <t>OPN-11491</t>
  </si>
  <si>
    <t>OPN-6939</t>
  </si>
  <si>
    <t>OPN-6953</t>
  </si>
  <si>
    <t>Repuesto VW Senda - Bulbo electro ventilador</t>
  </si>
  <si>
    <t>OPN-11563</t>
  </si>
  <si>
    <t>Alambre - Campana</t>
  </si>
  <si>
    <t>OPN-11857</t>
  </si>
  <si>
    <t>OPN-11807</t>
  </si>
  <si>
    <t>OPN-11566</t>
  </si>
  <si>
    <t>OPN-11565</t>
  </si>
  <si>
    <t>OPN-11556</t>
  </si>
  <si>
    <t>OPN-11492</t>
  </si>
  <si>
    <t>Trabajos Varios</t>
  </si>
  <si>
    <t>OPN-11520</t>
  </si>
  <si>
    <t>OPN-11546</t>
  </si>
  <si>
    <t>OPN-6904</t>
  </si>
  <si>
    <t>OPN-6952</t>
  </si>
  <si>
    <t>Filtrado de vino</t>
  </si>
  <si>
    <t>Laboratorios Químicos</t>
  </si>
  <si>
    <t>Insumos Planta - Soda caustica p/ devolución SDM</t>
  </si>
  <si>
    <t>OPN-11653</t>
  </si>
  <si>
    <t>OPN11608</t>
  </si>
  <si>
    <t>OPN-11597</t>
  </si>
  <si>
    <t>OPN-11833</t>
  </si>
  <si>
    <t>Casa Luciano / Doctor</t>
  </si>
  <si>
    <t>Gastos comida limpeza casa Doctor / Luciano</t>
  </si>
  <si>
    <t>Atención Médica</t>
  </si>
  <si>
    <t xml:space="preserve">OPN-11548 </t>
  </si>
  <si>
    <t>Anilisis aceitunas verdes y negras</t>
  </si>
  <si>
    <t>OPN-11745</t>
  </si>
  <si>
    <t>OPN-11829</t>
  </si>
  <si>
    <t>Pasajes + alojamiento viaje a Bs. As.</t>
  </si>
  <si>
    <t>OPN-11867</t>
  </si>
  <si>
    <t>OPN-11796</t>
  </si>
  <si>
    <t>OPN-11712</t>
  </si>
  <si>
    <t>OPN-11650</t>
  </si>
  <si>
    <t>OPN-11652</t>
  </si>
  <si>
    <t>OPN-6959</t>
  </si>
  <si>
    <t>Vassellati Zarate Cesar Exequiel</t>
  </si>
  <si>
    <t>Trabajos según facturas 180/181/182</t>
  </si>
  <si>
    <t>OPN-11580</t>
  </si>
  <si>
    <t>Anticipo Aceituna 2026</t>
  </si>
  <si>
    <t>OPN-6958</t>
  </si>
  <si>
    <t>OPN-11651</t>
  </si>
  <si>
    <t>Torta compleaños</t>
  </si>
  <si>
    <t>OPN-11646</t>
  </si>
  <si>
    <t>A rendir</t>
  </si>
  <si>
    <t>Insumos campaña 2026</t>
  </si>
  <si>
    <t>OPN-11727</t>
  </si>
  <si>
    <t>OPN-11710</t>
  </si>
  <si>
    <t>OPN-11616</t>
  </si>
  <si>
    <t>Pedido EPP campo - bodega</t>
  </si>
  <si>
    <t>OPN-11750</t>
  </si>
  <si>
    <t>OPN-6960</t>
  </si>
  <si>
    <t>Consejo Prof. De Ciencias Economicas</t>
  </si>
  <si>
    <t>Certificación de Balance 2025</t>
  </si>
  <si>
    <t>OPN-11471</t>
  </si>
  <si>
    <t>Caja para pasas</t>
  </si>
  <si>
    <t>OPN-11584</t>
  </si>
  <si>
    <t>Remitos</t>
  </si>
  <si>
    <t>OPN-11647</t>
  </si>
  <si>
    <t>Correo Argentino</t>
  </si>
  <si>
    <t>Envio de pago Pagano y Copaitich</t>
  </si>
  <si>
    <t>OPN-11849</t>
  </si>
  <si>
    <t>OPN-11848</t>
  </si>
  <si>
    <t>Cuotas tractores</t>
  </si>
  <si>
    <t>OPN-11847</t>
  </si>
  <si>
    <t>Analisis  aceite</t>
  </si>
  <si>
    <t>OPN-11741</t>
  </si>
  <si>
    <t>OPN-11707</t>
  </si>
  <si>
    <t xml:space="preserve">Colocacion de cubiertas / alineado y valanceado </t>
  </si>
  <si>
    <t>OPN-11730</t>
  </si>
  <si>
    <t>OPN-11613</t>
  </si>
  <si>
    <t>OPN-11655</t>
  </si>
  <si>
    <t>OPN-11788</t>
  </si>
  <si>
    <t>Repacaiones varias bodega</t>
  </si>
  <si>
    <t>OPN-7071</t>
  </si>
  <si>
    <t>Repuestos desrabadora - Saldo</t>
  </si>
  <si>
    <t>OPN-11605</t>
  </si>
  <si>
    <t>Remitos R</t>
  </si>
  <si>
    <t>OPN11654</t>
  </si>
  <si>
    <t>Vaccaro</t>
  </si>
  <si>
    <t>Repuestos  Combi - discos de freno</t>
  </si>
  <si>
    <t>OPN-11600</t>
  </si>
  <si>
    <t>OPN-7033</t>
  </si>
  <si>
    <t>OPN-7034</t>
  </si>
  <si>
    <t>OPN-11610</t>
  </si>
  <si>
    <t>OPN-11757</t>
  </si>
  <si>
    <t>OPN-11614</t>
  </si>
  <si>
    <t>Torrens Andres Osvaldo</t>
  </si>
  <si>
    <t>OPN-11631</t>
  </si>
  <si>
    <t>Reparacion compresor Julio T</t>
  </si>
  <si>
    <t>OPN-11633</t>
  </si>
  <si>
    <t>Pedido mantenimiento planta de aceite</t>
  </si>
  <si>
    <t>OPN-11649</t>
  </si>
  <si>
    <t xml:space="preserve">Pedido Planta - </t>
  </si>
  <si>
    <t>OPN-11685</t>
  </si>
  <si>
    <t>Compañia de Seguros del Norte</t>
  </si>
  <si>
    <t>OPN-11659</t>
  </si>
  <si>
    <t>OPN-11679</t>
  </si>
  <si>
    <t>Envios mar del Plata / Puerto Madero +  carta documento</t>
  </si>
  <si>
    <t>OPN-11904</t>
  </si>
  <si>
    <t>Pagano y Kopaitich SRL</t>
  </si>
  <si>
    <t>Certificación Bascula INTI</t>
  </si>
  <si>
    <t>OPN-11724</t>
  </si>
  <si>
    <t>Coviar</t>
  </si>
  <si>
    <t xml:space="preserve">Servicio - INV: P70003 </t>
  </si>
  <si>
    <t>Metalurgica Dupont SRL</t>
  </si>
  <si>
    <t>OPN-11805</t>
  </si>
  <si>
    <t>OPN-7102</t>
  </si>
  <si>
    <t>OPN-11831</t>
  </si>
  <si>
    <t>Del Valle Elias Nahuel</t>
  </si>
  <si>
    <t>OPN-11916</t>
  </si>
  <si>
    <t>OPN-11814</t>
  </si>
  <si>
    <t>OPN-7069</t>
  </si>
  <si>
    <t>Edelar SA (F2)</t>
  </si>
  <si>
    <t>OPN-11816</t>
  </si>
  <si>
    <t>Flete Chilecito - Mendoza / Tecni-ca</t>
  </si>
  <si>
    <t>OPN-11906</t>
  </si>
  <si>
    <t>OPN-11715</t>
  </si>
  <si>
    <t>Flete Chilecito - Mendoza / Samuel Ballerini</t>
  </si>
  <si>
    <t>OPN-11905</t>
  </si>
  <si>
    <t>NorPlast SAS</t>
  </si>
  <si>
    <t>OPN-11736</t>
  </si>
  <si>
    <t>OPN-7070</t>
  </si>
  <si>
    <t>Yañez Erika</t>
  </si>
  <si>
    <t>OPN-11640</t>
  </si>
  <si>
    <t>OPN-11645</t>
  </si>
  <si>
    <t>OPN-11662</t>
  </si>
  <si>
    <t>OPN-11660</t>
  </si>
  <si>
    <t>Insumos administración</t>
  </si>
  <si>
    <t>OPN-11671</t>
  </si>
  <si>
    <t>Pinto Mercado Luis Excequiel</t>
  </si>
  <si>
    <t>Acido Clorhidrico</t>
  </si>
  <si>
    <t>OPN-11684</t>
  </si>
  <si>
    <t>Amatte Angeleri Fanco</t>
  </si>
  <si>
    <t>Presente cumpleaños Lourdes</t>
  </si>
  <si>
    <t>OPN-11673</t>
  </si>
  <si>
    <t>OPN-11687</t>
  </si>
  <si>
    <t>OPN-7075</t>
  </si>
  <si>
    <t>Baldes</t>
  </si>
  <si>
    <t>OPN-11877</t>
  </si>
  <si>
    <t>Pimenton</t>
  </si>
  <si>
    <t>OPN-7072</t>
  </si>
  <si>
    <t>OPN-11815</t>
  </si>
  <si>
    <t>OPN-11888</t>
  </si>
  <si>
    <t>Calcio</t>
  </si>
  <si>
    <t>OPN-11742</t>
  </si>
  <si>
    <t>OPN-11795</t>
  </si>
  <si>
    <t>OPN-11878</t>
  </si>
  <si>
    <t xml:space="preserve">Gastos casa </t>
  </si>
  <si>
    <t>OPN-11851</t>
  </si>
  <si>
    <t>Gaseosas cumpleaños Lucila</t>
  </si>
  <si>
    <t>OPN-11869</t>
  </si>
  <si>
    <t>Trabajos Cava Bodega</t>
  </si>
  <si>
    <t>OPN-7122</t>
  </si>
  <si>
    <t>Fletes fruta planta de aceite</t>
  </si>
  <si>
    <t>Fletes - 4 equipos $400000 c/u</t>
  </si>
  <si>
    <t>Valle Sol</t>
  </si>
  <si>
    <t>Servicio pasas</t>
  </si>
  <si>
    <t>OPN-11728</t>
  </si>
  <si>
    <t>OPN-11760</t>
  </si>
  <si>
    <t>OPN-11716</t>
  </si>
  <si>
    <t>Gaitán Aldo Ramón</t>
  </si>
  <si>
    <t>Flete cosecha 2026</t>
  </si>
  <si>
    <t>OPN-7216</t>
  </si>
  <si>
    <t>Fernandez Eduardo</t>
  </si>
  <si>
    <t>OPN-7217</t>
  </si>
  <si>
    <t>Gastos compras</t>
  </si>
  <si>
    <t>Varios - fletes - Urgencias</t>
  </si>
  <si>
    <t>Extension de filtros pozo nuevo</t>
  </si>
  <si>
    <t>Cloro en polvo - Ecoprefered</t>
  </si>
  <si>
    <t>OPN-11797</t>
  </si>
  <si>
    <t>Andina Motors SA</t>
  </si>
  <si>
    <t>Parcial factura x service camioneta F Rondina</t>
  </si>
  <si>
    <t>Corrugados Cuyo SRL</t>
  </si>
  <si>
    <t xml:space="preserve">Cajas  </t>
  </si>
  <si>
    <t>OPN-11734</t>
  </si>
  <si>
    <t>Polifibra SRL</t>
  </si>
  <si>
    <t>Recina - Pedido planta</t>
  </si>
  <si>
    <t>OPN-11735</t>
  </si>
  <si>
    <t>OPN-11900</t>
  </si>
  <si>
    <t>OPN-11800</t>
  </si>
  <si>
    <t>Pedido Montacarga Cava / Planta de aceite</t>
  </si>
  <si>
    <t>OPN-11798</t>
  </si>
  <si>
    <t>OPN-11963</t>
  </si>
  <si>
    <t>OPN-11852</t>
  </si>
  <si>
    <t>Compra administración</t>
  </si>
  <si>
    <t>OPN-11861</t>
  </si>
  <si>
    <t>OPN-11907</t>
  </si>
  <si>
    <t>RUARTE ELLERO NOELIA MILENA</t>
  </si>
  <si>
    <t>Servicios medicos</t>
  </si>
  <si>
    <t>OPN-11804</t>
  </si>
  <si>
    <t>OPN-11801</t>
  </si>
  <si>
    <t>OPN-11817</t>
  </si>
  <si>
    <t>Mendes Ana Patricia</t>
  </si>
  <si>
    <t>OPN-11855</t>
  </si>
  <si>
    <t>OPN-11854</t>
  </si>
  <si>
    <t>Reparación compresor los cerrillos</t>
  </si>
  <si>
    <t>OPN-11802</t>
  </si>
  <si>
    <t>OPN-11822</t>
  </si>
  <si>
    <t>OPN-11882</t>
  </si>
  <si>
    <t>Itecra SA</t>
  </si>
  <si>
    <t>Etiquetas + Ribon</t>
  </si>
  <si>
    <t>OPN-11912</t>
  </si>
  <si>
    <t>Repuestos Deshuesadora - repuetos entregados N</t>
  </si>
  <si>
    <t>OPN-11803</t>
  </si>
  <si>
    <t>Juan J. Santa Cruz</t>
  </si>
  <si>
    <t>Cunas 8.5</t>
  </si>
  <si>
    <t>OPN-11913</t>
  </si>
  <si>
    <t>OPN-11765</t>
  </si>
  <si>
    <t>OPN-11897</t>
  </si>
  <si>
    <t>Ortíz Narciso Nicolas</t>
  </si>
  <si>
    <t>Carga de Argon / nitrogeno</t>
  </si>
  <si>
    <t>OPN-11830</t>
  </si>
  <si>
    <t>Abril</t>
  </si>
  <si>
    <t xml:space="preserve">Bomba hidraulica tractor </t>
  </si>
  <si>
    <t>OPN-11747</t>
  </si>
  <si>
    <t>195/65R15 95TXL L-GRIP55 IL</t>
  </si>
  <si>
    <t>OPN-11785</t>
  </si>
  <si>
    <t>OPN-11737</t>
  </si>
  <si>
    <t>OPN-11756</t>
  </si>
  <si>
    <t>Luis Carrizo y Cia SRL</t>
  </si>
  <si>
    <t>Lubricante - Hidraulico 68 - XV300</t>
  </si>
  <si>
    <t>OPN-11811</t>
  </si>
  <si>
    <t>Papel higienico</t>
  </si>
  <si>
    <t>OPN-11941</t>
  </si>
  <si>
    <t>Lurbel SA</t>
  </si>
  <si>
    <t>Combustible - Campo</t>
  </si>
  <si>
    <t>OPN-11899</t>
  </si>
  <si>
    <t>OPN-11818</t>
  </si>
  <si>
    <t xml:space="preserve">Pedido de limpieza </t>
  </si>
  <si>
    <t>OPN-11821</t>
  </si>
  <si>
    <t>OPN-11823</t>
  </si>
  <si>
    <t>OPN-11819</t>
  </si>
  <si>
    <t>OPN-7166</t>
  </si>
  <si>
    <t>Pintos Juan</t>
  </si>
  <si>
    <t>Talonarios</t>
  </si>
  <si>
    <t>OPN-11826</t>
  </si>
  <si>
    <t>|</t>
  </si>
  <si>
    <t>OPN-7164</t>
  </si>
  <si>
    <t>OPN-7152</t>
  </si>
  <si>
    <t xml:space="preserve">Martinez Joaquin </t>
  </si>
  <si>
    <t>Pago Selectora</t>
  </si>
  <si>
    <t xml:space="preserve">Pegamento sella rosca </t>
  </si>
  <si>
    <t>OPN-11868</t>
  </si>
  <si>
    <t xml:space="preserve">2026-24 </t>
  </si>
  <si>
    <t>OPN-11908</t>
  </si>
  <si>
    <t>Mendez Roberto Marcelo</t>
  </si>
  <si>
    <t>Diseño caja</t>
  </si>
  <si>
    <t>OPN-11915</t>
  </si>
  <si>
    <t>OPN-11870</t>
  </si>
  <si>
    <t>OPN-11828</t>
  </si>
  <si>
    <t>Porco Nina Sandra Susana</t>
  </si>
  <si>
    <t>OPN-11853</t>
  </si>
  <si>
    <t>Multimodal SACIA</t>
  </si>
  <si>
    <t>Deposito envio china</t>
  </si>
  <si>
    <t>OPN-11914</t>
  </si>
  <si>
    <t>Ramon Quinteros (Nuñez Micaela)</t>
  </si>
  <si>
    <t>OPN-11824</t>
  </si>
  <si>
    <t>Pedido Planta - Retenes y rodamientos</t>
  </si>
  <si>
    <t>OPN-11864</t>
  </si>
  <si>
    <t>E-70</t>
  </si>
  <si>
    <t>OPN-11886</t>
  </si>
  <si>
    <t>OPN-11883</t>
  </si>
  <si>
    <t>Service Camioneta (Andina Motors SA)</t>
  </si>
  <si>
    <t>OPN-11884</t>
  </si>
  <si>
    <t>OPN-7220</t>
  </si>
  <si>
    <t>Service compresor Chino</t>
  </si>
  <si>
    <t>Reparación Tanque inox planta de aceite</t>
  </si>
  <si>
    <t>Desagote pozo planta -  Casa</t>
  </si>
  <si>
    <t>OPN-7172</t>
  </si>
  <si>
    <t>OPN-11820</t>
  </si>
  <si>
    <t>Suc de Cruz Bruno Dom</t>
  </si>
  <si>
    <t>OPN-11850</t>
  </si>
  <si>
    <t xml:space="preserve">Natural Resourses </t>
  </si>
  <si>
    <t>Saldo venta camioneta</t>
  </si>
  <si>
    <t>OPN-11834</t>
  </si>
  <si>
    <t>Servicio medico</t>
  </si>
  <si>
    <t>OPN-11832</t>
  </si>
  <si>
    <t>Sericio Medico</t>
  </si>
  <si>
    <t>OPN-11813</t>
  </si>
  <si>
    <t>Viñetas</t>
  </si>
  <si>
    <t>OPN-7208</t>
  </si>
  <si>
    <t>Valle Sol SAPEM</t>
  </si>
  <si>
    <t>OPN-11863</t>
  </si>
  <si>
    <t>Insumos embalaje</t>
  </si>
  <si>
    <t>OPN-11910</t>
  </si>
  <si>
    <t>OPN-11859</t>
  </si>
  <si>
    <t>OPN-11858</t>
  </si>
  <si>
    <t>Etiquetas - pedido ventas</t>
  </si>
  <si>
    <t>OPN-11827</t>
  </si>
  <si>
    <t>OPN-11875</t>
  </si>
  <si>
    <t>OPN-11872</t>
  </si>
  <si>
    <t>OPN-7178</t>
  </si>
  <si>
    <t>Cosecha 2026</t>
  </si>
  <si>
    <t>OPN-7169</t>
  </si>
  <si>
    <t>Carpio Juan Manuel</t>
  </si>
  <si>
    <t>Trabajo torneria (los cerrillos)</t>
  </si>
  <si>
    <t>OPN-7202</t>
  </si>
  <si>
    <t>Fernandes Eduardo T</t>
  </si>
  <si>
    <t>OPN-7198</t>
  </si>
  <si>
    <t>OPN-7299</t>
  </si>
  <si>
    <t>Trabajos Taller - campo</t>
  </si>
  <si>
    <t>OPN-7203</t>
  </si>
  <si>
    <t>Junta prensa EVONETA</t>
  </si>
  <si>
    <t>Trabajo en Cava</t>
  </si>
  <si>
    <t>OPN-7221</t>
  </si>
  <si>
    <t>2026-25</t>
  </si>
  <si>
    <t>OPN-11925</t>
  </si>
  <si>
    <t>OPN-11927</t>
  </si>
  <si>
    <t xml:space="preserve">Pulpeado Nueces </t>
  </si>
  <si>
    <t>OPN-7223</t>
  </si>
  <si>
    <t xml:space="preserve">Riego Santa Cruz </t>
  </si>
  <si>
    <t>OPN-7222</t>
  </si>
  <si>
    <t>Pimiento - insumos pasta</t>
  </si>
  <si>
    <t>OPN-11966</t>
  </si>
  <si>
    <t>TransMott SRL</t>
  </si>
  <si>
    <t>Tanza - Bodega</t>
  </si>
  <si>
    <t>OPN-11940</t>
  </si>
  <si>
    <t>OPN-11911</t>
  </si>
  <si>
    <t>Envio Entre Rios - Chilecito - Dupont</t>
  </si>
  <si>
    <t>OPN-11942</t>
  </si>
  <si>
    <t>OPN-11924</t>
  </si>
  <si>
    <t>Trabajo herreria porton montacarga - Cava</t>
  </si>
  <si>
    <t>OPN-7218</t>
  </si>
  <si>
    <t>OPN-11967</t>
  </si>
  <si>
    <t>Tramitar - Pago Dripsa - La Rioja</t>
  </si>
  <si>
    <t>OPN-11965</t>
  </si>
  <si>
    <t>Bolsas de pasas para sobres de aceitunas</t>
  </si>
  <si>
    <t>OPN-11964</t>
  </si>
  <si>
    <t>C.E.F.I SRL</t>
  </si>
  <si>
    <t>Filtros COE</t>
  </si>
  <si>
    <t>OPN-11962</t>
  </si>
  <si>
    <t>Semana 19</t>
  </si>
  <si>
    <t xml:space="preserve">Colcacion de cubiertas / alineado y valanceado </t>
  </si>
  <si>
    <t>19</t>
  </si>
  <si>
    <t>Service Camioneta</t>
  </si>
  <si>
    <t>Fletes - 4 equipos $250000 c/u</t>
  </si>
  <si>
    <t>Semana 20</t>
  </si>
  <si>
    <t>20</t>
  </si>
  <si>
    <t>Totales</t>
  </si>
  <si>
    <t>Semana 22</t>
  </si>
  <si>
    <t>22</t>
  </si>
  <si>
    <t>SEMANA 23</t>
  </si>
  <si>
    <t>23</t>
  </si>
  <si>
    <t>Semana 23</t>
  </si>
  <si>
    <t>24</t>
  </si>
  <si>
    <t xml:space="preserve"> U$D</t>
  </si>
  <si>
    <t>AR$</t>
  </si>
  <si>
    <t>% - AR$</t>
  </si>
  <si>
    <t>Total general</t>
  </si>
  <si>
    <t>Suma de Importe U$D</t>
  </si>
  <si>
    <t>% U$D</t>
  </si>
  <si>
    <t>=</t>
  </si>
  <si>
    <t>Suma de Importe AR$</t>
  </si>
  <si>
    <t>Suma de Importe AR$2</t>
  </si>
  <si>
    <t>Deuda Proveedores</t>
  </si>
  <si>
    <t>Total 1</t>
  </si>
  <si>
    <t>Compras nuevas</t>
  </si>
  <si>
    <t>Total 2</t>
  </si>
  <si>
    <t>Total 2026-13</t>
  </si>
  <si>
    <t>Escanio Natalia</t>
  </si>
  <si>
    <t>Servicio camaras - red</t>
  </si>
  <si>
    <t>Grupo Mildonio</t>
  </si>
  <si>
    <t>Makowski Matias</t>
  </si>
  <si>
    <t>Moran Mauricio</t>
  </si>
  <si>
    <t>Páez Joel Dario</t>
  </si>
  <si>
    <t xml:space="preserve">Siman Carolina </t>
  </si>
  <si>
    <t>Sum SRL</t>
  </si>
  <si>
    <t>Syneco</t>
  </si>
  <si>
    <t>Coita Civit Luis</t>
  </si>
  <si>
    <t>Compañía de Seguros del Norte</t>
  </si>
  <si>
    <t>Agüero Sebastian</t>
  </si>
  <si>
    <t>OPN-11961</t>
  </si>
  <si>
    <t>Servicio pulpeado nueces 2026</t>
  </si>
  <si>
    <t>Semana 25</t>
  </si>
  <si>
    <t>25</t>
  </si>
  <si>
    <t>Bolones - pedido campo</t>
  </si>
  <si>
    <t>OPN-11969</t>
  </si>
  <si>
    <t xml:space="preserve">Pedido planta - </t>
  </si>
  <si>
    <t>OPN-11970</t>
  </si>
  <si>
    <t>OPN-11972</t>
  </si>
  <si>
    <t>Compra combustible -  campo</t>
  </si>
  <si>
    <t>OPN-11968</t>
  </si>
  <si>
    <t>Envio mendoza - Chilecito - Itecra</t>
  </si>
  <si>
    <t>OPN-11980</t>
  </si>
  <si>
    <t>Envio mendoza - Chilecito - Empaque SA</t>
  </si>
  <si>
    <t>OPN-11979</t>
  </si>
  <si>
    <t>Envio mendoza - Chilecito - Jorge Ballerini</t>
  </si>
  <si>
    <t>OPN-11978</t>
  </si>
  <si>
    <t>Envio  Chilecito - Mendoza / Ballerin Raul</t>
  </si>
  <si>
    <t>OPN-11977</t>
  </si>
  <si>
    <t>OPN-11976</t>
  </si>
  <si>
    <t>OPN-11975</t>
  </si>
  <si>
    <t>OPN-11974</t>
  </si>
  <si>
    <t>Contreras Antonio</t>
  </si>
  <si>
    <t>Combustible - Combi Kia</t>
  </si>
  <si>
    <t>OPN-11981</t>
  </si>
  <si>
    <t>OPN-11982</t>
  </si>
  <si>
    <t>OPN-11984</t>
  </si>
  <si>
    <t>Diseño caja de pasas</t>
  </si>
  <si>
    <t>OPN-11983</t>
  </si>
  <si>
    <t>Salud Visual SRL</t>
  </si>
  <si>
    <t>OPN-11986</t>
  </si>
  <si>
    <t>OPN-11987</t>
  </si>
  <si>
    <t>Tomas corrioente + prolongadores - planta de aceite</t>
  </si>
  <si>
    <t>OPN-11988</t>
  </si>
  <si>
    <t>Gearvel SAI y C</t>
  </si>
  <si>
    <t>Rodamientos Marbett - pedido planta</t>
  </si>
  <si>
    <t>OPN-11991</t>
  </si>
  <si>
    <t>Grafica - saldo</t>
  </si>
  <si>
    <t>OPN-11990</t>
  </si>
  <si>
    <t>Cortez Silvina Analia</t>
  </si>
  <si>
    <t>Flete baldes - Rosario</t>
  </si>
  <si>
    <t>OPN-11994</t>
  </si>
  <si>
    <t>OPN-11995</t>
  </si>
  <si>
    <t>OPN-12000</t>
  </si>
  <si>
    <t>Alquiler de grua - traslado de panque bodega a planta de aceite</t>
  </si>
  <si>
    <t>OPN-11999</t>
  </si>
  <si>
    <t>EPP - pedido planta</t>
  </si>
  <si>
    <t>OPN-12004</t>
  </si>
  <si>
    <t>OPN-7271</t>
  </si>
  <si>
    <t>Flete campaña 2026</t>
  </si>
  <si>
    <t>OPN-7276</t>
  </si>
  <si>
    <t>OPN-7275</t>
  </si>
  <si>
    <t xml:space="preserve">Flete Bidones </t>
  </si>
  <si>
    <t>OPN-7277</t>
  </si>
  <si>
    <t>Compra de nuez</t>
  </si>
  <si>
    <t>OPN-7274</t>
  </si>
  <si>
    <t>OPN-12002</t>
  </si>
  <si>
    <t>Insumos laboratorio planta de aceite / bodega</t>
  </si>
  <si>
    <t>OPN-12005</t>
  </si>
  <si>
    <t>OPN-7273</t>
  </si>
  <si>
    <t>OPN-12003</t>
  </si>
  <si>
    <t>OPN-12006</t>
  </si>
  <si>
    <t>2026-26</t>
  </si>
  <si>
    <t>Semana 26</t>
  </si>
  <si>
    <t>OPN-12008</t>
  </si>
  <si>
    <t>OPN-12007</t>
  </si>
  <si>
    <t>OPN-7285</t>
  </si>
  <si>
    <t>OPN-12010</t>
  </si>
  <si>
    <t>Fletes fruta planta</t>
  </si>
  <si>
    <t>OPN-12011</t>
  </si>
  <si>
    <t xml:space="preserve">Edelar SA </t>
  </si>
  <si>
    <t>Finca Lolita - NIS 503745 - Periodo 2 - 3 - 4 - 5</t>
  </si>
  <si>
    <t>OPN-2</t>
  </si>
  <si>
    <t>Embalajes y Corrugados Edición Limitada</t>
  </si>
  <si>
    <t>OPN-12015</t>
  </si>
  <si>
    <t>OPN-12014</t>
  </si>
  <si>
    <t>Pedido de planta - Precintos cola de raton</t>
  </si>
  <si>
    <t>Pedido de planta - embalaje</t>
  </si>
  <si>
    <t>Pedido de Planta - E100</t>
  </si>
  <si>
    <t>OPN-12017</t>
  </si>
  <si>
    <t>Pedido planta - Insumos taller</t>
  </si>
  <si>
    <t>26</t>
  </si>
  <si>
    <t>OPN-12019</t>
  </si>
  <si>
    <t>OPN-12022</t>
  </si>
  <si>
    <t>Servicio de envios</t>
  </si>
  <si>
    <t>OPN-12018</t>
  </si>
  <si>
    <t>Pedido limpieza - Planta - Campo - Administración</t>
  </si>
  <si>
    <t>OPN-12026</t>
  </si>
  <si>
    <t>Bomba de freno autoelevador Liugong</t>
  </si>
  <si>
    <t>OPN-12023</t>
  </si>
  <si>
    <t>Servicio envasado de aceitunas</t>
  </si>
  <si>
    <t>OPN-12027</t>
  </si>
  <si>
    <t>Pila LR44 - pedido bodega</t>
  </si>
  <si>
    <t>OPN-12030</t>
  </si>
  <si>
    <t>OPN-12031</t>
  </si>
  <si>
    <t>OPN-12032</t>
  </si>
  <si>
    <t>OPN-12033</t>
  </si>
  <si>
    <t>Flete arbequina plana de aceite 2026</t>
  </si>
  <si>
    <t>OPN-7314</t>
  </si>
  <si>
    <t>OPN-7309</t>
  </si>
  <si>
    <t>OPN-7310</t>
  </si>
  <si>
    <t>OPN7339</t>
  </si>
  <si>
    <t>OPN-7341</t>
  </si>
  <si>
    <t>Anticipo flete campaña 2026</t>
  </si>
  <si>
    <t>OPN-7340</t>
  </si>
  <si>
    <t>Desagote pozo mas camara planta</t>
  </si>
  <si>
    <t>OPN-7342</t>
  </si>
  <si>
    <t>Servicio liquidación de sueldos</t>
  </si>
  <si>
    <t>OPN-12041</t>
  </si>
  <si>
    <t>Acesoramiento</t>
  </si>
  <si>
    <t>OPN-12039</t>
  </si>
  <si>
    <t>Semana 27</t>
  </si>
  <si>
    <t>2026-27</t>
  </si>
  <si>
    <t>Lagoria Hnos. SA</t>
  </si>
  <si>
    <t>Pedido administración</t>
  </si>
  <si>
    <t>Cobre Stable - Pedido campo</t>
  </si>
  <si>
    <t>OPN-12035</t>
  </si>
  <si>
    <t>Jabon liquido para manos</t>
  </si>
  <si>
    <t>OPN-12044</t>
  </si>
  <si>
    <t>OPN-12043</t>
  </si>
  <si>
    <t>Pedidos Planta / campo</t>
  </si>
  <si>
    <t xml:space="preserve">Pedido Bodeja </t>
  </si>
  <si>
    <t>OPN-12045</t>
  </si>
  <si>
    <t>OPN-12055</t>
  </si>
  <si>
    <t>OPN-12056</t>
  </si>
  <si>
    <t>OPN-12059</t>
  </si>
  <si>
    <t>OPN-12064</t>
  </si>
  <si>
    <t>OPN-12074</t>
  </si>
  <si>
    <t>Diseño e impresión de tarjetas</t>
  </si>
  <si>
    <t>Baroneto Carolina del sol</t>
  </si>
  <si>
    <t>OPN-12069</t>
  </si>
  <si>
    <t>OPN-12073</t>
  </si>
  <si>
    <t>Movilidad y viaticos</t>
  </si>
  <si>
    <t>Pedido EPP - Campo</t>
  </si>
  <si>
    <t>OPN-12075</t>
  </si>
  <si>
    <t>27</t>
  </si>
  <si>
    <t>Exponencia SA</t>
  </si>
  <si>
    <t>Caminos y sabores</t>
  </si>
  <si>
    <t>OPN-12076</t>
  </si>
  <si>
    <t>Reposición de chueque sin fondos</t>
  </si>
  <si>
    <t>OPN-12078</t>
  </si>
  <si>
    <t>OPN-12091</t>
  </si>
  <si>
    <t>OPN-12079</t>
  </si>
  <si>
    <t>OPN-12093</t>
  </si>
  <si>
    <t>OPN-12095</t>
  </si>
  <si>
    <t>OPN-12098</t>
  </si>
  <si>
    <t>OPN-12080</t>
  </si>
  <si>
    <t xml:space="preserve">OSPAV Obra social </t>
  </si>
  <si>
    <t>OPN-12092</t>
  </si>
  <si>
    <t>OPN-12081</t>
  </si>
  <si>
    <t>OPN-12082</t>
  </si>
  <si>
    <t>OPN-12083</t>
  </si>
  <si>
    <t>OPN-12084</t>
  </si>
  <si>
    <t>OPN-12085</t>
  </si>
  <si>
    <t>OPN-12086</t>
  </si>
  <si>
    <t>OPN-12087</t>
  </si>
  <si>
    <t>OPN-12088</t>
  </si>
  <si>
    <t>OPN-12089</t>
  </si>
  <si>
    <t>OPN-12090</t>
  </si>
  <si>
    <t>OPN-12094</t>
  </si>
  <si>
    <t>OPN-12100</t>
  </si>
  <si>
    <t>OPN-12097</t>
  </si>
  <si>
    <t>OPN-12077</t>
  </si>
  <si>
    <t>5400 cajas de pasas</t>
  </si>
  <si>
    <t>OPN-12099</t>
  </si>
  <si>
    <t>Periodo 5/2026</t>
  </si>
  <si>
    <t>OPN-12105</t>
  </si>
  <si>
    <t>OPN-12051</t>
  </si>
  <si>
    <t>OPN-12106</t>
  </si>
  <si>
    <t>OPN-12108</t>
  </si>
  <si>
    <t>OPN-12109</t>
  </si>
  <si>
    <t>OPN-12107</t>
  </si>
  <si>
    <t>OPN-12111</t>
  </si>
  <si>
    <t>Pedido de administración - planta - bodega</t>
  </si>
  <si>
    <t>OPN-12110</t>
  </si>
  <si>
    <t>Flete Mendoza Chilecito - La casa del filtro</t>
  </si>
  <si>
    <t>OPN-12112</t>
  </si>
  <si>
    <t>Reparación motor de arranque</t>
  </si>
  <si>
    <t>OPN-12115</t>
  </si>
  <si>
    <t>Lazo Franco Maximiliano</t>
  </si>
  <si>
    <t>OPN-12114</t>
  </si>
  <si>
    <t>Burdisso Alejandro Roberto</t>
  </si>
  <si>
    <t>Capaciotacion manupulación de alimentos</t>
  </si>
  <si>
    <t>OPN-12117</t>
  </si>
  <si>
    <t>OPN-7343</t>
  </si>
  <si>
    <t>OPN-7358</t>
  </si>
  <si>
    <t>OPN-7402</t>
  </si>
  <si>
    <t>OPN-7401</t>
  </si>
  <si>
    <t>2026-28</t>
  </si>
  <si>
    <t>Semana 28</t>
  </si>
  <si>
    <t>USB HUB / Toner samsun 2020</t>
  </si>
  <si>
    <t>OPN-12118</t>
  </si>
  <si>
    <t>OPN-12119</t>
  </si>
  <si>
    <t>OPN-12120</t>
  </si>
  <si>
    <t>OPN-12121</t>
  </si>
  <si>
    <t>OPN-7356</t>
  </si>
  <si>
    <t>OPN-12116</t>
  </si>
  <si>
    <t>OPN-7403</t>
  </si>
  <si>
    <t>Reus Miguel Angel</t>
  </si>
  <si>
    <t>OPN-7404</t>
  </si>
  <si>
    <t>OPN-7405</t>
  </si>
  <si>
    <t>OPN-7407</t>
  </si>
  <si>
    <t>OPN-7408</t>
  </si>
  <si>
    <t>OPN-7409</t>
  </si>
  <si>
    <t>OPN-7410</t>
  </si>
  <si>
    <t>OPN-12124</t>
  </si>
  <si>
    <t>OPN-7411</t>
  </si>
  <si>
    <t>OPN-12135</t>
  </si>
  <si>
    <t>OPN-12138</t>
  </si>
  <si>
    <t>Dutch Starches International</t>
  </si>
  <si>
    <t>OPN-12137</t>
  </si>
  <si>
    <t>OPN-12136</t>
  </si>
  <si>
    <t>OPN-12139</t>
  </si>
  <si>
    <t>OPN-12131</t>
  </si>
  <si>
    <t>OPN-12130</t>
  </si>
  <si>
    <t>OPN-12129</t>
  </si>
  <si>
    <t>OPN-12154</t>
  </si>
  <si>
    <t>OPN-12159</t>
  </si>
  <si>
    <t>Envio Mendoza - Chilecito - Ballerini Jorje</t>
  </si>
  <si>
    <t>OPN-12158</t>
  </si>
  <si>
    <t>Guantes descartables</t>
  </si>
  <si>
    <t>OPN-12257</t>
  </si>
  <si>
    <t>OPN-12255</t>
  </si>
  <si>
    <t>OPN-12253</t>
  </si>
  <si>
    <t>Combi Kia</t>
  </si>
  <si>
    <t>OPN-12134</t>
  </si>
  <si>
    <t>Wang Guifang</t>
  </si>
  <si>
    <t>OPN-12160</t>
  </si>
  <si>
    <t>OPN-12256</t>
  </si>
  <si>
    <t>OPN-12233</t>
  </si>
  <si>
    <t>OPN-12161</t>
  </si>
  <si>
    <t>Distribuidora Lunic</t>
  </si>
  <si>
    <t>OPN-12152</t>
  </si>
  <si>
    <t>OPN-12164</t>
  </si>
  <si>
    <t>Fernandes William Alfredo</t>
  </si>
  <si>
    <t>Desagote pozo casa Doctor (Quincho)</t>
  </si>
  <si>
    <t>OPN-7422</t>
  </si>
  <si>
    <t>Answere Soft SRL</t>
  </si>
  <si>
    <t>Software de ventas - punto de ventas 2</t>
  </si>
  <si>
    <t>OPN-12167</t>
  </si>
  <si>
    <t>OP-7287</t>
  </si>
  <si>
    <t>OPN-7455</t>
  </si>
  <si>
    <t>OPN-7406</t>
  </si>
  <si>
    <t>OPN-7454</t>
  </si>
  <si>
    <t>OPN-7456</t>
  </si>
  <si>
    <t>OPN-12173</t>
  </si>
  <si>
    <t>OPN-12175</t>
  </si>
  <si>
    <t>OPN-12176</t>
  </si>
  <si>
    <t>OPN-12174</t>
  </si>
  <si>
    <t>2026-29</t>
  </si>
  <si>
    <t>Semana 29</t>
  </si>
  <si>
    <t>Repuestos de maquina</t>
  </si>
  <si>
    <t>OPN-12171</t>
  </si>
  <si>
    <t>OPN-12169</t>
  </si>
  <si>
    <t>OPN-12172</t>
  </si>
  <si>
    <t>Pedido Administración - Almuerzo</t>
  </si>
  <si>
    <t>OPN-12179</t>
  </si>
  <si>
    <t>OPN-12178</t>
  </si>
  <si>
    <t>Despegando SAS en Formacion</t>
  </si>
  <si>
    <t>Repuesto Jeep - homocinetica</t>
  </si>
  <si>
    <t>Alambrado</t>
  </si>
  <si>
    <t>OPN-12181</t>
  </si>
  <si>
    <t>OPN-12184</t>
  </si>
  <si>
    <t>Virtucom Networks SA</t>
  </si>
  <si>
    <t>Servicio de Hosting</t>
  </si>
  <si>
    <t>OPN-12183</t>
  </si>
  <si>
    <t>OPN-7478</t>
  </si>
  <si>
    <t>OPN-7477</t>
  </si>
  <si>
    <t>OPN-7476</t>
  </si>
  <si>
    <t>OPN-7475</t>
  </si>
  <si>
    <t>OPN-7474</t>
  </si>
  <si>
    <t>OPN-7473</t>
  </si>
  <si>
    <t>OPN-7472</t>
  </si>
  <si>
    <t>Reconstructora Union SA</t>
  </si>
  <si>
    <t>Recapado 2 cubiertas - Campo</t>
  </si>
  <si>
    <t>OPN-7279</t>
  </si>
  <si>
    <t>Reparación raiador tractor finca Lolita</t>
  </si>
  <si>
    <t>OPN-12185</t>
  </si>
  <si>
    <t>Flete Mendoza Chilecito - Itecra</t>
  </si>
  <si>
    <t>OPN-12186</t>
  </si>
  <si>
    <t>OPN-12194</t>
  </si>
  <si>
    <t>OPN-12193</t>
  </si>
  <si>
    <t>Pedido Administración</t>
  </si>
  <si>
    <t>OPN-12192</t>
  </si>
  <si>
    <t>OPN-12191</t>
  </si>
  <si>
    <t>OPN-12190</t>
  </si>
  <si>
    <t>Londero Emilse Gabriela</t>
  </si>
  <si>
    <t>Pedido para Botquin Planta</t>
  </si>
  <si>
    <t>OPN-12189</t>
  </si>
  <si>
    <t>OPN-12187</t>
  </si>
  <si>
    <t>OPN-7480</t>
  </si>
  <si>
    <t>Servicio de paqueteria Bs As Chilecito - De la cruz</t>
  </si>
  <si>
    <t>OPN-12195</t>
  </si>
  <si>
    <t>OPN-12198</t>
  </si>
  <si>
    <t>Sellos cjas de pasas</t>
  </si>
  <si>
    <t>OPN-12206</t>
  </si>
  <si>
    <t>OPN-7511</t>
  </si>
  <si>
    <t>Paez Juan Manuel</t>
  </si>
  <si>
    <t>OPN-12217</t>
  </si>
  <si>
    <t>OPN-12219</t>
  </si>
  <si>
    <t>OPN-12220</t>
  </si>
  <si>
    <t>OPN-7513</t>
  </si>
  <si>
    <t>Comida perros casa doctor</t>
  </si>
  <si>
    <t>OPN-12214</t>
  </si>
  <si>
    <t>OPN-7510</t>
  </si>
  <si>
    <t>OPN-7515</t>
  </si>
  <si>
    <t>OPN-7514</t>
  </si>
  <si>
    <t>OPN-7512</t>
  </si>
  <si>
    <t>OPN-7517</t>
  </si>
  <si>
    <t>Zalazar Juan Nicolas</t>
  </si>
  <si>
    <t xml:space="preserve">Flete Aceituna 2026 </t>
  </si>
  <si>
    <t>OPN-7519</t>
  </si>
  <si>
    <t>2026-30</t>
  </si>
  <si>
    <t>Semana 30</t>
  </si>
  <si>
    <t>Vivero Bobadilla SA</t>
  </si>
  <si>
    <t>Plantas de Nogal</t>
  </si>
  <si>
    <t>OPN-7526</t>
  </si>
  <si>
    <t>Glorificador con cenefa</t>
  </si>
  <si>
    <t>OPN-12222</t>
  </si>
  <si>
    <t>Pedidos EPP - Ferreteria</t>
  </si>
  <si>
    <t>Castro Santiago Rafael</t>
  </si>
  <si>
    <t>Estacones de vid variedad malbec - atados</t>
  </si>
  <si>
    <t>OPN-7527</t>
  </si>
  <si>
    <t>Entregado a Flriana Rondina</t>
  </si>
  <si>
    <t>OPN-12230</t>
  </si>
  <si>
    <t>OPN-12229</t>
  </si>
  <si>
    <t>OPN-12228</t>
  </si>
  <si>
    <t>OPN-12227</t>
  </si>
  <si>
    <t>OPN-12226</t>
  </si>
  <si>
    <t>Alcohol Etilico</t>
  </si>
  <si>
    <t>OPN-12231</t>
  </si>
  <si>
    <t>Hierronort SRL</t>
  </si>
  <si>
    <t>Pedido Planta -  Cava</t>
  </si>
  <si>
    <t>OPN-12224</t>
  </si>
  <si>
    <t>Azucar x 50kg x 2 - pedido bodega</t>
  </si>
  <si>
    <t>OPN-12236</t>
  </si>
  <si>
    <t>Compras campo</t>
  </si>
  <si>
    <t>OPN-12232</t>
  </si>
  <si>
    <t>OPN-12234</t>
  </si>
  <si>
    <t>OPN-12235</t>
  </si>
  <si>
    <t>Reposición de cheque rechazado</t>
  </si>
  <si>
    <t>30</t>
  </si>
  <si>
    <t>OPN-12238</t>
  </si>
  <si>
    <t>Tarimas usadas + Flete</t>
  </si>
  <si>
    <t>OPN-12237</t>
  </si>
  <si>
    <t>Fletes -</t>
  </si>
  <si>
    <t>OPN-12239</t>
  </si>
  <si>
    <t>OPN-12242</t>
  </si>
  <si>
    <t>OPN-12240</t>
  </si>
  <si>
    <t>Tubos de gas Planta</t>
  </si>
  <si>
    <t>Reparacion de Alternador - los Cerrillos</t>
  </si>
  <si>
    <t>OPN-12243</t>
  </si>
  <si>
    <t>OPN-12245</t>
  </si>
  <si>
    <t>OPN-12246</t>
  </si>
  <si>
    <t>Daniel Mignani SRL</t>
  </si>
  <si>
    <t>Reparación de bomba de profundidad Grundfos</t>
  </si>
  <si>
    <t>Hidroblan SA</t>
  </si>
  <si>
    <t>Exploración Pozo</t>
  </si>
  <si>
    <t>Renovación Licencia Anual (sistema salon de ventas)</t>
  </si>
  <si>
    <t>Trabajos realizados</t>
  </si>
  <si>
    <t xml:space="preserve"> </t>
  </si>
  <si>
    <t>OPN-12252</t>
  </si>
  <si>
    <t>OPN-7561</t>
  </si>
  <si>
    <t>OPN-7528</t>
  </si>
  <si>
    <t>Reposición de cheque rechazado (Dev. Luciano H.)</t>
  </si>
  <si>
    <t>OPN-7553</t>
  </si>
  <si>
    <t>OPN-7554</t>
  </si>
  <si>
    <t>Nueva</t>
  </si>
  <si>
    <t>OPN-7562</t>
  </si>
  <si>
    <t>OPN-7555</t>
  </si>
  <si>
    <t>OPN-7558</t>
  </si>
  <si>
    <t>OPN-7556</t>
  </si>
  <si>
    <t>OPN-7557</t>
  </si>
  <si>
    <t>Trabajo realizado</t>
  </si>
  <si>
    <t>OPN-7559</t>
  </si>
  <si>
    <t>OPN-7560</t>
  </si>
  <si>
    <t>OPN-7564</t>
  </si>
  <si>
    <t>2026-31</t>
  </si>
  <si>
    <t>Semana 31</t>
  </si>
  <si>
    <t>OPN-12265</t>
  </si>
  <si>
    <t>Total 2026-31</t>
  </si>
  <si>
    <t>Deuda Carrasco Samuel Vicente - Inoperativa</t>
  </si>
  <si>
    <t>Deuda Tecnica de Samuel Carrasco SAS - Operativa</t>
  </si>
  <si>
    <t>Che Carai Maderas</t>
  </si>
  <si>
    <t>Recambio Postes - cuadros pasa de uva</t>
  </si>
  <si>
    <t>Autorep SRL</t>
  </si>
  <si>
    <t>Repuesto Chevrolet S10 -  Manguera rurbo</t>
  </si>
  <si>
    <t>OPN-12272</t>
  </si>
  <si>
    <t>Cajas de pasas sin impresión</t>
  </si>
  <si>
    <t>Etiquetas Vino</t>
  </si>
  <si>
    <t>OPN-12274</t>
  </si>
  <si>
    <t>Analisis Ocratoxina - Pasas de Uva</t>
  </si>
  <si>
    <t>OPN-12273</t>
  </si>
  <si>
    <t>OPN-12270</t>
  </si>
  <si>
    <t>OPN-12269</t>
  </si>
  <si>
    <t>OPN-12251</t>
  </si>
  <si>
    <t>OPN-12275</t>
  </si>
  <si>
    <t xml:space="preserve"> Honorarios 6-2026</t>
  </si>
  <si>
    <t>Pedidos Bruno - Fina Lolita</t>
  </si>
  <si>
    <t>OPN-12276</t>
  </si>
  <si>
    <t>Industrias Dica SRL</t>
  </si>
  <si>
    <t>Manguera sanitaria 1"</t>
  </si>
  <si>
    <t>OPN-12277</t>
  </si>
  <si>
    <t>3 Motos Keller 150 Miracle</t>
  </si>
  <si>
    <t>Led Lab Sapen</t>
  </si>
  <si>
    <t>Fletes campaña 2026</t>
  </si>
  <si>
    <t>31</t>
  </si>
  <si>
    <t>OPN-12279</t>
  </si>
  <si>
    <t>OPN-12281</t>
  </si>
  <si>
    <t>Reparacion tractor NH</t>
  </si>
  <si>
    <t>Coe</t>
  </si>
  <si>
    <t>Toyota blanca 2.8</t>
  </si>
  <si>
    <t>OPN-7566</t>
  </si>
  <si>
    <t>Reparación Tractor  John Deere (caja) - Saldo</t>
  </si>
  <si>
    <t>Servicion Medicos}</t>
  </si>
  <si>
    <t>Aguero Sebastian A.</t>
  </si>
  <si>
    <t>OPN-7568</t>
  </si>
  <si>
    <t>Saldo a favor 901694.84</t>
  </si>
  <si>
    <t>OPN-12282</t>
  </si>
  <si>
    <t>Rementeria Cristian</t>
  </si>
  <si>
    <t>Fincas Riojanas</t>
  </si>
  <si>
    <t>Pirimpex SRL</t>
  </si>
  <si>
    <t>Servicio de ventas</t>
  </si>
  <si>
    <t>Deuda Fruta 26</t>
  </si>
  <si>
    <t>Deuda Fruta 25</t>
  </si>
  <si>
    <t>Bomba de freno autoelevador Lonking</t>
  </si>
  <si>
    <t>OPN-12288</t>
  </si>
  <si>
    <t>OPN-12286</t>
  </si>
  <si>
    <t>OPN-12287</t>
  </si>
  <si>
    <t>OPN-12284</t>
  </si>
  <si>
    <t>Regalo - MM</t>
  </si>
  <si>
    <t>OPN-12293</t>
  </si>
  <si>
    <t>OPN-12292</t>
  </si>
  <si>
    <t>Granja del Valle</t>
  </si>
  <si>
    <t>OPN-12296</t>
  </si>
  <si>
    <t>OPN-7584</t>
  </si>
  <si>
    <t>OPN-12300</t>
  </si>
  <si>
    <t>OPN-12299</t>
  </si>
  <si>
    <t>Alojamiento Coita Luis</t>
  </si>
  <si>
    <t>OPN-12298</t>
  </si>
  <si>
    <t>OPN-12294</t>
  </si>
  <si>
    <t>Rele trifsico - Pedido campo</t>
  </si>
  <si>
    <t>OPN-12283</t>
  </si>
  <si>
    <t>Pircas</t>
  </si>
  <si>
    <t>OPN-7604</t>
  </si>
  <si>
    <t>OPN-7600</t>
  </si>
  <si>
    <t>Gette Carlos Alberto</t>
  </si>
  <si>
    <t>Trabajo Casa L Herrera</t>
  </si>
  <si>
    <t>OPN-7569</t>
  </si>
  <si>
    <t>OPN-7601</t>
  </si>
  <si>
    <t>OPN-7608</t>
  </si>
  <si>
    <t>OPN-7607</t>
  </si>
  <si>
    <t>OPN-7605</t>
  </si>
  <si>
    <t>OPN-7606</t>
  </si>
  <si>
    <t>OPN-7602</t>
  </si>
  <si>
    <t>Reus</t>
  </si>
  <si>
    <t>Ramos</t>
  </si>
  <si>
    <t>OPN-7603</t>
  </si>
  <si>
    <t>2026-32</t>
  </si>
  <si>
    <t>Semana 32</t>
  </si>
  <si>
    <t>OPN-12304</t>
  </si>
  <si>
    <t>OPN-12306</t>
  </si>
  <si>
    <t>OPN-12308</t>
  </si>
  <si>
    <t>OPN-12307</t>
  </si>
  <si>
    <t>Azucar para dulce de membirillo</t>
  </si>
  <si>
    <t>OPN-12317</t>
  </si>
  <si>
    <t>OPN-12316</t>
  </si>
  <si>
    <t>OPN-12315</t>
  </si>
  <si>
    <t>OPN-12314</t>
  </si>
  <si>
    <t>Ruleman + retenes - Jeep Julio</t>
  </si>
  <si>
    <t>Troncozo Diego</t>
  </si>
  <si>
    <t>Construcción pozo negro casa L herrera</t>
  </si>
  <si>
    <t>32</t>
  </si>
  <si>
    <t>Construcción pozo negro casa L. Herrera</t>
  </si>
  <si>
    <t>Gasoil - Campo</t>
  </si>
  <si>
    <t>OPN-12319</t>
  </si>
  <si>
    <t>OPN-12320</t>
  </si>
  <si>
    <t>Compras sin facturas V2 - Pedidos casa Doc.</t>
  </si>
  <si>
    <t>OPN-7610</t>
  </si>
  <si>
    <t>OPN-12305</t>
  </si>
  <si>
    <t>OPN-12331</t>
  </si>
  <si>
    <t>OPN-12330</t>
  </si>
  <si>
    <t>OPN-12335</t>
  </si>
  <si>
    <t>Trabajos electricos</t>
  </si>
  <si>
    <t>De La Cruz Chalco Luz Esmeralda</t>
  </si>
  <si>
    <t>Enebro - pedido de bodega - 2kg</t>
  </si>
  <si>
    <t>OPN-12341</t>
  </si>
  <si>
    <t>Casiva Carlos Alberto</t>
  </si>
  <si>
    <t>Reparaciones Fiat Toro</t>
  </si>
  <si>
    <t>OPN-7613</t>
  </si>
  <si>
    <t>OPN-7614</t>
  </si>
  <si>
    <t>OPN-7612</t>
  </si>
  <si>
    <t>OPN-7611</t>
  </si>
  <si>
    <t>OPN-12347</t>
  </si>
  <si>
    <t>OPN-12348</t>
  </si>
  <si>
    <t>Fabricación de cilindro hidraulico - volcador de bines</t>
  </si>
  <si>
    <t>OPN-12349</t>
  </si>
  <si>
    <t>Tornillos para implemente NH</t>
  </si>
  <si>
    <t>OPN-12352</t>
  </si>
  <si>
    <t>OPN-12329</t>
  </si>
  <si>
    <t>2026-33</t>
  </si>
  <si>
    <t>Semana 33</t>
  </si>
  <si>
    <t>Insumo de Bodega - CMC</t>
  </si>
  <si>
    <t>OPN-12358</t>
  </si>
  <si>
    <t>OPN-12357</t>
  </si>
  <si>
    <t>OPN-12359</t>
  </si>
  <si>
    <t>Envio exhibidores</t>
  </si>
  <si>
    <t>OPN-12355</t>
  </si>
  <si>
    <t>Nonogasta Construcciones</t>
  </si>
  <si>
    <t>OPN7631</t>
  </si>
  <si>
    <t>La Malligasteña SRL</t>
  </si>
  <si>
    <t>Torta Selva Negra - Pedido casa LH</t>
  </si>
  <si>
    <t>OPN-7632</t>
  </si>
  <si>
    <t>Insumo de Bodega - Bentonita</t>
  </si>
  <si>
    <t>Combstible - Campo</t>
  </si>
  <si>
    <t>OPN-7615</t>
  </si>
  <si>
    <t>Via</t>
  </si>
  <si>
    <t>Cattorini Hnos SAICEFE</t>
  </si>
  <si>
    <t>Botellas Burdeo conica baja - 7 pallets</t>
  </si>
  <si>
    <t>OPN-12365</t>
  </si>
  <si>
    <t>OPN-12369</t>
  </si>
  <si>
    <t>Pedido Embalaje</t>
  </si>
  <si>
    <t>OPN-12374</t>
  </si>
  <si>
    <t>Compras varias - Campo</t>
  </si>
  <si>
    <t>OPN-12372</t>
  </si>
  <si>
    <t>OPN-12375</t>
  </si>
  <si>
    <t>OPN-7635</t>
  </si>
  <si>
    <t>OPN-7636</t>
  </si>
  <si>
    <t>OPN-7634</t>
  </si>
  <si>
    <t>OPN-12376</t>
  </si>
  <si>
    <t>Trabajo espalderos finca Lolita</t>
  </si>
  <si>
    <t>Talonarios x - Planta</t>
  </si>
  <si>
    <t>Aridos - Finca Lolita</t>
  </si>
  <si>
    <t>OPN-12387</t>
  </si>
  <si>
    <t>OPN-12379</t>
  </si>
  <si>
    <t>OPN-12380</t>
  </si>
  <si>
    <t>OPN-12389</t>
  </si>
  <si>
    <t>33</t>
  </si>
  <si>
    <t>OPN-12384</t>
  </si>
  <si>
    <t>Reparacion arranque camioneta toyota</t>
  </si>
  <si>
    <t>OPN-12391</t>
  </si>
  <si>
    <t>Envio de pago VipLabel</t>
  </si>
  <si>
    <t>OPN-12398</t>
  </si>
  <si>
    <t>OPN-12396</t>
  </si>
  <si>
    <t xml:space="preserve">Envio Mendoza Chilecito - Durox </t>
  </si>
  <si>
    <t>OPN-12397</t>
  </si>
  <si>
    <t>Sin Factura</t>
  </si>
  <si>
    <t>3 pilas 2032</t>
  </si>
  <si>
    <t>OPN-12399</t>
  </si>
  <si>
    <t>OPN-12394</t>
  </si>
  <si>
    <t>OPN-12400</t>
  </si>
  <si>
    <t>OPN-12402</t>
  </si>
  <si>
    <t>OPN-12404</t>
  </si>
  <si>
    <t>Pedido de tapas frascos - Ventas</t>
  </si>
  <si>
    <t>OPN-12395</t>
  </si>
  <si>
    <t>OPN-12428</t>
  </si>
  <si>
    <t>Encio Chilecito -  Mendoz / Quimica mega pago</t>
  </si>
  <si>
    <t>OPN-12432</t>
  </si>
  <si>
    <t>Reguladores de gas planta</t>
  </si>
  <si>
    <t>OPN-12439</t>
  </si>
  <si>
    <t>Bisagras puerta montacarga cava</t>
  </si>
  <si>
    <t>OPN-12458</t>
  </si>
  <si>
    <t>OPN-12437</t>
  </si>
  <si>
    <t>Tranajo Plomeria casa L Herrera</t>
  </si>
  <si>
    <t>OPN-7674</t>
  </si>
  <si>
    <t>OPN-7675</t>
  </si>
  <si>
    <t>OPN-7673</t>
  </si>
  <si>
    <t>OPN-12450</t>
  </si>
  <si>
    <t>OPN-12382</t>
  </si>
  <si>
    <t>2026-34</t>
  </si>
  <si>
    <t>Semana 34</t>
  </si>
  <si>
    <t>OPN-12451</t>
  </si>
  <si>
    <t>Agroscuadras SRL</t>
  </si>
  <si>
    <t>OPN-12452</t>
  </si>
  <si>
    <t>Internet Campana</t>
  </si>
  <si>
    <t>OPN-1440</t>
  </si>
  <si>
    <t>OPN-12441</t>
  </si>
  <si>
    <t>OPN-12442</t>
  </si>
  <si>
    <t>Reparaciones taller</t>
  </si>
  <si>
    <t>OPN-12422</t>
  </si>
  <si>
    <t>Repuestos Toyota Bordo - Placa y disco</t>
  </si>
  <si>
    <t>Impreción etiqueta baldes</t>
  </si>
  <si>
    <t>Casas Luis Alberto</t>
  </si>
  <si>
    <t>Servicio de envios - La Rioja</t>
  </si>
  <si>
    <t>OPN-12464</t>
  </si>
  <si>
    <t>Krum Mecanizados Industriales</t>
  </si>
  <si>
    <t>Punzones arponados</t>
  </si>
  <si>
    <t>OPN-12475</t>
  </si>
  <si>
    <t>OPN-12476</t>
  </si>
  <si>
    <t>Servicios de fumigación</t>
  </si>
  <si>
    <t>OPN-12477</t>
  </si>
  <si>
    <t>Construcción de mangueras hidraulicas - Campo / Planta</t>
  </si>
  <si>
    <t>OPN-12478</t>
  </si>
  <si>
    <t>OPN-12480</t>
  </si>
  <si>
    <t>OPN-12479</t>
  </si>
  <si>
    <t>Reposición de cheques rechazados</t>
  </si>
  <si>
    <t>34</t>
  </si>
  <si>
    <t>OPN-12485</t>
  </si>
  <si>
    <t>Junior SAS</t>
  </si>
  <si>
    <t>OPN-12490</t>
  </si>
  <si>
    <t>OPN-12493</t>
  </si>
  <si>
    <t>OPN-7678</t>
  </si>
  <si>
    <t>Trabajo de herreria montacarga Cava (autoriza Jorge Fernandez)</t>
  </si>
  <si>
    <t>OPN-7699</t>
  </si>
  <si>
    <t>OPN-12504</t>
  </si>
  <si>
    <t>Cheque rechazado</t>
  </si>
  <si>
    <t>Moreno Matias</t>
  </si>
  <si>
    <t>Camaras KM24</t>
  </si>
  <si>
    <t>Pedido Bodega</t>
  </si>
  <si>
    <t>OPN-12492</t>
  </si>
  <si>
    <t>OPN-12506</t>
  </si>
  <si>
    <t>OPN-12508</t>
  </si>
  <si>
    <t>OPN-12507</t>
  </si>
  <si>
    <t>Semana 35</t>
  </si>
  <si>
    <t>2026-35</t>
  </si>
  <si>
    <t>OPN-12517</t>
  </si>
  <si>
    <t>OPN-12516</t>
  </si>
  <si>
    <t>Envio chilecito -  mendoza - Pago Quimica Mega</t>
  </si>
  <si>
    <t>OPN-12515</t>
  </si>
  <si>
    <t>OPN-12518</t>
  </si>
  <si>
    <t>Edelar SA  Finca Lolita</t>
  </si>
  <si>
    <t>OPN-12520</t>
  </si>
  <si>
    <t>OPN-12521</t>
  </si>
  <si>
    <t>AgroNacion</t>
  </si>
  <si>
    <t>AgroNación</t>
  </si>
  <si>
    <t>OPN-12522</t>
  </si>
  <si>
    <t>Bolsas para nueces</t>
  </si>
  <si>
    <t>OPN-12523</t>
  </si>
  <si>
    <t>OPN-12524</t>
  </si>
  <si>
    <t>Pedido de planta - Reparación de bines</t>
  </si>
  <si>
    <t>OPN-7714</t>
  </si>
  <si>
    <t>Uniforme 21</t>
  </si>
  <si>
    <t>Indumentaria -  1 entrega 2026</t>
  </si>
  <si>
    <t>De Gorro</t>
  </si>
  <si>
    <t>OPN-12533</t>
  </si>
  <si>
    <t>OPN-12531</t>
  </si>
  <si>
    <t>Envio Mendoza - Chilecito /  Bioenologia</t>
  </si>
  <si>
    <t>OPN-12535</t>
  </si>
  <si>
    <t xml:space="preserve">Saldo Favor </t>
  </si>
  <si>
    <t>OPN-12536</t>
  </si>
  <si>
    <t xml:space="preserve">Envio muestra de vinos a mar del plata - </t>
  </si>
  <si>
    <t>OPN-12543</t>
  </si>
  <si>
    <t>35</t>
  </si>
  <si>
    <t>Manguera sanitaria de 2" -  pedido de planta</t>
  </si>
  <si>
    <t>OPN-12544</t>
  </si>
  <si>
    <t>OPN-12545</t>
  </si>
  <si>
    <t>OPN-12546</t>
  </si>
  <si>
    <t>Administración</t>
  </si>
  <si>
    <t>OPN-12542</t>
  </si>
  <si>
    <t>OPN-12547</t>
  </si>
  <si>
    <t>OPN-7713</t>
  </si>
  <si>
    <t>OPN-7758</t>
  </si>
  <si>
    <t>2026-36</t>
  </si>
  <si>
    <t>Pulpeado de nuez campaña 2026</t>
  </si>
  <si>
    <t>OPN-7759</t>
  </si>
  <si>
    <t>OPN-12537</t>
  </si>
  <si>
    <t>Semana 36</t>
  </si>
  <si>
    <t>OPN-12549</t>
  </si>
  <si>
    <t>Trabajo herreria cava</t>
  </si>
  <si>
    <t xml:space="preserve">Via1 </t>
  </si>
  <si>
    <t>Via2</t>
  </si>
  <si>
    <t>Columna1</t>
  </si>
  <si>
    <t>Columna2</t>
  </si>
  <si>
    <t>Materiales electricos pozo 4</t>
  </si>
  <si>
    <t>Industria Grafica Eduardo Chiozi</t>
  </si>
  <si>
    <t>OPN-12560</t>
  </si>
  <si>
    <t>OPN-12556</t>
  </si>
  <si>
    <t>OPN-12554</t>
  </si>
  <si>
    <t>OPN-7760</t>
  </si>
  <si>
    <t>OPN-12565</t>
  </si>
  <si>
    <t>Etiquetas 10 x 15</t>
  </si>
  <si>
    <t>OPN-12566</t>
  </si>
  <si>
    <t>OPN-12564</t>
  </si>
  <si>
    <t>OPN-12561</t>
  </si>
  <si>
    <t>OPN-12571</t>
  </si>
  <si>
    <t>OPN-12572</t>
  </si>
  <si>
    <t>OPN-12573</t>
  </si>
  <si>
    <t>OPN-12574</t>
  </si>
  <si>
    <t>OPN-12575</t>
  </si>
  <si>
    <t>Sardinas Heber</t>
  </si>
  <si>
    <t>36</t>
  </si>
  <si>
    <t>Pedidos varios - EPP - limpieza - Planta / campo</t>
  </si>
  <si>
    <t>OPN-12578</t>
  </si>
  <si>
    <t>OPN-12579</t>
  </si>
  <si>
    <t>a devolver</t>
  </si>
  <si>
    <t>OPN-12577</t>
  </si>
  <si>
    <t>OPN-12580</t>
  </si>
  <si>
    <t>OPN-12582</t>
  </si>
  <si>
    <t>Chieque rechazado N845</t>
  </si>
  <si>
    <t>Pedido Ferreteria - EPP / Planta - Campo</t>
  </si>
  <si>
    <t>OPN-12581</t>
  </si>
  <si>
    <t>OPN-12583</t>
  </si>
  <si>
    <t>OPN-12585</t>
  </si>
  <si>
    <t>OPN-12586</t>
  </si>
  <si>
    <t>OPN-12587</t>
  </si>
  <si>
    <t>OPN-12588</t>
  </si>
  <si>
    <t>OPN-7783</t>
  </si>
  <si>
    <t>OPN-7784</t>
  </si>
  <si>
    <t>OPN-7786</t>
  </si>
  <si>
    <t>OPN-7785</t>
  </si>
  <si>
    <t>Servicio de envio -  Etiquetas - La Rioja Chilecito</t>
  </si>
  <si>
    <t>OPN-12590</t>
  </si>
  <si>
    <t>OPN-12592</t>
  </si>
  <si>
    <t>OPN-12584</t>
  </si>
  <si>
    <t>OPN-7787</t>
  </si>
  <si>
    <t>OPN-7789</t>
  </si>
  <si>
    <t>2026-37</t>
  </si>
  <si>
    <t>Semana 37</t>
  </si>
  <si>
    <t xml:space="preserve">Servicio de desinfeccion </t>
  </si>
  <si>
    <t>OPN-12597</t>
  </si>
  <si>
    <t>OPN-12603</t>
  </si>
  <si>
    <t>OPN-12596</t>
  </si>
  <si>
    <t>OPN-12599</t>
  </si>
  <si>
    <t>OPN-12600</t>
  </si>
  <si>
    <t>OPN-12601</t>
  </si>
  <si>
    <t>OPN-12602</t>
  </si>
  <si>
    <t>OPN-12611</t>
  </si>
  <si>
    <t>OPN-12610</t>
  </si>
  <si>
    <t>Encio Bs. As. Muestra de vino - Bodega</t>
  </si>
  <si>
    <t>OPN-12609</t>
  </si>
  <si>
    <t>Envio Mendoza - Chilecito /  Ballerini</t>
  </si>
  <si>
    <t>OPN-12608</t>
  </si>
  <si>
    <t>Envio Mendoza - Chilecito /  Itecra</t>
  </si>
  <si>
    <t>OPN-12607</t>
  </si>
  <si>
    <t>Envio San Juan - Chilecito / Empaque</t>
  </si>
  <si>
    <t>OPN-12606</t>
  </si>
  <si>
    <t>Pedido Planta - 2 velas de estufa</t>
  </si>
  <si>
    <t>OPN-12612</t>
  </si>
  <si>
    <t>Analisis agua - Planta</t>
  </si>
  <si>
    <t>Calvo Rodrigo Alejandro</t>
  </si>
  <si>
    <t>OPN-12620</t>
  </si>
  <si>
    <t>Pedido Planta - Virulana</t>
  </si>
  <si>
    <t>OPN-12619</t>
  </si>
  <si>
    <t>Reposición de cheques rechazados 810</t>
  </si>
  <si>
    <t>Reposición de cheques rechazados 830</t>
  </si>
  <si>
    <t>OPN-12567</t>
  </si>
  <si>
    <t>OPN-12618</t>
  </si>
  <si>
    <t>OPN-12617</t>
  </si>
  <si>
    <t>Cheque rechazado 829</t>
  </si>
  <si>
    <t>OPN-12614</t>
  </si>
  <si>
    <t>OSPAB</t>
  </si>
  <si>
    <t>AS-10810</t>
  </si>
  <si>
    <t>Obra Social del Personala de la Industria</t>
  </si>
  <si>
    <t>Cheque rechazado 880</t>
  </si>
  <si>
    <t>AS-10809</t>
  </si>
  <si>
    <t>Cheque rechazado 874</t>
  </si>
  <si>
    <t>OPN-7788</t>
  </si>
  <si>
    <t>Balio SA</t>
  </si>
  <si>
    <t>Pedido Vinagre - Planta</t>
  </si>
  <si>
    <t>OPN-12616</t>
  </si>
  <si>
    <t>OPN-12630</t>
  </si>
  <si>
    <t>OPN-12628</t>
  </si>
  <si>
    <t>Cheque rechazado 729</t>
  </si>
  <si>
    <t>Cheque Rechazado 457</t>
  </si>
  <si>
    <t>OPN-12627</t>
  </si>
  <si>
    <t>OPN-12626</t>
  </si>
  <si>
    <t>OPN-12625</t>
  </si>
  <si>
    <t>Cheque Rechazado 767</t>
  </si>
  <si>
    <t>OPN-12623</t>
  </si>
  <si>
    <t>OPN-12622</t>
  </si>
  <si>
    <t>Cheque rechazado 805</t>
  </si>
  <si>
    <t>OPN-12633</t>
  </si>
  <si>
    <t>OCA LOG SA</t>
  </si>
  <si>
    <t>37</t>
  </si>
  <si>
    <t>Compra de elementos de limpieza</t>
  </si>
  <si>
    <t>OPN-12615</t>
  </si>
  <si>
    <t>Pago gastos</t>
  </si>
  <si>
    <t>OPN-12634</t>
  </si>
  <si>
    <t>Cheque rechazado 814</t>
  </si>
  <si>
    <t>Cheque rechazado 812</t>
  </si>
  <si>
    <t>AS-10813</t>
  </si>
  <si>
    <t>Cheque rechazado 813</t>
  </si>
  <si>
    <t>OPN-12548</t>
  </si>
  <si>
    <t>Cheque Rechazado 785</t>
  </si>
  <si>
    <t>Cheque rechazado 460</t>
  </si>
  <si>
    <t>OPN-12624</t>
  </si>
  <si>
    <t>Cheque rechazado 828</t>
  </si>
  <si>
    <t>Cheque rechazado 806</t>
  </si>
  <si>
    <t>Provincia Aseguradora de Riesgo de Trabajo</t>
  </si>
  <si>
    <t>Cheque rechazado 739</t>
  </si>
  <si>
    <t>AS-10814</t>
  </si>
  <si>
    <t>Coordinadora de Salud SA</t>
  </si>
  <si>
    <t>Cheque rechazado 838</t>
  </si>
  <si>
    <t>AS-10816</t>
  </si>
  <si>
    <t>Cobertura de Salud SA</t>
  </si>
  <si>
    <t>Cheque rechazado 834</t>
  </si>
  <si>
    <t>AS-10818</t>
  </si>
  <si>
    <t>Cheque rechazado 865</t>
  </si>
  <si>
    <t>AS-10817</t>
  </si>
  <si>
    <t>OPN-12635</t>
  </si>
  <si>
    <t>Pedido farmacia - Antonio</t>
  </si>
  <si>
    <t>OPN-12636</t>
  </si>
  <si>
    <t>OPN-12638</t>
  </si>
  <si>
    <t>OPN-12639</t>
  </si>
  <si>
    <t>OPN-7791</t>
  </si>
  <si>
    <t>Maderas Enrique</t>
  </si>
  <si>
    <t>Toyota Bordo - Maxi</t>
  </si>
  <si>
    <t>OPN-12640</t>
  </si>
  <si>
    <t>OPN-12641</t>
  </si>
  <si>
    <t>OPN-12644</t>
  </si>
  <si>
    <t>OPN-7803</t>
  </si>
  <si>
    <t>OPN-12663</t>
  </si>
  <si>
    <t>OPN-4808</t>
  </si>
  <si>
    <t>Envases para aceite 2Lts</t>
  </si>
  <si>
    <t>OPN-12637</t>
  </si>
  <si>
    <t>OPN-7824</t>
  </si>
  <si>
    <t>OPN-12642</t>
  </si>
  <si>
    <t>OPN-12643</t>
  </si>
  <si>
    <t>Yañez</t>
  </si>
  <si>
    <t>Entregado</t>
  </si>
  <si>
    <t>Saldo</t>
  </si>
  <si>
    <t>alexis</t>
  </si>
  <si>
    <t>Servicio pasas de Uva</t>
  </si>
  <si>
    <t>OPN-12662</t>
  </si>
  <si>
    <t>Pedido Baldes</t>
  </si>
  <si>
    <t>OPN-12666</t>
  </si>
  <si>
    <t>OPN-12667</t>
  </si>
  <si>
    <t>2026-38</t>
  </si>
  <si>
    <t>Semana 38</t>
  </si>
  <si>
    <t>OPN-12669</t>
  </si>
  <si>
    <t>Combustible Taller</t>
  </si>
  <si>
    <t>OPN-12673</t>
  </si>
  <si>
    <t>OPN-12672</t>
  </si>
  <si>
    <t>Comustible</t>
  </si>
  <si>
    <t>OPN-7826</t>
  </si>
  <si>
    <t>OPN-7825</t>
  </si>
  <si>
    <t>OPN-12677</t>
  </si>
  <si>
    <t>OPN-12671</t>
  </si>
  <si>
    <t>OPB-12678</t>
  </si>
  <si>
    <t>Combustible Camppo</t>
  </si>
  <si>
    <t>OPN-12675</t>
  </si>
  <si>
    <t>Carga de Argon - nitrogeno</t>
  </si>
  <si>
    <t>OPN-12676</t>
  </si>
  <si>
    <t>CaceresInes Cecilia</t>
  </si>
  <si>
    <t>OPN-12670</t>
  </si>
  <si>
    <t>OPN-12679</t>
  </si>
  <si>
    <t>Pedidos varios campo</t>
  </si>
  <si>
    <t>OPN-12680</t>
  </si>
  <si>
    <t>OPN-12681</t>
  </si>
  <si>
    <t>Pedido Ventas - Etiquetas</t>
  </si>
  <si>
    <t>Pedido botellas bodega</t>
  </si>
  <si>
    <t>OPN-12682</t>
  </si>
  <si>
    <t>Secretaria de Trabajo</t>
  </si>
  <si>
    <t xml:space="preserve">Pago </t>
  </si>
  <si>
    <t>OPN-12683</t>
  </si>
  <si>
    <t>OPN-12684</t>
  </si>
  <si>
    <t xml:space="preserve">Combustible </t>
  </si>
  <si>
    <t>38</t>
  </si>
  <si>
    <t>OPN-12718</t>
  </si>
  <si>
    <t>OPN-12719</t>
  </si>
  <si>
    <t>OPN-12726</t>
  </si>
  <si>
    <t>OPN-12725</t>
  </si>
  <si>
    <t>Envio a Tucuman  -  Ventas</t>
  </si>
  <si>
    <t>OPN-12720</t>
  </si>
  <si>
    <t>OPN-12729</t>
  </si>
  <si>
    <t>OPN-7841</t>
  </si>
  <si>
    <t>OPN-12733</t>
  </si>
  <si>
    <t>OPN-12737</t>
  </si>
  <si>
    <t>OPN-12740</t>
  </si>
  <si>
    <t>OPN-7842</t>
  </si>
  <si>
    <t>OPN-7855</t>
  </si>
  <si>
    <t xml:space="preserve">Pedido cas </t>
  </si>
  <si>
    <t>OPN-12745</t>
  </si>
  <si>
    <t>OPN-7857</t>
  </si>
  <si>
    <t>OPN-12748</t>
  </si>
  <si>
    <t>retenciones</t>
  </si>
  <si>
    <t>OPN-12731</t>
  </si>
  <si>
    <t>OPN-12744</t>
  </si>
  <si>
    <t>OPN-7860</t>
  </si>
  <si>
    <t>2026-39</t>
  </si>
  <si>
    <t>Semana 39</t>
  </si>
  <si>
    <t>39</t>
  </si>
  <si>
    <t>Envio chilecito -  mendoza - Luis Coita</t>
  </si>
  <si>
    <t>OPN-12759</t>
  </si>
  <si>
    <t>Envio de encomienda ME000215125AR</t>
  </si>
  <si>
    <t>OPN-12760</t>
  </si>
  <si>
    <t xml:space="preserve">Facturas 18/21 - honorarios </t>
  </si>
  <si>
    <t>OPN-12762</t>
  </si>
  <si>
    <t>Cheque rechazado 851 + gastos</t>
  </si>
  <si>
    <t>OPN-12765</t>
  </si>
  <si>
    <t>Suc. Cruz Bruno</t>
  </si>
  <si>
    <t>OPN-12766</t>
  </si>
  <si>
    <t>OPN-12767</t>
  </si>
  <si>
    <t>OPN-12768</t>
  </si>
  <si>
    <t>OPN-12783</t>
  </si>
  <si>
    <t>Insumos Planta /  Laboratorio planta</t>
  </si>
  <si>
    <t>OPN-12780</t>
  </si>
  <si>
    <t>OPN-12781</t>
  </si>
  <si>
    <t>OPN-12792</t>
  </si>
  <si>
    <t>OPN-12790</t>
  </si>
  <si>
    <t>OPN-12791</t>
  </si>
  <si>
    <t>Falta Pago</t>
  </si>
  <si>
    <t>A favor</t>
  </si>
  <si>
    <t>OPN-7905</t>
  </si>
  <si>
    <t>OPN-12787</t>
  </si>
  <si>
    <t>OPN-7908</t>
  </si>
  <si>
    <t>Servicio legal</t>
  </si>
  <si>
    <t>OPN-7906</t>
  </si>
  <si>
    <t>OPN-7907</t>
  </si>
  <si>
    <t>OPN-12796</t>
  </si>
  <si>
    <t>OPN-12795</t>
  </si>
  <si>
    <t>OPN-12794</t>
  </si>
  <si>
    <t>OPN-12793</t>
  </si>
  <si>
    <t>OPN-12797</t>
  </si>
  <si>
    <t>2026-40</t>
  </si>
  <si>
    <t>Semana 40</t>
  </si>
  <si>
    <t>Combustible taller</t>
  </si>
  <si>
    <t>OPN-12805</t>
  </si>
  <si>
    <t>OPN-12799</t>
  </si>
  <si>
    <t>OPN-12800</t>
  </si>
  <si>
    <t>OPN-12807</t>
  </si>
  <si>
    <t>Rolls SRL</t>
  </si>
  <si>
    <t>E-100</t>
  </si>
  <si>
    <t>OPN-12806</t>
  </si>
  <si>
    <t>2026-00</t>
  </si>
  <si>
    <t>Confecat</t>
  </si>
  <si>
    <t>Placas fenolico  (11) pedido planta</t>
  </si>
  <si>
    <t>OPN-12814</t>
  </si>
  <si>
    <t>Colocación bomba Pozo N°4</t>
  </si>
  <si>
    <t>Compra Macarena</t>
  </si>
  <si>
    <t>OPN-12811</t>
  </si>
  <si>
    <t>OPN-12810</t>
  </si>
  <si>
    <t>OPN-12809</t>
  </si>
  <si>
    <t>Semanal</t>
  </si>
  <si>
    <t>40</t>
  </si>
  <si>
    <t>Trampas de monitoreo</t>
  </si>
  <si>
    <t>OPN-12830</t>
  </si>
  <si>
    <t>OPN-12833</t>
  </si>
  <si>
    <t>Llenas Sofia</t>
  </si>
  <si>
    <t>OPN-12824</t>
  </si>
  <si>
    <t>OPN-12818</t>
  </si>
  <si>
    <t>Compra Macarena - Servicio Sommelier</t>
  </si>
  <si>
    <t>Las Praderas Semillas</t>
  </si>
  <si>
    <t>OPN-7910</t>
  </si>
  <si>
    <t>OPN-7930</t>
  </si>
  <si>
    <t>OPN-12854</t>
  </si>
  <si>
    <t>OPN-7933</t>
  </si>
  <si>
    <t>OPN-7932</t>
  </si>
  <si>
    <t>OPN-7931</t>
  </si>
  <si>
    <t>OPN-12855</t>
  </si>
  <si>
    <t>OPN-12856</t>
  </si>
  <si>
    <t>OPN-12857</t>
  </si>
  <si>
    <t>2026-41</t>
  </si>
  <si>
    <t>Semana 41</t>
  </si>
  <si>
    <t>etiqueta baldes</t>
  </si>
  <si>
    <t>Asesoramiento técnico - Campo</t>
  </si>
  <si>
    <t>Envio Chilecito - Mendoza - Luis Coita</t>
  </si>
  <si>
    <t>OPN-12860</t>
  </si>
  <si>
    <t>OPN-12861</t>
  </si>
  <si>
    <t>OPN-12862</t>
  </si>
  <si>
    <t>Via Cargo</t>
  </si>
  <si>
    <t>Envio manguera Intercooler Chevrolet S10</t>
  </si>
  <si>
    <t>OPN-12863</t>
  </si>
  <si>
    <t>OPN-12867</t>
  </si>
  <si>
    <t>OPN-12568</t>
  </si>
  <si>
    <t>OPN-12869</t>
  </si>
  <si>
    <t>OPN-12875</t>
  </si>
  <si>
    <t>OPN-12877</t>
  </si>
  <si>
    <t>OPN-12878</t>
  </si>
  <si>
    <t>Envio Chilecito - Mendoza - Ballerini</t>
  </si>
  <si>
    <t>OPN-12879</t>
  </si>
  <si>
    <t>Hidraulico BP68 x 15 lts - Planta</t>
  </si>
  <si>
    <t>OPN-12880</t>
  </si>
  <si>
    <t>OPN-12881</t>
  </si>
  <si>
    <t>OPN-12882</t>
  </si>
  <si>
    <t>OPN-12883</t>
  </si>
  <si>
    <t>OPN12884</t>
  </si>
  <si>
    <t>Estudios laboratorio - planta</t>
  </si>
  <si>
    <t>Pedido Librería Planta - Administración</t>
  </si>
  <si>
    <t>Alimentos P/Perros - Casa Doc</t>
  </si>
  <si>
    <t>41</t>
  </si>
  <si>
    <t>Unidad Imagen Impresora</t>
  </si>
  <si>
    <t>OPN-12886</t>
  </si>
  <si>
    <t xml:space="preserve">Servicio Lavanderia - Casa </t>
  </si>
  <si>
    <t>Lacre - Bodega</t>
  </si>
  <si>
    <t>OPN-12885</t>
  </si>
  <si>
    <t>OPN-12887</t>
  </si>
  <si>
    <t>OPN-12888</t>
  </si>
  <si>
    <t>Productos de eroboristeria - Bodega</t>
  </si>
  <si>
    <t>OPN-12892</t>
  </si>
  <si>
    <t>Framarez SAS</t>
  </si>
  <si>
    <t>Repuestos Hidrolavadora BTA</t>
  </si>
  <si>
    <t>OPN-12891</t>
  </si>
  <si>
    <t>OPN-12894</t>
  </si>
  <si>
    <t>OPN-7936</t>
  </si>
  <si>
    <t>OPN-7937</t>
  </si>
  <si>
    <t>Reposición E-cheq 33</t>
  </si>
  <si>
    <t>OPN-12895</t>
  </si>
  <si>
    <t>OPN-12893</t>
  </si>
  <si>
    <t>Desagote 2 pozos plantas</t>
  </si>
  <si>
    <t>OPN-7938</t>
  </si>
  <si>
    <t>OPN-12902</t>
  </si>
  <si>
    <t xml:space="preserve">Planchas de goma 3 y 5mm - cortinas </t>
  </si>
  <si>
    <t>OPN-12914</t>
  </si>
  <si>
    <t>OPN-12903</t>
  </si>
  <si>
    <t>Pedido Embalaje Planta</t>
  </si>
  <si>
    <t>OPN-12905</t>
  </si>
  <si>
    <t>Deuda trabajos</t>
  </si>
  <si>
    <t>Franceschi Liliana</t>
  </si>
  <si>
    <t>Nina</t>
  </si>
  <si>
    <t>El Obrador</t>
  </si>
  <si>
    <t>OPN-12927</t>
  </si>
  <si>
    <t>OPN-12925</t>
  </si>
  <si>
    <t>OPN-7970</t>
  </si>
  <si>
    <t>OPN-12926</t>
  </si>
  <si>
    <t>OPN-7969</t>
  </si>
  <si>
    <t>OPN-7967</t>
  </si>
  <si>
    <t>Chachos</t>
  </si>
  <si>
    <t>2026-42</t>
  </si>
  <si>
    <t>OPN-12930</t>
  </si>
  <si>
    <t>Pozo Chancalay Kevin Manuel</t>
  </si>
  <si>
    <t>OPN-12929</t>
  </si>
  <si>
    <t>OPN-12928</t>
  </si>
  <si>
    <t>OPN-12924</t>
  </si>
  <si>
    <t>OPN-12923</t>
  </si>
  <si>
    <t>OPN-12922</t>
  </si>
  <si>
    <t>OPN-12918</t>
  </si>
  <si>
    <t>Albrieu Carlos Alberto</t>
  </si>
  <si>
    <t>OPN-12966</t>
  </si>
  <si>
    <t>Cabezar cortadora Sthil (compra Julio Tello)</t>
  </si>
  <si>
    <t>Via Cargo SA</t>
  </si>
  <si>
    <t>Servicio encomienda - Bs - Chilecito</t>
  </si>
  <si>
    <t>OPN-12967</t>
  </si>
  <si>
    <t>OPN-12969</t>
  </si>
  <si>
    <t>OPN-12962</t>
  </si>
  <si>
    <t>OPN-7986</t>
  </si>
  <si>
    <t>El Chileciteño SRL</t>
  </si>
  <si>
    <t xml:space="preserve">Servicio de paqueteria  </t>
  </si>
  <si>
    <t>Servicio de energia Periodo 8</t>
  </si>
  <si>
    <t>Servicio de energia Periodo 9</t>
  </si>
  <si>
    <t>Servicio de energia - Cheque R</t>
  </si>
  <si>
    <t>OPN-12971</t>
  </si>
  <si>
    <t>Vassellati Cesar</t>
  </si>
  <si>
    <t>42</t>
  </si>
  <si>
    <t>OPN-12946</t>
  </si>
  <si>
    <t>OPN-12973</t>
  </si>
  <si>
    <t xml:space="preserve">Fundación Argentina para </t>
  </si>
  <si>
    <t>OPN-12975</t>
  </si>
  <si>
    <t>Expo</t>
  </si>
  <si>
    <t>Pedido Laboratorio Bodega</t>
  </si>
  <si>
    <t>OPN-12972</t>
  </si>
  <si>
    <t>Maderas para embaleje - marco cuadro</t>
  </si>
  <si>
    <t>OPN-12970</t>
  </si>
  <si>
    <t>OPN-12978</t>
  </si>
  <si>
    <t xml:space="preserve">Pedido Cava   </t>
  </si>
  <si>
    <t>OPN-12982</t>
  </si>
  <si>
    <t>Comision por venta de aveite Zucardi</t>
  </si>
  <si>
    <t>OPN-12983</t>
  </si>
  <si>
    <t>OPN-12984</t>
  </si>
  <si>
    <t>OPN-12976</t>
  </si>
  <si>
    <t>Olivera Luis Alberto</t>
  </si>
  <si>
    <t>2 gomas</t>
  </si>
  <si>
    <t>OPN-12981</t>
  </si>
  <si>
    <t>Indumentaria - 1 entrega 2026</t>
  </si>
  <si>
    <t>OPN-12980</t>
  </si>
  <si>
    <t>Reparación Tractor New Holland</t>
  </si>
  <si>
    <t>OPN-7998</t>
  </si>
  <si>
    <t>OPN-7994</t>
  </si>
  <si>
    <t>OPN-7993</t>
  </si>
  <si>
    <t>OPN-12993</t>
  </si>
  <si>
    <t>OPN-12996</t>
  </si>
  <si>
    <t>OPN-12998</t>
  </si>
  <si>
    <t>OPN-12995</t>
  </si>
  <si>
    <t>OPN-12994</t>
  </si>
  <si>
    <t>2026-43</t>
  </si>
  <si>
    <t>Total 2026-43</t>
  </si>
  <si>
    <t>OPN-13011</t>
  </si>
  <si>
    <t>Envio Mendoz a- Chilecito - Wine Solutions</t>
  </si>
  <si>
    <t>OPN-13014</t>
  </si>
  <si>
    <t>OPN-13022</t>
  </si>
  <si>
    <t>Lamparas - Bodega</t>
  </si>
  <si>
    <t>OPN-13027</t>
  </si>
  <si>
    <t>OPN-13024</t>
  </si>
  <si>
    <t>La Industrial Salinera SA</t>
  </si>
  <si>
    <t>Cheuques rechasados</t>
  </si>
  <si>
    <t>OPN-13028</t>
  </si>
  <si>
    <t>Cheque Rechasado</t>
  </si>
  <si>
    <t>OPN-13026</t>
  </si>
  <si>
    <t>OPN-13021</t>
  </si>
  <si>
    <t>OPN-13025</t>
  </si>
  <si>
    <t>OPN-13023</t>
  </si>
  <si>
    <t>Reparación Combi Kia</t>
  </si>
  <si>
    <t>OPN-13034</t>
  </si>
  <si>
    <t>Total Pagado</t>
  </si>
  <si>
    <t>Fortaleza SA</t>
  </si>
  <si>
    <t>Pedido Bodega - Alcohol Etilico</t>
  </si>
  <si>
    <t>OPN-13036</t>
  </si>
  <si>
    <t>Garia Pablo Javir (Hidromec)</t>
  </si>
  <si>
    <t>Arranque suave pozo 19 los Cerrillos</t>
  </si>
  <si>
    <t>OPN-13037</t>
  </si>
  <si>
    <t>Pedido Planta - Alginato</t>
  </si>
  <si>
    <t>43</t>
  </si>
  <si>
    <t>Envio mendoza - Chilecito - Ballerini</t>
  </si>
  <si>
    <t>OPN-13041</t>
  </si>
  <si>
    <t>Service 40000 KM S10 - Floriana Rondina</t>
  </si>
  <si>
    <t>Alquiler de Grua - Tanques planta de aceite</t>
  </si>
  <si>
    <t>OPN-13043</t>
  </si>
  <si>
    <t>Sistema Integral SAS</t>
  </si>
  <si>
    <t>OPN-13042</t>
  </si>
  <si>
    <t>OPN-13032</t>
  </si>
  <si>
    <t>OPN-13031</t>
  </si>
  <si>
    <t>Ribot Patricia Mabel</t>
  </si>
  <si>
    <t>Cheque Rechasado N119</t>
  </si>
  <si>
    <t>OPN-13047</t>
  </si>
  <si>
    <t>OPN-13046</t>
  </si>
  <si>
    <t>Cheque Rechasado N119 - Gatos</t>
  </si>
  <si>
    <t>Correo Oficial de la Republica Argentina</t>
  </si>
  <si>
    <t>Envio Bs As - Etiquetas bodega</t>
  </si>
  <si>
    <t>OPN-13070</t>
  </si>
  <si>
    <t>Pedido Finca Lolita</t>
  </si>
  <si>
    <t>OPN-13069</t>
  </si>
  <si>
    <t>OPN-8012</t>
  </si>
  <si>
    <t>OPN-13075</t>
  </si>
  <si>
    <t>OPN-13076</t>
  </si>
  <si>
    <t>OPN-13078</t>
  </si>
  <si>
    <t>Etiquetas para frascos rellena</t>
  </si>
  <si>
    <t>OPN-13079</t>
  </si>
  <si>
    <t>OPN-13096</t>
  </si>
  <si>
    <t>OPN-13097</t>
  </si>
  <si>
    <t>OPN-13095</t>
  </si>
  <si>
    <t>Agüero Sebastian A.</t>
  </si>
  <si>
    <t>OPN-13094</t>
  </si>
  <si>
    <t>Torres Guillermo Luis</t>
  </si>
  <si>
    <t>Pintura - Mary</t>
  </si>
  <si>
    <t>OPN-13091</t>
  </si>
  <si>
    <t>OPN-13090</t>
  </si>
  <si>
    <t>Agro Nacion</t>
  </si>
  <si>
    <t>Envios salon de ventas</t>
  </si>
  <si>
    <t>OPN-13089</t>
  </si>
  <si>
    <t>Articulos Libretia</t>
  </si>
  <si>
    <t>OPN-13088</t>
  </si>
  <si>
    <t>Servicio de fumigacion</t>
  </si>
  <si>
    <t>OPN-13087</t>
  </si>
  <si>
    <t>OPN-13086</t>
  </si>
  <si>
    <t>OPN-13085</t>
  </si>
  <si>
    <t>OPN13084</t>
  </si>
  <si>
    <t>Makowski Matias Jorge</t>
  </si>
  <si>
    <t>OPN-13083</t>
  </si>
  <si>
    <t>OPN-13082</t>
  </si>
  <si>
    <t>OPN-13081</t>
  </si>
  <si>
    <t>Diogenes SAS</t>
  </si>
  <si>
    <t>OPN-13080</t>
  </si>
  <si>
    <t>OPN-13077</t>
  </si>
  <si>
    <t>OPN-13074</t>
  </si>
  <si>
    <t>OPN-13098</t>
  </si>
  <si>
    <t>OPN-13068</t>
  </si>
  <si>
    <t>Servicios Medicos</t>
  </si>
  <si>
    <t>OPN-13033</t>
  </si>
  <si>
    <t>Pago Cheque rechazado 499</t>
  </si>
  <si>
    <t>OPN-13017</t>
  </si>
  <si>
    <t>2026-44</t>
  </si>
  <si>
    <t>Pedido Limpieza Salon de ventas</t>
  </si>
  <si>
    <t>OPN-13110</t>
  </si>
  <si>
    <t>Perez Sergio Fabian</t>
  </si>
  <si>
    <t>Valvulas 13</t>
  </si>
  <si>
    <t>OPN-13111</t>
  </si>
  <si>
    <t>Pedido Limpieza Administracion - Campo</t>
  </si>
  <si>
    <t>OPN-13112</t>
  </si>
  <si>
    <t>OPN-13113</t>
  </si>
  <si>
    <t>OPN-13115</t>
  </si>
  <si>
    <t>OPN-13116</t>
  </si>
  <si>
    <t>OPN-13117</t>
  </si>
  <si>
    <t>OPN-13114</t>
  </si>
  <si>
    <t>OPN-8044</t>
  </si>
  <si>
    <t>OPN-13018</t>
  </si>
  <si>
    <t>OPN-13119</t>
  </si>
  <si>
    <t>OPN-8043</t>
  </si>
  <si>
    <t>OPN-8045</t>
  </si>
  <si>
    <t>OPN-13120</t>
  </si>
  <si>
    <t>(en blanco)</t>
  </si>
  <si>
    <t>Total Ramos José Manuel</t>
  </si>
  <si>
    <t>Sibona Lorena Elvia</t>
  </si>
  <si>
    <t>Recarga CO2 - Argon</t>
  </si>
  <si>
    <t>OPN-13124</t>
  </si>
  <si>
    <t>Aleua Jorge Nadin</t>
  </si>
  <si>
    <t>Repuestos - Correas B-110</t>
  </si>
  <si>
    <t>Selva Lorena Cruz</t>
  </si>
  <si>
    <t>OPN-13126</t>
  </si>
  <si>
    <t>OPN-13125</t>
  </si>
  <si>
    <t>OPN-13129</t>
  </si>
  <si>
    <t>OPN-13128</t>
  </si>
  <si>
    <t>50% efectivo 50% Chachos</t>
  </si>
  <si>
    <t>OPN-13130</t>
  </si>
  <si>
    <t>Total 2026-44</t>
  </si>
  <si>
    <t>Total Semana</t>
  </si>
  <si>
    <t>Edelar SA - Finca Lolita</t>
  </si>
  <si>
    <t>OPN-13123</t>
  </si>
  <si>
    <t>Geminelli SA</t>
  </si>
  <si>
    <t>Pago Cheque rechazado N°31 (Barraza)</t>
  </si>
  <si>
    <t>OPN-13121</t>
  </si>
  <si>
    <t>Cataldo Segio Hector</t>
  </si>
  <si>
    <t>Flete Bioenologia</t>
  </si>
  <si>
    <t>OPN-13132</t>
  </si>
  <si>
    <t>Analisis - pedido planta</t>
  </si>
  <si>
    <t>OPN13140</t>
  </si>
  <si>
    <t>Servicio de energia Periodo 10</t>
  </si>
  <si>
    <t>Servicio de energia Periodo 7</t>
  </si>
  <si>
    <t>Servicio de energia Periodo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</si>
</sst>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_-;\-* #,##0_-;_-* &quot;-&quot;??_-;_-@_-"/>
    <numFmt numFmtId="166" formatCode="_-* #,##0.00\ _€_-;\-* #,##0.00\ _€_-;_-* &quot;-&quot;??\ _€_-;_-@_-"/>
    <numFmt numFmtId="167" formatCode="_-[$USD]\ * #,##0.00_-;\-[$USD]\ * #,##0.00_-;_-[$USD]\ * &quot;-&quot;??_-;_-@_-"/>
    <numFmt numFmtId="168" formatCode="dd/mm/yy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Roboto"/>
      <family val="2"/>
    </font>
    <font>
      <sz val="11"/>
      <color theme="1"/>
      <name val="Roboto"/>
      <family val="2"/>
    </font>
    <font>
      <sz val="11"/>
      <color theme="1"/>
      <name val="Roboto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  <font>
      <sz val="8"/>
      <color rgb="FF2A2E43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0" fontId="1" fillId="0" borderId="0"/>
  </cellStyleXfs>
  <cellXfs count="105">
    <xf numFmtId="0" fontId="0" fillId="0" borderId="0" xfId="0"/>
    <xf numFmtId="0" fontId="0" fillId="0" borderId="2" xfId="0" applyBorder="1"/>
    <xf numFmtId="44" fontId="0" fillId="0" borderId="0" xfId="2" applyFont="1"/>
    <xf numFmtId="0" fontId="0" fillId="0" borderId="0" xfId="0" applyAlignment="1">
      <alignment horizontal="center"/>
    </xf>
    <xf numFmtId="44" fontId="6" fillId="0" borderId="0" xfId="2" applyFont="1"/>
    <xf numFmtId="0" fontId="6" fillId="0" borderId="0" xfId="0" applyFont="1" applyAlignment="1">
      <alignment horizontal="center"/>
    </xf>
    <xf numFmtId="44" fontId="6" fillId="0" borderId="0" xfId="2" applyFont="1" applyAlignment="1">
      <alignment horizontal="center"/>
    </xf>
    <xf numFmtId="0" fontId="0" fillId="0" borderId="4" xfId="0" applyBorder="1"/>
    <xf numFmtId="44" fontId="0" fillId="0" borderId="0" xfId="0" applyNumberFormat="1"/>
    <xf numFmtId="43" fontId="7" fillId="0" borderId="0" xfId="1" applyFont="1"/>
    <xf numFmtId="0" fontId="0" fillId="0" borderId="3" xfId="0" applyBorder="1"/>
    <xf numFmtId="44" fontId="0" fillId="0" borderId="5" xfId="2" applyFont="1" applyBorder="1"/>
    <xf numFmtId="44" fontId="0" fillId="0" borderId="6" xfId="2" applyFont="1" applyBorder="1"/>
    <xf numFmtId="44" fontId="0" fillId="0" borderId="7" xfId="2" applyFont="1" applyBorder="1"/>
    <xf numFmtId="0" fontId="4" fillId="2" borderId="2" xfId="0" applyFont="1" applyFill="1" applyBorder="1" applyAlignment="1">
      <alignment horizontal="center"/>
    </xf>
    <xf numFmtId="44" fontId="4" fillId="2" borderId="2" xfId="2" applyFont="1" applyFill="1" applyBorder="1" applyAlignment="1">
      <alignment horizontal="center"/>
    </xf>
    <xf numFmtId="164" fontId="4" fillId="2" borderId="3" xfId="2" applyNumberFormat="1" applyFont="1" applyFill="1" applyBorder="1" applyAlignment="1">
      <alignment horizontal="center"/>
    </xf>
    <xf numFmtId="44" fontId="0" fillId="0" borderId="0" xfId="2" applyFont="1" applyFill="1"/>
    <xf numFmtId="43" fontId="4" fillId="2" borderId="2" xfId="1" applyFont="1" applyFill="1" applyBorder="1" applyAlignment="1">
      <alignment horizontal="center"/>
    </xf>
    <xf numFmtId="44" fontId="0" fillId="0" borderId="0" xfId="2" applyFont="1" applyFill="1" applyBorder="1"/>
    <xf numFmtId="0" fontId="0" fillId="0" borderId="1" xfId="0" applyBorder="1" applyAlignment="1">
      <alignment horizontal="center"/>
    </xf>
    <xf numFmtId="165" fontId="0" fillId="0" borderId="0" xfId="1" applyNumberFormat="1" applyFont="1"/>
    <xf numFmtId="44" fontId="4" fillId="2" borderId="3" xfId="2" applyFont="1" applyFill="1" applyBorder="1" applyAlignment="1">
      <alignment horizontal="center"/>
    </xf>
    <xf numFmtId="1" fontId="0" fillId="0" borderId="0" xfId="0" applyNumberFormat="1"/>
    <xf numFmtId="0" fontId="0" fillId="0" borderId="0" xfId="0" pivotButton="1"/>
    <xf numFmtId="0" fontId="6" fillId="0" borderId="0" xfId="0" applyFont="1"/>
    <xf numFmtId="16" fontId="0" fillId="0" borderId="0" xfId="0" applyNumberFormat="1"/>
    <xf numFmtId="14" fontId="0" fillId="0" borderId="0" xfId="0" applyNumberFormat="1"/>
    <xf numFmtId="0" fontId="0" fillId="0" borderId="8" xfId="0" applyBorder="1"/>
    <xf numFmtId="0" fontId="0" fillId="5" borderId="8" xfId="0" applyFill="1" applyBorder="1"/>
    <xf numFmtId="44" fontId="0" fillId="5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2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44" fontId="0" fillId="3" borderId="7" xfId="2" applyFont="1" applyFill="1" applyBorder="1"/>
    <xf numFmtId="44" fontId="0" fillId="0" borderId="8" xfId="2" applyFont="1" applyFill="1" applyBorder="1"/>
    <xf numFmtId="44" fontId="6" fillId="0" borderId="8" xfId="2" applyFont="1" applyFill="1" applyBorder="1"/>
    <xf numFmtId="0" fontId="6" fillId="0" borderId="8" xfId="0" applyFont="1" applyBorder="1" applyAlignment="1">
      <alignment horizontal="right"/>
    </xf>
    <xf numFmtId="0" fontId="4" fillId="2" borderId="10" xfId="0" applyFont="1" applyFill="1" applyBorder="1" applyAlignment="1">
      <alignment horizontal="center"/>
    </xf>
    <xf numFmtId="44" fontId="4" fillId="2" borderId="10" xfId="2" applyFont="1" applyFill="1" applyBorder="1" applyAlignment="1">
      <alignment horizontal="center"/>
    </xf>
    <xf numFmtId="166" fontId="0" fillId="0" borderId="0" xfId="0" applyNumberFormat="1"/>
    <xf numFmtId="44" fontId="0" fillId="0" borderId="9" xfId="2" applyFont="1" applyFill="1" applyBorder="1"/>
    <xf numFmtId="1" fontId="0" fillId="0" borderId="0" xfId="0" applyNumberFormat="1" applyAlignment="1">
      <alignment horizontal="center"/>
    </xf>
    <xf numFmtId="43" fontId="0" fillId="0" borderId="0" xfId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49" fontId="10" fillId="0" borderId="0" xfId="0" applyNumberFormat="1" applyFont="1"/>
    <xf numFmtId="14" fontId="0" fillId="0" borderId="0" xfId="0" applyNumberFormat="1" applyAlignment="1">
      <alignment horizontal="left"/>
    </xf>
    <xf numFmtId="44" fontId="0" fillId="4" borderId="0" xfId="2" applyFont="1" applyFill="1"/>
    <xf numFmtId="10" fontId="0" fillId="0" borderId="0" xfId="0" applyNumberFormat="1"/>
    <xf numFmtId="167" fontId="0" fillId="0" borderId="0" xfId="2" applyNumberFormat="1" applyFont="1"/>
    <xf numFmtId="167" fontId="7" fillId="0" borderId="0" xfId="1" applyNumberFormat="1" applyFont="1"/>
    <xf numFmtId="167" fontId="4" fillId="2" borderId="2" xfId="2" applyNumberFormat="1" applyFont="1" applyFill="1" applyBorder="1" applyAlignment="1">
      <alignment horizontal="center"/>
    </xf>
    <xf numFmtId="167" fontId="0" fillId="0" borderId="0" xfId="2" applyNumberFormat="1" applyFont="1" applyFill="1"/>
    <xf numFmtId="167" fontId="0" fillId="0" borderId="0" xfId="2" applyNumberFormat="1" applyFont="1" applyFill="1" applyBorder="1"/>
    <xf numFmtId="167" fontId="0" fillId="4" borderId="0" xfId="2" applyNumberFormat="1" applyFont="1" applyFill="1"/>
    <xf numFmtId="167" fontId="0" fillId="0" borderId="0" xfId="0" applyNumberFormat="1"/>
    <xf numFmtId="44" fontId="9" fillId="0" borderId="5" xfId="2" applyFont="1" applyBorder="1"/>
    <xf numFmtId="44" fontId="9" fillId="0" borderId="7" xfId="2" applyFont="1" applyBorder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0" fillId="0" borderId="4" xfId="1" applyNumberFormat="1" applyFont="1" applyBorder="1" applyAlignment="1">
      <alignment horizontal="center"/>
    </xf>
    <xf numFmtId="167" fontId="0" fillId="0" borderId="2" xfId="1" applyNumberFormat="1" applyFont="1" applyBorder="1" applyAlignment="1">
      <alignment horizontal="center"/>
    </xf>
    <xf numFmtId="167" fontId="0" fillId="0" borderId="3" xfId="1" applyNumberFormat="1" applyFont="1" applyBorder="1" applyAlignment="1">
      <alignment horizontal="center"/>
    </xf>
    <xf numFmtId="43" fontId="7" fillId="0" borderId="0" xfId="1" applyFont="1" applyAlignment="1">
      <alignment horizontal="center"/>
    </xf>
    <xf numFmtId="14" fontId="7" fillId="0" borderId="0" xfId="1" applyNumberFormat="1" applyFont="1"/>
    <xf numFmtId="168" fontId="0" fillId="0" borderId="0" xfId="0" applyNumberFormat="1"/>
    <xf numFmtId="168" fontId="0" fillId="0" borderId="0" xfId="0" applyNumberFormat="1" applyAlignment="1">
      <alignment horizontal="right"/>
    </xf>
    <xf numFmtId="44" fontId="0" fillId="6" borderId="0" xfId="2" applyFont="1" applyFill="1"/>
    <xf numFmtId="44" fontId="0" fillId="0" borderId="0" xfId="0" applyNumberFormat="1" applyAlignment="1">
      <alignment horizontal="center"/>
    </xf>
    <xf numFmtId="44" fontId="11" fillId="0" borderId="0" xfId="0" applyNumberFormat="1" applyFont="1"/>
    <xf numFmtId="44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44" fontId="12" fillId="0" borderId="0" xfId="2" applyFont="1"/>
    <xf numFmtId="0" fontId="0" fillId="7" borderId="0" xfId="0" applyFill="1"/>
    <xf numFmtId="44" fontId="0" fillId="7" borderId="0" xfId="2" applyFont="1" applyFill="1"/>
    <xf numFmtId="0" fontId="4" fillId="8" borderId="13" xfId="0" applyFont="1" applyFill="1" applyBorder="1"/>
    <xf numFmtId="0" fontId="0" fillId="5" borderId="9" xfId="0" applyFill="1" applyBorder="1"/>
    <xf numFmtId="44" fontId="0" fillId="5" borderId="9" xfId="2" applyFont="1" applyFill="1" applyBorder="1"/>
    <xf numFmtId="6" fontId="0" fillId="0" borderId="0" xfId="1" applyNumberFormat="1" applyFont="1" applyFill="1" applyAlignment="1">
      <alignment horizontal="center"/>
    </xf>
    <xf numFmtId="44" fontId="4" fillId="8" borderId="15" xfId="2" applyFont="1" applyFill="1" applyBorder="1"/>
    <xf numFmtId="44" fontId="0" fillId="5" borderId="14" xfId="2" applyFont="1" applyFill="1" applyBorder="1"/>
    <xf numFmtId="44" fontId="0" fillId="0" borderId="14" xfId="2" applyFont="1" applyBorder="1"/>
    <xf numFmtId="0" fontId="0" fillId="9" borderId="0" xfId="0" applyFill="1"/>
    <xf numFmtId="44" fontId="0" fillId="9" borderId="0" xfId="2" applyFont="1" applyFill="1"/>
    <xf numFmtId="0" fontId="0" fillId="4" borderId="0" xfId="0" applyFill="1"/>
    <xf numFmtId="17" fontId="0" fillId="0" borderId="0" xfId="0" applyNumberFormat="1"/>
    <xf numFmtId="0" fontId="6" fillId="0" borderId="1" xfId="0" applyFont="1" applyBorder="1"/>
    <xf numFmtId="44" fontId="6" fillId="0" borderId="1" xfId="2" applyFont="1" applyBorder="1"/>
    <xf numFmtId="0" fontId="6" fillId="5" borderId="8" xfId="0" applyFont="1" applyFill="1" applyBorder="1" applyAlignment="1">
      <alignment horizontal="center"/>
    </xf>
    <xf numFmtId="44" fontId="5" fillId="0" borderId="0" xfId="2" applyFont="1" applyAlignment="1">
      <alignment horizontal="center"/>
    </xf>
    <xf numFmtId="0" fontId="4" fillId="8" borderId="8" xfId="0" applyFont="1" applyFill="1" applyBorder="1"/>
    <xf numFmtId="44" fontId="6" fillId="5" borderId="14" xfId="2" applyFont="1" applyFill="1" applyBorder="1"/>
    <xf numFmtId="44" fontId="6" fillId="0" borderId="0" xfId="2" applyFont="1" applyAlignment="1">
      <alignment horizontal="right"/>
    </xf>
    <xf numFmtId="44" fontId="6" fillId="0" borderId="0" xfId="0" applyNumberFormat="1" applyFont="1"/>
    <xf numFmtId="0" fontId="0" fillId="0" borderId="0" xfId="0" applyFill="1" applyAlignment="1">
      <alignment horizontal="center"/>
    </xf>
    <xf numFmtId="0" fontId="0" fillId="0" borderId="0" xfId="0" applyFill="1"/>
    <xf numFmtId="168" fontId="0" fillId="0" borderId="0" xfId="0" applyNumberFormat="1" applyFill="1"/>
    <xf numFmtId="1" fontId="0" fillId="0" borderId="0" xfId="0" applyNumberFormat="1" applyFill="1" applyAlignment="1">
      <alignment horizontal="center"/>
    </xf>
    <xf numFmtId="44" fontId="5" fillId="0" borderId="0" xfId="0" applyNumberFormat="1" applyFont="1"/>
    <xf numFmtId="0" fontId="0" fillId="0" borderId="0" xfId="0" applyNumberFormat="1"/>
  </cellXfs>
  <cellStyles count="8">
    <cellStyle name="Millares" xfId="1" builtinId="3"/>
    <cellStyle name="Millares 2" xfId="4" xr:uid="{CD12DEBE-280D-4D12-B501-CDB5675ED373}"/>
    <cellStyle name="Moneda" xfId="2" builtinId="4"/>
    <cellStyle name="Moneda 2" xfId="5" xr:uid="{D9E22B67-DD81-4214-B24D-5BC1858A18AF}"/>
    <cellStyle name="Normal" xfId="0" builtinId="0"/>
    <cellStyle name="Normal 2" xfId="3" xr:uid="{C33A2DFD-BB86-486E-BAE3-7D8CA93F4B31}"/>
    <cellStyle name="Normal 2 2" xfId="6" xr:uid="{DA56ED41-AEDC-48DE-BB70-E77209D17160}"/>
    <cellStyle name="Normal 2 3" xfId="7" xr:uid="{AAECEE7E-521A-45E5-AE5D-33FC8E58861F}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168" formatCode="dd/mm/yyyy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_-[$USD]\ * #,##0.00_-;\-[$USD]\ * #,##0.00_-;_-[$USD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ck">
          <color theme="4"/>
        </left>
        <right style="thick">
          <color theme="4"/>
        </right>
        <top style="thick">
          <color theme="4"/>
        </top>
        <bottom style="thick">
          <color theme="4"/>
        </bottom>
      </border>
    </dxf>
  </dxfs>
  <tableStyles count="1" defaultTableStyle="TableStyleMedium2" defaultPivotStyle="PivotStyleLight16">
    <tableStyle name="Estilo de segmentación de datos 1" pivot="0" table="0" count="1" xr9:uid="{3C296266-580A-49B5-A151-73DEFD5B1A64}">
      <tableStyleElement type="wholeTable" dxfId="141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21404</xdr:colOff>
      <xdr:row>1</xdr:row>
      <xdr:rowOff>74917</xdr:rowOff>
    </xdr:from>
    <xdr:to>
      <xdr:col>1</xdr:col>
      <xdr:colOff>2174907</xdr:colOff>
      <xdr:row>5</xdr:row>
      <xdr:rowOff>149833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346C8CDB-D824-44A3-BC81-41B73763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404" y="267557"/>
          <a:ext cx="3041790" cy="845478"/>
        </a:xfrm>
        <a:prstGeom prst="rect">
          <a:avLst/>
        </a:prstGeom>
      </xdr:spPr>
    </xdr:pic>
    <xdr:clientData/>
  </xdr:twoCellAnchor>
  <xdr:twoCellAnchor editAs="oneCell">
    <xdr:from>
      <xdr:col>2</xdr:col>
      <xdr:colOff>10824</xdr:colOff>
      <xdr:row>0</xdr:row>
      <xdr:rowOff>0</xdr:rowOff>
    </xdr:from>
    <xdr:to>
      <xdr:col>2</xdr:col>
      <xdr:colOff>2373496</xdr:colOff>
      <xdr:row>6</xdr:row>
      <xdr:rowOff>184005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249DD7-F0E4-E1FA-EE40-4100B69F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4801" y="0"/>
          <a:ext cx="2362672" cy="1352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219075</xdr:colOff>
      <xdr:row>64</xdr:row>
      <xdr:rowOff>38100</xdr:rowOff>
    </xdr:from>
    <xdr:to>
      <xdr:col>23</xdr:col>
      <xdr:colOff>729169</xdr:colOff>
      <xdr:row>91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669044-04F5-7A64-B6EF-34B45258C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5950" y="8162925"/>
          <a:ext cx="4877481" cy="1495425"/>
        </a:xfrm>
        <a:prstGeom prst="rect">
          <a:avLst/>
        </a:prstGeom>
      </xdr:spPr>
    </xdr:pic>
    <xdr:clientData/>
  </xdr:twoCellAnchor>
  <xdr:twoCellAnchor editAs="oneCell">
    <xdr:from>
      <xdr:col>16</xdr:col>
      <xdr:colOff>619125</xdr:colOff>
      <xdr:row>105</xdr:row>
      <xdr:rowOff>104775</xdr:rowOff>
    </xdr:from>
    <xdr:to>
      <xdr:col>23</xdr:col>
      <xdr:colOff>319587</xdr:colOff>
      <xdr:row>112</xdr:row>
      <xdr:rowOff>133514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BBB4D4-F10D-2AA4-C12C-5220A74C9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2144375"/>
          <a:ext cx="4829849" cy="1171739"/>
        </a:xfrm>
        <a:prstGeom prst="rect">
          <a:avLst/>
        </a:prstGeom>
      </xdr:spPr>
    </xdr:pic>
    <xdr:clientData/>
  </xdr:twoCellAnchor>
  <xdr:twoCellAnchor editAs="oneCell">
    <xdr:from>
      <xdr:col>17</xdr:col>
      <xdr:colOff>428625</xdr:colOff>
      <xdr:row>156</xdr:row>
      <xdr:rowOff>66675</xdr:rowOff>
    </xdr:from>
    <xdr:to>
      <xdr:col>23</xdr:col>
      <xdr:colOff>874965</xdr:colOff>
      <xdr:row>165</xdr:row>
      <xdr:rowOff>66894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52CA20-688C-9A1B-C0B3-D2C0BFA81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0" y="16297275"/>
          <a:ext cx="4810796" cy="1571844"/>
        </a:xfrm>
        <a:prstGeom prst="rect">
          <a:avLst/>
        </a:prstGeom>
      </xdr:spPr>
    </xdr:pic>
    <xdr:clientData/>
  </xdr:twoCellAnchor>
  <xdr:twoCellAnchor editAs="oneCell">
    <xdr:from>
      <xdr:col>17</xdr:col>
      <xdr:colOff>485775</xdr:colOff>
      <xdr:row>190</xdr:row>
      <xdr:rowOff>19050</xdr:rowOff>
    </xdr:from>
    <xdr:to>
      <xdr:col>23</xdr:col>
      <xdr:colOff>855244</xdr:colOff>
      <xdr:row>215</xdr:row>
      <xdr:rowOff>84380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EB6092-0E40-E619-4AA9-F24AEAC1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72650" y="21697950"/>
          <a:ext cx="4733925" cy="1455980"/>
        </a:xfrm>
        <a:prstGeom prst="rect">
          <a:avLst/>
        </a:prstGeom>
      </xdr:spPr>
    </xdr:pic>
    <xdr:clientData/>
  </xdr:twoCellAnchor>
  <xdr:twoCellAnchor editAs="oneCell">
    <xdr:from>
      <xdr:col>18</xdr:col>
      <xdr:colOff>409575</xdr:colOff>
      <xdr:row>229</xdr:row>
      <xdr:rowOff>180975</xdr:rowOff>
    </xdr:from>
    <xdr:to>
      <xdr:col>26</xdr:col>
      <xdr:colOff>24436</xdr:colOff>
      <xdr:row>244</xdr:row>
      <xdr:rowOff>28820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FDF257-1766-26C1-AE4D-E6AEFF451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58450" y="25803225"/>
          <a:ext cx="5715798" cy="1752845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267</xdr:row>
      <xdr:rowOff>95250</xdr:rowOff>
    </xdr:from>
    <xdr:to>
      <xdr:col>26</xdr:col>
      <xdr:colOff>138737</xdr:colOff>
      <xdr:row>281</xdr:row>
      <xdr:rowOff>47871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1AE1E65-3F40-9F4D-6F0C-40DD7DD3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3225" y="30041850"/>
          <a:ext cx="5725324" cy="1762371"/>
        </a:xfrm>
        <a:prstGeom prst="rect">
          <a:avLst/>
        </a:prstGeom>
      </xdr:spPr>
    </xdr:pic>
    <xdr:clientData/>
  </xdr:twoCellAnchor>
  <xdr:twoCellAnchor editAs="oneCell">
    <xdr:from>
      <xdr:col>18</xdr:col>
      <xdr:colOff>600075</xdr:colOff>
      <xdr:row>309</xdr:row>
      <xdr:rowOff>47625</xdr:rowOff>
    </xdr:from>
    <xdr:to>
      <xdr:col>24</xdr:col>
      <xdr:colOff>95729</xdr:colOff>
      <xdr:row>314</xdr:row>
      <xdr:rowOff>142875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BDA74A4-2950-CBDE-3CDE-A24D11A7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48950" y="34918650"/>
          <a:ext cx="4067175" cy="857250"/>
        </a:xfrm>
        <a:prstGeom prst="rect">
          <a:avLst/>
        </a:prstGeom>
      </xdr:spPr>
    </xdr:pic>
    <xdr:clientData/>
  </xdr:twoCellAnchor>
  <xdr:twoCellAnchor editAs="oneCell">
    <xdr:from>
      <xdr:col>17</xdr:col>
      <xdr:colOff>714375</xdr:colOff>
      <xdr:row>347</xdr:row>
      <xdr:rowOff>47625</xdr:rowOff>
    </xdr:from>
    <xdr:to>
      <xdr:col>25</xdr:col>
      <xdr:colOff>405446</xdr:colOff>
      <xdr:row>358</xdr:row>
      <xdr:rowOff>95443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24FDE0-16D3-F3ED-8F82-6A255358A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01250" y="39109650"/>
          <a:ext cx="5792008" cy="1381318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419</xdr:row>
      <xdr:rowOff>95250</xdr:rowOff>
    </xdr:from>
    <xdr:to>
      <xdr:col>24</xdr:col>
      <xdr:colOff>58424</xdr:colOff>
      <xdr:row>445</xdr:row>
      <xdr:rowOff>47867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28D898-B62A-EFD2-19F2-BCFEC896D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39175" y="49634775"/>
          <a:ext cx="5696745" cy="1733792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666750</xdr:colOff>
      <xdr:row>459</xdr:row>
      <xdr:rowOff>104775</xdr:rowOff>
    </xdr:from>
    <xdr:to>
      <xdr:col>24</xdr:col>
      <xdr:colOff>272084</xdr:colOff>
      <xdr:row>483</xdr:row>
      <xdr:rowOff>85972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1E78CDC-C145-577B-A793-2558E434E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848725" y="53578125"/>
          <a:ext cx="5706271" cy="1771897"/>
        </a:xfrm>
        <a:prstGeom prst="rect">
          <a:avLst/>
        </a:prstGeom>
      </xdr:spPr>
    </xdr:pic>
    <xdr:clientData/>
  </xdr:twoCellAnchor>
  <xdr:twoCellAnchor editAs="oneCell">
    <xdr:from>
      <xdr:col>16</xdr:col>
      <xdr:colOff>752475</xdr:colOff>
      <xdr:row>494</xdr:row>
      <xdr:rowOff>76200</xdr:rowOff>
    </xdr:from>
    <xdr:to>
      <xdr:col>24</xdr:col>
      <xdr:colOff>434020</xdr:colOff>
      <xdr:row>509</xdr:row>
      <xdr:rowOff>85975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CDF2E39-4F5D-5DDE-91F8-A6F357827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34450" y="55216425"/>
          <a:ext cx="5782482" cy="179095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522</xdr:row>
      <xdr:rowOff>0</xdr:rowOff>
    </xdr:from>
    <xdr:to>
      <xdr:col>24</xdr:col>
      <xdr:colOff>106013</xdr:colOff>
      <xdr:row>534</xdr:row>
      <xdr:rowOff>133502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9B2344B-7AAD-F29A-BA4C-DEFE4C66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943975" y="59283600"/>
          <a:ext cx="5439534" cy="1086002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563</xdr:row>
      <xdr:rowOff>28575</xdr:rowOff>
    </xdr:from>
    <xdr:to>
      <xdr:col>23</xdr:col>
      <xdr:colOff>452904</xdr:colOff>
      <xdr:row>583</xdr:row>
      <xdr:rowOff>76322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47A8CF7-C859-B68A-913D-153050ED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72575" y="64265175"/>
          <a:ext cx="4591691" cy="87642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603</xdr:row>
      <xdr:rowOff>0</xdr:rowOff>
    </xdr:from>
    <xdr:to>
      <xdr:col>24</xdr:col>
      <xdr:colOff>662544</xdr:colOff>
      <xdr:row>617</xdr:row>
      <xdr:rowOff>66799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29D6046-7142-7275-F378-46DC3C3F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705975" y="68551425"/>
          <a:ext cx="5239481" cy="885949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713</xdr:row>
      <xdr:rowOff>0</xdr:rowOff>
    </xdr:from>
    <xdr:to>
      <xdr:col>26</xdr:col>
      <xdr:colOff>176914</xdr:colOff>
      <xdr:row>731</xdr:row>
      <xdr:rowOff>181197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1030613-1E7B-AF8E-29F4-460180DD3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05975" y="77085825"/>
          <a:ext cx="6277851" cy="1590897"/>
        </a:xfrm>
        <a:prstGeom prst="rect">
          <a:avLst/>
        </a:prstGeom>
      </xdr:spPr>
    </xdr:pic>
    <xdr:clientData/>
  </xdr:twoCellAnchor>
  <xdr:twoCellAnchor editAs="oneCell">
    <xdr:from>
      <xdr:col>16</xdr:col>
      <xdr:colOff>564173</xdr:colOff>
      <xdr:row>761</xdr:row>
      <xdr:rowOff>58615</xdr:rowOff>
    </xdr:from>
    <xdr:to>
      <xdr:col>24</xdr:col>
      <xdr:colOff>680265</xdr:colOff>
      <xdr:row>784</xdr:row>
      <xdr:rowOff>21980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E44EFF4-D600-D078-A898-3FCC00DE5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48346" y="82464519"/>
          <a:ext cx="6220693" cy="1560634"/>
        </a:xfrm>
        <a:prstGeom prst="rect">
          <a:avLst/>
        </a:prstGeom>
      </xdr:spPr>
    </xdr:pic>
    <xdr:clientData/>
  </xdr:twoCellAnchor>
  <xdr:twoCellAnchor editAs="oneCell">
    <xdr:from>
      <xdr:col>16</xdr:col>
      <xdr:colOff>695739</xdr:colOff>
      <xdr:row>808</xdr:row>
      <xdr:rowOff>132522</xdr:rowOff>
    </xdr:from>
    <xdr:to>
      <xdr:col>25</xdr:col>
      <xdr:colOff>39379</xdr:colOff>
      <xdr:row>828</xdr:row>
      <xdr:rowOff>132735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A74EA89-0F38-E7DA-9A48-9E8A872DD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78956" y="88392000"/>
          <a:ext cx="6201640" cy="152421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845</xdr:row>
      <xdr:rowOff>0</xdr:rowOff>
    </xdr:from>
    <xdr:to>
      <xdr:col>25</xdr:col>
      <xdr:colOff>115167</xdr:colOff>
      <xdr:row>861</xdr:row>
      <xdr:rowOff>9739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D1478CE-1A77-7514-E753-6ED9794D5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45217" y="92640978"/>
          <a:ext cx="6211167" cy="1533739"/>
        </a:xfrm>
        <a:prstGeom prst="rect">
          <a:avLst/>
        </a:prstGeom>
      </xdr:spPr>
    </xdr:pic>
    <xdr:clientData/>
  </xdr:twoCellAnchor>
  <xdr:twoCellAnchor editAs="oneCell">
    <xdr:from>
      <xdr:col>17</xdr:col>
      <xdr:colOff>41414</xdr:colOff>
      <xdr:row>885</xdr:row>
      <xdr:rowOff>157370</xdr:rowOff>
    </xdr:from>
    <xdr:to>
      <xdr:col>25</xdr:col>
      <xdr:colOff>242318</xdr:colOff>
      <xdr:row>908</xdr:row>
      <xdr:rowOff>63986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8B337F3-2ADF-3778-4576-052868A8C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86631" y="97179848"/>
          <a:ext cx="6296904" cy="1505160"/>
        </a:xfrm>
        <a:prstGeom prst="rect">
          <a:avLst/>
        </a:prstGeom>
      </xdr:spPr>
    </xdr:pic>
    <xdr:clientData/>
  </xdr:twoCellAnchor>
  <xdr:twoCellAnchor editAs="oneCell">
    <xdr:from>
      <xdr:col>16</xdr:col>
      <xdr:colOff>695739</xdr:colOff>
      <xdr:row>929</xdr:row>
      <xdr:rowOff>173935</xdr:rowOff>
    </xdr:from>
    <xdr:to>
      <xdr:col>25</xdr:col>
      <xdr:colOff>134643</xdr:colOff>
      <xdr:row>953</xdr:row>
      <xdr:rowOff>40806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E819E59-694D-0959-181E-3AF86B3B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41565" y="102472435"/>
          <a:ext cx="6296904" cy="158137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1006</xdr:row>
      <xdr:rowOff>0</xdr:rowOff>
    </xdr:from>
    <xdr:to>
      <xdr:col>18</xdr:col>
      <xdr:colOff>304800</xdr:colOff>
      <xdr:row>1007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B5B75CC-B2C7-7DCD-B250-A87B72D40BE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118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488674</xdr:colOff>
      <xdr:row>1003</xdr:row>
      <xdr:rowOff>182218</xdr:rowOff>
    </xdr:from>
    <xdr:to>
      <xdr:col>23</xdr:col>
      <xdr:colOff>391535</xdr:colOff>
      <xdr:row>1007</xdr:row>
      <xdr:rowOff>182324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8359D47-3486-04CF-51FF-B7C049DAD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096500" y="111434218"/>
          <a:ext cx="4267796" cy="762106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1017</xdr:row>
      <xdr:rowOff>124239</xdr:rowOff>
    </xdr:from>
    <xdr:to>
      <xdr:col>24</xdr:col>
      <xdr:colOff>101854</xdr:colOff>
      <xdr:row>1029</xdr:row>
      <xdr:rowOff>95793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C516436-3719-CEB4-88E9-953BBB6F6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233413" y="112900239"/>
          <a:ext cx="2810267" cy="924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3</xdr:col>
      <xdr:colOff>1038225</xdr:colOff>
      <xdr:row>1</xdr:row>
      <xdr:rowOff>180975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8320328-55E9-1964-888F-3CBC7CF92F5A}"/>
            </a:ext>
          </a:extLst>
        </xdr:cNvPr>
        <xdr:cNvSpPr/>
      </xdr:nvSpPr>
      <xdr:spPr>
        <a:xfrm>
          <a:off x="28575" y="28575"/>
          <a:ext cx="3810000" cy="3429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>
              <a:solidFill>
                <a:sysClr val="windowText" lastClr="000000"/>
              </a:solidFill>
              <a:latin typeface="Aptos ExtraBold" panose="020B0004020202020204" pitchFamily="34" charset="0"/>
            </a:rPr>
            <a:t>Pagos y proyección de pagos semanal</a:t>
          </a:r>
        </a:p>
      </xdr:txBody>
    </xdr:sp>
    <xdr:clientData/>
  </xdr:twoCellAnchor>
  <xdr:twoCellAnchor>
    <xdr:from>
      <xdr:col>11</xdr:col>
      <xdr:colOff>19050</xdr:colOff>
      <xdr:row>0</xdr:row>
      <xdr:rowOff>19050</xdr:rowOff>
    </xdr:from>
    <xdr:to>
      <xdr:col>15</xdr:col>
      <xdr:colOff>523875</xdr:colOff>
      <xdr:row>1</xdr:row>
      <xdr:rowOff>171450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5BB3ECE-5E07-4389-8469-FBE55B0217A2}"/>
            </a:ext>
          </a:extLst>
        </xdr:cNvPr>
        <xdr:cNvSpPr/>
      </xdr:nvSpPr>
      <xdr:spPr>
        <a:xfrm>
          <a:off x="7334250" y="19050"/>
          <a:ext cx="3810000" cy="34290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>
              <a:solidFill>
                <a:sysClr val="windowText" lastClr="000000"/>
              </a:solidFill>
              <a:latin typeface="Aptos ExtraBold" panose="020B0004020202020204" pitchFamily="34" charset="0"/>
            </a:rPr>
            <a:t>Proyección</a:t>
          </a:r>
          <a:r>
            <a:rPr lang="es-AR" sz="1600" baseline="0">
              <a:latin typeface="Aptos ExtraBold" panose="020B0004020202020204" pitchFamily="34" charset="0"/>
            </a:rPr>
            <a:t> </a:t>
          </a:r>
          <a:r>
            <a:rPr lang="es-AR" sz="1600" baseline="0">
              <a:solidFill>
                <a:sysClr val="windowText" lastClr="000000"/>
              </a:solidFill>
              <a:latin typeface="Aptos ExtraBold" panose="020B0004020202020204" pitchFamily="34" charset="0"/>
            </a:rPr>
            <a:t>efectivo semanal</a:t>
          </a:r>
          <a:endParaRPr lang="es-AR" sz="1600">
            <a:solidFill>
              <a:sysClr val="windowText" lastClr="000000"/>
            </a:solidFill>
            <a:latin typeface="Aptos ExtraBold" panose="020B00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662105</xdr:colOff>
      <xdr:row>2</xdr:row>
      <xdr:rowOff>139390</xdr:rowOff>
    </xdr:from>
    <xdr:to>
      <xdr:col>25</xdr:col>
      <xdr:colOff>708567</xdr:colOff>
      <xdr:row>50</xdr:row>
      <xdr:rowOff>170885</xdr:rowOff>
    </xdr:to>
    <xdr:pic>
      <xdr:nvPicPr>
        <xdr:cNvPr id="2" name="Imagen 1" descr="Tabla&#10;&#10;El contenido generado por IA puede ser incorrecto.">
          <a:extLst>
            <a:ext uri="{FF2B5EF4-FFF2-40B4-BE49-F238E27FC236}">
              <a16:creationId xmlns:a16="http://schemas.microsoft.com/office/drawing/2014/main" id="{AB051B95-7A6F-6DF6-6DE4-FB0E8D8E2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19178" y="511097"/>
          <a:ext cx="5412987" cy="78373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114300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791B638C-9F24-E010-603B-76A2FA52E6A8}"/>
            </a:ext>
          </a:extLst>
        </xdr:cNvPr>
        <xdr:cNvSpPr>
          <a:spLocks noChangeAspect="1" noChangeArrowheads="1"/>
        </xdr:cNvSpPr>
      </xdr:nvSpPr>
      <xdr:spPr bwMode="auto">
        <a:xfrm>
          <a:off x="78867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114300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0734A0D5-2119-24E9-C12B-212C73334732}"/>
            </a:ext>
          </a:extLst>
        </xdr:cNvPr>
        <xdr:cNvSpPr>
          <a:spLocks noChangeAspect="1" noChangeArrowheads="1"/>
        </xdr:cNvSpPr>
      </xdr:nvSpPr>
      <xdr:spPr bwMode="auto">
        <a:xfrm>
          <a:off x="71247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22.46517372685" createdVersion="8" refreshedVersion="8" minRefreshableVersion="3" recordCount="4625" xr:uid="{8974F18A-6FD3-493C-A12C-A80F2806C604}">
  <cacheSource type="worksheet">
    <worksheetSource name="Gastos"/>
  </cacheSource>
  <cacheFields count="16">
    <cacheField name="Semana" numFmtId="0">
      <sharedItems count="108">
        <s v="2025-22"/>
        <s v="2025-21"/>
        <s v="2025-32"/>
        <s v="2026-44"/>
        <s v="2025-51"/>
        <s v="2025-34"/>
        <s v="2025-41"/>
        <s v="2025-46"/>
        <s v="2025-33"/>
        <s v="2026-05"/>
        <s v="2025-48"/>
        <s v="2026-37"/>
        <s v="2026-33"/>
        <s v="2026-07"/>
        <s v="2025-47"/>
        <s v="2025-49"/>
        <s v="2026-43"/>
        <s v="2025-26"/>
        <s v="2025-39"/>
        <s v="2025-50"/>
        <s v="2026-15"/>
        <s v="2025-28"/>
        <s v="2026-23"/>
        <s v="2026-18"/>
        <s v="2026-14"/>
        <s v="2025-27"/>
        <s v="2025-29"/>
        <s v="2025-35"/>
        <s v="2025-40"/>
        <s v="2025-42"/>
        <s v="2025-43"/>
        <s v="2025-45"/>
        <s v="2026-09"/>
        <s v="2026-12"/>
        <s v="2026-21"/>
        <s v="2026-27"/>
        <s v="2026-28"/>
        <s v="2026-29"/>
        <s v="2026-32"/>
        <s v="2026-38"/>
        <s v="2026-40"/>
        <s v="2026-08"/>
        <s v="2026-24"/>
        <s v="2026-26"/>
        <s v="2026-31"/>
        <s v="2026-25"/>
        <s v="2026-42"/>
        <s v="2026-20"/>
        <s v="2025-16"/>
        <s v="2025-25"/>
        <s v="2026-04"/>
        <s v="2025-17"/>
        <s v="2025-38"/>
        <s v="2026-17"/>
        <s v="2026-41"/>
        <s v="2025-19"/>
        <s v="2026-11"/>
        <s v="2026-16"/>
        <s v="2026-30"/>
        <s v="2026-06"/>
        <s v="2025-37"/>
        <s v="2025-30"/>
        <s v="2026-19"/>
        <s v="2025-44"/>
        <s v="2026-22"/>
        <s v="2026-13"/>
        <s v="2026-34"/>
        <s v="2025-24"/>
        <s v="2025-23"/>
        <s v="2025-31"/>
        <s v="2025-36"/>
        <s v="2026-36"/>
        <s v="2026-39"/>
        <s v="2026-10"/>
        <s v="2026-03"/>
        <s v="2025-52"/>
        <s v="2025-12"/>
        <s v="2026-35"/>
        <s v="2025-13"/>
        <s v="2026-00"/>
        <s v="2025-20"/>
        <s v="2025-23 "/>
        <s v="2025-15"/>
        <s v="2025-14"/>
        <s v="2025-18"/>
        <s v="2025-05"/>
        <s v="2026-24 "/>
        <s v="2026--43" u="1"/>
        <s v="1026-42" u="1"/>
        <s v="2025-48 " u="1"/>
        <s v="2025-16 " u="1"/>
        <s v="2026-100" u="1"/>
        <s v="2026-5" u="1"/>
        <s v="2026-7" u="1"/>
        <s v="2026-8" u="1"/>
        <s v="2026-4" u="1"/>
        <s v="2026-6" u="1"/>
        <s v="2026-3" u="1"/>
        <s v="2025-5" u="1"/>
        <s v="2026-9" u="1"/>
        <s v="2026-88" u="1"/>
        <s v="2026-99" u="1"/>
        <s v="2026/8" u="1"/>
        <s v="2026-01" u="1"/>
        <s v="2023-36" u="1"/>
        <s v="2025--27" u="1"/>
        <s v="2025-27 " u="1"/>
        <s v="2025-26 " u="1"/>
      </sharedItems>
    </cacheField>
    <cacheField name="Proveedor" numFmtId="0">
      <sharedItems containsBlank="1" count="861">
        <s v="21 de Septiembre"/>
        <s v="Acondicionamiento de aguas"/>
        <s v="AEB"/>
        <s v="Agro Andina SA"/>
        <s v="Agro Chilecito SA "/>
        <s v="Agroconection SRL"/>
        <s v="Agronomia Villegas SAS"/>
        <s v="Agroredes SRL"/>
        <s v="Agroscuadras SRL"/>
        <s v="Agrosuma SRL"/>
        <s v="Aguero Sebastian A."/>
        <s v="Agüero Sebastian A."/>
        <s v="Agüero Sebastian Albero"/>
        <s v="Aimurai"/>
        <s v="Aimurai SA"/>
        <s v="Aislantes de Cuyo SA"/>
        <s v="Aislantes Industriales SRL"/>
        <s v="Alarcon Julio"/>
        <s v="Alarcon Julio "/>
        <s v="Alarcon Matias"/>
        <s v="Albrieu Carlos Alberto"/>
        <s v="Alcaraz Ruben Emilio"/>
        <s v="Aldo Mitello Gruay y Transporte"/>
        <s v="Alejandro Díaz"/>
        <s v="Aleua Jorge Nadim"/>
        <s v="Aliendro Alejandro Evaristo"/>
        <s v="Aliendro Nicardo Roque"/>
        <s v="Alive Emanuel"/>
        <s v="Altamira Nelly Isabel"/>
        <s v="Altasur"/>
        <s v="Aleua Jorge Nadin"/>
        <s v="Alvarez Alan"/>
        <s v="Alvarez Andres Maximiliano"/>
        <s v="Alvarez Marco Martín"/>
        <s v="Alvarez Raul"/>
        <s v="Amado Antonella"/>
        <s v="Amatte Angeleri Fanco"/>
        <s v="Amenduni Nicolas SPA"/>
        <s v="Ancoil SA"/>
        <s v="Andina Motor SA"/>
        <s v="Andina Motors SA"/>
        <s v="Answer Soft"/>
        <s v="Answere Soft SRL"/>
        <s v="Antonio Contreras - Combi Kia"/>
        <s v="Anzalaz Arnaldo antonio"/>
        <s v="Aqua Drip SRL"/>
        <s v="Arana Chade Germinal"/>
        <s v="Argentop SRL"/>
        <s v="Astrada Carlos Domingo"/>
        <s v="Atuel"/>
        <s v="Atuel Serv Integal SRL"/>
        <s v="Atuel Servicios Integrales SRL"/>
        <s v="Automecanica Hidalgo"/>
        <s v="Autorep SRL"/>
        <s v="B &amp; C SA"/>
        <s v="B Y B SRL"/>
        <s v="Bailo SA"/>
        <s v="Balfer SRL"/>
        <s v="Balio SA"/>
        <s v="Ballerini Raul Enrique"/>
        <s v="Ballespin Carlos Ariel"/>
        <s v="Balmaceda Gustavo Luis"/>
        <s v="Banco Rioja"/>
        <s v="Baroneto Carolina del sol"/>
        <s v="Barrera Julio Cesar"/>
        <s v="Basualdo Fernando Luis"/>
        <s v="Bazar Avenida"/>
        <s v="Bazar Colucci SA"/>
        <s v="Blanco Daniel Orlando"/>
        <s v="Blu Logistics Argentina"/>
        <s v="Bocco Hnos"/>
        <s v="Bordon Juan Ramon Nicolas"/>
        <s v="Bottino Hnos SA"/>
        <s v="BRAVO ROBERTO LUIS "/>
        <s v="Buenos Ayres Management"/>
        <s v="Buloneria Mitre"/>
        <s v="Burdisso Alejandro Roberto"/>
        <s v="Bus Pack SA"/>
        <s v="Buspack"/>
        <s v="Bustos Luciana Marianela"/>
        <s v="C.E.F.I SRL"/>
        <s v="C.E.F.I. SRL"/>
        <s v="Cabo Sounion SA"/>
        <s v="Caceres Ines Cecilia"/>
        <s v="Caceres Osvaldo Enrique"/>
        <s v="Caceres Osvaldo Enrique "/>
        <s v="CaceresInes Cecilia"/>
        <s v="Caliva Alejandro Adolfo"/>
        <s v="Calligaro Luis Miguel"/>
        <s v="Calvo Rodrigo Alejandro"/>
        <s v="Camara de Comercio Exterior de Cuyo"/>
        <s v="Camara Olivicola Riojana"/>
        <s v="Campillay Jose Luis"/>
        <s v="Campillay Mario Alberto"/>
        <s v="Campo Vial Sas"/>
        <s v="Cantera La Helena"/>
        <s v="Capello Hnos SRL"/>
        <s v="Capello Hnos. SRL"/>
        <s v="Carpio Juan Manuel"/>
        <s v="Carrizo Claudio"/>
        <s v="Cartocor SA"/>
        <s v="Casa Granillo"/>
        <s v="Casa y Diseño SRL"/>
        <s v="Casas Luis Alberto"/>
        <s v="Casas Marcelo Ismael"/>
        <s v="Casiva Carlos Alberto"/>
        <s v="Casiva Claudio"/>
        <s v="Castro Santiago Rafael"/>
        <s v="Casulli Gas SRL"/>
        <s v="Casa Luciano / Doctor"/>
        <s v="Casulli Hermanos SOC Hecho"/>
        <s v="Cataldo Sergio Hector"/>
        <s v="Cattorini Hnos SAICEFE"/>
        <s v="Cefi SRL"/>
        <s v="Cen.i.co SA"/>
        <s v="Centro Plastico SRL"/>
        <s v="Cerezo Fabia Gregorio"/>
        <s v="Cerezo Fabián Gregorio"/>
        <s v="Cerveny SAS"/>
        <s v="Cerveny SAS "/>
        <s v="CGE SOCIEDAD ANONIMA"/>
        <s v="Chancalay Daniel"/>
        <s v="Chancalay Diego "/>
        <s v="Chancalay Jose Daniel"/>
        <s v="Chandia Miguel Eduardo"/>
        <s v="Che Carai Maderas"/>
        <s v="Cisneros Graciela "/>
        <s v="Claudia Marcela Liemich"/>
        <s v="Clean Cor SA"/>
        <s v="Clinica de Ojos"/>
        <s v="Cloro Mendoza SA"/>
        <s v="CNH Industria capital"/>
        <s v="Cobertura de Salud SA"/>
        <s v="COE  (Agroscuadra SRL)"/>
        <s v="Coita Civit Luis Manuel"/>
        <s v="Combi Kia"/>
        <s v="Combustible Italo Argentino"/>
        <s v="Combustibles Barceló S.R.L."/>
        <s v="Compañía de Seguros El Norte"/>
        <s v="Consejo Prof. De Ciencias Economicas"/>
        <s v="Construir Hermanos SA"/>
        <s v="Contreras Antonio"/>
        <s v="Contreras Romina Janet"/>
        <s v="Coordinadora de Salud"/>
        <s v="Coordinadora de Salud SA"/>
        <s v="Copacaba José"/>
        <s v="Corporación Vitivinicola Argentina"/>
        <s v="Compañia de Seguros del Norte"/>
        <s v="Correo Argentino"/>
        <s v="Correo Oficial de la Republica Argentina"/>
        <s v="Corrugados Cuyo SRL"/>
        <s v="Cortes Ana Maria Teres"/>
        <s v="Cortes Ana Maria Teresa (Electrimac)"/>
        <s v="Cortes Juan Emilio"/>
        <s v="Cortez Ana Maria"/>
        <s v="Cortez Julio Emilio - IGTech"/>
        <s v="Cortez Silvina Analia"/>
        <s v="Confecat"/>
        <s v="Cuello Construcción"/>
        <s v="Dal Lago Marcos Daniel"/>
        <s v="David Enrici"/>
        <s v="Coviar"/>
        <s v="De La Cruz Chalco Luz Esmeralda"/>
        <s v="Del Castillo Fernando"/>
        <s v="Del Valle Elias Nahuel"/>
        <s v="Despegando SAS en Formacion"/>
        <s v="Daniel Mignani SRL"/>
        <s v="Dildrome SA"/>
        <s v="Dimotec SA"/>
        <s v="Diogenes SAS"/>
        <s v="Distribuidora Cattaneo"/>
        <s v="Distribuidora Lunic"/>
        <s v="Distrigal"/>
        <s v="Don Vega SRL"/>
        <s v="DPE SRL"/>
        <s v="Dripsa SAU"/>
        <s v="Drogueria Polo"/>
        <s v="Durang SRL"/>
        <s v="Durox Enologia SRL"/>
        <s v="Dutch Starches International"/>
        <s v="De Gorro"/>
        <s v="Edelar SA"/>
        <s v="Edelar SA "/>
        <s v="Edelar SA  Finca Lolita"/>
        <s v="Edelar SA (Finca Lolita)"/>
        <s v="El Adi Julio Cesar"/>
        <s v="El Auditor"/>
        <s v="El Chileciteño"/>
        <s v="Edelar SA - Finca Lolita"/>
        <s v="El Chileciteño SRL"/>
        <s v="El Obrador SRL"/>
        <s v="Eladi Julio cesar - ELCON"/>
        <s v="Electrimac"/>
        <s v="Electrocomponentes SA"/>
        <s v="Embalajes y Corrugados Edición Limitada"/>
        <s v="Embalajes y corrugados edicion limitada S.R.L"/>
        <s v="Empaque SA"/>
        <s v="Empaque San Juan"/>
        <s v="Empresa Vallecito SRL"/>
        <s v="Encomiendas"/>
        <s v="Encrenaz Claudio"/>
        <s v="Enrici Abril Virginia"/>
        <s v="Enrici Benjamin Andres"/>
        <s v="Enrici David"/>
        <s v="Enrici Esteban Eduardo"/>
        <s v="Edelar SA (F2)"/>
        <s v="Esquivel Hugo"/>
        <s v="Esquivel Hugo Osvaldo"/>
        <s v="ESTECMA"/>
        <s v="Estrella del Sur"/>
        <s v="Estrella del Sur "/>
        <s v="Estructuras SRL"/>
        <s v="Estudio Lacona"/>
        <s v="Evans"/>
        <s v="Exologan"/>
        <s v="Exponencia SA"/>
        <s v="Facturas Varias "/>
        <s v="Famiq SRL"/>
        <s v="Fara Julio Eduardo"/>
        <s v="Farm Chemicals Argentina S.R.L"/>
        <s v="Federación Patronal Seguros SA"/>
        <s v="Fernandes Eduardo T"/>
        <s v="Fernandes William Alfredo"/>
        <s v="Fernandez Claudio Norberto"/>
        <s v="Fernandez Eduardo"/>
        <s v="Fernandez Julio Cesar"/>
        <s v="Fernandez Rosana Erica Lourdes"/>
        <s v="Fiani Automotores SA"/>
        <s v="Finca Lolita SRL"/>
        <s v="Fonzalida Lucas"/>
        <s v="Fortaleza  SA"/>
        <s v="Fortaleza SA"/>
        <s v="Framarez SAS"/>
        <s v="Franceschi María Liliana"/>
        <s v="Franco Pintos"/>
        <s v="Fredi Ribero"/>
        <s v="Frutos Patagonicos SRL"/>
        <s v="Fuentes Gastón Nicolás"/>
        <s v="Fundación Argentina para "/>
        <s v="Fundación para el desarrollo profesional"/>
        <s v="Gaitán Aldo Ramón"/>
        <s v="Galdeano Paez Cesar Felix"/>
        <s v="Garcia Pablo Javier"/>
        <s v="Garia Pablo Javir (Hidromec)"/>
        <s v="Fincas Riojanas"/>
        <s v="Gearvel SAI y C"/>
        <s v="Geminelli SA  "/>
        <s v="Geotub"/>
        <s v="Gerard Gustavo Fabian"/>
        <s v="Gette Carlos Alberto"/>
        <s v="Giordani Martin Sebastian"/>
        <s v="Giovanini Esteban Alberto"/>
        <s v="Gastos compras"/>
        <s v="Geminelli SA"/>
        <s v="Gomez Silvia Marcela"/>
        <s v="Granillo Gustavo Adolfo"/>
        <s v="Granja del Valle"/>
        <s v="Greif Argentina SA"/>
        <s v="Grenouille Vision Systems SL"/>
        <s v="Griffa SA"/>
        <s v="Grivelli"/>
        <s v="Grupo Mildonio S.R.L."/>
        <s v="Guantex SRL"/>
        <s v="Haled Jadid"/>
        <s v="Hanutec SAS"/>
        <s v="Herrera Bruno"/>
        <s v="Herrera Pedro "/>
        <s v="Hidradc SAS"/>
        <s v="Hidroblan SA"/>
        <s v="Hierronort SRL"/>
        <s v="Hierros Nort"/>
        <s v="Hilal"/>
        <s v="Hilal SRL"/>
        <s v="Horticola Riojana SRL"/>
        <s v="Huerta Nuñez Maria Mercedez"/>
        <s v="Hugo Omar Bustos Nallin"/>
        <s v="Idoria Nestor Fabian"/>
        <s v="IG tech"/>
        <s v="Impregnadora Anguinan"/>
        <s v="Impregnadora Riojana SRL"/>
        <s v="Imprenta"/>
        <s v="Industras ASA Sociedad Anonima"/>
        <s v="Industria Grafica Eduardo Chiozi"/>
        <s v="Industrias ASA SA"/>
        <s v="Industrias Dica"/>
        <s v="Industrias Dica SRL"/>
        <s v="Industrias RF"/>
        <s v="Industry Store SRL"/>
        <s v="INELSA SRL"/>
        <s v="Inelza SRL"/>
        <s v="Infraestructura &amp; Servicios"/>
        <s v="Ing. Carluccio &amp; Asociados SRL"/>
        <s v="Ingenieria Muñoz"/>
        <s v="Inrenoa Imágenes SRL"/>
        <s v="Inter West SRL"/>
        <s v="Interfase3"/>
        <s v="INV "/>
        <s v="Irrigación y Aspersión SRL"/>
        <s v="Isaias Goldman "/>
        <s v="Itecra"/>
        <s v="Itecra "/>
        <s v="Itecra SA"/>
        <s v="JLA Argentina SA"/>
        <s v="Jonatan Corzo"/>
        <s v="Jorge Ballerini"/>
        <s v="Juan J. Santa Cruz"/>
        <s v="Juan J. Santa Cruz y Eduardo G. Luchetti"/>
        <s v="Junior SAS"/>
        <s v="KEK Producers"/>
        <s v="Krum Mecanizados Industriales"/>
        <s v="La Industrial Salinera "/>
        <s v="La Industrial Salinera SA"/>
        <s v="La Malligasteña SRL"/>
        <s v="LA RIOJA TELECOMUNICACIONES S.A.P.E.M."/>
        <s v="La Union "/>
        <s v="Label Solitions SRL"/>
        <s v="Laboratorio Quimico"/>
        <s v="Laboratorios Químicos"/>
        <s v="Lagache Alberto"/>
        <s v="Lagoria Hnos. SA"/>
        <s v="Lar Chilecito SA"/>
        <s v="Las Claritas"/>
        <s v="Las Praderas Semillas"/>
        <s v="Lauri Agropecuaria"/>
        <s v="Lazo Franco Maximiliano"/>
        <s v="Leonardo Brigido y CIA"/>
        <s v="Lescura Mariano Antonio"/>
        <s v="Liemich Ramon Guillermo"/>
        <s v="Lin Qingshan"/>
        <s v="Llenas Sofia"/>
        <s v="Logistica Paola"/>
        <s v="Londero Emilse Gabriela"/>
        <s v="Londero Paolo Edgardo"/>
        <s v="Lopez Castro Leandro"/>
        <s v="Lubrilar SRL"/>
        <s v="Luis A Carrizo y Cia SRL"/>
        <s v="Luis Carrizo y Cia SRL"/>
        <s v="Lurbel SA"/>
        <s v="Macarena"/>
        <s v="Macata"/>
        <s v="Madersama"/>
        <s v="Mag SRL"/>
        <s v="Makowski Matias Jorge"/>
        <s v="Makowski Matías Jorge"/>
        <s v="Led Lab Sapen"/>
        <s v="Martin Raul Eduardo"/>
        <s v="Martinez Gonzalo Maximiliano"/>
        <s v="Martinez Vanina"/>
        <s v="Martinez Vanina Soledad"/>
        <s v="Mayo Transformadores SRL"/>
        <s v="Mendes Ana Patricia"/>
        <s v="Mendez Ana Patricia"/>
        <s v="Mendez Andrea Fabiola"/>
        <s v="Mendez Juan Fabricio"/>
        <s v="Mendez Roberto Marcelo"/>
        <s v="Mercado Eduaro Daniel"/>
        <s v="Metalurgica Dupont"/>
        <s v="Metalurgica Dupont SRL"/>
        <s v="Mete Damian Ariel"/>
        <s v="ML"/>
        <s v="Monje Susana"/>
        <s v="Monje Susana del Carmen"/>
        <s v="Monte Hernan J.A."/>
        <s v="Moran Mauricio Edgar"/>
        <s v="Maderas Enrique"/>
        <s v="Morandi Natalia"/>
        <s v="Moreno Matias"/>
        <s v="Moreno Raul "/>
        <s v="Moreno Refrigeración SRL"/>
        <s v="Moreno Refrigeraciones"/>
        <s v="Moreno Victor Hugo"/>
        <s v="Moscarola Franco"/>
        <s v="Moyano Adrian"/>
        <s v="Moyano Adrián"/>
        <s v="MRC Soluciones Industriales"/>
        <s v="Multimodal SACIA"/>
        <s v="Murcia Daniel"/>
        <s v="Nader Mabel Monica"/>
        <s v="Narvaez Nahuel"/>
        <s v="Narvaez Tristan Demetrio"/>
        <s v="Natalia Escanio"/>
        <s v="Natalia Morandi"/>
        <s v="Martinez Joaquin "/>
        <s v="Navarro Mendegazzo Rosana Ines"/>
        <s v="Navarro Menegazzo"/>
        <s v="Neira Sergio "/>
        <s v="New Valles sas"/>
        <s v="Nicolas San Martin"/>
        <s v="Nieto Gutierrez Ariel Adrián"/>
        <s v="Nissan Fiani Automotores"/>
        <s v="Nonogasta Construcciones"/>
        <s v="NorPlast SAS"/>
        <s v="Nuñez Micaela Belen"/>
        <s v="Nuñez Micaela Belén"/>
        <s v="Nutrientes"/>
        <s v="Nutrientes SA"/>
        <s v="Nutriterra"/>
        <s v="Obra Social del Personala de la Industria"/>
        <s v="Oca Log SA"/>
        <s v="Ocampo Rafael"/>
        <s v="Ocampo Rafael Jorge"/>
        <s v="Oleohidraulica Venado SRL"/>
        <s v="Olguin Julian"/>
        <s v="Oliva Luis Alberto"/>
        <s v="Olivera Luis Alberto"/>
        <s v="Olmos Alfonso"/>
        <s v="Olmos Esteban Alfonso"/>
        <s v="Olmos Jose"/>
        <s v="Ontivero"/>
        <s v="Ontivero Luis"/>
        <s v="Orticola Riojana SRL"/>
        <s v="Ortiz Narciso Nicolas"/>
        <s v="Ortíz Narciso Nicolas"/>
        <s v="Ortiz Teresita Isabel"/>
        <s v="OSPAB"/>
        <s v="OSPAV Obra social "/>
        <s v="Packing"/>
        <s v="Packing SA"/>
        <s v="Paez Dora Ester"/>
        <s v="Paez Dora Esther"/>
        <s v="Paez Juan Manuel"/>
        <s v="Paez Maximiliano"/>
        <s v="Paez Sebastian"/>
        <s v="Pagano y Kopaitich SRL"/>
        <s v="Pagliano Veronica"/>
        <s v="Palermo ferreteria industrial"/>
        <s v="Papelera del Noa S.A"/>
        <s v="Pehuenche SRL"/>
        <s v="Natural Resourses "/>
        <s v="Peñaloza Francisco Martin"/>
        <s v="Peralta Juan Ignacio"/>
        <s v="Pereira Raul Nicolas"/>
        <s v="Pereyra Raul Nicolas"/>
        <s v="Perez Joel Dario"/>
        <s v="Peyrano Nestor Alejandro"/>
        <s v="Pinto Mercado Luis Excequiel"/>
        <s v="Pintos Alicia Soledad"/>
        <s v="Pintos Franco Alberto"/>
        <s v="Pintos Juan"/>
        <s v="Pintos Juan Nicolas"/>
        <s v="Pintos Juan Nicolás"/>
        <s v="Pintos Juan Nicolás "/>
        <s v="Pintos Mercado Luis Exequiel"/>
        <s v="Pintureria la Española SRL"/>
        <s v="Pircas Negras"/>
        <s v="Pisos XX1 SRL"/>
        <s v="Plastiandino"/>
        <s v="Plastiandino SA"/>
        <s v="Plaza Mirta Norma"/>
        <s v="Plaza Norma Mirtha"/>
        <s v="Plustec SA"/>
        <s v="Polifibra"/>
        <s v="Polifibra SRL"/>
        <s v="Ponce Patricio Ariel"/>
        <s v="Porco "/>
        <s v="Porco Hugo Gustavo"/>
        <s v="Porco Nina Hugo Gustavo"/>
        <s v="Porco Nina Oscar Alfredo"/>
        <s v="Porco Nina Sandra Susana"/>
        <s v="Porco Ruben Hector"/>
        <s v="Perez Sergio Fabian"/>
        <s v="Pose Analía"/>
        <s v="Pozo Chancalay Kevin Manuel"/>
        <s v="Pozo Manuel Ramon"/>
        <s v="Precincor"/>
        <s v="Precincor SA"/>
        <s v="Proquimicos SRL"/>
        <s v="Provincia Aseguradora de Riesgo de Trabajo"/>
        <s v="Pulido Mariano"/>
        <s v="Quatec SRL"/>
        <s v="Quimax SA"/>
        <s v="Quimica Mega"/>
        <s v="Pirimpex SRL"/>
        <s v="Quimicos Industriales SA"/>
        <s v="Quinteros Ramon "/>
        <s v="Rafael Ocampo"/>
        <s v="Ramirez Mabel Beatriz"/>
        <s v="Ramon Quinteros"/>
        <s v="Ramon Quinteros (Nuñez Micaela)"/>
        <s v="Ramos José Manuel"/>
        <s v="Reconstructora Union SA"/>
        <s v="Red Emprender SRL"/>
        <s v="Refrigeración Aylan SA"/>
        <s v="Rementeria Cristian"/>
        <s v="Reus Miguel Angel"/>
        <s v="Reynoso Maria Cecilia"/>
        <s v="RHI"/>
        <s v="Ribero Fredy"/>
        <s v="Ribot Patricia Mabel"/>
        <s v="Richetta y CIA"/>
        <s v="Rivafer SRL"/>
        <s v="Rivera Jose Guillermo"/>
        <s v="Robador Emmanuel "/>
        <s v="Robles Alexis Adrian"/>
        <s v="Rodamientos Caroya SA"/>
        <s v="Rodamientos Iriondo"/>
        <s v="Rodriguez Erneto Felipe"/>
        <s v="Rolls"/>
        <s v="Rolls "/>
        <s v="Rolls SRL"/>
        <s v="Romero Francisco"/>
        <s v="Rondina Floriana"/>
        <s v="Rondina Floriana "/>
        <s v="Rossi Maria Eugenia"/>
        <s v="Rotomodel SRL"/>
        <s v="RUARTE ELLERO NOELIA MILENA"/>
        <s v="Sabatini Daniel Prod. Quimicos SRL"/>
        <s v="Saez Adrian"/>
        <s v="Sahya Diego Guillermo"/>
        <s v="Salazar José Osvaldo Nicolás"/>
        <s v="Salinas Mario Rodolfo"/>
        <s v="Salud Visual SRL"/>
        <s v="Salusso Figueroa Giuliano"/>
        <s v="Sampaolesi Daniel"/>
        <s v="San Martin Nicolas Pablo"/>
        <s v="San Paolesi"/>
        <s v="Sardinas Heber"/>
        <s v="Scaglioni Rodolfo Ramon"/>
        <s v="Scanio Natalia Laura"/>
        <s v="Searez Carlos Ramón"/>
        <s v="Secretaria de Trabajo"/>
        <s v="Send SA"/>
        <s v="Serafini Roberto"/>
        <s v="Serin SA"/>
        <s v="Shaya Diego Guillermo"/>
        <s v="SIERRAS DE MAZAN SA"/>
        <s v="Siman Carolina Andrea"/>
        <s v="Simone Viviana Del Valle"/>
        <s v="Sin Factura"/>
        <s v="Sistema Integral SAS"/>
        <s v="Spinozzi SAS"/>
        <s v="Starplastic SA"/>
        <s v="Stick Guido"/>
        <s v="Suc de Cruz Bruno Dom"/>
        <s v="Suc. Cruz Bruno"/>
        <s v="Sucesion de Garay Enrique"/>
        <s v="Suelo y Vinos"/>
        <s v="Sul Mineira SA"/>
        <s v="SUM S.R.L."/>
        <s v="Sum SRL"/>
        <s v="Supaga Valeria Soledad"/>
        <s v="Supertex "/>
        <s v="SYNECO S.R.L"/>
        <s v="Taller"/>
        <s v="Taquia"/>
        <s v="Tarjeta Nacion (Enrici David)"/>
        <s v="Tecniagro Cuyo SRL"/>
        <s v="Tecni-ca de Samuel Carrasco"/>
        <s v="Tecno Buenos Aires SRL"/>
        <s v="Tello Julio"/>
        <s v="Toledo Miguel Angel"/>
        <s v="Torrens Andres Osvaldo"/>
        <s v="Torres Guillermo Luis"/>
        <s v="Torres Jose Sergio Nicolas"/>
        <s v="Toyota Bordo - Maxi"/>
        <s v="TransMott SRL"/>
        <s v="Transporte El Chileciteño"/>
        <s v="Trento &amp; CIA"/>
        <s v="UNDEC"/>
        <s v="Uniforme 21"/>
        <s v="Uniformes 21 SA"/>
        <s v="Universidad Nacional de Chilecito"/>
        <s v="Vaccaro"/>
        <s v="Vaccaro SRL"/>
        <s v="Valenzuela Maximiliano Guillermo"/>
        <s v="Valle de la Puerta SA"/>
        <s v="Valle Sol"/>
        <s v="Valle Sol SAPEM"/>
        <s v="Selva Lorena Cruz"/>
        <s v="Vallesol Sapem"/>
        <s v="Vasellati Zarate Cesar Exequiel"/>
        <s v="Vassellati Zarate Cesar Exequiel"/>
        <s v="Sibona Lorena Elvia"/>
        <s v="Vega"/>
        <s v="Vega Isidro Nicolas "/>
        <s v="Vega Martin"/>
        <s v="Veicolo SRL"/>
        <s v="Vera Barros "/>
        <s v="Vera Cruz y CIA"/>
        <s v="Vesely SRL"/>
        <s v="Via Bariloche "/>
        <s v="Via Cargo"/>
        <s v="Via Cargo SA"/>
        <s v="Villafañe Mario Exequiel"/>
        <s v="Viñas y Olivos"/>
        <s v="Vip Label"/>
        <s v="Virtucom"/>
        <s v="Virtucom Networks SA"/>
        <s v="Vitivinicola Roncal SRL"/>
        <s v="Vito Lombardo SA"/>
        <s v="Vivero Bobadilla SA"/>
        <s v="Vivero del Oeste Riojano"/>
        <s v="Vivero San Gabriel "/>
        <s v="Wang Guifang"/>
        <s v="Welschen Pablo Martin"/>
        <s v="Wine Concept SA"/>
        <s v="Wine Solutions SRL"/>
        <s v="XL SA"/>
        <s v="XLA SA"/>
        <s v="Yañez Erica"/>
        <s v="Yañez Erika"/>
        <s v="Zalaya Ernesto Daniel"/>
        <s v="Zalazar Juan Nicolas"/>
        <s v="Zalazar Ximena"/>
        <s v="Zelaya Gastón"/>
        <s v="Zumo Natural SA"/>
        <s v="Coita Civit Luis" u="1"/>
        <s v="Compañía de Seguros del Norte" u="1"/>
        <s v="Escanio Natalia" u="1"/>
        <s v="Grupo Mildonio" u="1"/>
        <s v="Makowski Matias" u="1"/>
        <s v="Moran Mauricio" u="1"/>
        <s v="Páez Joel Dario" u="1"/>
        <s v="Siman Carolina " u="1"/>
        <s v="Las Parderas Semillas" u="1"/>
        <s v="Confecaf" u="1"/>
        <s v="Cacema Maderas" u="1"/>
        <s v="CGE" u="1"/>
        <s v="Troncozo Diego" u="1"/>
        <s v="Roadbook Construcciones logistica y servicios SRL" u="1"/>
        <s v="Pirinpex" u="1"/>
        <s v="Fletes fruta planta" u="1"/>
        <s v="BeautyFull SA" u="1"/>
        <s v="Gearvel SAIC" u="1"/>
        <s v="Alexis salinas" u="1"/>
        <s v="ARCA - Aduana" u="1"/>
        <s v="Bascula Casilda" u="1"/>
        <s v="Cuota Kek Febrero 25" u="1"/>
        <s v="El Sotano" u="1"/>
        <s v="Fernandez" u="1"/>
        <s v="Fletes Fruta fresca" u="1"/>
        <s v="GNPJ" u="1"/>
        <s v="Grupox" u="1"/>
        <s v="Guzman" u="1"/>
        <s v="Karam Automotores" u="1"/>
        <s v="Lab Quimicos" u="1"/>
        <s v="Maersk Argentina SA" u="1"/>
        <s v="Nadim Aleua" u="1"/>
        <s v="Parabrisas juan B justo" u="1"/>
        <s v="Peñaloza Mario Gustavo" u="1"/>
        <s v="Personal" u="1"/>
        <s v="Raul Martin Eduardo" u="1"/>
        <s v="Rino Bolognesi" u="1"/>
        <s v="Saine Angel Angelelli" u="1"/>
        <s v="San Cristobal Seguro" u="1"/>
        <s v="Sancor" u="1"/>
        <s v="Terminal 4 SA" u="1"/>
        <s v="Varios" u="1"/>
        <s v="VEP INAL" u="1"/>
        <s v="VEP Pepinitos" u="1"/>
        <s v="Verasay Pedro " u="1"/>
        <s v="Victor Lombardo" u="1"/>
        <s v="Fletes fruta planta de aceite" u="1"/>
        <s v="Herreo trabajo Cava" u="1"/>
        <s v="Pulpeado Nueces " u="1"/>
        <m u="1"/>
        <s v="Mil Ruedas SRL" u="1"/>
        <s v="Mompañia de Seguros del Norte" u="1"/>
        <s v="Amenduni - Bocha" u="1"/>
        <s v="Fernandez Elio Prudencio" u="1"/>
        <s v="Electronica Bottino Hnos SA" u="1"/>
        <s v="Intea" u="1"/>
        <s v="Mil Ruedas Boedo" u="1"/>
        <s v="Zalaya Electromec" u="1"/>
        <s v="Ramos Jose" u="1"/>
        <s v="Ballespin Carlos Ariel (Carrega)" u="1"/>
        <s v="Casulli Gas" u="1"/>
        <s v="Cataldo" u="1"/>
        <s v="Empresa Vallecito" u="1"/>
        <s v="Habutec SAS" u="1"/>
        <s v="Pàez Dora Ester" u="1"/>
        <s v="Papeleria del Noa" u="1"/>
        <s v="Pereyra Raúl Nicolás" u="1"/>
        <s v="Guantex " u="1"/>
        <s v="Fernadez Rosana Erica Lourdes" u="1"/>
        <s v="Franceschi Maria Liliana" u="1"/>
        <s v="Searez Carlos Ramon" u="1"/>
        <s v="Paez Joel " u="1"/>
        <s v="Jose Olmos" u="1"/>
        <s v="Agro Chilecito" u="1"/>
        <s v="Agro Conexión SRL" u="1"/>
        <s v="Agroconexión SRL" u="1"/>
        <s v="Agrosuma" u="1"/>
        <s v="Agrusuma SRL" u="1"/>
        <s v="Amenduni" u="1"/>
        <s v="Aquadrip" u="1"/>
        <s v="Aqua-Drip S.R.L" u="1"/>
        <s v="Argentop" u="1"/>
        <s v="B &amp; C S.A." u="1"/>
        <s v="B&amp;C " u="1"/>
        <s v="B&amp;C SA" u="1"/>
        <s v="Ballerini Raul" u="1"/>
        <s v="Astrada Carlos y Chavarria Alejandro" u="1"/>
        <s v="Blanco Daniel" u="1"/>
        <s v="Bordón Juan Ramon Nicolas" u="1"/>
        <s v="Bordon Juan Ramon Nicvolas" u="1"/>
        <s v="Buenos Aires Management" u="1"/>
        <s v="Caceres Ines" u="1"/>
        <s v="Cacerez Osvaldo Enrique" u="1"/>
        <s v="Calligaro Luis" u="1"/>
        <s v="Camara de comercio Exterior Cuyo" u="1"/>
        <s v="Capello Hermanos" u="1"/>
        <s v="Cartocor" u="1"/>
        <s v="Casas Marcelo" u="1"/>
        <s v="Cataldo Sergio " u="1"/>
        <s v="Cerezo Fabian" u="1"/>
        <s v="Cerezo fabian Gregorio" u="1"/>
        <s v="Cerezo Fagian Gregorio" u="1"/>
        <s v="Chancalay Carlos Daniel" u="1"/>
        <s v="CNH" u="1"/>
        <s v="Combustibles Barcelo S.R.L." u="1"/>
        <s v="Construir Hermanos" u="1"/>
        <s v="Edelar" u="1"/>
        <s v="El Obrador" u="1"/>
        <s v="Encrenas Claudio" u="1"/>
        <s v="Enrici Abril" u="1"/>
        <s v="Enrici Benjamin (SI)" u="1"/>
        <s v="Enrici Eduardo" u="1"/>
        <s v="Enrici Esteban" u="1"/>
        <s v="Fortaleza" u="1"/>
        <s v="Fortaleza " u="1"/>
        <s v="Campo Vial" u="1"/>
        <s v="Franceschi Liliana" u="1"/>
        <s v="Franceschi María Lilia" u="1"/>
        <s v="Fuente Gastón Nicolas" u="1"/>
        <s v="Fuentes Gaston Nicolas" u="1"/>
        <s v="Galdeano" u="1"/>
        <s v="Geminelli" u="1"/>
        <s v="Geminelli Sa " u="1"/>
        <s v="Guantex" u="1"/>
        <s v="Hadid Jaled" u="1"/>
        <s v="Caroya" u="1"/>
        <s v="Infraestructura y servicios" u="1"/>
        <s v="Irrigación y Aspersion SRL" u="1"/>
        <s v="JLA" u="1"/>
        <s v="La Rioja Telecomunicaciones " u="1"/>
        <s v="Liemich Ramon Guillermo (Ferreteria Lanus)" u="1"/>
        <s v="Luis A. Carrizo y CIA SRL" u="1"/>
        <s v="Luis Carrizo" u="1"/>
        <s v="Luis Coita" u="1"/>
        <s v="Irrigación y Asperción" u="1"/>
        <s v="Pircas Negras Construccion" u="1"/>
        <s v="Edelar " u="1"/>
        <s v="Edelar  (Finca Lolita)" u="1"/>
        <s v="Fuantes Gaston Nicolas" u="1"/>
        <s v="Mawkoski Matias" u="1"/>
        <s v="Quimax" u="1"/>
        <s v="Richetta" u="1"/>
        <s v="Saes Adrian" u="1"/>
        <s v="Salazar Jose Osvaldo Nicolas" u="1"/>
        <s v="San Martin Nicolas" u="1"/>
        <s v="Scaglioni" u="1"/>
        <s v="Scanio Natalia" u="1"/>
        <s v="La Rioja Telecomunicaciones" u="1"/>
        <s v="Serin S.A." u="1"/>
        <s v="Soul Mineira SA" u="1"/>
        <s v="Star Plastic SA" u="1"/>
        <s v="Starplastic" u="1"/>
        <s v="SUL MINEIRA S.A." u="1"/>
        <s v="Syneco" u="1"/>
        <s v="Uniforme 21 SA" u="1"/>
        <s v="Uniformes 21" u="1"/>
        <s v="Valle Sol SAPEN" u="1"/>
        <s v="Vassellati Cesar" u="1"/>
        <s v="Vessely" u="1"/>
        <s v="Vip Lavel" u="1"/>
        <s v="Vivero del Oeste Riojan{o" u="1"/>
        <s v="Viveros del Oeste Riojano" u="1"/>
        <s v="Winer Solution SRL" u="1"/>
        <s v="SUM SA" u="1"/>
        <s v="Ballespin Ariel" u="1"/>
        <s v="Camada de Comercio Exterior Cuyo" u="1"/>
        <s v="Sponozzi SAS" u="1"/>
        <s v="COE" u="1"/>
        <s v="Alvarez Alen" u="1"/>
        <s v="Mardes SA" u="1"/>
        <s v="Hanutec " u="1"/>
        <s v="Rapacholi Alejandro" u="1"/>
        <s v="Agüero Sebastian" u="1"/>
        <s v="Fernandez Elio" u="1"/>
        <s v="Garay Enrique esteban" u="1"/>
        <s v="Impo China" u="1"/>
        <s v="Industrias Nati" u="1"/>
        <s v="Ombu" u="1"/>
        <s v="Zalazar Jose" u="1"/>
        <s v="Chancalay Leonardo Horacio" u="1"/>
        <s v="Industrias ASA " u="1"/>
        <s v="Logistica Concordia" u="1"/>
        <s v="Esteban Enrici" u="1"/>
        <s v="Jaled Hadid" u="1"/>
        <s v="Olives de Louest SRL" u="1"/>
        <s v="Fabrica pintura Curtiembre" u="1"/>
        <s v="Lescura Mariano" u="1"/>
        <s v="Olivera Adrian" u="1"/>
        <s v="Welser" u="1"/>
        <s v="SUM" u="1"/>
        <s v="Ballerini Jorge" u="1"/>
        <s v="Fibratec" u="1"/>
        <s v="Frede Fabian" u="1"/>
        <s v="GMPJ" u="1"/>
        <s v="Luis Carrizo y CIA" u="1"/>
        <s v="Quiminsa" u="1"/>
        <s v="SAM Integral Service" u="1"/>
        <s v="Tintas Computacion" u="1"/>
        <s v="Franceschi" u="1"/>
        <s v="Daheng Manufacture" u="1"/>
        <s v="Agro 21" u="1"/>
        <s v="Edicion Limitada" u="1"/>
        <s v="Grafica" u="1"/>
        <s v="Inoxidables Maipu" u="1"/>
        <s v="LSH0" u="1"/>
        <s v="Vitivinícola Roncal S.R.L   " u="1"/>
        <s v="Compañias de seguro del norte" u="1"/>
        <s v="Juan Piacenza" u="1"/>
        <s v="Vason" u="1"/>
        <s v="Romndina Floriana" u="1"/>
        <s v="DOC" u="1"/>
        <s v="Giordani Ruben" u="1"/>
        <s v="Modex" u="1"/>
        <s v="Aguero Sebastian Alberto " u="1"/>
        <s v="Anticipo cosecha campaña 25" u="1"/>
        <s v="Aroma" u="1"/>
        <s v="B&amp;C" u="1"/>
        <s v="BYC" u="1"/>
        <s v="Caligaro Luis" u="1"/>
        <s v="Combustibles Barcelo" u="1"/>
        <s v="Del Castillo" u="1"/>
        <s v="Enrici" u="1"/>
        <s v="Alarcon" u="1"/>
        <s v="Esteban Enrici (KEK)" u="1"/>
        <s v="Giovanini Esteban " u="1"/>
        <s v="Greif" u="1"/>
        <s v="Combustibles Barcelo SRL" u="1"/>
        <s v="Moyano" u="1"/>
        <s v="Murcia Victor " u="1"/>
        <s v="Palermo" u="1"/>
        <s v="Plustec" u="1"/>
        <s v="Química Mega" u="1"/>
        <s v="Raul Moreno" u="1"/>
        <s v="Rivero Fredi" u="1"/>
        <s v="Sebastian Paez" u="1"/>
        <s v="SulMineira SA" u="1"/>
        <s v="Trans. Vesely" u="1"/>
        <s v="Vera Cruz" u="1"/>
        <s v="Veracruz y CIA" u="1"/>
        <s v="Fonsalida Lucas" u="1"/>
        <s v="Refrigeración Kato" u="1"/>
        <s v="De Obras" u="1"/>
        <s v="Tecniagro" u="1"/>
        <s v="Lombardo Víctor" u="1"/>
        <s v="Cuello Construccion" u="1"/>
        <s v="Floriana Rondina" u="1"/>
        <s v="Quatek" u="1"/>
        <s v="Juana Carmen Palermo" u="1"/>
        <s v="Abatech" u="1"/>
        <s v="Salazar José" u="1"/>
        <s v="Jaled Jalid" u="1"/>
        <s v="Sulmineire" u="1"/>
        <s v="Rivero Manuel" u="1"/>
        <s v="Troncoso Diego" u="1"/>
        <s v="Sika" u="1"/>
      </sharedItems>
    </cacheField>
    <cacheField name="Descripción" numFmtId="0">
      <sharedItems containsBlank="1"/>
    </cacheField>
    <cacheField name="FTP" numFmtId="0">
      <sharedItems/>
    </cacheField>
    <cacheField name="Rubro" numFmtId="0">
      <sharedItems containsBlank="1" count="21">
        <s v="Deuda"/>
        <s v="Nuevo"/>
        <s v="CCHC"/>
        <s v="Servicio"/>
        <s v="Deuda Fruta"/>
        <s v="Deuda Fruta 26"/>
        <s v="C/C"/>
        <s v="Deuda Fruta 25"/>
        <s v="Nueva"/>
        <m u="1"/>
        <s v="Deuda Fruta 2025" u="1"/>
        <s v="Proveedor" u="1"/>
        <s v="Fruta" u="1"/>
        <s v="Flete Fruta" u="1"/>
        <s v="Importación" u="1"/>
        <s v="Flete  " u="1"/>
        <s v="Pagado" u="1"/>
        <s v="Obra" u="1"/>
        <s v="Impo" u="1"/>
        <s v="p" u="1"/>
        <s v="Flete" u="1"/>
      </sharedItems>
    </cacheField>
    <cacheField name="Vía" numFmtId="0">
      <sharedItems containsSemiMixedTypes="0" containsString="0" containsNumber="1" containsInteger="1" minValue="1" maxValue="2" count="2">
        <n v="1"/>
        <n v="2"/>
      </sharedItems>
    </cacheField>
    <cacheField name="Forma  de pago" numFmtId="0">
      <sharedItems containsBlank="1" count="5">
        <s v="Transferencia"/>
        <s v="Cheque"/>
        <s v="Efectivo"/>
        <s v="Nuevo"/>
        <m u="1"/>
      </sharedItems>
    </cacheField>
    <cacheField name="Divisa" numFmtId="0">
      <sharedItems containsBlank="1" count="4">
        <s v="$"/>
        <s v="U$D"/>
        <s v="EUR"/>
        <m u="1"/>
      </sharedItems>
    </cacheField>
    <cacheField name="$" numFmtId="44">
      <sharedItems containsString="0" containsBlank="1" containsNumber="1" minValue="0" maxValue="200000000"/>
    </cacheField>
    <cacheField name="Importe AR$" numFmtId="44">
      <sharedItems containsSemiMixedTypes="0" containsString="0" containsNumber="1" minValue="0" maxValue="4525170000"/>
    </cacheField>
    <cacheField name="Importe U$D" numFmtId="167">
      <sharedItems containsSemiMixedTypes="0" containsString="0" containsNumber="1" minValue="0" maxValue="2900750"/>
    </cacheField>
    <cacheField name="Obs." numFmtId="0">
      <sharedItems containsDate="1" containsBlank="1" containsMixedTypes="1" minDate="1900-01-06T06:14:04" maxDate="1899-12-30T00:00:00"/>
    </cacheField>
    <cacheField name="Fecha_Cheque" numFmtId="168">
      <sharedItems containsDate="1" containsBlank="1" containsMixedTypes="1" minDate="1906-08-07T00:00:00" maxDate="2029-05-23T00:00:00"/>
    </cacheField>
    <cacheField name="SemanaCh" numFmtId="1">
      <sharedItems containsMixedTypes="1" containsNumber="1" containsInteger="1" minValue="1" maxValue="53"/>
    </cacheField>
    <cacheField name="OP" numFmtId="0">
      <sharedItems containsBlank="1" count="2388">
        <m/>
        <s v="OPN-8730"/>
        <s v="OPN-10262"/>
        <s v="OPN-10263"/>
        <s v="OPN-8892"/>
        <s v="OPN-9452"/>
        <s v="OPN-9839"/>
        <s v="OPN-8838"/>
        <s v="OPN-10674"/>
        <s v="OPN-10051"/>
        <s v="OPN-12628"/>
        <s v="OPN-12452"/>
        <s v="OPN-6315"/>
        <s v="OPN-5837"/>
        <s v="OPN-5940"/>
        <s v="OPN-5822"/>
        <s v="OPN-13094"/>
        <s v="OPN-8281"/>
        <s v="OPN-9314"/>
        <s v="OPN-10162"/>
        <s v="OPN-11408"/>
        <s v="OPN-"/>
        <s v="OPN-8481"/>
        <s v="OPN-11865"/>
        <s v="OPN-12600"/>
        <s v="OPN-12601"/>
        <s v="OPN-11572"/>
        <s v="OPN-8835"/>
        <s v="OPN-6698"/>
        <s v="OPN-5271"/>
        <s v="OPN-5220"/>
        <s v="OPN-5311"/>
        <s v="OPN-5497"/>
        <s v="OPN-5587"/>
        <s v="S"/>
        <s v="OPN-5651"/>
        <s v="OPN-2627"/>
        <s v="OPN-5679"/>
        <s v="OPN-5740"/>
        <s v="OPN-5835"/>
        <s v="OPN-5994"/>
        <s v="OPN-6203"/>
        <s v="OPN-6392"/>
        <s v="OPN-6551"/>
        <s v="OPN-7076"/>
        <s v="OPN-7356"/>
        <s v="OPN-7407"/>
        <s v="OPN-7474"/>
        <s v="OPN-7614"/>
        <s v="OPN-7826"/>
        <s v="OPN-7931"/>
        <s v="OPN-6387"/>
        <s v="OPN-6388"/>
        <s v="OPN-7219"/>
        <s v="OPN-7309"/>
        <s v="OPN-7454"/>
        <s v="OPN-7406"/>
        <s v="OPN-7475"/>
        <s v="OPN-7512"/>
        <s v="OPN-7613"/>
        <s v="OPN-7568"/>
        <s v="OPN-7825"/>
        <s v="OPN-7273"/>
        <s v="OPN-12966"/>
        <s v="OPN-11376"/>
        <s v="OPN-11638"/>
        <s v="OPN-8257"/>
        <s v="OPN-10648"/>
        <s v="OPN-8939"/>
        <s v="OPN-9873"/>
        <s v="OPN-9367"/>
        <s v="OPN-11029"/>
        <s v="OPN-12293"/>
        <s v="OPN-8284"/>
        <s v="OPN-8248"/>
        <s v="OPN-9246"/>
        <s v="OPN-9682"/>
        <s v="OPN-9658"/>
        <s v="OPN-9979"/>
        <s v="OPN-11538"/>
        <s v="OPN-12886"/>
        <s v="OPN-12998"/>
        <s v="OPN-5213"/>
        <s v="OPN - 4889"/>
        <s v="OPN-4960"/>
        <s v="OPN-6538"/>
        <s v="OPN-6796"/>
        <s v="OPN - 7628"/>
        <s v="OPN-11460"/>
        <s v="OPN-6767"/>
        <s v="OPN-7340"/>
        <s v="OPN-7410"/>
        <s v="OPN-7476"/>
        <s v="OPN-7514"/>
        <s v="OPN-7560"/>
        <s v="OPN-7605"/>
        <s v="OPN-7178"/>
        <s v="OPN-7299"/>
        <s v="OPN-7275"/>
        <s v="OPN-7986"/>
        <s v="OPN-8557"/>
        <s v="OPN-11673"/>
        <s v="OPN-9766"/>
        <s v="OPN-11366"/>
        <s v="OPN-8981"/>
        <s v="OPN-12023"/>
        <s v="OPN-12288"/>
        <s v="OPN-10749"/>
        <s v="OPN-8044"/>
        <s v="OPN-11730"/>
        <s v="OPN-9176"/>
        <s v="OPN-12167"/>
        <s v="OPN-11903"/>
        <s v="OPN-10993"/>
        <s v="OPN-8579"/>
        <s v="OPN-10679"/>
        <s v="OPN-11494"/>
        <s v="OPN-11619"/>
        <s v="OPN-11720"/>
        <s v="OPN-12726"/>
        <s v="OPN-13114"/>
        <s v="OPN-9747"/>
        <s v="OPN-10334"/>
        <s v="OPN-8256"/>
        <s v="OPN - 7659"/>
        <s v="OPN - 7707"/>
        <s v="OPN-8926"/>
        <s v="OPN-11383"/>
        <s v="OPN-11748"/>
        <s v="OPN-11749"/>
        <s v="OPN-12095"/>
        <s v="OPN-12634"/>
        <s v="OPN-10707"/>
        <s v="OP-10889"/>
        <s v="OPN-11023"/>
        <s v="OPN-11799"/>
        <s v="OPN-11887"/>
        <s v="OPN-12091"/>
        <s v="OPN-12914"/>
        <s v="OPN-11253"/>
        <s v="OPN-11721"/>
        <s v="OPN-12304"/>
        <s v="OPN-11836"/>
        <s v="OPN-12477"/>
        <s v="OPN-12622"/>
        <s v="OPN-12830"/>
        <s v="OPN-11312"/>
        <s v="OPN-8208"/>
        <s v="OPN-8536"/>
        <s v="OPN-8904"/>
        <s v="OPN-9639"/>
        <s v="OPN-9893"/>
        <s v="OPN-10165"/>
        <s v="OPN-10888"/>
        <s v="OPN-13087"/>
        <s v="OPN-12922"/>
        <s v="OPN-11319"/>
        <s v="OPN-11276"/>
        <s v="OPN-12272"/>
        <s v="OPN-8784"/>
        <s v="OPN-10172"/>
        <s v="OPN-10774"/>
        <s v="OPN-9611"/>
        <s v="OPN-9740"/>
        <s v="OPN-8223"/>
        <s v="OPN-8249"/>
        <s v="OP N 8128"/>
        <s v="OPN8207"/>
        <s v="OPN-7996"/>
        <s v="OPN-8426"/>
        <s v="OPN-8360"/>
        <s v="OPN-8400"/>
        <s v="OPN-8506"/>
        <s v="OPN-8643"/>
        <s v="OPN-8983"/>
        <s v="OPN-10711"/>
        <s v="OPN-11026"/>
        <s v="OPN-11147"/>
        <s v="OPN-11266"/>
        <s v="OPN-11202"/>
        <s v="OPN-11558"/>
        <s v="OPN-11743"/>
        <s v="OPN-11901"/>
        <s v="OPN-11970"/>
        <s v="OPN-12000"/>
        <s v="OPN-12106"/>
        <s v="OPN-12078"/>
        <s v="OPN-11687"/>
        <s v="OPN-12242"/>
        <s v="OPN-12375"/>
        <s v="OPN-12564"/>
        <s v="OPN-12578"/>
        <s v="OPN-12582"/>
        <s v="OPN-12630"/>
        <s v="OPN-12614"/>
        <s v="OPN-12765"/>
        <s v="OPN-12893"/>
        <s v="OPN-11049"/>
        <s v="OPN-10208"/>
        <s v="OPN-11835"/>
        <s v="OPN-12616"/>
        <s v="OPN-5782"/>
        <s v="OPN-6202"/>
        <s v="OPN-11871"/>
        <s v="OPN-12387"/>
        <s v="OPN-10896"/>
        <s v="OPN-9003"/>
        <s v="OPN-11323"/>
        <s v="OPN-11561"/>
        <s v="OPN-11825"/>
        <s v="OPN-12617"/>
        <s v="OPN-13088"/>
        <s v="OPN-8466"/>
        <s v="OPN-8703"/>
        <s v="OPN-10937"/>
        <s v="OPN-11569"/>
        <s v="OPN-1185"/>
        <s v="OPN-12173"/>
        <s v="OPN-7456"/>
        <s v="OPN-7675"/>
        <s v="OPN-12069"/>
        <s v="OPN-11329"/>
        <s v="OPN-11838"/>
        <s v="OPN-10884"/>
        <s v="OPN-11030"/>
        <s v="OPN-11088"/>
        <s v="OPN-11384"/>
        <s v="OPN11611"/>
        <s v="OPN-11902"/>
        <s v="OPN-12115"/>
        <s v="OPN-12391"/>
        <s v="OPN-12567"/>
        <s v="OPN-12618"/>
        <s v="OPN-12243"/>
        <s v="OPN-13034"/>
        <s v="OPN-9824"/>
        <s v="OPN-9807"/>
        <s v="OPN-11615"/>
        <s v="OPN-12080"/>
        <s v="OPN-12395"/>
        <s v="OPN-8923"/>
        <s v="OPN-10335"/>
        <s v="OPN-7820"/>
        <s v="OPN-9645"/>
        <s v="OPN-8860"/>
        <s v="OPN-11185"/>
        <s v="OPN-12185"/>
        <s v="OPN-11232"/>
        <s v="OPN-5591"/>
        <s v="OPN-5863"/>
        <s v="OPN-5936"/>
        <s v="OPN-5156"/>
        <s v="OPN-12117"/>
        <s v="OPN-11511"/>
        <s v="OPN-11466"/>
        <s v="OPN-11856"/>
        <s v="OPN-8548"/>
        <s v="OPN-11962"/>
        <s v="OPN-9679"/>
        <s v="OPN-10032"/>
        <s v="OPN-9449"/>
        <s v="OPN-10062"/>
        <s v="OPN-10801"/>
        <s v="OP N 8074"/>
        <s v="OPN-8475"/>
        <s v="OPN-8882"/>
        <s v="OPN-11033"/>
        <s v="OPN-9894"/>
        <s v="OPN-12970"/>
        <s v="OPN-11412"/>
        <s v="OPN-12670"/>
        <s v="OPN-10417"/>
        <s v="OPN-11187"/>
        <s v="OPN-11704"/>
        <s v="OPN-8476"/>
        <s v="OPN-8537"/>
        <s v="OPN-9325"/>
        <s v="OPN-9510"/>
        <s v="OPN-9637"/>
        <s v="OPN-9891"/>
        <s v="OPN-10155"/>
        <s v="OPN-10802"/>
        <s v="OPN-10910"/>
        <s v="OPN-11391"/>
        <s v="OPN-11410"/>
        <s v="OPN-12620"/>
        <s v="OPN-10219"/>
        <s v="OPN-8930"/>
        <s v="OPN-9636"/>
        <s v="OPN-10477"/>
        <s v="OPN-10915"/>
        <s v="OPN-11152"/>
        <s v="OPN-11174"/>
        <s v="OPN-11982"/>
        <s v="OPN-12130"/>
        <s v="OPN-12428"/>
        <s v="OPN-12809"/>
        <s v="OPN-10513"/>
        <s v="OP N 8101"/>
        <s v="OPN-11510"/>
        <s v="OPN-12111"/>
        <s v="OPN-8266"/>
        <s v="OPN-8946"/>
        <s v="OPN-11176"/>
        <s v="OPN-11267"/>
        <s v="OPN-8265"/>
        <s v="OPN-8150"/>
        <s v="OPN-8943"/>
        <s v="OPN-9405"/>
        <s v="OPN-10102"/>
        <s v="OPN-10480"/>
        <s v="OPN-10698"/>
        <s v="OPN-12276"/>
        <s v="OPN-12643"/>
        <s v="OPN-11621"/>
        <s v="OPN-7202"/>
        <s v="OPN-5732"/>
        <s v="OPN-5824"/>
        <s v="OPN-6182"/>
        <s v="OPN-6417"/>
        <s v="OPN-8549"/>
        <s v="OPN-10592"/>
        <s v="OPN-11165"/>
        <s v="OPN-11876"/>
        <s v="OPN-11584"/>
        <s v="OPN-12099"/>
        <s v="OPN-12522"/>
        <s v="OPN-12524"/>
        <s v="OPN-8341"/>
        <s v="OPN-10218"/>
        <s v="OPN-12464"/>
        <s v="OPN-12590"/>
        <s v="OPN-10645"/>
        <s v="OPN-11441"/>
        <s v="OPN-12888"/>
        <s v="OPN-12389"/>
        <s v="OPN-8258"/>
        <s v="OPN - 7639"/>
        <s v="OPN-7527"/>
        <s v="OPN-11792"/>
        <s v="OPN-12282"/>
        <s v="OPN-12667"/>
        <s v="OPN-8377"/>
        <s v="OPN-8633"/>
        <s v="OPN-8700"/>
        <s v="OPN-9388"/>
        <s v="OPN-9539"/>
        <s v="OPN-9540"/>
        <s v="OPN-11032"/>
        <s v="OPN-11389"/>
        <s v="OPN-11349"/>
        <s v="OPN-12236"/>
        <s v="OPN-12317"/>
        <s v="OPN-12439"/>
        <s v="OPN-11325"/>
        <s v="OPN-11793"/>
        <s v="OPN-12365"/>
        <s v="OPN-12682"/>
        <s v="OPN-8583"/>
        <s v="OPN+8263"/>
        <s v="OPN-11857"/>
        <s v="OPN-8507"/>
        <s v="OPN-8875"/>
        <s v="OPN-10004"/>
        <s v="OPN-10199"/>
        <s v="OPN-8252"/>
        <s v="OPN - 7577"/>
        <s v="OPN-7781"/>
        <s v="OPN-7997"/>
        <s v="OPN-8822"/>
        <s v="OPN-5645"/>
        <s v="OPN-5650"/>
        <s v="OPN-5735"/>
        <s v="OPN-5702"/>
        <s v="OPN-6159"/>
        <s v="OPN-11632"/>
        <s v="OPN-11725"/>
        <s v="OPN-12642"/>
        <s v="OPN-9239"/>
        <s v="OPN-9719"/>
        <s v="OPN-10215"/>
        <s v="OPN-12523"/>
        <s v="OPN-13026"/>
        <s v="OPN-13021"/>
        <s v="OPN-8424"/>
        <s v="OPN-11648"/>
        <s v="OPN-12074"/>
        <s v="OPN-9755"/>
        <s v="OPN-10901"/>
        <s v="OPN-11723"/>
        <s v="OPN-11833"/>
        <s v="OPN-12124"/>
        <s v="AS-10813"/>
        <s v="OPN-12548"/>
        <s v="OPN-12602"/>
        <s v="OPN-11301"/>
        <s v="OPN-6157"/>
        <s v="OPN-9149/9148"/>
        <s v="OPN-9363"/>
        <s v="OPN-10108"/>
        <s v="OPN-10187"/>
        <s v="OPN-10333"/>
        <s v="OPN-10332"/>
        <s v="OPN-10250"/>
        <s v="OPN-10056"/>
        <s v="OPN-10676"/>
        <s v="OPN-10947"/>
        <s v="OPN-11387"/>
        <s v="OPN-11342"/>
        <s v="OPN-11464"/>
        <s v="OPN-11440"/>
        <s v="OPN-11448"/>
        <s v="OPN-11599"/>
        <s v="OPN-11598"/>
        <s v="OPN-11602"/>
        <s v="OPN-11676"/>
        <s v="OPN-11658"/>
        <s v="OPN-11657"/>
        <s v="OPN-11656"/>
        <s v="OPN-7310"/>
        <s v="OPN-12116"/>
        <s v="OPN-7401"/>
        <s v="OPN-7455"/>
        <s v="OPN-7511"/>
        <s v="OPN-7223"/>
        <s v="OPN-7222"/>
        <s v="OPN-12246"/>
        <s v="OPN-7557"/>
        <s v="OPN-12228"/>
        <s v="OPN-12227"/>
        <s v="OPN-12226"/>
        <s v="OPN-12347"/>
        <s v="OPN-12485"/>
        <s v="OPN-7786"/>
        <s v="OPN-7759"/>
        <s v="OPN-12792"/>
        <s v="OPN-12790"/>
        <s v="OPN-12791"/>
        <s v="OPN-12946"/>
        <s v="OPN-11119"/>
        <s v="OPN-11363"/>
        <s v="OPN-8699"/>
        <s v="OPN-9327"/>
        <s v="OPN-9368"/>
        <s v="OPN-10012"/>
        <s v="OPN-10212"/>
        <s v="OPN-8648"/>
        <s v="OPN-11315"/>
        <s v="OPN-11458"/>
        <s v="OPN-10196"/>
        <s v="OPN-10197"/>
        <s v="OPN-8462"/>
        <s v="OPN-8463"/>
        <s v="OPN-8486"/>
        <s v="OPN-8487"/>
        <s v="OPN-8588"/>
        <s v="AS-10818"/>
        <s v="AS-10817"/>
        <s v="OPN-11139"/>
        <s v="OPN-11606"/>
        <s v="OPN-11714"/>
        <s v="OPN-8544"/>
        <s v="OPN-9315"/>
        <s v="OPN-9435"/>
        <s v="OPN-9638"/>
        <s v="OPN-9890"/>
        <s v="OPN-10154"/>
        <s v="OPN-10899"/>
        <s v="OPN-11388"/>
        <s v="OPN-11326"/>
        <s v="OPN-11829"/>
        <s v="OPN-11867"/>
        <s v="OPN-11987"/>
        <s v="OPN-12073"/>
        <s v="OPN-12164"/>
        <s v="OPN-12134"/>
        <s v="OPN-12330"/>
        <s v="OPN-12348"/>
        <s v="OPN-12579"/>
        <s v="OPN-12635"/>
        <s v="OPN-12669"/>
        <s v="OPN-12672"/>
        <s v="OPN-12718"/>
        <s v="OPN-6267"/>
        <s v="OPN-9070"/>
        <s v="OPN-8041"/>
        <s v="OPN-8711"/>
        <s v="OPN-9550"/>
        <s v="OPN-9729"/>
        <s v="OPN-10371"/>
        <s v="OPN-11197"/>
        <s v="OPN-12219"/>
        <s v="OPN-9853"/>
        <s v="OPN-11399"/>
        <s v="OPN-11471"/>
        <s v="OPN-10137"/>
        <s v="OPN-10541"/>
        <s v="OPN-10491"/>
        <s v="OPN-10678"/>
        <s v="OPN-10894"/>
        <s v="OPN-7878"/>
        <s v="OPN-9206"/>
        <s v="OPN-9358"/>
        <s v="OPN-9433"/>
        <s v="OPN-9959"/>
        <s v="OPN-10418"/>
        <s v="OPN-11083"/>
        <s v="OPN-11439"/>
        <s v="OPN-11639"/>
        <s v="OPN-11981"/>
        <s v="OPN-10501"/>
        <s v="OPN-11709"/>
        <s v="AS-10816"/>
        <s v="OPN-5125"/>
        <s v="OP N 5147"/>
        <s v="OPN-5253"/>
        <s v="OPN-5419"/>
        <s v="OPN-5420"/>
        <s v="OP N 8120"/>
        <s v="OPN-13078"/>
        <s v="OPN-11849"/>
        <s v="OPN-11848"/>
        <s v="OPN-11904"/>
        <s v="OPN-12398"/>
        <s v="OPN-12543"/>
        <s v="OPN-12609"/>
        <s v="OPN-12760"/>
        <s v="OPN-13070"/>
        <s v="OPN-11734"/>
        <s v="OPN-11504"/>
        <s v="OPN-11988"/>
        <s v="OPN-12011"/>
        <s v="OPN-12030"/>
        <s v="OPN-12283"/>
        <s v="OPN-12399"/>
        <s v="OPN-12537"/>
        <s v="OPN-12612"/>
        <s v="OPN-13027"/>
        <s v="OPN10214"/>
        <s v="OPN-12118"/>
        <s v="OPN-10312"/>
        <s v="OPN-8743"/>
        <s v="OPN-9255"/>
        <s v="OPN-11994"/>
        <s v="OPN-8501"/>
        <s v="OPN-8246"/>
        <s v="OPN-7934"/>
        <s v="OPN-12341"/>
        <s v="OPN-12892"/>
        <s v="OPN-5197"/>
        <s v="OPN-5376"/>
        <s v="OPN-11916"/>
        <s v="OPN-11983"/>
        <s v="OPN-12184"/>
        <s v="OPN-12329"/>
        <s v="OPN-12507"/>
        <s v="OPN-12536"/>
        <s v="OPN-8230"/>
        <s v="OPN-8011"/>
        <s v="OPN-8035"/>
        <s v="OP N 8112"/>
        <s v="OPN-8342"/>
        <s v="OPN-8421"/>
        <s v="OPN-8438"/>
        <s v="OPN-8477"/>
        <s v="OPN-8467"/>
        <s v="OPN-8471"/>
        <s v="OPN-8534"/>
        <s v="OPN-8551"/>
        <s v="OPN-8591"/>
        <s v="OPN-8602"/>
        <s v="OPN-8660"/>
        <s v="OPN-8824"/>
        <s v="OPN-8829"/>
        <s v="OPN-9262"/>
        <s v="OPN-9263"/>
        <s v="OPN-9341"/>
        <s v="OPN-9280"/>
        <s v="OPN-9436"/>
        <s v="OPN-9439"/>
        <s v="OPN-9440"/>
        <s v="OPN-9441"/>
        <s v="OPN-9498"/>
        <s v="OPN-9741"/>
        <s v="OPN-9665"/>
        <s v="OPN-9883"/>
        <s v="OPN-9802"/>
        <s v="OPN-9934"/>
        <s v="OPN-9988"/>
        <s v="OPN-10060"/>
        <s v="OPN-10070"/>
        <s v="OPN-10046"/>
        <s v="OPN-10311"/>
        <s v="OPN-10330"/>
        <s v="OPN-8833"/>
        <s v="OPN-13080"/>
        <s v="OP N 8102"/>
        <s v="OPN-12152"/>
        <s v="OPN-9942"/>
        <s v="OPN-9976"/>
        <s v="OPN-12805"/>
        <s v="OPN-10604"/>
        <s v="OPN-10677"/>
        <s v="OPN-11372"/>
        <s v="OPN-11794"/>
        <s v="OPN-10005"/>
        <s v="OPN-10006"/>
        <s v="OPN-10811"/>
        <s v="OPN-8739"/>
        <s v="OPN-11040"/>
        <s v="OPN-12358"/>
        <s v="OPN-12357"/>
        <s v="OPN-12137"/>
        <s v="OPN-12549"/>
        <s v="OPN-12677"/>
        <s v="OPN-12962"/>
        <s v="Pagado"/>
        <s v="OPN 8152"/>
        <s v="OPN-8964"/>
        <s v="OPN-5479"/>
        <s v="OPN-9517"/>
        <s v="OPN-10336"/>
        <s v="OPN-6018"/>
        <s v="OPN-10523"/>
        <s v="OPN-10692"/>
        <s v="OPN-6266"/>
        <s v="OPN-11278"/>
        <s v="OPN-6548"/>
        <s v="OPN-11280"/>
        <s v="OPN-11322"/>
        <s v="OPN-11550"/>
        <s v="OPN-11847"/>
        <s v="OPN-12105"/>
        <s v="OPN-2"/>
        <s v="OPN-12603"/>
        <s v="OPN-12625"/>
        <s v="OPN-12520"/>
        <s v="OPN-6339"/>
        <s v="OPN-11164"/>
        <s v="OPN-6547"/>
        <s v="OPN-11364"/>
        <s v="OPN-9727"/>
        <s v="OPN-9553"/>
        <s v="OPN-11178"/>
        <s v="OPN-12064"/>
        <s v="OPN-13123"/>
        <s v="OPN-13076"/>
        <s v="OPN-8274"/>
        <s v="OPN-8530"/>
        <s v="OPN-9562"/>
        <s v="OPN-9712"/>
        <s v="OPN-11150"/>
        <s v="OPN-11634"/>
        <s v="OPN-12982"/>
        <s v="OPN-9543"/>
        <s v="OPN-7947"/>
        <s v="OPN-9721"/>
        <s v="OPN-10725"/>
        <s v="OPN-12015"/>
        <s v="OPN-10647"/>
        <s v="OPN-10048"/>
        <s v="OPN-11432"/>
        <s v="OPN-11964"/>
        <s v="OPN-10403"/>
        <s v="OPN-10404"/>
        <s v="OPN-10487"/>
        <s v="OPN-10494"/>
        <s v="OPN-11337"/>
        <s v="OPN-11577"/>
        <s v="OPN-11578"/>
        <s v="OPN-11625"/>
        <s v="OPN-11624"/>
        <s v="OPN-11906"/>
        <s v="OPN-11905"/>
        <s v="OPN-11980"/>
        <s v="OPN-11979"/>
        <s v="OPN-11978"/>
        <s v="OPN-11977"/>
        <s v="OPN-12112"/>
        <s v="OPN-12158"/>
        <s v="OPN-12186"/>
        <s v="OPN-12397"/>
        <s v="OPN-12400"/>
        <s v="OPN-12432"/>
        <s v="OPN-12515"/>
        <s v="OPN-12535"/>
        <s v="OPN-12608"/>
        <s v="OPN-12607"/>
        <s v="OPN-12606"/>
        <s v="OPN-12759"/>
        <s v="OPN-12860"/>
        <s v="OPN-12861"/>
        <s v="OPN-12862"/>
        <s v="OPN-12879"/>
        <s v="OPN-12894"/>
        <s v="OPN-13014"/>
        <s v="OPN-13041"/>
        <s v="OPN-8755"/>
        <s v="OPN-8720"/>
        <s v="OPN-9640"/>
        <s v="OPN-9087"/>
        <s v="OPN-9552"/>
        <s v="OPN-10166"/>
        <s v="OPN-10912"/>
        <s v="OPN-11390"/>
        <s v="OPN-9020"/>
        <s v="OPN-11711"/>
        <s v="OPN-5255"/>
        <s v="OPN-5267"/>
        <s v="OPN-8556"/>
        <s v="OPN-8679"/>
        <s v="OPN-8756"/>
        <s v="OPN-9019"/>
        <s v="OPN-5488"/>
        <s v="OPN-9272"/>
        <s v="OPN-9360"/>
        <s v="OPN-9434"/>
        <s v="OPN-9497"/>
        <s v="OPN-9714"/>
        <s v="OPN-9750"/>
        <s v="OPN-9814"/>
        <s v="OPN-5752"/>
        <s v="OPN-9916"/>
        <s v="OPN-5823"/>
        <s v="OPN-9998"/>
        <s v="OPN-5995"/>
        <s v="OPN-11394"/>
        <s v="OPN-12762"/>
        <s v="OPN-8719"/>
        <s v="OPN-5219"/>
        <s v="OPN-5260"/>
        <s v="OPN-8423"/>
        <s v="OPN-5313"/>
        <s v="OPN-5592"/>
        <s v="OPN-5653"/>
        <s v="OPN-5749"/>
        <s v="OPN-5905"/>
        <s v="OPN-5997"/>
        <s v="OPN-6160"/>
        <s v="OPN-6169"/>
        <s v="OPN-6205"/>
        <s v="OPN-6228"/>
        <s v="OPN-6223"/>
        <s v="OPN-9088"/>
        <s v="OPN-9511"/>
        <s v="OPN-9551"/>
        <s v="OPN-10167"/>
        <s v="OPN-6272"/>
        <s v="OPN-10911"/>
        <s v="OPN-6340"/>
        <s v="OPN-6394"/>
        <s v="OPN-6436"/>
        <s v="OPN-7073"/>
        <s v="OPN-7408"/>
        <s v="OPN-7478"/>
        <s v="OPN-13077"/>
        <s v="OPN-8047"/>
        <s v="OPN-11489"/>
        <s v="OPN-11807"/>
        <s v="OPN-12833"/>
        <s v="OPN-12492"/>
        <s v="OPN-12972"/>
        <s v="OPN-11386"/>
        <s v="OPN-5680"/>
        <s v="OPN-5751"/>
        <s v="OPN-5904"/>
        <s v="OPN-5996"/>
        <s v="OPN-6168"/>
        <s v="OPN-6437"/>
        <s v="OPN-5593"/>
        <s v="OPN-5548"/>
        <s v="OPN-11717"/>
        <s v="OPN-8644"/>
        <s v="OPN-10192"/>
        <s v="OPN-11831"/>
        <s v="OPN-8268"/>
        <s v="OPN 7281"/>
        <s v="OPN-8050"/>
        <s v="OPN-12076"/>
        <s v="OPN-11156"/>
        <s v="OPN-10885"/>
        <s v="OPN-11290"/>
        <s v="OPN-11555"/>
        <s v="OPN-8469"/>
        <s v="OPN-9297"/>
        <s v="OPN-10220"/>
        <s v="OPN-7198"/>
        <s v="OPN-7604"/>
        <s v="OPN-7422"/>
        <s v="OPN-10898"/>
        <s v="OPN-11609"/>
        <s v="OPN-13043"/>
        <s v="OPN-7217"/>
        <s v="OPN-7341"/>
        <s v="OPN-7276"/>
        <s v="OPN-4971"/>
        <s v="OPN-5590"/>
        <s v="OPN-6478"/>
        <s v="OPN-11375"/>
        <s v="OPN-11633"/>
        <s v="OPN-11660"/>
        <s v="OPN-9702"/>
        <s v="OPN-6265"/>
        <s v="OPN-8540"/>
        <s v="OPN-9323"/>
        <s v="OPN-9509"/>
        <s v="OPN-10163"/>
        <s v="OPN-10905"/>
        <s v="OPN-11401"/>
        <s v="OPN-11814"/>
        <s v="OPN-13081"/>
        <s v="OPN-8497"/>
        <s v="OPN-9145"/>
        <s v="OPN-9544"/>
        <s v="OPN-10131"/>
        <s v="OPN-10132"/>
        <s v="OPN-10130"/>
        <s v="OPN-10518"/>
        <s v="OPN-10556"/>
        <s v="OPN-10750"/>
        <s v="OPN-9803"/>
        <s v="OPN-11143"/>
        <s v="OPN-11377"/>
        <s v="OPN-11477"/>
        <s v="OPN-11478"/>
        <s v="OPN-11562"/>
        <s v="OPN-11821"/>
        <s v="OPN-12026"/>
        <s v="OPN-12044"/>
        <s v="OPN-12257"/>
        <s v="OPN-12231"/>
        <s v="OPN-12292"/>
        <s v="OPN-12641"/>
        <s v="OPN-12636"/>
        <s v="OPN12884"/>
        <s v="OPN-12744"/>
        <s v="OPN-13036"/>
        <s v="OPN-13017"/>
        <s v="OPN-12891"/>
        <s v="OPN-9643"/>
        <s v="OPN-10913"/>
        <s v="OPN-11403"/>
        <s v="OPN-12214"/>
        <s v="OPN-12927"/>
        <s v="OPN-6480"/>
        <s v="OPN-5061"/>
        <s v="OP N 5146"/>
        <s v="OPN-5198"/>
        <s v="OPN-9933"/>
        <s v="OPN-9282"/>
        <s v="OPN-10200"/>
        <s v="OPN-10642"/>
        <s v="OPN-11135"/>
        <s v="OPN-11413"/>
        <s v="OPN-11816"/>
        <s v="OPN-12975"/>
        <s v="OPN-9935"/>
        <s v="OPN-7216"/>
        <s v="OPN-7314"/>
        <s v="OPN-7564"/>
        <s v="OPN-7981"/>
        <s v="OPN-8470"/>
        <s v="OPN-10655"/>
        <s v="OPN-12458"/>
        <s v="OPN-10034"/>
        <s v="OPN-13037"/>
        <s v="OPN-11991"/>
        <s v="OPN-8585"/>
        <s v="OPN-8985"/>
        <s v="OPN-9301"/>
        <s v="OPN-10045"/>
        <s v="OPN-10174"/>
        <s v="OPN-10520"/>
        <s v="OPN-10584"/>
        <s v="OPN-10624"/>
        <s v="OPN-10788"/>
        <s v="OPN-11431"/>
        <s v="OPN-11501"/>
        <s v="OPN-11877"/>
        <s v="OPN-12504"/>
        <s v="OPN-12565"/>
        <s v="OPN-12666"/>
        <s v="OPN-12380"/>
        <s v="OPN-12995"/>
        <s v="OPN-10198"/>
        <s v="OPN-10401"/>
        <s v="OPN-7569"/>
        <s v="OPN-7673"/>
        <s v="OPN-8661"/>
        <s v="OPN-9364"/>
        <s v="OPN-10382"/>
        <s v="OP N8119"/>
        <s v="OPN-8355"/>
        <s v="OPN-9723"/>
        <s v="OPN-11745"/>
        <s v="OPN-12094"/>
        <s v="OPN-13121"/>
        <s v="OPN-9430"/>
        <s v="OPN-11637"/>
        <s v="OPN-12880"/>
        <s v="OPN-12296"/>
        <s v="OPN-9209"/>
        <s v="OPN-10921"/>
        <s v="OPN-11131"/>
        <s v="OPN-11195"/>
        <s v="OPN-11487"/>
        <s v="OPN-11796"/>
        <s v="OPN-12181"/>
        <s v="OPN-5780"/>
        <s v="OPN-8056"/>
        <s v="OPN-9303"/>
        <s v="OPN-11243"/>
        <s v="OPN-10069"/>
        <s v="OP N 8114"/>
        <s v="OPN-9324"/>
        <s v="OPN-9508"/>
        <s v="OPN-10159"/>
        <s v="OPN-10900"/>
        <s v="OPN-11400"/>
        <s v="OPN-11815"/>
        <s v="OPN-10042"/>
        <s v="OPN-10230"/>
        <s v="OPN-10776"/>
        <s v="OPN-9143"/>
        <s v="OPN-9978"/>
        <s v="OPN-11028"/>
        <s v="OPN-11137"/>
        <s v="OPN-11265"/>
        <s v="OPN-11488"/>
        <s v="OPN-11495"/>
        <s v="OPN-11576"/>
        <s v="OPN-11750"/>
        <s v="OPN-11888"/>
        <s v="OPN-11900"/>
        <s v="OPN-12075"/>
        <s v="OPN-12097"/>
        <s v="OPN-12004"/>
        <s v="OPN-5211"/>
        <s v="OPN - 4796"/>
        <s v="OPN-4906"/>
        <s v="OPN-5123"/>
        <s v="OP N 5145"/>
        <s v="OPN-5196"/>
        <s v="OPN-5269"/>
        <s v="OPN-5302"/>
        <s v="OPN-5323"/>
        <s v="OPN-6028"/>
        <s v="OPN-9281"/>
        <s v="OPN-5620"/>
        <s v="OPN-5748"/>
        <s v="OPN-5864"/>
        <s v="OPN-6397"/>
        <s v="OPN-6697"/>
        <s v="OPN-11567"/>
        <s v="OPN-11690"/>
        <s v="OPN-11878"/>
        <s v="OPN-11963"/>
        <s v="OPN-12120"/>
        <s v="OPN-12245"/>
        <s v="OPN-12797"/>
        <s v="OPN-10247"/>
        <s v="OPN-10702"/>
        <s v="OPN-12506"/>
        <s v="OPN-12224"/>
        <s v="OPN-8217"/>
        <s v="OPN-8505"/>
        <s v="OPN-8363"/>
        <s v="OPN-9235"/>
        <s v="OPN-10383"/>
        <s v="OPN-10775"/>
        <s v="OPN-7809"/>
        <s v="OPN-8649"/>
        <s v="OPN-11467"/>
        <s v="OPN-11507"/>
        <s v="OPN-11851"/>
        <s v="OPN-11869"/>
        <s v="OPN-11907"/>
        <s v="OPN-11975"/>
        <s v="OPN-12010"/>
        <s v="OPN-12045"/>
        <s v="OPN-12255"/>
        <s v="OPN-12619"/>
        <s v="OPN-12767"/>
        <s v="OPN-5618"/>
        <s v="OPN-5739"/>
        <s v="OPN-5907"/>
        <s v="OPN-6030"/>
        <s v="OPN-6158"/>
        <s v="OPN-6439"/>
        <s v="OPN-6722"/>
        <s v="OPN-6795"/>
        <s v="OPN-7584"/>
        <s v="OPN-7789"/>
        <s v="OPN-9240"/>
        <s v="OPN-9365"/>
        <s v="OPN-9565"/>
        <s v="OPN-10201"/>
        <s v="OPN-8262"/>
        <s v="OPN - 7715"/>
        <s v="OPN-11620"/>
        <s v="OPN-12560"/>
        <s v="OPN-10744"/>
        <s v="OPN-10854"/>
        <s v="OPN-10918"/>
        <s v="OPN-9977"/>
        <s v="OPN-12277"/>
        <s v="OPN-12544"/>
        <s v="OPN - 7631"/>
        <s v="OPN-11288"/>
        <s v="OPN-10610"/>
        <s v="OPN-11603"/>
        <s v="OPN-11999"/>
        <s v="OPN-9623"/>
        <s v="OPN-9567"/>
        <s v="OPN-10191"/>
        <s v="OPN-10511"/>
        <s v="OPN-10721"/>
        <s v="OPN-11133"/>
        <s v="OPN-11335"/>
        <s v="OPN-9730"/>
        <s v="OPN-9911"/>
        <s v="OPN-10236"/>
        <s v="OPN-10967"/>
        <s v="OPN-11027"/>
        <s v="OPN-11142"/>
        <s v="OPN-12349"/>
        <s v="OPN-11573"/>
        <s v="OPN-10780"/>
        <s v="OPN-10777"/>
        <s v="OPN-9172"/>
        <s v="OPN-9792"/>
        <s v="OPN-10374"/>
        <s v="OPN-9398"/>
        <s v="OPN-10213"/>
        <s v="OPN-8048"/>
        <s v="OPN-8721"/>
        <s v="OPN-11136"/>
        <s v="OPN-10422"/>
        <s v="OPN-11557"/>
        <s v="OPN-11912"/>
        <s v="OPN-12566"/>
        <s v="OPN-7958"/>
        <s v="OPN-9078"/>
        <s v="OPN-11741"/>
        <s v="OPN-12273"/>
        <s v="OPN-13095"/>
        <s v="OPN-5708"/>
        <s v="OPN-5343"/>
        <s v="OPN-11913"/>
        <s v="OPN-10876"/>
        <s v="OPN-12490"/>
        <s v="OPN-7810"/>
        <s v="OPN-8036"/>
        <s v="OPN-8418"/>
        <s v="OPN-8482"/>
        <s v="OPN-9066"/>
        <s v="OPN-9185"/>
        <s v="OPN-9437"/>
        <s v="OPN-9453"/>
        <s v="OPN-9663"/>
        <s v="OPN-10115"/>
        <s v="OPN-10690"/>
        <s v="OPN10796"/>
        <s v="OPN-10958"/>
        <s v="OPN-11096"/>
        <s v="OPN-11124"/>
        <s v="OPN-13115"/>
        <s v="OPN-12475"/>
        <s v="OPN7286"/>
        <s v="OPN-9188"/>
        <s v="OPN-9465"/>
        <s v="OPN-10037"/>
        <s v="OPN-10537"/>
        <s v="OPN-10650"/>
        <s v="OPN-10836"/>
        <s v="OPN-11140"/>
        <s v="OPN-11167"/>
        <s v="OPN-11199"/>
        <s v="OPN-00311"/>
        <s v="OPN-11371"/>
        <s v="OPN-11427"/>
        <s v="OPN-11429"/>
        <s v="OPN-11484"/>
        <s v="OPN-11712"/>
        <s v="OPN-11788"/>
        <s v="OPN-11757"/>
        <s v="OPN-11897"/>
        <s v="OPN-12092"/>
        <s v="OPN-12493"/>
        <s v="OPN-13028"/>
        <s v="OPN-7632"/>
        <s v="OPN-10567"/>
        <s v="OPN-10914"/>
        <s v="OPN-11160"/>
        <s v="OPN-11457"/>
        <s v="OPN-1440"/>
        <s v="OPN-12441"/>
        <s v="OPN-12442"/>
        <s v="OPN-10385"/>
        <s v="OPN-10669"/>
        <s v="OPN-10544"/>
        <s v="OPN-11653"/>
        <s v="OPN-11727"/>
        <s v="OPN-8938"/>
        <s v="OPN-9331"/>
        <s v="OPN-9484"/>
        <s v="OPN-9685"/>
        <s v="OPN-12043"/>
        <s v="OPN-9302"/>
        <s v="OPN-9715"/>
        <s v="OPN-10018"/>
        <s v="OPN-10285"/>
        <s v="OPN-10286"/>
        <s v="OPN-10287"/>
        <s v="OPN-10260"/>
        <s v="OPN-10779"/>
        <s v="OPN-10797"/>
        <s v="OPN-11024"/>
        <s v="OPN-13069"/>
        <s v="OPN-5126"/>
        <s v="OPN-5254"/>
        <s v="OPN-5266"/>
        <s v="OPN-5299"/>
        <s v="OPN-5340"/>
        <s v="OPN-12811"/>
        <s v="OPN-6730"/>
        <s v="OPN-12114"/>
        <s v="OPN-10227"/>
        <s v="OPN-12814"/>
        <s v="OPN-8641"/>
        <s v="OPN-8885"/>
        <s v="OPN-11505"/>
        <s v="OPN-11508"/>
        <s v="OPN-11710"/>
        <s v="OPN-11671"/>
        <s v="OPN-11852"/>
        <s v="OPN-11861"/>
        <s v="OPN-11941"/>
        <s v="OPN-11976"/>
        <s v="OPN-12017"/>
        <s v="OPN-12110"/>
        <s v="OPN-12154"/>
        <s v="OPN-12159"/>
        <s v="OPN-12192"/>
        <s v="OPN-12191"/>
        <s v="OPN-12229"/>
        <s v="OPN-12307"/>
        <s v="OPN-12316"/>
        <s v="OPN-12315"/>
        <s v="OPN-12331"/>
        <s v="OPN-12517"/>
        <s v="OPN-12542"/>
        <s v="OPN-12571"/>
        <s v="OPN-12572"/>
        <s v="OPN-12610"/>
        <s v="OPN-12644"/>
        <s v="OPN-12877"/>
        <s v="OPN-12878"/>
        <s v="OPN-12824"/>
        <s v="OPN7354/55"/>
        <s v="OPN - 7630"/>
        <s v="OPN - 7713"/>
        <s v="OPN-12189"/>
        <s v="OPN-12187"/>
        <s v="OPN-8255"/>
        <s v="OPN - 7711"/>
        <s v="OPN-8881"/>
        <s v="OPN-10303"/>
        <s v="OPN-10887"/>
        <s v="OPN-11086"/>
        <s v="OPN-11385"/>
        <s v="OPN-12081"/>
        <s v="OPN-12478"/>
        <s v="OPN-12924"/>
        <s v="OPN - 7712"/>
        <s v="OPN-11423"/>
        <s v="OPN-10175"/>
        <s v="OPN-10216"/>
        <s v="OPN-10623"/>
        <s v="OPN-10927"/>
        <s v="OPN-11157"/>
        <s v="OPN-11115"/>
        <s v="OPN-11294"/>
        <s v="OPN-12479"/>
        <s v="OPN-13090"/>
        <s v="OPN-11811"/>
        <s v="OPN-12673"/>
        <s v="OPN-12783"/>
        <s v="OPN-11899"/>
        <s v="OPN-11968"/>
        <s v="OPN-12093"/>
        <s v="OPN-12082"/>
        <s v="OPN-12051"/>
        <s v="OPN-12129"/>
        <s v="OPN-12279"/>
        <s v="OPN-12319"/>
        <s v="OPN-7615"/>
        <s v="OPN-12369"/>
        <s v="OPN-12675"/>
        <s v="OPN-8578"/>
        <s v="OPN-10249"/>
        <s v="OPN-10514"/>
        <s v="OPN-10616"/>
        <s v="OPN-10680"/>
        <s v="OPN-11048"/>
        <s v="OPN-11380"/>
        <s v="OPN-12005"/>
        <s v="OPN-13083"/>
        <s v="OPN-8244"/>
        <s v="OPN-7892"/>
        <s v="OP N 8110"/>
        <s v="OPN-8483"/>
        <s v="OPN-8489"/>
        <s v="OPN-8538"/>
        <s v="OPN-8584"/>
        <s v="OPN-8901"/>
        <s v="OPN-9312"/>
        <s v="OPN-9512"/>
        <s v="OPN-9919"/>
        <s v="OPN-10153"/>
        <s v="OPN-10272"/>
        <s v="OPN-1073"/>
        <s v="OPN-10267"/>
        <s v="OPN-10907"/>
        <s v="OPN-11075"/>
        <s v="OPN-11074"/>
        <s v="OPN-11220"/>
        <s v="OPN-11407"/>
        <s v="OPN-11817"/>
        <s v="OPN-12108"/>
        <s v="OPN-12109"/>
        <s v="OPN-12107"/>
        <s v="OPN-12119"/>
        <s v="OPN-12176"/>
        <s v="OPN-12239"/>
        <s v="OPN-12586"/>
        <s v="OPN-12671"/>
        <s v="OPN-12799"/>
        <s v="OPN-12800"/>
        <s v="OPN-12983"/>
        <s v="OPN-12984"/>
        <s v="OPN-13112"/>
        <s v="OPN-8529"/>
        <s v="OPN-9736"/>
        <s v="OPN-10562"/>
        <s v="OPN-11627"/>
        <s v="OPN-11035"/>
        <s v="OPN-8947"/>
        <s v="OPN-10559"/>
        <s v="OPN-11855"/>
        <s v="OPN-11854"/>
        <s v="OPN-11908"/>
        <s v="OPN-11348"/>
        <s v="OPN-11465"/>
        <s v="OPN-11506"/>
        <s v="OPN-11509"/>
        <s v="OPN-11579"/>
        <s v="OPN-11707"/>
        <s v="OPN-11974"/>
        <s v="OPN-11967"/>
        <s v="OPN-12008"/>
        <s v="OPN-12056"/>
        <s v="OPN-12256"/>
        <s v="OPN-12233"/>
        <s v="OPN-12161"/>
        <s v="OPN-12178"/>
        <s v="OPN-12194"/>
        <s v="OPN-12265"/>
        <s v="OPN-12308"/>
        <s v="OPN-12314"/>
        <s v="OPN-12396"/>
        <s v="OPN-12480"/>
        <s v="OPN-12516"/>
        <s v="OPN-12531"/>
        <s v="OPN-12574"/>
        <s v="OPN-12745"/>
        <s v="OPN-12768"/>
        <s v="OPN-12867"/>
        <s v="OPN-12881"/>
        <s v="OPN-12969"/>
        <s v="OPN-13022"/>
        <s v="OPN-11525"/>
        <s v="OPN-12055"/>
        <s v="OPN-12179"/>
        <s v="OPN-12300"/>
        <s v="OPN-12402"/>
        <s v="OPN-10020"/>
        <s v="OPN-10233"/>
        <s v="OPN-10264"/>
        <s v="OPN-11047"/>
        <s v="OPN-11915"/>
        <s v="OPN-11990"/>
        <s v="OPN-12222"/>
        <s v="OPN-12287"/>
        <s v="OPN-10301"/>
        <s v="OPN-11805"/>
        <s v="OPN-12083"/>
        <s v="OPN-10023"/>
        <s v="OPN-7881"/>
        <s v="OPN-7735"/>
        <s v="OPN-8376"/>
        <s v="OPN-11479"/>
        <s v="OPN-9171"/>
        <s v="OP N 8115"/>
        <s v="OPN-8504"/>
        <s v="OPN-8912"/>
        <s v="OPN-9313"/>
        <s v="OPN-9641"/>
        <s v="OPN-9897"/>
        <s v="OPN-10903"/>
        <s v="OPN-11110"/>
        <s v="OPN-11398"/>
        <s v="OPN-11822"/>
        <s v="OPN-12679"/>
        <s v="OPN-12928"/>
        <s v="OPN-13086"/>
        <s v="OPN-9243"/>
        <s v="OPN-12615"/>
        <s v="OPN-5256"/>
        <s v="OPN-5257"/>
        <s v="OPN-4957"/>
        <s v="OPN-5199"/>
        <s v="OPN-8890"/>
        <s v="OPN-9809"/>
        <s v="OPN-7727"/>
        <s v="OPN-7730"/>
        <s v="OP"/>
        <s v="OPN-8490"/>
        <s v="OPN-8491"/>
        <s v="OPN-9917"/>
        <s v="OPN-10352"/>
        <s v="OPN-10635"/>
        <s v="OPN-10727"/>
        <s v="OPN-10974"/>
        <s v="OPN-11093"/>
        <s v="OPN-11224"/>
        <s v="OPN-11336"/>
        <s v="OPN-11650"/>
        <s v="OPN-11652"/>
        <s v="OPN-11882"/>
        <s v="OPN-12175"/>
        <s v="OPN-12252"/>
        <s v="OPN-12546"/>
        <s v="OPN-12587"/>
        <s v="OPN-12796"/>
        <s v="OPN-12926"/>
        <s v="OPN-9983"/>
        <s v="OPN-10714"/>
        <s v="OPN-11914"/>
        <s v="OPN-5054"/>
        <s v="OPN-9273"/>
        <s v="OPN-5586"/>
        <s v="OPN-5939"/>
        <s v="OPN-5985"/>
        <s v="OPN-6023"/>
        <s v="OPN-10728"/>
        <s v="OPN-6275"/>
        <s v="OPN-10977"/>
        <s v="OPN-6477"/>
        <s v="OPN-6584"/>
        <s v="OPN-11225"/>
        <s v="OPN-11651"/>
        <s v="OPN-7071"/>
        <s v="OPN-7220"/>
        <s v="OPN-12031"/>
        <s v="OPN-7402"/>
        <s v="OPN-12174"/>
        <s v="OPN-7559"/>
        <s v="OPN-7607"/>
        <s v="OPN-12585"/>
        <s v="OPN-12795"/>
        <s v="OPN-7969"/>
        <s v="OPN-13018"/>
        <s v="OPN-13119"/>
        <s v="OPN-10030"/>
        <s v="OPN-11447"/>
        <s v="OPN-11646"/>
        <s v="OPN - 4888"/>
        <s v="OPN-4961"/>
        <s v="OPN-8273"/>
        <s v="OPN-6622"/>
        <s v="OPN-7277"/>
        <s v="OPN-8883"/>
        <s v="OPN-9118"/>
        <s v="OPN-10170"/>
        <s v="OPN-9068"/>
        <s v="OPN-9306"/>
        <s v="OPN-9778"/>
        <s v="OPN-5733"/>
        <s v="OPN-8521"/>
        <s v="OPN-8607"/>
        <s v="OPN-9316"/>
        <s v="OPN-11237"/>
        <s v="OPN7631"/>
        <s v="OPN-11736"/>
        <s v="OPN-11961"/>
        <s v="OPN-10908"/>
        <s v="OPN-13085"/>
        <s v="OPN-10164"/>
        <s v="OPN-9601"/>
        <s v="OPN-11184"/>
        <s v="OPN-12014"/>
        <s v="OPN-12476"/>
        <s v="OPN-9697"/>
        <s v="OPN-9909"/>
        <s v="OPN-9801"/>
        <s v="OPN-10621"/>
        <s v="OPN-12085"/>
        <s v="OPN-12234"/>
        <s v="OPN-12729"/>
        <s v="OPN-12731"/>
        <s v="OPN-13125"/>
        <s v="OPN-13096"/>
        <s v="OPN-13098"/>
        <s v="OPN-13097"/>
        <s v="AS-10809"/>
        <s v="OPN-22328"/>
        <s v="OPN-12633"/>
        <s v="OPN-13089"/>
        <s v="OPN-5574"/>
        <s v="OPN-5700"/>
        <s v="OPN-6003"/>
        <s v="OPN-8164"/>
        <s v="OPN-6347"/>
        <s v="OPN-6729"/>
        <s v="OPN-6904"/>
        <s v="OPN-7208"/>
        <s v="OPN-7411"/>
        <s v="OPN-7906"/>
        <s v="OPN-7907"/>
        <s v="OPN-8012"/>
        <s v="OPN-9644"/>
        <s v="OPN-10041"/>
        <s v="OPN-6002"/>
        <s v="OPN-10421"/>
        <s v="OPN-10644"/>
        <s v="OPN-10708"/>
        <s v="OPN-11034"/>
        <s v="OPN-10892"/>
        <s v="OPN-11309"/>
        <s v="OPN-11235"/>
        <s v="OPN-11647"/>
        <s v="OPN-12206"/>
        <s v="OPN-12981"/>
        <s v="OPN-5644"/>
        <s v="OPN-5701"/>
        <s v="OPN-5742"/>
        <s v="OPN-5918"/>
        <s v="OPN-5911"/>
        <s v="OPN-5947"/>
        <s v="OPN-6000"/>
        <s v="OPN-6155"/>
        <s v="OPN-7674"/>
        <s v="OPN-7783"/>
        <s v="OPN-4808"/>
        <s v="OPN-7860"/>
        <s v="OPN-7908"/>
        <s v="OPN-7932"/>
        <s v="OPN-7994"/>
        <s v="OPN-13113"/>
        <s v="OPN-13117"/>
        <s v="OPN-5621"/>
        <s v="OPN-6699"/>
        <s v="OPN-7517"/>
        <s v="OPN-7558"/>
        <s v="OPN-7608"/>
        <s v="OPN-7784"/>
        <s v="OPN-7930"/>
        <s v="OPN-4926"/>
        <s v="OPN-5485"/>
        <s v="OPN-8950"/>
        <s v="OPN-8927"/>
        <s v="OPN-9279"/>
        <s v="OPN-9566"/>
        <s v="OPN-10706"/>
        <s v="OPN-11317"/>
        <s v="OPN-11830"/>
        <s v="OPN-12676"/>
        <s v="OPN-11308"/>
        <s v="AS-10810"/>
        <s v="OPN-12077"/>
        <s v="OPN-8049"/>
        <s v="OPN-8580"/>
        <s v="OPN-8642"/>
        <s v="OPN-9076"/>
        <s v="OPN-9403"/>
        <s v="OPN-9782"/>
        <s v="OPN-10302"/>
        <s v="OPN-10526"/>
        <s v="OPN-11025"/>
        <s v="OPN-11138"/>
        <s v="OPN-11559"/>
        <s v="OPN-11910"/>
        <s v="OPN-12022"/>
        <s v="OPN-12172"/>
        <s v="OPN-12374"/>
        <s v="OPN-12905"/>
        <s v="OPN-12978"/>
        <s v="OPN-11462"/>
        <s v="OPN11608"/>
        <s v="OPN-9887"/>
        <s v="OPN-8942"/>
        <s v="OPN-9655"/>
        <s v="OPN-12217"/>
        <s v="OPN-8444"/>
        <s v="OPN-8523"/>
        <s v="OPN-9128"/>
        <s v="OPN-9291"/>
        <s v="OPN-9378"/>
        <s v="OPN-9694"/>
        <s v="OPN-9758"/>
        <s v="OPN-9941"/>
        <s v="OPN-10043"/>
        <s v="OPN-10590"/>
        <s v="OPN-10675"/>
        <s v="OPN-10844"/>
        <s v="OPN-10978"/>
        <s v="OPN-11120"/>
        <s v="OPN-11163"/>
        <s v="OPN-11221"/>
        <s v="OPN-11347"/>
        <s v="OPN-11434"/>
        <s v="OPN-11435"/>
        <s v="OPN-11480"/>
        <s v="OPN-11564"/>
        <s v="OPN-11546"/>
        <s v="OPN-11597"/>
        <s v="OPN-8264"/>
        <s v="OPN-8267"/>
        <s v="OPN-8344"/>
        <s v="OPN-7796"/>
        <s v="OPN-8671"/>
        <s v="OPN-5478"/>
        <s v="OPN-9304"/>
        <s v="OPN-9406"/>
        <s v="OPN-9628"/>
        <s v="OPN-10057"/>
        <s v="OPN-10127"/>
        <s v="OPN-10331"/>
        <s v="OPN-10579"/>
        <s v="OPN-10717"/>
        <s v="OPN-6230"/>
        <s v="OPN-6262"/>
        <s v="OPN-6263"/>
        <s v="OPN-11090"/>
        <s v="OPN-6468"/>
        <s v="OPN-6571"/>
        <s v="OPN-6797"/>
        <s v="OPN-7203"/>
        <s v="OPN-7601"/>
        <s v="OPN-7566"/>
        <s v="OPN-12404"/>
        <s v="OPN-12422"/>
        <s v="OPN-7998"/>
        <s v="OPN-11724"/>
        <s v="OPN-12596"/>
        <s v="OPN-8425"/>
        <s v="OPN-10039"/>
        <s v="OPN-6270"/>
        <s v="OP N 8116"/>
        <s v="OPN-8903"/>
        <s v="OPN-9322"/>
        <s v="OPN-9648"/>
        <s v="OPN-9888"/>
        <s v="OPN-10156"/>
        <s v="OPN-11395"/>
        <s v="OPN-11823"/>
        <s v="OPN-13082"/>
        <s v="OPN-8474"/>
        <s v="OPN-9749"/>
        <s v="OPN-10932"/>
        <s v="OPN-11036"/>
        <s v="OPN-10306"/>
        <s v="OPN-9999"/>
        <s v="OPN-10639"/>
        <s v="OPN-10693"/>
        <s v="OPN-11233"/>
        <s v="OPN-11473"/>
        <s v="OPN-11655"/>
        <s v="OPN-11965"/>
        <s v="OPN-8911"/>
        <s v="OPN-9642"/>
        <s v="OPN-10161"/>
        <s v="OPN-10904"/>
        <s v="OPN-11405"/>
        <s v="OPN-11819"/>
        <s v="OPN13084"/>
        <s v="OPN-11426"/>
        <s v="OPN-12084"/>
        <s v="OPN-11684"/>
        <s v="OPN-11742"/>
        <s v="OPN-11795"/>
        <s v="OPN-12079"/>
        <s v="OPN-12597"/>
        <s v="OPN-12623"/>
        <s v="OPN-12781"/>
        <s v="OPM-10891"/>
        <s v="OPN-6325"/>
        <s v="OPN-6391"/>
        <s v="OPN-6396"/>
        <s v="OPN-6536"/>
        <s v="OPN-6695"/>
        <s v="OPN-6793"/>
        <s v="OPN-6885"/>
        <s v="OPN-6938"/>
        <s v="OPN-7102"/>
        <s v="OPN-7166"/>
        <s v="OPN-7221"/>
        <s v="OPN-11826"/>
        <s v="OPN-11368"/>
        <s v="OPN11654"/>
        <s v="OPN-12450"/>
        <s v="OPN-12883"/>
        <s v="OPN-11186"/>
        <s v="OPN-9391"/>
        <s v="OPN-10784"/>
        <s v="OPN-11270"/>
        <s v="OPN-5272"/>
        <s v="OPN-5312"/>
        <s v="OPN5338"/>
        <s v="OPN-5468"/>
        <s v="OPN-5588"/>
        <s v="OPN-9220"/>
        <s v="OPN-5596"/>
        <s v="OPN-5597"/>
        <s v="OPN-5595"/>
        <s v="OPN-5654"/>
        <s v="OPN-5681"/>
        <s v="OPN-5682"/>
        <s v="OPN-5731"/>
        <s v="OPN-5750"/>
        <s v="OPN-5753"/>
        <s v="OPN-5788"/>
        <s v="OPN-5783"/>
        <s v="OPN-5836"/>
        <s v="OPN-5917"/>
        <s v="OPN-5982"/>
        <s v="OPN-6001"/>
        <s v="OPN-6138"/>
        <s v="OPN-6165"/>
        <s v="OPN-2604"/>
        <s v="OPN-6227"/>
        <s v="OPN-6324"/>
        <s v="OPN-5486"/>
        <s v="OPN-6393"/>
        <s v="OPN-6338"/>
        <s v="OPN-6481"/>
        <s v="OPN-6496"/>
        <s v="OPN-6495"/>
        <s v="OPN-6696"/>
        <s v="OPN-6550"/>
        <s v="OPN-6607"/>
        <s v="OPN-6727"/>
        <s v="OPN-6794"/>
        <s v="OPN-6906"/>
        <s v="OPN-6880"/>
        <s v="OPN-6905"/>
        <s v="OPN-6939"/>
        <s v="OPN-6953"/>
        <s v="OPN-6959"/>
        <s v="OPN-6958"/>
        <s v="OPN-7033"/>
        <s v="OPN-7034"/>
        <s v="OPN-7069"/>
        <s v="OPN-7122"/>
        <s v="OPN-7164"/>
        <s v="OPN-7152"/>
        <s v="OPN-7274"/>
        <s v="OPN-7285"/>
        <s v="OPN-7358"/>
        <s v="OPN-7405"/>
        <s v="OPN-7473"/>
        <s v="OPN-7515"/>
        <s v="OPN-7528"/>
        <s v="OPN-7561"/>
        <s v="OPN-7553"/>
        <s v="OPN-7554"/>
        <s v="OPN-7603"/>
        <s v="OPN-7612"/>
        <s v="OPN-7635"/>
        <s v="OPN-7699"/>
        <s v="OPN-7714"/>
        <s v="OPN-7824"/>
        <s v="OPN-7842"/>
        <s v="OPN-7857"/>
        <s v="OPN-12748"/>
        <s v="OPN-12818"/>
        <s v="OPN-7937"/>
        <s v="OPN-7970"/>
        <s v="OPN-8043"/>
        <s v="OPN-9654"/>
        <s v="OPN-9238"/>
        <s v="OPN-9460"/>
        <s v="OPN9548"/>
        <s v="OPN-9673"/>
        <s v="OPN-10653"/>
        <s v="OPN-11454"/>
        <s v="OPN-11443"/>
        <s v="OPN-11490"/>
        <s v="OPN-11760"/>
        <s v="OPN-12281"/>
        <s v="OPN-12270"/>
        <s v="OPN-12561"/>
        <s v="OPN-12581"/>
        <s v="OPN-12895"/>
        <s v="OPN-12902"/>
        <s v="OPN-12976"/>
        <s v="OPN-7797"/>
        <s v="OPN-11442"/>
        <s v="OPN-11563"/>
        <s v="OPN-11868"/>
        <s v="OPN-11171"/>
        <s v="OPN-11273"/>
        <s v="OPN-11417"/>
        <s v="OPN-11461"/>
        <s v="OPN-11870"/>
        <s v="OPN-11925"/>
        <s v="OPN-11927"/>
        <s v="OPN-11986"/>
        <s v="OPN-12027"/>
        <s v="OPN-12086"/>
        <s v="OPN-12169"/>
        <s v="OPN-12599"/>
        <s v="OPN-12627"/>
        <s v="OPN-12626"/>
        <s v="OPN-12624"/>
        <s v="OPN-7949"/>
        <s v="OPN-11031"/>
        <s v="OPN-11378"/>
        <s v="OPN-11735"/>
        <s v="OPN-8891"/>
        <s v="OPN-12352"/>
        <s v="OPN-10804"/>
        <s v="OPN-9366"/>
        <s v="OPN-9661"/>
        <s v="OPN-10521"/>
        <s v="OPN-10810"/>
        <s v="OPN-11037"/>
        <s v="OPN-11463"/>
        <s v="OPN-7480"/>
        <s v="OPN-8955"/>
        <s v="OPN-11853"/>
        <s v="OPN-12007"/>
        <s v="OPN-12253"/>
        <s v="OPN-12298"/>
        <s v="OPN-10582"/>
        <s v="OPN-12237"/>
        <s v="OPN-7910"/>
        <s v="OPN-13111"/>
        <s v="OPN-8328"/>
        <s v="OPN-8485"/>
        <s v="OPN-8565"/>
        <s v="OPN-8605"/>
        <s v="OPN-8836"/>
        <s v="OPN-8782"/>
        <s v="OPN-8940"/>
        <s v="OPN-9147"/>
        <s v="OPN-9275"/>
        <s v="OPN-9359"/>
        <s v="OPN-9560"/>
        <s v="OPN-9693"/>
        <s v="OPN-9752"/>
        <s v="OPN-9815"/>
        <s v="OPN-9930"/>
        <s v="OPN-10188"/>
        <s v="OPN-10351"/>
        <s v="OPN-10580"/>
        <s v="OPN-10691"/>
        <s v="OPN-10785"/>
        <s v="OPN-10868"/>
        <s v="OPN-11017"/>
        <s v="OPN-11020"/>
        <s v="OPN-11149"/>
        <s v="OPN-11222"/>
        <s v="OPN-11244"/>
        <s v="OPN-11566"/>
        <s v="OPN-11565"/>
        <s v="OPN-12002"/>
        <s v="OPN-12032"/>
        <s v="OPN-12639"/>
        <s v="OPN-12794"/>
        <s v="OPN-12929"/>
        <s v="OPN-8040"/>
        <s v="OPN-9692"/>
        <s v="OPN-10223"/>
        <s v="OPN-11287"/>
        <s v="OPN-11179"/>
        <s v="OPN-11493"/>
        <s v="OPN-11715"/>
        <s v="OPN-12232"/>
        <s v="OPN-12372"/>
        <s v="OPN-12680"/>
        <s v="OPN-8045"/>
        <s v="OPN-10066"/>
        <s v="OPN-10150"/>
        <s v="OPN-11087"/>
        <s v="OPN-11556"/>
        <s v="OPN-12019"/>
        <s v="OPN-10729"/>
        <s v="OPN-12780"/>
        <s v="AS-10814"/>
        <s v="OPN-8488"/>
        <s v="OPN-8566"/>
        <s v="OPN-8606"/>
        <s v="OPN-8837"/>
        <s v="OPN-9274"/>
        <s v="OPN-9362"/>
        <s v="opn-9706"/>
        <s v="OPN-9813"/>
        <s v="OPN-9997"/>
        <s v="OPN-10217"/>
        <s v="OPN-10581"/>
        <s v="OPN-10808"/>
        <s v="OPN-10975"/>
        <s v="OPN-11091"/>
        <s v="OPN-11223"/>
        <s v="OPN-10855"/>
        <s v="OPN-8072"/>
        <s v="OPN-9432"/>
        <s v="OPN-9711"/>
        <s v="OPN-10670"/>
        <s v="OPN-11203"/>
        <s v="OPN-11797"/>
        <s v="OP N 8086"/>
        <s v="OPN-8492"/>
        <s v="OPN-9311"/>
        <s v="OPN-10052"/>
        <s v="OPN-10299"/>
        <s v="OPN-11015"/>
        <s v="OPN-11314"/>
        <s v="OPN-11175"/>
        <s v="OPN-11459"/>
        <s v="OPN-11616"/>
        <s v="OPN-11800"/>
        <s v="OPN-12379"/>
        <s v="OPN-12508"/>
        <s v="OPN-12855"/>
        <s v="OPN-13116"/>
        <s v="OPN-9676"/>
        <s v="OPN-9886"/>
        <s v="OPN-8944"/>
        <s v="OPN91892"/>
        <s v="OPN-9192"/>
        <s v="OPN-10602"/>
        <s v="OPN-9650"/>
        <s v="OPN-10538"/>
        <s v="OPN-11824"/>
        <s v="OPN-6789"/>
        <s v="OPN-6771"/>
        <s v="OPN-6884"/>
        <s v="OPN-6952"/>
        <s v="OPN-6960"/>
        <s v="OPN-7070"/>
        <s v="OPN-7075"/>
        <s v="OPN-7169"/>
        <s v="OPN-7271"/>
        <s v="OPN7339"/>
        <s v="OPN-7343"/>
        <s v="OPN-7403"/>
        <s v="OPN-7472"/>
        <s v="OPN-7510"/>
        <s v="OPN-7555"/>
        <s v="OPN-7606"/>
        <s v="OPN-7611"/>
        <s v="OPN-7634"/>
        <s v="OPN-7713"/>
        <s v="OPN-7787"/>
        <s v="OPN-7791"/>
        <s v="OPN-12733"/>
        <s v="OPN-7905"/>
        <s v="OPN-12787"/>
        <s v="OPN-7933"/>
        <s v="OPN-7967"/>
        <s v="OPN-13128"/>
        <s v="OPN-7279"/>
        <s v="OPN-10305"/>
        <s v="OPN-8543"/>
        <s v="OPN-7404"/>
        <s v="OPN-7513"/>
        <s v="OPN-7477"/>
        <s v="OPN-7556"/>
        <s v="OPN-7602"/>
        <s v="OPN-12737"/>
        <s v="OPN-12856"/>
        <s v="OPN-13024"/>
        <s v="OPN-9431"/>
        <s v="OPN-9731"/>
        <s v="OPN-10222"/>
        <s v="OPN-10625"/>
        <s v="OPN-10807"/>
        <s v="OPN-11038"/>
        <s v="OPN-11092"/>
        <s v="OPN-10375"/>
        <s v="OPN-5124"/>
        <s v="OPN-13047"/>
        <s v="OPN-13068"/>
        <s v="OPN-7922"/>
        <s v="OPN-8176"/>
        <s v="OPN-8183"/>
        <s v="OPN-8358"/>
        <s v="OPN-8359"/>
        <s v="OPN-8582"/>
        <s v="OPN-9178"/>
        <s v="OPN-10017"/>
        <s v="OPN-11205"/>
        <s v="OPN-11649"/>
        <s v="OPN-11798"/>
        <s v="OPN-12100"/>
        <s v="OPN-8874"/>
        <s v="OPN-11969"/>
        <s v="OPN-9328"/>
        <s v="OPN-8982"/>
        <s v="OPN-9936"/>
        <s v="OPN-11146"/>
        <s v="OPN-11416"/>
        <s v="OPN-11864"/>
        <s v="OPN-8272"/>
        <s v="OPN-11153"/>
        <s v="OPN-11456"/>
        <s v="OPN-8260"/>
        <s v="OPN-9305"/>
        <s v="OPN-10119"/>
        <s v="OPN-10528"/>
        <s v="OPN-11382"/>
        <s v="OPN-11685"/>
        <s v="OPN-11886"/>
        <s v="OPN-12583"/>
        <s v="OPN-12806"/>
        <s v="OPN-7218"/>
        <s v="OPN-7758"/>
        <s v="OPN-7788"/>
        <s v="OPN-9092"/>
        <s v="OPN-9705"/>
        <s v="OPN-9751"/>
        <s v="OPN-9920"/>
        <s v="OPN-10123"/>
        <s v="OPN-10231"/>
        <s v="OPN-10636"/>
        <s v="OPN-10809"/>
        <s v="OPN-10972"/>
        <s v="OPN-11094"/>
        <s v="OPN-11234"/>
        <s v="OPN-11433"/>
        <s v="OPN-11659"/>
        <s v="OPN-11679"/>
        <s v="OPN-11883"/>
        <s v="OPN-11884"/>
        <s v="OPN-12033"/>
        <s v="OPN-12121"/>
        <s v="OPN-12139"/>
        <s v="OPN-12193"/>
        <s v="OPN-12335"/>
        <s v="OPN-12545"/>
        <s v="OPN-12588"/>
        <s v="OPN-12638"/>
        <s v="OPN-13120"/>
        <s v="OPN-13011"/>
        <s v="OPN-8484"/>
        <s v="OPN-8563"/>
        <s v="OPN-10966"/>
        <s v="OPN-10731"/>
        <s v="OPN-11804"/>
        <s v="OPN-8042"/>
        <s v="OPN-3227"/>
        <s v="OPN-8984"/>
        <s v="OPN-9187"/>
        <s v="OPN-9345"/>
        <s v="OPN-9485"/>
        <s v="OPN-9606"/>
        <s v="OPN-10029"/>
        <s v="OPN-10649"/>
        <s v="OPN-11014"/>
        <s v="OPN-11076"/>
        <s v="OPN-11801"/>
        <s v="OPN-12235"/>
        <s v="OPN-12994"/>
        <s v="OPN-9725"/>
        <s v="OPN-9067"/>
        <s v="OPN-9307"/>
        <s v="OPN-9777"/>
        <s v="OPN-9880"/>
        <s v="OPN-10169"/>
        <s v="OPN--5941"/>
        <s v="OPN-4738"/>
        <s v="OPN-5259"/>
        <s v="OPN-5423"/>
        <s v="OPN-6342"/>
        <s v="OPN-7072"/>
        <s v="OPN-7409"/>
        <s v="OPN-7636"/>
        <s v="OPN-7841"/>
        <s v="OPN-7936"/>
        <s v="OPN-7993"/>
        <s v="OPN-6149"/>
        <s v="OPN-6220"/>
        <s v="OPN-6261"/>
        <s v="OPN-6314"/>
        <s v="OPN-6386"/>
        <s v="OPN-11984"/>
        <s v="OPN-10003"/>
        <s v="OPN-5444"/>
        <s v="OP N 8117"/>
        <s v="OPN-9503"/>
        <s v="OPN-9651"/>
        <s v="OPN-10234"/>
        <s v="OPN-12575"/>
        <s v="OPN-4965"/>
        <s v="OPN-6206"/>
        <s v="OPN-6706"/>
        <s v="OPN-6720"/>
        <s v="OPN-7172"/>
        <s v="OPN-7342"/>
        <s v="OPN-7938"/>
        <s v="OPN-10152"/>
        <s v="OP N 8118"/>
        <s v="OPN-8503"/>
        <s v="OPN-9504"/>
        <s v="OPN-9885"/>
        <s v="OPN-10909"/>
        <s v="OPN-11217"/>
        <s v="OPN-11402"/>
        <s v="OPN-11818"/>
        <s v="OPN-12039"/>
        <s v="OPN-12275"/>
        <s v="OPN-13031"/>
        <s v="OPN-8055"/>
        <s v="OPN-9014"/>
        <s v="OPN-10038"/>
        <s v="OPN-10893"/>
        <s v="OPN-11409"/>
        <s v="OPN-12294"/>
        <s v="OPN-12683"/>
        <s v="OPN-9059"/>
        <s v="OPN-9743"/>
        <s v="OPN-10536"/>
        <s v="OPN-10665"/>
        <s v="OPN-11196"/>
        <s v="OPN-11802"/>
        <s v="OPN-8918"/>
        <s v="OPN-9090"/>
        <s v="OPN-9483"/>
        <s v="OPN-9713"/>
        <s v="OPN-10221"/>
        <s v="OPN-10845"/>
        <s v="OPN-11154"/>
        <s v="OPN-11520"/>
        <s v="OPN-11924"/>
        <s v="OPN-12098"/>
        <s v="OPN-12306"/>
        <s v="OPN-12437"/>
        <s v="OPN-13046"/>
        <s v="OPN-10897"/>
        <s v="OPN-9790"/>
        <s v="OPN-10654"/>
        <s v="OPN-5736"/>
        <s v="OPN-8361"/>
        <s v="OPN-8242"/>
        <s v="OPN-8518"/>
        <s v="OPN-9317"/>
        <s v="OPN-9646"/>
        <s v="OPN-9889"/>
        <s v="OPN-10158"/>
        <s v="OPN-10895"/>
        <s v="OPN-11396"/>
        <s v="OPN-11820"/>
        <s v="OPN-12041"/>
        <s v="OPN-12286"/>
        <s v="OPN-12725"/>
        <s v="OPN-13032"/>
        <s v="OPN-9069"/>
        <s v="OPN-9779"/>
        <s v="OPN-10168"/>
        <s v="OPN-7678"/>
        <s v="OPN-7760"/>
        <s v="OPN-7855"/>
        <s v="OPN-13042"/>
        <s v="OPN-11132"/>
        <s v="OPN-9284"/>
        <s v="OPN-9602"/>
        <s v="OPN-10834"/>
        <s v="OPN-11491"/>
        <s v="OPN-12637"/>
        <s v="OPN-13074"/>
        <s v="OPN-11850"/>
        <s v="OPN-12190"/>
        <s v="OPN-12299"/>
        <s v="OPN-12568"/>
        <s v="OPN-12882"/>
        <s v="OPN-12766"/>
        <s v="OPN-5826"/>
        <s v="OPN-10226"/>
        <s v="OPN-12006"/>
        <s v="OPN-10545"/>
        <s v="OPN-10651"/>
        <s v="OPN-10732"/>
        <s v="OPN-10902"/>
        <s v="OPN-9659"/>
        <s v="OPN-10028"/>
        <s v="OPN-10224"/>
        <s v="OPN-10982"/>
        <s v="OPN-10986"/>
        <s v="OPN-11418"/>
        <s v="OPN-11613"/>
        <s v="OPN-11834"/>
        <s v="OPN-12136"/>
        <s v="OPN-12580"/>
        <s v="OPN-13130"/>
        <s v="OPN-10300"/>
        <s v="OPN-8241"/>
        <s v="OPN-8547"/>
        <s v="OPN-8962"/>
        <s v="OPN-9321"/>
        <s v="OPN-9896"/>
        <s v="OPN-9932"/>
        <s v="OPN-10157"/>
        <s v="OPN-10517"/>
        <s v="OPN-11318"/>
        <s v="OPN-11113"/>
        <s v="OPN-11404"/>
        <s v="OPN-11548 "/>
        <s v="OPN-11832"/>
        <s v="OPN-11813"/>
        <s v="OPN-13033"/>
        <s v="OPN-11183"/>
        <s v="OPN-9791"/>
        <s v="OPN-9326"/>
        <s v="OPN-9695"/>
        <s v="OPN-10160"/>
        <s v="OPN-10519"/>
        <s v="OPN-10906"/>
        <s v="OPN-11313"/>
        <s v="OPN-11367"/>
        <s v="OPN-11828"/>
        <s v="OPN-12087"/>
        <s v="OPN-12131"/>
        <s v="OPB-12678"/>
        <s v="OPN-13129"/>
        <s v="OPN-8496"/>
        <s v="OPN-9561"/>
        <s v="OPN-9615"/>
        <s v="OPN-11212"/>
        <s v="OPN-12521"/>
        <s v="OPN-8229"/>
        <s v="OPN-9264"/>
        <s v="OPN-9332"/>
        <s v="OPN-9738"/>
        <s v="OPN-9985"/>
        <s v="OPN-11215"/>
        <s v="OPN-11605"/>
        <s v="OPN-11803"/>
        <s v="OPN-11966"/>
        <s v="OPN-12171"/>
        <s v="OPN-12577"/>
        <s v="OPN-12996"/>
        <s v="OPN-8493"/>
        <s v="OPN-5734"/>
        <s v="OPN-5999"/>
        <s v="OPN-6222"/>
        <s v="OPN-11631"/>
        <s v="OPN-13091"/>
        <s v="OPN-10917"/>
        <s v="OPN-12640"/>
        <s v="OPN-11940"/>
        <s v="OPN-8278"/>
        <s v="OPN-9369"/>
        <s v="OPN-12887"/>
        <s v="OPN-12980"/>
        <s v="OPN-10705"/>
        <s v="OPN-9799"/>
        <s v="OPN-9939"/>
        <s v="OPN - 7646"/>
        <s v="OPN-9180"/>
        <s v="OPN-9438"/>
        <s v="OPN-9722"/>
        <s v="OPN-11600"/>
        <s v="OPN-7923"/>
        <s v="OPN-8307"/>
        <s v="OPN-9718"/>
        <s v="OPN-10766"/>
        <s v="OPN-8231"/>
        <s v="OPN-8060"/>
        <s v="OPN-8204"/>
        <s v="OPN-8345"/>
        <s v="OPN-8368"/>
        <s v="OPN-8550"/>
        <s v="OPN-8760"/>
        <s v="OPN-8825"/>
        <s v="OPN-8828"/>
        <s v="OPN-9009"/>
        <s v="OPN-9001"/>
        <s v="OPN-9146"/>
        <s v="OPN-9186"/>
        <s v="OPN-9260"/>
        <s v="OPN-9344"/>
        <s v="OPN-9490"/>
        <s v="OPN-9542"/>
        <s v="OPN-9597"/>
        <s v="OPN-9835"/>
        <s v="OPN-9972"/>
        <s v="OPN-10101"/>
        <s v="OPN-10237"/>
        <s v="OPN-10516"/>
        <s v="OPN-10794"/>
        <s v="OPN-11728"/>
        <s v="OPN-11765"/>
        <s v="OPN-11863"/>
        <s v="OPN-12662"/>
        <s v="OPN-12684"/>
        <s v="OPN-12810"/>
        <s v="OPN-12918"/>
        <s v="OPN-13126"/>
        <s v="OPN-13025"/>
        <s v="OPN-10515"/>
        <s v="OPN-10730"/>
        <s v="OPN - 7721"/>
        <s v="OPN-8420"/>
        <s v="OPN-8987"/>
        <s v="OPN-9105"/>
        <s v="OPN-9478"/>
        <s v="OPN-9583"/>
        <s v="OPN-10916"/>
        <s v="OPN-11019"/>
        <s v="OPN-11580"/>
        <s v="OPN-11716"/>
        <s v="OPN-12003"/>
        <s v="OPN-12220"/>
        <s v="OPN-12251"/>
        <s v="OPN-12382"/>
        <s v="OPN-12451"/>
        <s v="OPN-12547"/>
        <s v="OPN-12584"/>
        <s v="OPN-12663"/>
        <s v="OPN-12793"/>
        <s v="OPN-12854"/>
        <s v="OPN-12925"/>
        <s v="OPN-13124"/>
        <s v="OPN-9656"/>
        <s v="OPN-6479"/>
        <s v="OPN-9810"/>
        <s v="OPN-5249"/>
        <s v="OPN-5309"/>
        <s v="OPN-5422"/>
        <s v="OPN-5539"/>
        <s v="OPN-7769"/>
        <s v="OPN-9389"/>
        <s v="OPN-10878"/>
        <s v="OPN-12035"/>
        <s v="OPN-12135"/>
        <s v="OPN-13110"/>
        <s v="OPN-9418"/>
        <s v="OPN-10016"/>
        <s v="OPN-10506"/>
        <s v="OP-7287"/>
        <s v="OPN-8053"/>
        <s v="OPN-8963"/>
        <s v="OPN-11151"/>
        <s v="OPN-11180"/>
        <s v="OPN-11254"/>
        <s v="OPN-11610"/>
        <s v="OPN-11911"/>
        <s v="OPN-12018"/>
        <s v="OPN-12238"/>
        <s v="OPN-12556"/>
        <s v="OPN-12807"/>
        <s v="OPN-12923"/>
        <s v="OPN-12973"/>
        <s v="OPN-13075"/>
        <s v="OPN-11356"/>
        <s v="OPN-11350"/>
        <s v="OPN-11662"/>
        <s v="OPN-11942"/>
        <s v="OPN-12195"/>
        <s v="OPN-12355"/>
        <s v="OPN-12720"/>
        <s v="OPN-12863"/>
        <s v="OPN-12967"/>
        <s v="OPN-9631"/>
        <s v="OPN-9193"/>
        <s v="OPN-9343"/>
        <s v="OPN-10547"/>
        <s v="OPN-10626"/>
        <s v="OPN-11080"/>
        <s v="OPN-11614"/>
        <s v="OPN-12138"/>
        <s v="OPN-12376"/>
        <s v="OPN-12554"/>
        <s v="OPN 8157"/>
        <s v="OPN-12183"/>
        <s v="OPN-11114"/>
        <s v="OPN-11747"/>
        <s v="OPN-12088"/>
        <s v="OPN-5283"/>
        <s v="OPN-5388"/>
        <s v="OPN-7526"/>
        <s v="OPN-9678"/>
        <s v="OPN-9318"/>
        <s v="OPN-9980"/>
        <s v="OPN-10608"/>
        <s v="OPN-8531"/>
        <s v="OPN-10928"/>
        <s v="OPN-11194"/>
        <s v="OPN-11492"/>
        <s v="OPN-11859"/>
        <s v="OPN-11858"/>
        <s v="OPN-12089"/>
        <s v="OPN-12160"/>
        <s v="OPN-12573"/>
        <s v="OPN-10001"/>
        <s v="OPN-9335"/>
        <s v="OPN-10641"/>
        <s v="OPN-9664"/>
        <s v="OPN-12885"/>
        <s v="OPN-8502"/>
        <s v="OPN-8767"/>
        <s v="OPN-10652"/>
        <s v="OPN-10701"/>
        <s v="OPN-11240"/>
        <s v="OPN-11438"/>
        <s v="OPN-11785"/>
        <s v="OPN-12090"/>
        <s v="OPN-6229"/>
        <s v="OPN-8046"/>
        <s v="OPN-8211"/>
        <s v="OPN-8539"/>
        <s v="OPN-9329"/>
        <s v="OPN-9549"/>
        <s v="OPN-9605"/>
        <s v="OPN-9788"/>
        <s v="OPN-9914"/>
        <s v="OPN-10261"/>
        <s v="OPN-13079"/>
        <s v="OPN-11640"/>
        <s v="OPN-11827"/>
        <s v="OPN-11875"/>
        <s v="OPN-12269"/>
        <s v="OPN-12305"/>
        <s v="OPN-12384"/>
        <s v="OPN-12518"/>
        <s v="OPN-12592"/>
        <s v="OPN-12681"/>
        <s v="OPN-12740"/>
        <s v="OPN-12857"/>
        <s v="OPN-12993"/>
        <s v="OPN-12930"/>
        <s v="OPN-12971"/>
        <s v="OPN-11469"/>
        <s v="OPN-7519"/>
        <s v="OPN-7562"/>
        <s v="OPN-7600"/>
        <s v="OPN-7785"/>
        <s v="OPN-7803"/>
        <s v="OPN-9270"/>
        <s v="OPN-9657"/>
        <s v="OPN-9680"/>
        <s v="OPN-9781"/>
        <s v="OPN-10031"/>
        <s v="OPN-10268"/>
        <s v="OPN-10307"/>
        <s v="OPN-11046"/>
        <s v="OPN-11310"/>
        <s v="OPN-11231"/>
        <s v="OPN-11238"/>
        <s v="OPN-11369"/>
        <s v="OPN-11455"/>
        <s v="OPN-11645"/>
        <s v="OPN-11737"/>
        <s v="OPN-11756"/>
        <s v="OPN-11872"/>
        <s v="OPN-11972"/>
        <s v="OPN-11995"/>
        <s v="OPN-12059"/>
        <s v="OPN-12198"/>
        <s v="OPN-12230"/>
        <s v="OPN-12240"/>
        <s v="OPN-12274"/>
        <s v="OPN-12284"/>
        <s v="OPN-12320"/>
        <s v="OPN-7610"/>
        <s v="OPN-12359"/>
        <s v="OPN-12394"/>
        <s v="OPN-12533"/>
        <s v="OPN-12611"/>
        <s v="OPN-12719"/>
        <s v="OPN-12869"/>
        <s v="OPN-12875"/>
        <s v="OPN-12903"/>
        <s v="OPN-13023"/>
        <s v="OPN-10000"/>
      </sharedItems>
    </cacheField>
    <cacheField name="Estado" numFmtId="0">
      <sharedItems containsBlank="1" count="28">
        <s v="Pagado"/>
        <m/>
        <s v="Semana"/>
        <s v="Semana  " u="1"/>
        <s v="Semana 41" u="1"/>
        <s v="Semana 40" u="1"/>
        <s v="Semana 39" u="1"/>
        <s v="Semana 38" u="1"/>
        <s v="Semana 37" u="1"/>
        <s v="cheque r" u="1"/>
        <s v="Semana 36" u="1"/>
        <s v="cheque" u="1"/>
        <s v="Semana 35" u="1"/>
        <s v="Semana 34" u="1"/>
        <s v="Semana 33" u="1"/>
        <s v="Semana 32" u="1"/>
        <s v="Semana 31" u="1"/>
        <s v="Semana 30" u="1"/>
        <s v="Semana 29" u="1"/>
        <s v="Semana 28" u="1"/>
        <s v="Semana 27" u="1"/>
        <s v="Semana 26" u="1"/>
        <s v="Semana 25" u="1"/>
        <s v="Semana 24" u="1"/>
        <s v="Semana 23" u="1"/>
        <s v="Semana 22" u="1"/>
        <s v="Semana 21" u="1"/>
        <s v="Hoy" u="1"/>
      </sharedItems>
    </cacheField>
  </cacheFields>
  <extLst>
    <ext xmlns:x14="http://schemas.microsoft.com/office/spreadsheetml/2009/9/main" uri="{725AE2AE-9491-48be-B2B4-4EB974FC3084}">
      <x14:pivotCacheDefinition pivotCacheId="185616752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5">
  <r>
    <x v="0"/>
    <x v="0"/>
    <s v="Indumentaria personal femenino de planta"/>
    <s v="Total"/>
    <x v="0"/>
    <x v="0"/>
    <x v="0"/>
    <x v="0"/>
    <n v="1156547.27"/>
    <n v="1156547.27"/>
    <n v="741.37645512820518"/>
    <m/>
    <m/>
    <s v="22"/>
    <x v="0"/>
    <x v="0"/>
  </r>
  <r>
    <x v="1"/>
    <x v="1"/>
    <s v="Cloruro de calcio 94 %"/>
    <s v="Total"/>
    <x v="1"/>
    <x v="0"/>
    <x v="1"/>
    <x v="0"/>
    <n v="3443962.5"/>
    <n v="3443962.5"/>
    <n v="2207.6682692307691"/>
    <s v="CH 45/60 días"/>
    <m/>
    <s v="21"/>
    <x v="0"/>
    <x v="0"/>
  </r>
  <r>
    <x v="2"/>
    <x v="2"/>
    <s v="Insumos Bodega - Cremor/Riuxhigh"/>
    <s v="Total"/>
    <x v="1"/>
    <x v="0"/>
    <x v="1"/>
    <x v="0"/>
    <n v="235744.62"/>
    <n v="235744.62"/>
    <n v="151.11834615384615"/>
    <m/>
    <d v="2025-08-30T00:00:00"/>
    <n v="35"/>
    <x v="1"/>
    <x v="0"/>
  </r>
  <r>
    <x v="2"/>
    <x v="2"/>
    <s v="Factura Pendiente de pago"/>
    <s v="Total"/>
    <x v="1"/>
    <x v="0"/>
    <x v="1"/>
    <x v="0"/>
    <n v="449630.84"/>
    <n v="449630.84"/>
    <n v="288.22489743589745"/>
    <m/>
    <d v="2025-08-08T00:00:00"/>
    <n v="32"/>
    <x v="1"/>
    <x v="0"/>
  </r>
  <r>
    <x v="2"/>
    <x v="2"/>
    <s v="Factura Pendiente de pago"/>
    <s v="Total"/>
    <x v="1"/>
    <x v="0"/>
    <x v="1"/>
    <x v="0"/>
    <n v="758756.25"/>
    <n v="758756.25"/>
    <n v="486.38221153846155"/>
    <m/>
    <d v="2025-08-20T00:00:00"/>
    <n v="34"/>
    <x v="1"/>
    <x v="0"/>
  </r>
  <r>
    <x v="2"/>
    <x v="2"/>
    <s v="Factura Pendiente de pago"/>
    <s v="Total"/>
    <x v="1"/>
    <x v="0"/>
    <x v="1"/>
    <x v="0"/>
    <n v="863160"/>
    <n v="863160"/>
    <n v="553.30769230769226"/>
    <m/>
    <d v="2025-08-08T00:00:00"/>
    <n v="32"/>
    <x v="1"/>
    <x v="0"/>
  </r>
  <r>
    <x v="2"/>
    <x v="2"/>
    <s v="Factura Pendiente de pago"/>
    <s v="Total"/>
    <x v="1"/>
    <x v="0"/>
    <x v="1"/>
    <x v="0"/>
    <n v="308524.02"/>
    <n v="308524.02"/>
    <n v="197.7718076923077"/>
    <m/>
    <d v="2025-08-20T00:00:00"/>
    <n v="34"/>
    <x v="1"/>
    <x v="0"/>
  </r>
  <r>
    <x v="3"/>
    <x v="2"/>
    <s v="Insumos Bodega  "/>
    <s v="Total"/>
    <x v="0"/>
    <x v="0"/>
    <x v="1"/>
    <x v="0"/>
    <n v="1223150"/>
    <n v="1223150"/>
    <n v="784.07051282051282"/>
    <m/>
    <m/>
    <s v="44"/>
    <x v="0"/>
    <x v="1"/>
  </r>
  <r>
    <x v="4"/>
    <x v="3"/>
    <s v="Envase sandria"/>
    <s v="Total"/>
    <x v="1"/>
    <x v="0"/>
    <x v="1"/>
    <x v="0"/>
    <n v="30040792.210000001"/>
    <n v="30040792.210000001"/>
    <n v="19256.918083333334"/>
    <m/>
    <d v="2026-01-16T00:00:00"/>
    <n v="3"/>
    <x v="2"/>
    <x v="0"/>
  </r>
  <r>
    <x v="4"/>
    <x v="3"/>
    <s v="Servicio sangria"/>
    <s v="Total"/>
    <x v="1"/>
    <x v="0"/>
    <x v="1"/>
    <x v="0"/>
    <n v="29363152"/>
    <n v="29363152"/>
    <n v="18822.533333333333"/>
    <m/>
    <d v="2026-01-16T00:00:00"/>
    <n v="3"/>
    <x v="3"/>
    <x v="0"/>
  </r>
  <r>
    <x v="5"/>
    <x v="4"/>
    <s v="Malla acero Inox / Manometro"/>
    <s v="Total"/>
    <x v="2"/>
    <x v="0"/>
    <x v="2"/>
    <x v="0"/>
    <n v="120500"/>
    <n v="120500"/>
    <n v="77.243589743589737"/>
    <m/>
    <m/>
    <s v="34"/>
    <x v="4"/>
    <x v="0"/>
  </r>
  <r>
    <x v="6"/>
    <x v="5"/>
    <s v="Sensores de humedad "/>
    <s v="Total"/>
    <x v="1"/>
    <x v="0"/>
    <x v="0"/>
    <x v="0"/>
    <n v="2056690"/>
    <n v="2056690"/>
    <n v="1318.3910256410256"/>
    <m/>
    <d v="2025-12-03T00:00:00"/>
    <n v="49"/>
    <x v="5"/>
    <x v="0"/>
  </r>
  <r>
    <x v="7"/>
    <x v="5"/>
    <s v="Sensores de humedad "/>
    <s v="Parcial"/>
    <x v="0"/>
    <x v="0"/>
    <x v="1"/>
    <x v="0"/>
    <n v="2500000"/>
    <n v="2500000"/>
    <n v="1602.5641025641025"/>
    <m/>
    <d v="2025-11-28T00:00:00"/>
    <n v="48"/>
    <x v="6"/>
    <x v="0"/>
  </r>
  <r>
    <x v="7"/>
    <x v="5"/>
    <s v="Sensores de humedad "/>
    <s v="Parcial"/>
    <x v="0"/>
    <x v="0"/>
    <x v="1"/>
    <x v="0"/>
    <n v="271968.40999999997"/>
    <n v="271968.40999999997"/>
    <n v="174.33872435897433"/>
    <m/>
    <d v="2025-11-28T00:00:00"/>
    <n v="48"/>
    <x v="6"/>
    <x v="0"/>
  </r>
  <r>
    <x v="7"/>
    <x v="5"/>
    <s v="Sensores de humedad "/>
    <s v="Parcial"/>
    <x v="0"/>
    <x v="0"/>
    <x v="1"/>
    <x v="0"/>
    <n v="318378.06"/>
    <n v="318378.06"/>
    <n v="204.08850000000001"/>
    <m/>
    <d v="2025-12-05T00:00:00"/>
    <n v="49"/>
    <x v="6"/>
    <x v="0"/>
  </r>
  <r>
    <x v="7"/>
    <x v="5"/>
    <s v="Sensores de humedad "/>
    <s v="Parcial"/>
    <x v="0"/>
    <x v="0"/>
    <x v="1"/>
    <x v="0"/>
    <n v="12828155.74"/>
    <n v="12828155.74"/>
    <n v="8223.1767564102574"/>
    <m/>
    <d v="2025-11-27T00:00:00"/>
    <n v="48"/>
    <x v="6"/>
    <x v="0"/>
  </r>
  <r>
    <x v="7"/>
    <x v="5"/>
    <s v="Sensores de humedad "/>
    <s v="Parcial"/>
    <x v="0"/>
    <x v="0"/>
    <x v="1"/>
    <x v="0"/>
    <n v="1735526.5"/>
    <n v="1735526.5"/>
    <n v="1112.5169871794872"/>
    <m/>
    <d v="2025-12-05T00:00:00"/>
    <n v="49"/>
    <x v="6"/>
    <x v="0"/>
  </r>
  <r>
    <x v="7"/>
    <x v="5"/>
    <s v="Sensores de humedad "/>
    <s v="Parcial"/>
    <x v="0"/>
    <x v="0"/>
    <x v="1"/>
    <x v="0"/>
    <n v="301300.31"/>
    <n v="301300.31"/>
    <n v="193.14122435897437"/>
    <m/>
    <d v="2025-12-05T00:00:00"/>
    <n v="49"/>
    <x v="6"/>
    <x v="0"/>
  </r>
  <r>
    <x v="7"/>
    <x v="5"/>
    <s v="Sensores de humedad "/>
    <s v="Parcial"/>
    <x v="0"/>
    <x v="0"/>
    <x v="1"/>
    <x v="0"/>
    <n v="453312.72"/>
    <n v="453312.72"/>
    <n v="290.58507692307688"/>
    <m/>
    <d v="2025-12-05T00:00:00"/>
    <n v="49"/>
    <x v="6"/>
    <x v="0"/>
  </r>
  <r>
    <x v="7"/>
    <x v="5"/>
    <s v="Sensores de humedad "/>
    <s v="Parcial"/>
    <x v="0"/>
    <x v="0"/>
    <x v="0"/>
    <x v="0"/>
    <n v="574661.56000000006"/>
    <n v="574661.56000000006"/>
    <n v="368.37279487179489"/>
    <m/>
    <m/>
    <s v="46"/>
    <x v="6"/>
    <x v="0"/>
  </r>
  <r>
    <x v="8"/>
    <x v="6"/>
    <s v="Pedido Campo - Harrier Bios "/>
    <s v="Total"/>
    <x v="1"/>
    <x v="0"/>
    <x v="1"/>
    <x v="0"/>
    <n v="713006"/>
    <n v="713006"/>
    <n v="457.0551282051282"/>
    <m/>
    <d v="2025-08-31T00:00:00"/>
    <n v="36"/>
    <x v="7"/>
    <x v="0"/>
  </r>
  <r>
    <x v="9"/>
    <x v="7"/>
    <s v="Tela para secado de pasas"/>
    <s v="Total"/>
    <x v="1"/>
    <x v="0"/>
    <x v="1"/>
    <x v="0"/>
    <n v="4389020.13"/>
    <n v="4389020.13"/>
    <n v="2813.4744423076922"/>
    <m/>
    <d v="2026-02-26T00:00:00"/>
    <n v="9"/>
    <x v="8"/>
    <x v="0"/>
  </r>
  <r>
    <x v="10"/>
    <x v="7"/>
    <s v="Malla para secado de pasas"/>
    <s v="Total"/>
    <x v="1"/>
    <x v="0"/>
    <x v="1"/>
    <x v="0"/>
    <n v="2500000"/>
    <n v="2500000"/>
    <n v="1602.5641025641025"/>
    <m/>
    <d v="2026-01-23T00:00:00"/>
    <n v="4"/>
    <x v="9"/>
    <x v="0"/>
  </r>
  <r>
    <x v="10"/>
    <x v="7"/>
    <s v="Malla para secado de pasas"/>
    <s v="Total"/>
    <x v="1"/>
    <x v="0"/>
    <x v="1"/>
    <x v="0"/>
    <n v="203828"/>
    <n v="203828"/>
    <n v="130.65897435897435"/>
    <m/>
    <d v="2026-01-23T00:00:00"/>
    <n v="4"/>
    <x v="9"/>
    <x v="0"/>
  </r>
  <r>
    <x v="10"/>
    <x v="7"/>
    <s v="Malla para secado de pasas"/>
    <s v="Total"/>
    <x v="1"/>
    <x v="0"/>
    <x v="1"/>
    <x v="0"/>
    <n v="2500000"/>
    <n v="2500000"/>
    <n v="1602.5641025641025"/>
    <m/>
    <d v="2026-01-24T00:00:00"/>
    <n v="4"/>
    <x v="9"/>
    <x v="0"/>
  </r>
  <r>
    <x v="11"/>
    <x v="8"/>
    <s v="Cheque rechazado 729"/>
    <s v="Total"/>
    <x v="0"/>
    <x v="0"/>
    <x v="0"/>
    <x v="0"/>
    <n v="5239195.58"/>
    <n v="5239195.58"/>
    <n v="3358.4587051282051"/>
    <m/>
    <m/>
    <s v="37"/>
    <x v="10"/>
    <x v="0"/>
  </r>
  <r>
    <x v="12"/>
    <x v="8"/>
    <s v="Reposición cheque rehasado"/>
    <s v="Total"/>
    <x v="0"/>
    <x v="0"/>
    <x v="0"/>
    <x v="0"/>
    <n v="1500000"/>
    <n v="1500000"/>
    <n v="961.53846153846155"/>
    <m/>
    <m/>
    <s v="33"/>
    <x v="11"/>
    <x v="0"/>
  </r>
  <r>
    <x v="13"/>
    <x v="9"/>
    <s v="TDZ"/>
    <s v="Total"/>
    <x v="2"/>
    <x v="1"/>
    <x v="2"/>
    <x v="0"/>
    <n v="1415000"/>
    <n v="1415000"/>
    <n v="907.0512820512821"/>
    <m/>
    <m/>
    <s v="07"/>
    <x v="12"/>
    <x v="0"/>
  </r>
  <r>
    <x v="14"/>
    <x v="9"/>
    <s v="TDZ"/>
    <s v="Total"/>
    <x v="1"/>
    <x v="0"/>
    <x v="2"/>
    <x v="0"/>
    <n v="2175000"/>
    <n v="2175000"/>
    <n v="1394.2307692307693"/>
    <m/>
    <m/>
    <s v="47"/>
    <x v="13"/>
    <x v="0"/>
  </r>
  <r>
    <x v="15"/>
    <x v="9"/>
    <s v="TDZ"/>
    <s v="Total"/>
    <x v="2"/>
    <x v="1"/>
    <x v="2"/>
    <x v="0"/>
    <n v="1465000"/>
    <n v="1465000"/>
    <n v="939.10256410256409"/>
    <m/>
    <m/>
    <s v="49"/>
    <x v="14"/>
    <x v="0"/>
  </r>
  <r>
    <x v="7"/>
    <x v="9"/>
    <s v="Producto solicitado por campo"/>
    <s v="Total"/>
    <x v="1"/>
    <x v="1"/>
    <x v="2"/>
    <x v="0"/>
    <n v="2860000"/>
    <n v="2860000"/>
    <n v="1833.3333333333333"/>
    <m/>
    <m/>
    <s v="46"/>
    <x v="15"/>
    <x v="0"/>
  </r>
  <r>
    <x v="3"/>
    <x v="10"/>
    <s v="Agua"/>
    <s v="Total"/>
    <x v="3"/>
    <x v="0"/>
    <x v="0"/>
    <x v="0"/>
    <n v="0"/>
    <n v="0"/>
    <n v="0"/>
    <m/>
    <m/>
    <s v="44"/>
    <x v="0"/>
    <x v="2"/>
  </r>
  <r>
    <x v="16"/>
    <x v="11"/>
    <s v="Agua"/>
    <s v="Total"/>
    <x v="0"/>
    <x v="0"/>
    <x v="0"/>
    <x v="0"/>
    <n v="595500"/>
    <n v="595500"/>
    <n v="381.73076923076923"/>
    <m/>
    <m/>
    <s v="43"/>
    <x v="16"/>
    <x v="0"/>
  </r>
  <r>
    <x v="17"/>
    <x v="12"/>
    <s v="Agua"/>
    <s v="Total"/>
    <x v="1"/>
    <x v="0"/>
    <x v="0"/>
    <x v="0"/>
    <n v="394000"/>
    <n v="394000"/>
    <n v="252.56410256410257"/>
    <m/>
    <m/>
    <s v="26"/>
    <x v="17"/>
    <x v="0"/>
  </r>
  <r>
    <x v="18"/>
    <x v="12"/>
    <s v="Servicio agua - Bidones 20lts"/>
    <s v="Total"/>
    <x v="3"/>
    <x v="0"/>
    <x v="0"/>
    <x v="0"/>
    <n v="396000"/>
    <n v="396000"/>
    <n v="253.84615384615384"/>
    <m/>
    <m/>
    <s v="39"/>
    <x v="18"/>
    <x v="0"/>
  </r>
  <r>
    <x v="19"/>
    <x v="12"/>
    <s v="Servicio agua - Bidones 20lts"/>
    <s v="Total"/>
    <x v="3"/>
    <x v="0"/>
    <x v="0"/>
    <x v="0"/>
    <n v="580000"/>
    <n v="580000"/>
    <n v="371.79487179487177"/>
    <m/>
    <m/>
    <s v="50"/>
    <x v="19"/>
    <x v="0"/>
  </r>
  <r>
    <x v="20"/>
    <x v="12"/>
    <s v="Agua - Bidones x 20 lts - 148u"/>
    <s v="Total"/>
    <x v="0"/>
    <x v="0"/>
    <x v="0"/>
    <x v="0"/>
    <n v="592000"/>
    <n v="592000"/>
    <n v="379.4871794871795"/>
    <m/>
    <m/>
    <s v="15"/>
    <x v="20"/>
    <x v="0"/>
  </r>
  <r>
    <x v="0"/>
    <x v="13"/>
    <s v="Fruta fresca 2025 - actualizacón tipo de cambio"/>
    <s v="Fijo"/>
    <x v="4"/>
    <x v="0"/>
    <x v="0"/>
    <x v="0"/>
    <n v="2844389.01"/>
    <n v="2844389.01"/>
    <n v="1823.3262884615383"/>
    <m/>
    <m/>
    <s v="22"/>
    <x v="21"/>
    <x v="0"/>
  </r>
  <r>
    <x v="21"/>
    <x v="13"/>
    <s v="Fruta fresca (Nota de debito por diferencia tipo de cambio)"/>
    <s v="Total"/>
    <x v="4"/>
    <x v="0"/>
    <x v="0"/>
    <x v="0"/>
    <n v="3049818.64"/>
    <n v="3049818.64"/>
    <n v="1955.0119487179488"/>
    <m/>
    <m/>
    <s v="28"/>
    <x v="22"/>
    <x v="0"/>
  </r>
  <r>
    <x v="22"/>
    <x v="14"/>
    <s v="Servicio cosecha mecanica 2026"/>
    <s v="Total"/>
    <x v="1"/>
    <x v="0"/>
    <x v="1"/>
    <x v="0"/>
    <n v="9119787"/>
    <n v="9119787"/>
    <n v="5846.0173076923074"/>
    <m/>
    <d v="2026-07-31T00:00:00"/>
    <n v="31"/>
    <x v="23"/>
    <x v="0"/>
  </r>
  <r>
    <x v="22"/>
    <x v="14"/>
    <s v="Servicio cosecha mecanica 2026"/>
    <s v="Total"/>
    <x v="1"/>
    <x v="0"/>
    <x v="1"/>
    <x v="0"/>
    <n v="9119787"/>
    <n v="9119787"/>
    <n v="5846.0173076923074"/>
    <m/>
    <d v="2026-08-28T00:00:00"/>
    <n v="35"/>
    <x v="23"/>
    <x v="0"/>
  </r>
  <r>
    <x v="22"/>
    <x v="14"/>
    <s v="Servicio cosecha mecanica 2026"/>
    <s v="Total"/>
    <x v="1"/>
    <x v="0"/>
    <x v="1"/>
    <x v="0"/>
    <n v="9119787"/>
    <n v="9119787"/>
    <n v="5846.0173076923074"/>
    <m/>
    <d v="2026-09-10T00:00:00"/>
    <n v="37"/>
    <x v="23"/>
    <x v="0"/>
  </r>
  <r>
    <x v="22"/>
    <x v="14"/>
    <s v="Servicio cosecha mecanica 2026"/>
    <s v="Total"/>
    <x v="1"/>
    <x v="0"/>
    <x v="1"/>
    <x v="0"/>
    <n v="9119787"/>
    <n v="9119787"/>
    <n v="5846.0173076923074"/>
    <m/>
    <d v="2026-09-15T00:00:00"/>
    <n v="38"/>
    <x v="23"/>
    <x v="0"/>
  </r>
  <r>
    <x v="22"/>
    <x v="14"/>
    <s v="Servicio cosecha mecanica 2026"/>
    <s v="Total"/>
    <x v="1"/>
    <x v="0"/>
    <x v="1"/>
    <x v="0"/>
    <n v="9119788.4299999997"/>
    <n v="9119788.4299999997"/>
    <n v="5846.0182243589743"/>
    <m/>
    <d v="2026-09-29T00:00:00"/>
    <n v="40"/>
    <x v="23"/>
    <x v="0"/>
  </r>
  <r>
    <x v="22"/>
    <x v="14"/>
    <s v="Servicio cosecha mecanica 2026"/>
    <s v="Total"/>
    <x v="1"/>
    <x v="0"/>
    <x v="1"/>
    <x v="0"/>
    <n v="9119787"/>
    <n v="9119787"/>
    <n v="5846.0173076923074"/>
    <m/>
    <d v="2026-08-15T00:00:00"/>
    <n v="33"/>
    <x v="23"/>
    <x v="0"/>
  </r>
  <r>
    <x v="22"/>
    <x v="14"/>
    <s v="Servicio cosecha mecanica 2026"/>
    <s v="Total"/>
    <x v="1"/>
    <x v="0"/>
    <x v="1"/>
    <x v="0"/>
    <n v="1007271.9"/>
    <n v="1007271.9"/>
    <n v="645.68711538461537"/>
    <s v="Retenciones"/>
    <m/>
    <s v="23"/>
    <x v="23"/>
    <x v="0"/>
  </r>
  <r>
    <x v="11"/>
    <x v="14"/>
    <s v="Cheque rechazado"/>
    <s v="Total"/>
    <x v="0"/>
    <x v="0"/>
    <x v="0"/>
    <x v="0"/>
    <n v="7296478.8600000003"/>
    <n v="7296478.8600000003"/>
    <n v="4677.2300384615382"/>
    <m/>
    <m/>
    <s v="37"/>
    <x v="24"/>
    <x v="0"/>
  </r>
  <r>
    <x v="11"/>
    <x v="14"/>
    <s v="Cheque rechazado"/>
    <s v="Total"/>
    <x v="0"/>
    <x v="0"/>
    <x v="0"/>
    <x v="0"/>
    <n v="9119787"/>
    <n v="9119787"/>
    <n v="5846.0173076923074"/>
    <m/>
    <m/>
    <s v="37"/>
    <x v="25"/>
    <x v="0"/>
  </r>
  <r>
    <x v="23"/>
    <x v="15"/>
    <s v="Cunas tanques planta de aceite"/>
    <s v="Total"/>
    <x v="1"/>
    <x v="0"/>
    <x v="1"/>
    <x v="0"/>
    <n v="190000.01"/>
    <n v="190000.01"/>
    <n v="121.79487820512821"/>
    <m/>
    <d v="2026-05-19T00:00:00"/>
    <n v="21"/>
    <x v="26"/>
    <x v="0"/>
  </r>
  <r>
    <x v="8"/>
    <x v="16"/>
    <s v="Repuestos Planta / Campo"/>
    <s v="Total"/>
    <x v="1"/>
    <x v="0"/>
    <x v="0"/>
    <x v="0"/>
    <n v="177902.31"/>
    <n v="177902.31"/>
    <n v="114.0399423076923"/>
    <m/>
    <m/>
    <s v="33"/>
    <x v="27"/>
    <x v="0"/>
  </r>
  <r>
    <x v="24"/>
    <x v="17"/>
    <s v="Reposición de cheque "/>
    <s v="Total"/>
    <x v="2"/>
    <x v="1"/>
    <x v="2"/>
    <x v="0"/>
    <n v="1000000"/>
    <n v="1000000"/>
    <n v="641.02564102564099"/>
    <m/>
    <m/>
    <s v="14"/>
    <x v="28"/>
    <x v="0"/>
  </r>
  <r>
    <x v="25"/>
    <x v="17"/>
    <s v="Fruta fresca"/>
    <s v="Total"/>
    <x v="4"/>
    <x v="1"/>
    <x v="1"/>
    <x v="0"/>
    <n v="278132"/>
    <n v="278132"/>
    <n v="178.28974358974358"/>
    <m/>
    <d v="2025-07-04T00:00:00"/>
    <n v="27"/>
    <x v="29"/>
    <x v="0"/>
  </r>
  <r>
    <x v="25"/>
    <x v="17"/>
    <s v="Fruta fresca"/>
    <s v="Total"/>
    <x v="4"/>
    <x v="1"/>
    <x v="1"/>
    <x v="0"/>
    <n v="2200000"/>
    <n v="2200000"/>
    <n v="1410.2564102564102"/>
    <m/>
    <d v="2025-08-10T00:00:00"/>
    <n v="33"/>
    <x v="29"/>
    <x v="0"/>
  </r>
  <r>
    <x v="17"/>
    <x v="17"/>
    <s v="Fruta Fresca campaña 2025"/>
    <s v="Total"/>
    <x v="4"/>
    <x v="1"/>
    <x v="1"/>
    <x v="0"/>
    <n v="400000"/>
    <n v="400000"/>
    <n v="256.41025641025641"/>
    <m/>
    <s v="18/07/2025"/>
    <n v="29"/>
    <x v="30"/>
    <x v="0"/>
  </r>
  <r>
    <x v="17"/>
    <x v="17"/>
    <s v="Fruta Fresca campaña 2025"/>
    <s v="Total"/>
    <x v="4"/>
    <x v="1"/>
    <x v="1"/>
    <x v="0"/>
    <n v="500000"/>
    <n v="500000"/>
    <n v="320.5128205128205"/>
    <m/>
    <s v="19/07/2025"/>
    <n v="29"/>
    <x v="30"/>
    <x v="0"/>
  </r>
  <r>
    <x v="17"/>
    <x v="17"/>
    <s v="Fruta Fresca campaña 2025"/>
    <s v="Total"/>
    <x v="4"/>
    <x v="1"/>
    <x v="1"/>
    <x v="0"/>
    <n v="844730"/>
    <n v="844730"/>
    <n v="541.49358974358972"/>
    <m/>
    <s v="05/08/2025"/>
    <n v="32"/>
    <x v="30"/>
    <x v="0"/>
  </r>
  <r>
    <x v="17"/>
    <x v="17"/>
    <s v="Fruta Fresca campaña 2025"/>
    <s v="Total"/>
    <x v="4"/>
    <x v="1"/>
    <x v="1"/>
    <x v="0"/>
    <n v="2444655.86"/>
    <n v="2444655.86"/>
    <n v="1567.0870897435896"/>
    <m/>
    <s v="04/08/2025"/>
    <n v="32"/>
    <x v="30"/>
    <x v="0"/>
  </r>
  <r>
    <x v="26"/>
    <x v="17"/>
    <s v="Fruta fresca"/>
    <s v="Total"/>
    <x v="4"/>
    <x v="1"/>
    <x v="1"/>
    <x v="0"/>
    <n v="149552"/>
    <n v="149552"/>
    <n v="95.86666666666666"/>
    <m/>
    <d v="2025-06-21T00:00:00"/>
    <n v="25"/>
    <x v="31"/>
    <x v="0"/>
  </r>
  <r>
    <x v="26"/>
    <x v="17"/>
    <s v="Fruta fresca"/>
    <s v="Total"/>
    <x v="4"/>
    <x v="1"/>
    <x v="1"/>
    <x v="0"/>
    <n v="149552"/>
    <n v="149552"/>
    <n v="95.86666666666666"/>
    <m/>
    <d v="2025-06-26T00:00:00"/>
    <n v="26"/>
    <x v="31"/>
    <x v="0"/>
  </r>
  <r>
    <x v="26"/>
    <x v="17"/>
    <s v="Fruta fresca"/>
    <s v="Total"/>
    <x v="4"/>
    <x v="1"/>
    <x v="1"/>
    <x v="0"/>
    <n v="149552"/>
    <n v="149552"/>
    <n v="95.86666666666666"/>
    <m/>
    <d v="2025-06-25T00:00:00"/>
    <n v="26"/>
    <x v="31"/>
    <x v="0"/>
  </r>
  <r>
    <x v="26"/>
    <x v="17"/>
    <s v="Fruta fresca"/>
    <s v="Total"/>
    <x v="4"/>
    <x v="1"/>
    <x v="1"/>
    <x v="0"/>
    <n v="250000"/>
    <n v="250000"/>
    <n v="160.25641025641025"/>
    <m/>
    <d v="2025-06-19T00:00:00"/>
    <n v="25"/>
    <x v="31"/>
    <x v="0"/>
  </r>
  <r>
    <x v="26"/>
    <x v="17"/>
    <s v="Fruta fresca"/>
    <s v="Total"/>
    <x v="4"/>
    <x v="1"/>
    <x v="1"/>
    <x v="0"/>
    <n v="434000"/>
    <n v="434000"/>
    <n v="278.20512820512823"/>
    <m/>
    <d v="2025-06-30T00:00:00"/>
    <n v="27"/>
    <x v="31"/>
    <x v="0"/>
  </r>
  <r>
    <x v="26"/>
    <x v="17"/>
    <s v="Fruta fresca"/>
    <s v="Total"/>
    <x v="4"/>
    <x v="1"/>
    <x v="1"/>
    <x v="0"/>
    <n v="634000"/>
    <n v="634000"/>
    <n v="406.41025641025641"/>
    <m/>
    <d v="2025-06-30T00:00:00"/>
    <n v="27"/>
    <x v="31"/>
    <x v="0"/>
  </r>
  <r>
    <x v="26"/>
    <x v="17"/>
    <s v="Fruta fresca"/>
    <s v="Total"/>
    <x v="4"/>
    <x v="1"/>
    <x v="1"/>
    <x v="0"/>
    <n v="640000"/>
    <n v="640000"/>
    <n v="410.25641025641028"/>
    <m/>
    <d v="2025-06-16T00:00:00"/>
    <n v="25"/>
    <x v="31"/>
    <x v="0"/>
  </r>
  <r>
    <x v="26"/>
    <x v="17"/>
    <s v="Fruta fresca"/>
    <s v="Total"/>
    <x v="4"/>
    <x v="1"/>
    <x v="1"/>
    <x v="0"/>
    <n v="930000"/>
    <n v="930000"/>
    <n v="596.15384615384619"/>
    <m/>
    <d v="2025-06-19T00:00:00"/>
    <n v="25"/>
    <x v="31"/>
    <x v="0"/>
  </r>
  <r>
    <x v="27"/>
    <x v="17"/>
    <s v="Campaña 2025"/>
    <s v="Total"/>
    <x v="4"/>
    <x v="1"/>
    <x v="1"/>
    <x v="0"/>
    <n v="166300"/>
    <n v="166300"/>
    <n v="106.6025641025641"/>
    <m/>
    <d v="2025-09-12T00:00:00"/>
    <n v="37"/>
    <x v="32"/>
    <x v="0"/>
  </r>
  <r>
    <x v="27"/>
    <x v="17"/>
    <s v="Campaña 2025"/>
    <s v="Total"/>
    <x v="4"/>
    <x v="1"/>
    <x v="1"/>
    <x v="0"/>
    <n v="500000"/>
    <n v="500000"/>
    <n v="320.5128205128205"/>
    <m/>
    <d v="2025-09-09T00:00:00"/>
    <n v="37"/>
    <x v="32"/>
    <x v="0"/>
  </r>
  <r>
    <x v="27"/>
    <x v="17"/>
    <s v="Campaña 2025"/>
    <s v="Total"/>
    <x v="4"/>
    <x v="1"/>
    <x v="1"/>
    <x v="0"/>
    <n v="562495.5"/>
    <n v="562495.5"/>
    <n v="360.57403846153846"/>
    <m/>
    <d v="2025-09-10T00:00:00"/>
    <n v="37"/>
    <x v="32"/>
    <x v="0"/>
  </r>
  <r>
    <x v="27"/>
    <x v="17"/>
    <s v="Campaña 2025"/>
    <s v="Total"/>
    <x v="4"/>
    <x v="1"/>
    <x v="1"/>
    <x v="0"/>
    <n v="598230"/>
    <n v="598230"/>
    <n v="383.48076923076923"/>
    <m/>
    <d v="2025-09-07T00:00:00"/>
    <n v="37"/>
    <x v="32"/>
    <x v="0"/>
  </r>
  <r>
    <x v="27"/>
    <x v="17"/>
    <s v="Campaña 2025"/>
    <s v="Total"/>
    <x v="4"/>
    <x v="1"/>
    <x v="1"/>
    <x v="0"/>
    <n v="3250000"/>
    <n v="3250000"/>
    <n v="2083.3333333333335"/>
    <m/>
    <d v="2025-09-29T00:00:00"/>
    <n v="40"/>
    <x v="32"/>
    <x v="0"/>
  </r>
  <r>
    <x v="18"/>
    <x v="17"/>
    <s v="Reposicion cheque fruta"/>
    <s v="Total"/>
    <x v="2"/>
    <x v="1"/>
    <x v="2"/>
    <x v="0"/>
    <n v="2200000"/>
    <n v="2200000"/>
    <n v="1410.2564102564102"/>
    <m/>
    <m/>
    <s v="39"/>
    <x v="33"/>
    <x v="0"/>
  </r>
  <r>
    <x v="28"/>
    <x v="17"/>
    <s v="Campaña 2025"/>
    <s v="Total"/>
    <x v="4"/>
    <x v="1"/>
    <x v="1"/>
    <x v="0"/>
    <n v="837000"/>
    <n v="837000"/>
    <n v="536.53846153846155"/>
    <m/>
    <d v="2025-10-31T00:00:00"/>
    <n v="44"/>
    <x v="34"/>
    <x v="0"/>
  </r>
  <r>
    <x v="28"/>
    <x v="17"/>
    <s v="Campaña 2025"/>
    <s v="Total"/>
    <x v="4"/>
    <x v="1"/>
    <x v="1"/>
    <x v="0"/>
    <n v="800000"/>
    <n v="800000"/>
    <n v="512.82051282051282"/>
    <m/>
    <d v="2025-11-06T00:00:00"/>
    <n v="45"/>
    <x v="34"/>
    <x v="0"/>
  </r>
  <r>
    <x v="28"/>
    <x v="17"/>
    <s v="Campaña 2025"/>
    <s v="Total"/>
    <x v="4"/>
    <x v="1"/>
    <x v="1"/>
    <x v="0"/>
    <n v="1000000"/>
    <n v="1000000"/>
    <n v="641.02564102564099"/>
    <m/>
    <d v="2025-10-19T00:00:00"/>
    <n v="43"/>
    <x v="34"/>
    <x v="0"/>
  </r>
  <r>
    <x v="28"/>
    <x v="17"/>
    <s v="Campaña 2025"/>
    <s v="Total"/>
    <x v="4"/>
    <x v="1"/>
    <x v="1"/>
    <x v="0"/>
    <n v="900000"/>
    <n v="900000"/>
    <n v="576.92307692307691"/>
    <m/>
    <d v="2025-10-30T00:00:00"/>
    <n v="44"/>
    <x v="0"/>
    <x v="0"/>
  </r>
  <r>
    <x v="28"/>
    <x v="17"/>
    <s v="Campaña 2025"/>
    <s v="Total"/>
    <x v="4"/>
    <x v="1"/>
    <x v="1"/>
    <x v="0"/>
    <n v="626500"/>
    <n v="626500"/>
    <n v="401.60256410256409"/>
    <m/>
    <d v="2025-11-03T00:00:00"/>
    <n v="45"/>
    <x v="0"/>
    <x v="0"/>
  </r>
  <r>
    <x v="29"/>
    <x v="17"/>
    <s v="Reposición de cheque"/>
    <s v="Total"/>
    <x v="2"/>
    <x v="1"/>
    <x v="2"/>
    <x v="0"/>
    <n v="1300000"/>
    <n v="1300000"/>
    <n v="833.33333333333337"/>
    <m/>
    <m/>
    <s v="42"/>
    <x v="35"/>
    <x v="0"/>
  </r>
  <r>
    <x v="6"/>
    <x v="17"/>
    <s v="Campaña 2025"/>
    <s v="Total"/>
    <x v="4"/>
    <x v="1"/>
    <x v="1"/>
    <x v="0"/>
    <n v="264778"/>
    <n v="264778"/>
    <n v="169.72948717948717"/>
    <m/>
    <d v="2025-10-11T00:00:00"/>
    <n v="41"/>
    <x v="36"/>
    <x v="0"/>
  </r>
  <r>
    <x v="6"/>
    <x v="17"/>
    <s v="Campaña 2025"/>
    <s v="Total"/>
    <x v="4"/>
    <x v="1"/>
    <x v="1"/>
    <x v="0"/>
    <n v="264778"/>
    <n v="264778"/>
    <n v="169.72948717948717"/>
    <m/>
    <d v="2025-10-18T00:00:00"/>
    <n v="42"/>
    <x v="36"/>
    <x v="0"/>
  </r>
  <r>
    <x v="6"/>
    <x v="17"/>
    <s v="Campaña 2025"/>
    <s v="Total"/>
    <x v="4"/>
    <x v="1"/>
    <x v="1"/>
    <x v="0"/>
    <n v="795260.4"/>
    <n v="795260.4"/>
    <n v="509.78230769230771"/>
    <m/>
    <d v="2025-10-15T00:00:00"/>
    <n v="42"/>
    <x v="36"/>
    <x v="0"/>
  </r>
  <r>
    <x v="30"/>
    <x v="17"/>
    <s v="Campaña 2025"/>
    <s v="Parcial"/>
    <x v="4"/>
    <x v="1"/>
    <x v="1"/>
    <x v="0"/>
    <n v="599462.5"/>
    <n v="599462.5"/>
    <n v="384.27083333333331"/>
    <m/>
    <d v="2025-10-10T00:00:00"/>
    <n v="41"/>
    <x v="37"/>
    <x v="0"/>
  </r>
  <r>
    <x v="30"/>
    <x v="17"/>
    <s v="Campaña 2025"/>
    <s v="Parcial"/>
    <x v="4"/>
    <x v="1"/>
    <x v="1"/>
    <x v="0"/>
    <n v="500000"/>
    <n v="500000"/>
    <n v="320.5128205128205"/>
    <m/>
    <d v="2025-10-10T00:00:00"/>
    <n v="41"/>
    <x v="37"/>
    <x v="0"/>
  </r>
  <r>
    <x v="30"/>
    <x v="17"/>
    <s v="Campaña 2025"/>
    <s v="Parcial"/>
    <x v="4"/>
    <x v="1"/>
    <x v="1"/>
    <x v="0"/>
    <n v="960535"/>
    <n v="960535"/>
    <n v="615.72756410256409"/>
    <m/>
    <d v="2025-11-08T00:00:00"/>
    <n v="45"/>
    <x v="37"/>
    <x v="0"/>
  </r>
  <r>
    <x v="30"/>
    <x v="17"/>
    <s v="Campaña 2025"/>
    <s v="Parcial"/>
    <x v="4"/>
    <x v="1"/>
    <x v="1"/>
    <x v="0"/>
    <n v="443225.14"/>
    <n v="443225.14"/>
    <n v="284.11867948717952"/>
    <m/>
    <d v="2025-11-15T00:00:00"/>
    <n v="46"/>
    <x v="37"/>
    <x v="0"/>
  </r>
  <r>
    <x v="31"/>
    <x v="17"/>
    <s v="Campaña 2025"/>
    <s v="Parcial"/>
    <x v="4"/>
    <x v="1"/>
    <x v="1"/>
    <x v="0"/>
    <n v="900000"/>
    <n v="900000"/>
    <n v="576.92307692307691"/>
    <m/>
    <d v="2025-11-17T00:00:00"/>
    <n v="47"/>
    <x v="38"/>
    <x v="0"/>
  </r>
  <r>
    <x v="31"/>
    <x v="17"/>
    <s v="Campaña 2025"/>
    <s v="Parcial"/>
    <x v="4"/>
    <x v="1"/>
    <x v="1"/>
    <x v="0"/>
    <n v="900000"/>
    <n v="900000"/>
    <n v="576.92307692307691"/>
    <m/>
    <d v="2025-11-17T00:00:00"/>
    <n v="47"/>
    <x v="38"/>
    <x v="0"/>
  </r>
  <r>
    <x v="31"/>
    <x v="17"/>
    <s v="Campaña 2025"/>
    <s v="Parcial"/>
    <x v="4"/>
    <x v="1"/>
    <x v="1"/>
    <x v="0"/>
    <n v="1170000"/>
    <n v="1170000"/>
    <n v="750"/>
    <m/>
    <d v="2025-11-14T00:00:00"/>
    <n v="46"/>
    <x v="38"/>
    <x v="0"/>
  </r>
  <r>
    <x v="31"/>
    <x v="17"/>
    <s v="Campaña 2025"/>
    <s v="Parcial"/>
    <x v="4"/>
    <x v="1"/>
    <x v="1"/>
    <x v="0"/>
    <n v="2202500"/>
    <n v="2202500"/>
    <n v="1411.8589743589744"/>
    <m/>
    <d v="2025-10-28T00:00:00"/>
    <n v="44"/>
    <x v="38"/>
    <x v="0"/>
  </r>
  <r>
    <x v="31"/>
    <x v="17"/>
    <s v="Campaña 2025"/>
    <s v="Parcial"/>
    <x v="4"/>
    <x v="1"/>
    <x v="1"/>
    <x v="0"/>
    <n v="2506000"/>
    <n v="2506000"/>
    <n v="1606.4102564102564"/>
    <m/>
    <d v="2025-11-22T00:00:00"/>
    <n v="47"/>
    <x v="38"/>
    <x v="0"/>
  </r>
  <r>
    <x v="14"/>
    <x v="17"/>
    <s v="Campaña 2025"/>
    <s v="Parcial"/>
    <x v="4"/>
    <x v="1"/>
    <x v="1"/>
    <x v="0"/>
    <n v="2350000"/>
    <n v="2350000"/>
    <n v="1506.4102564102564"/>
    <m/>
    <d v="2026-01-05T00:00:00"/>
    <n v="2"/>
    <x v="39"/>
    <x v="0"/>
  </r>
  <r>
    <x v="14"/>
    <x v="17"/>
    <s v="Campaña 2025"/>
    <s v="Parcial"/>
    <x v="4"/>
    <x v="1"/>
    <x v="1"/>
    <x v="0"/>
    <n v="700000"/>
    <n v="700000"/>
    <n v="448.71794871794873"/>
    <m/>
    <d v="2025-12-31T00:00:00"/>
    <n v="53"/>
    <x v="39"/>
    <x v="0"/>
  </r>
  <r>
    <x v="4"/>
    <x v="17"/>
    <s v="Campaña 2025"/>
    <s v="Parcial"/>
    <x v="4"/>
    <x v="1"/>
    <x v="1"/>
    <x v="0"/>
    <n v="1200000"/>
    <n v="1200000"/>
    <n v="769.23076923076928"/>
    <m/>
    <d v="2026-01-03T00:00:00"/>
    <n v="1"/>
    <x v="40"/>
    <x v="0"/>
  </r>
  <r>
    <x v="4"/>
    <x v="17"/>
    <s v="Campaña 2025"/>
    <s v="Parcial"/>
    <x v="4"/>
    <x v="1"/>
    <x v="1"/>
    <x v="0"/>
    <n v="1338268"/>
    <n v="1338268"/>
    <n v="857.86410256410261"/>
    <m/>
    <d v="2026-01-03T00:00:00"/>
    <n v="1"/>
    <x v="40"/>
    <x v="0"/>
  </r>
  <r>
    <x v="4"/>
    <x v="17"/>
    <s v="Campaña 2025"/>
    <s v="Parcial"/>
    <x v="4"/>
    <x v="1"/>
    <x v="1"/>
    <x v="0"/>
    <n v="1161180"/>
    <n v="1161180"/>
    <n v="744.34615384615381"/>
    <m/>
    <d v="2025-12-20T00:00:00"/>
    <n v="51"/>
    <x v="40"/>
    <x v="0"/>
  </r>
  <r>
    <x v="4"/>
    <x v="17"/>
    <s v="Campaña 2025"/>
    <s v="Parcial"/>
    <x v="4"/>
    <x v="1"/>
    <x v="1"/>
    <x v="0"/>
    <n v="2247000"/>
    <n v="2247000"/>
    <n v="1440.3846153846155"/>
    <m/>
    <d v="2025-12-19T00:00:00"/>
    <n v="51"/>
    <x v="40"/>
    <x v="0"/>
  </r>
  <r>
    <x v="9"/>
    <x v="17"/>
    <s v="Campaña 2025"/>
    <s v="Parcial"/>
    <x v="4"/>
    <x v="1"/>
    <x v="1"/>
    <x v="0"/>
    <n v="982000"/>
    <n v="982000"/>
    <n v="629.48717948717945"/>
    <m/>
    <d v="2026-03-14T00:00:00"/>
    <n v="11"/>
    <x v="41"/>
    <x v="0"/>
  </r>
  <r>
    <x v="9"/>
    <x v="17"/>
    <s v="Campaña 2025"/>
    <s v="Parcial"/>
    <x v="4"/>
    <x v="1"/>
    <x v="1"/>
    <x v="0"/>
    <n v="2263000"/>
    <n v="2263000"/>
    <n v="1450.6410256410256"/>
    <m/>
    <d v="2026-03-11T00:00:00"/>
    <n v="11"/>
    <x v="41"/>
    <x v="0"/>
  </r>
  <r>
    <x v="32"/>
    <x v="17"/>
    <s v="Campaña 2025 - Reposición de cheque"/>
    <s v="Parcial"/>
    <x v="4"/>
    <x v="1"/>
    <x v="1"/>
    <x v="0"/>
    <n v="231510"/>
    <n v="231510"/>
    <n v="148.40384615384616"/>
    <m/>
    <d v="2026-03-19T00:00:00"/>
    <n v="12"/>
    <x v="42"/>
    <x v="0"/>
  </r>
  <r>
    <x v="32"/>
    <x v="17"/>
    <s v="Campaña 2025 - Reposición de cheque"/>
    <s v="Parcial"/>
    <x v="4"/>
    <x v="1"/>
    <x v="1"/>
    <x v="0"/>
    <n v="487570"/>
    <n v="487570"/>
    <n v="312.54487179487177"/>
    <m/>
    <d v="2026-03-06T00:00:00"/>
    <n v="10"/>
    <x v="42"/>
    <x v="0"/>
  </r>
  <r>
    <x v="32"/>
    <x v="17"/>
    <s v="Campaña 2025 - Reposición de cheque"/>
    <s v="Parcial"/>
    <x v="4"/>
    <x v="1"/>
    <x v="1"/>
    <x v="0"/>
    <n v="1113255"/>
    <n v="1113255"/>
    <n v="713.625"/>
    <m/>
    <d v="2026-01-29T00:00:00"/>
    <n v="5"/>
    <x v="42"/>
    <x v="0"/>
  </r>
  <r>
    <x v="33"/>
    <x v="17"/>
    <s v="Reposición de cheque "/>
    <s v="Total"/>
    <x v="2"/>
    <x v="1"/>
    <x v="2"/>
    <x v="0"/>
    <n v="1000000"/>
    <n v="1000000"/>
    <n v="641.02564102564099"/>
    <m/>
    <m/>
    <s v="12"/>
    <x v="43"/>
    <x v="0"/>
  </r>
  <r>
    <x v="34"/>
    <x v="17"/>
    <s v="Campaña 2026"/>
    <s v="Parcial"/>
    <x v="4"/>
    <x v="1"/>
    <x v="1"/>
    <x v="0"/>
    <n v="1330337"/>
    <n v="1330337"/>
    <n v="852.78012820512822"/>
    <m/>
    <d v="2026-06-30T00:00:00"/>
    <n v="27"/>
    <x v="44"/>
    <x v="0"/>
  </r>
  <r>
    <x v="35"/>
    <x v="17"/>
    <s v="Campaña 2026"/>
    <s v="Parcial"/>
    <x v="2"/>
    <x v="1"/>
    <x v="2"/>
    <x v="0"/>
    <n v="1000000"/>
    <n v="1000000"/>
    <n v="641.02564102564099"/>
    <m/>
    <m/>
    <s v="27"/>
    <x v="45"/>
    <x v="0"/>
  </r>
  <r>
    <x v="36"/>
    <x v="17"/>
    <s v="Campaña 2026"/>
    <s v="Parcial"/>
    <x v="4"/>
    <x v="1"/>
    <x v="1"/>
    <x v="0"/>
    <n v="2500000"/>
    <n v="2500000"/>
    <n v="1602.5641025641025"/>
    <m/>
    <d v="2026-08-06T00:00:00"/>
    <n v="32"/>
    <x v="46"/>
    <x v="0"/>
  </r>
  <r>
    <x v="36"/>
    <x v="17"/>
    <s v="Campaña 2026"/>
    <s v="Parcial"/>
    <x v="4"/>
    <x v="1"/>
    <x v="1"/>
    <x v="0"/>
    <n v="2500000"/>
    <n v="2500000"/>
    <n v="1602.5641025641025"/>
    <m/>
    <d v="2026-08-14T00:00:00"/>
    <n v="33"/>
    <x v="46"/>
    <x v="0"/>
  </r>
  <r>
    <x v="37"/>
    <x v="17"/>
    <s v="Campaña 2026"/>
    <s v="Parcial"/>
    <x v="4"/>
    <x v="1"/>
    <x v="1"/>
    <x v="0"/>
    <n v="70120.45"/>
    <n v="70120.45"/>
    <n v="44.949006410256409"/>
    <m/>
    <d v="2026-07-18T00:00:00"/>
    <n v="29"/>
    <x v="47"/>
    <x v="0"/>
  </r>
  <r>
    <x v="37"/>
    <x v="17"/>
    <s v="Campaña 2026"/>
    <s v="Parcial"/>
    <x v="4"/>
    <x v="1"/>
    <x v="1"/>
    <x v="0"/>
    <n v="1461225"/>
    <n v="1461225"/>
    <n v="936.68269230769226"/>
    <m/>
    <d v="2026-08-29T00:00:00"/>
    <n v="35"/>
    <x v="47"/>
    <x v="0"/>
  </r>
  <r>
    <x v="37"/>
    <x v="17"/>
    <s v="Campaña 2026"/>
    <s v="Parcial"/>
    <x v="4"/>
    <x v="1"/>
    <x v="1"/>
    <x v="0"/>
    <n v="1548006.24"/>
    <n v="1548006.24"/>
    <n v="992.31169230769228"/>
    <m/>
    <d v="2026-08-26T00:00:00"/>
    <n v="35"/>
    <x v="47"/>
    <x v="0"/>
  </r>
  <r>
    <x v="38"/>
    <x v="17"/>
    <s v="Campaña 2026"/>
    <s v="Parcial"/>
    <x v="5"/>
    <x v="1"/>
    <x v="2"/>
    <x v="0"/>
    <n v="1319000"/>
    <n v="1319000"/>
    <n v="845.51282051282055"/>
    <m/>
    <d v="2026-09-18T00:00:00"/>
    <n v="38"/>
    <x v="48"/>
    <x v="0"/>
  </r>
  <r>
    <x v="38"/>
    <x v="17"/>
    <s v="Campaña 2026"/>
    <s v="Parcial"/>
    <x v="5"/>
    <x v="1"/>
    <x v="2"/>
    <x v="0"/>
    <n v="2500000"/>
    <n v="2500000"/>
    <n v="1602.5641025641025"/>
    <m/>
    <d v="2026-09-03T00:00:00"/>
    <n v="36"/>
    <x v="48"/>
    <x v="0"/>
  </r>
  <r>
    <x v="38"/>
    <x v="17"/>
    <s v="Campaña 2026"/>
    <s v="Parcial"/>
    <x v="5"/>
    <x v="1"/>
    <x v="2"/>
    <x v="0"/>
    <n v="350000"/>
    <n v="350000"/>
    <n v="224.35897435897436"/>
    <m/>
    <d v="2026-09-03T00:00:00"/>
    <n v="36"/>
    <x v="48"/>
    <x v="0"/>
  </r>
  <r>
    <x v="39"/>
    <x v="17"/>
    <s v="Campaña 2026"/>
    <s v="Parcial"/>
    <x v="5"/>
    <x v="1"/>
    <x v="1"/>
    <x v="0"/>
    <n v="1100000"/>
    <n v="1100000"/>
    <n v="705.12820512820508"/>
    <m/>
    <d v="2026-10-23T00:00:00"/>
    <n v="43"/>
    <x v="49"/>
    <x v="0"/>
  </r>
  <r>
    <x v="39"/>
    <x v="17"/>
    <s v="Campaña 2026"/>
    <s v="Parcial"/>
    <x v="5"/>
    <x v="1"/>
    <x v="1"/>
    <x v="0"/>
    <n v="1370000"/>
    <n v="1370000"/>
    <n v="878.20512820512818"/>
    <m/>
    <d v="2026-10-17T00:00:00"/>
    <n v="42"/>
    <x v="49"/>
    <x v="0"/>
  </r>
  <r>
    <x v="39"/>
    <x v="17"/>
    <s v="Campaña 2026"/>
    <s v="Parcial"/>
    <x v="5"/>
    <x v="1"/>
    <x v="1"/>
    <x v="0"/>
    <n v="137000"/>
    <n v="137000"/>
    <n v="87.820512820512818"/>
    <m/>
    <d v="2026-10-15T00:00:00"/>
    <n v="42"/>
    <x v="49"/>
    <x v="0"/>
  </r>
  <r>
    <x v="40"/>
    <x v="17"/>
    <s v="Campaña 2026"/>
    <s v="Parcial"/>
    <x v="5"/>
    <x v="1"/>
    <x v="1"/>
    <x v="0"/>
    <n v="2628000"/>
    <n v="2628000"/>
    <n v="1684.6153846153845"/>
    <m/>
    <m/>
    <s v="40"/>
    <x v="50"/>
    <x v="0"/>
  </r>
  <r>
    <x v="3"/>
    <x v="17"/>
    <s v="Campaña 2026"/>
    <s v="Parcial"/>
    <x v="5"/>
    <x v="1"/>
    <x v="1"/>
    <x v="1"/>
    <n v="2908.7761290322583"/>
    <n v="4537690.761290323"/>
    <n v="2908.7761290322583"/>
    <m/>
    <m/>
    <s v="44"/>
    <x v="0"/>
    <x v="1"/>
  </r>
  <r>
    <x v="3"/>
    <x v="17"/>
    <s v="Campaña 2026"/>
    <s v="Parcial"/>
    <x v="5"/>
    <x v="1"/>
    <x v="1"/>
    <x v="0"/>
    <n v="0"/>
    <n v="0"/>
    <n v="0"/>
    <m/>
    <m/>
    <s v="44"/>
    <x v="0"/>
    <x v="1"/>
  </r>
  <r>
    <x v="41"/>
    <x v="18"/>
    <s v="Anticipo cosecha 2026"/>
    <s v="Total"/>
    <x v="4"/>
    <x v="1"/>
    <x v="2"/>
    <x v="0"/>
    <n v="3500000"/>
    <n v="3500000"/>
    <n v="2243.5897435897436"/>
    <m/>
    <m/>
    <s v="08"/>
    <x v="51"/>
    <x v="0"/>
  </r>
  <r>
    <x v="41"/>
    <x v="18"/>
    <s v="Reposición de cheque "/>
    <s v="Total"/>
    <x v="4"/>
    <x v="1"/>
    <x v="2"/>
    <x v="0"/>
    <n v="700000"/>
    <n v="700000"/>
    <n v="448.71794871794873"/>
    <m/>
    <m/>
    <s v="08"/>
    <x v="52"/>
    <x v="0"/>
  </r>
  <r>
    <x v="42"/>
    <x v="19"/>
    <s v="Servicio nuez"/>
    <s v="Parcial"/>
    <x v="2"/>
    <x v="1"/>
    <x v="2"/>
    <x v="0"/>
    <n v="800000"/>
    <n v="800000"/>
    <n v="512.82051282051282"/>
    <m/>
    <m/>
    <s v="24"/>
    <x v="53"/>
    <x v="0"/>
  </r>
  <r>
    <x v="43"/>
    <x v="19"/>
    <s v="Servicio pulpeado nueces 2026"/>
    <s v="Parcial"/>
    <x v="2"/>
    <x v="1"/>
    <x v="2"/>
    <x v="0"/>
    <n v="1000000"/>
    <n v="1000000"/>
    <n v="641.02564102564099"/>
    <m/>
    <m/>
    <s v="26"/>
    <x v="54"/>
    <x v="0"/>
  </r>
  <r>
    <x v="43"/>
    <x v="19"/>
    <s v="Servicio pulpeado nueces 2026"/>
    <s v="Parcial"/>
    <x v="1"/>
    <x v="1"/>
    <x v="1"/>
    <x v="0"/>
    <n v="2000000"/>
    <n v="2000000"/>
    <n v="1282.051282051282"/>
    <m/>
    <d v="2026-08-11T00:00:00"/>
    <n v="33"/>
    <x v="54"/>
    <x v="0"/>
  </r>
  <r>
    <x v="36"/>
    <x v="19"/>
    <s v="Pulpeado Nueces "/>
    <s v="Parcial"/>
    <x v="2"/>
    <x v="1"/>
    <x v="2"/>
    <x v="0"/>
    <n v="752951"/>
    <n v="752951"/>
    <n v="482.66089743589743"/>
    <m/>
    <m/>
    <s v="28"/>
    <x v="55"/>
    <x v="0"/>
  </r>
  <r>
    <x v="36"/>
    <x v="19"/>
    <s v="Pulpeado Nueces "/>
    <s v="Parcial"/>
    <x v="0"/>
    <x v="1"/>
    <x v="1"/>
    <x v="0"/>
    <n v="2726733"/>
    <n v="2726733"/>
    <n v="1747.9057692307692"/>
    <m/>
    <d v="2026-08-26T00:00:00"/>
    <n v="35"/>
    <x v="56"/>
    <x v="0"/>
  </r>
  <r>
    <x v="37"/>
    <x v="19"/>
    <s v="Servicio pulpeado nueces 2026"/>
    <s v="Parcial"/>
    <x v="1"/>
    <x v="1"/>
    <x v="1"/>
    <x v="0"/>
    <n v="299400"/>
    <n v="299400"/>
    <n v="191.92307692307693"/>
    <m/>
    <d v="2026-07-21T00:00:00"/>
    <n v="30"/>
    <x v="57"/>
    <x v="0"/>
  </r>
  <r>
    <x v="37"/>
    <x v="19"/>
    <s v="Servicio pulpeado nueces 2026"/>
    <s v="Parcial"/>
    <x v="1"/>
    <x v="1"/>
    <x v="1"/>
    <x v="0"/>
    <n v="390000"/>
    <n v="390000"/>
    <n v="250"/>
    <m/>
    <d v="2026-07-23T00:00:00"/>
    <n v="30"/>
    <x v="57"/>
    <x v="0"/>
  </r>
  <r>
    <x v="37"/>
    <x v="19"/>
    <s v="Servicio pulpeado nueces 2026"/>
    <s v="Parcial"/>
    <x v="1"/>
    <x v="1"/>
    <x v="1"/>
    <x v="0"/>
    <n v="1000000"/>
    <n v="1000000"/>
    <n v="641.02564102564099"/>
    <m/>
    <d v="2026-08-05T00:00:00"/>
    <n v="32"/>
    <x v="57"/>
    <x v="0"/>
  </r>
  <r>
    <x v="37"/>
    <x v="19"/>
    <s v="Servicio pulpeado nueces 2026"/>
    <s v="Parcial"/>
    <x v="1"/>
    <x v="1"/>
    <x v="1"/>
    <x v="0"/>
    <n v="1000000"/>
    <n v="1000000"/>
    <n v="641.02564102564099"/>
    <m/>
    <d v="2026-08-04T00:00:00"/>
    <n v="32"/>
    <x v="57"/>
    <x v="0"/>
  </r>
  <r>
    <x v="37"/>
    <x v="19"/>
    <s v="Servicio pulpeado nueces 2026"/>
    <s v="Parcial"/>
    <x v="2"/>
    <x v="1"/>
    <x v="2"/>
    <x v="0"/>
    <n v="1000000"/>
    <n v="1000000"/>
    <n v="641.02564102564099"/>
    <m/>
    <m/>
    <s v="29"/>
    <x v="58"/>
    <x v="0"/>
  </r>
  <r>
    <x v="38"/>
    <x v="19"/>
    <s v="Servicio pulpeado nueces 2026"/>
    <s v="Parcial"/>
    <x v="0"/>
    <x v="1"/>
    <x v="2"/>
    <x v="0"/>
    <n v="850000"/>
    <n v="850000"/>
    <n v="544.87179487179492"/>
    <m/>
    <d v="2026-09-02T00:00:00"/>
    <n v="36"/>
    <x v="59"/>
    <x v="0"/>
  </r>
  <r>
    <x v="44"/>
    <x v="19"/>
    <s v="Servicio pulpeado nueces 2026"/>
    <s v="Parcial"/>
    <x v="2"/>
    <x v="1"/>
    <x v="2"/>
    <x v="0"/>
    <n v="500000"/>
    <n v="500000"/>
    <n v="320.5128205128205"/>
    <m/>
    <m/>
    <s v="31"/>
    <x v="60"/>
    <x v="0"/>
  </r>
  <r>
    <x v="39"/>
    <x v="19"/>
    <s v="Servicio pulpeado nueces 2026"/>
    <s v="Parcial"/>
    <x v="0"/>
    <x v="1"/>
    <x v="1"/>
    <x v="0"/>
    <n v="1100000"/>
    <n v="1100000"/>
    <n v="705.12820512820508"/>
    <m/>
    <d v="2026-11-18T00:00:00"/>
    <n v="47"/>
    <x v="61"/>
    <x v="0"/>
  </r>
  <r>
    <x v="39"/>
    <x v="19"/>
    <s v="Servicio pulpeado nueces 2026"/>
    <s v="Parcial"/>
    <x v="0"/>
    <x v="1"/>
    <x v="1"/>
    <x v="0"/>
    <n v="2149500"/>
    <n v="2149500"/>
    <n v="1377.8846153846155"/>
    <m/>
    <d v="2026-10-31T00:00:00"/>
    <n v="44"/>
    <x v="61"/>
    <x v="0"/>
  </r>
  <r>
    <x v="45"/>
    <x v="19"/>
    <s v="Compra de nuez"/>
    <s v="Total"/>
    <x v="2"/>
    <x v="1"/>
    <x v="2"/>
    <x v="0"/>
    <n v="500000"/>
    <n v="500000"/>
    <n v="320.5128205128205"/>
    <m/>
    <m/>
    <s v="25"/>
    <x v="62"/>
    <x v="0"/>
  </r>
  <r>
    <x v="3"/>
    <x v="19"/>
    <s v="Servicio pulpeado nueces 2026"/>
    <s v="Parcial"/>
    <x v="0"/>
    <x v="1"/>
    <x v="1"/>
    <x v="0"/>
    <n v="3058665"/>
    <n v="3058665"/>
    <n v="1960.6826923076924"/>
    <m/>
    <m/>
    <s v="44"/>
    <x v="0"/>
    <x v="1"/>
  </r>
  <r>
    <x v="46"/>
    <x v="20"/>
    <s v="Cabezar cortadora Sthil (compra Julio Tello)"/>
    <s v="Total"/>
    <x v="2"/>
    <x v="0"/>
    <x v="2"/>
    <x v="0"/>
    <n v="65000"/>
    <n v="65000"/>
    <n v="41.666666666666664"/>
    <m/>
    <m/>
    <s v="42"/>
    <x v="63"/>
    <x v="0"/>
  </r>
  <r>
    <x v="20"/>
    <x v="21"/>
    <s v="Repuesto VW Senda - Punta de eje"/>
    <s v="Total"/>
    <x v="2"/>
    <x v="0"/>
    <x v="2"/>
    <x v="0"/>
    <n v="50000"/>
    <n v="50000"/>
    <n v="32.051282051282051"/>
    <m/>
    <m/>
    <s v="15"/>
    <x v="64"/>
    <x v="0"/>
  </r>
  <r>
    <x v="47"/>
    <x v="22"/>
    <s v="Flete tanques de aceite - Mendoza / anguinan"/>
    <s v="Total"/>
    <x v="1"/>
    <x v="0"/>
    <x v="1"/>
    <x v="0"/>
    <n v="2736481.7"/>
    <n v="2736481.7"/>
    <n v="1754.154935897436"/>
    <m/>
    <d v="2026-06-25T00:00:00"/>
    <n v="26"/>
    <x v="65"/>
    <x v="0"/>
  </r>
  <r>
    <x v="47"/>
    <x v="22"/>
    <s v="Flete tanques de aceite - Mendoza / anguinan"/>
    <s v="Total"/>
    <x v="1"/>
    <x v="0"/>
    <x v="1"/>
    <x v="0"/>
    <n v="2736481.7"/>
    <n v="2736481.7"/>
    <n v="1754.154935897436"/>
    <m/>
    <d v="2026-07-10T00:00:00"/>
    <n v="28"/>
    <x v="65"/>
    <x v="0"/>
  </r>
  <r>
    <x v="47"/>
    <x v="22"/>
    <s v="Flete tanques de aceite - Mendoza / anguinan"/>
    <s v="Total"/>
    <x v="1"/>
    <x v="0"/>
    <x v="1"/>
    <x v="0"/>
    <n v="90616.6"/>
    <n v="90616.6"/>
    <n v="58.087564102564109"/>
    <s v="Retenciones"/>
    <m/>
    <s v="20"/>
    <x v="65"/>
    <x v="0"/>
  </r>
  <r>
    <x v="48"/>
    <x v="23"/>
    <s v="Viaticos"/>
    <s v="Total"/>
    <x v="1"/>
    <x v="1"/>
    <x v="2"/>
    <x v="0"/>
    <n v="15000"/>
    <n v="15000"/>
    <n v="9.615384615384615"/>
    <m/>
    <m/>
    <s v="16"/>
    <x v="0"/>
    <x v="0"/>
  </r>
  <r>
    <x v="49"/>
    <x v="24"/>
    <s v="Repuestos Desmalezadora grosspal"/>
    <s v="Parcial"/>
    <x v="1"/>
    <x v="0"/>
    <x v="1"/>
    <x v="0"/>
    <n v="1431964.03"/>
    <n v="1431964.03"/>
    <n v="917.92566025641031"/>
    <s v="CH 20 días"/>
    <d v="2025-07-11T00:00:00"/>
    <n v="28"/>
    <x v="66"/>
    <x v="0"/>
  </r>
  <r>
    <x v="50"/>
    <x v="24"/>
    <s v="Repuestos - Pedido campo"/>
    <s v="Total"/>
    <x v="0"/>
    <x v="0"/>
    <x v="1"/>
    <x v="0"/>
    <n v="1273305.6000000001"/>
    <n v="1273305.6000000001"/>
    <n v="816.22153846153856"/>
    <m/>
    <d v="2026-01-28T00:00:00"/>
    <n v="5"/>
    <x v="67"/>
    <x v="0"/>
  </r>
  <r>
    <x v="5"/>
    <x v="25"/>
    <s v="Ropa EPP personal planta"/>
    <s v="Total"/>
    <x v="1"/>
    <x v="0"/>
    <x v="0"/>
    <x v="0"/>
    <n v="119911"/>
    <n v="119911"/>
    <n v="76.866025641025644"/>
    <m/>
    <m/>
    <s v="34"/>
    <x v="68"/>
    <x v="0"/>
  </r>
  <r>
    <x v="7"/>
    <x v="25"/>
    <s v="Calzado"/>
    <s v="Total"/>
    <x v="1"/>
    <x v="0"/>
    <x v="0"/>
    <x v="0"/>
    <n v="1278970"/>
    <n v="1278970"/>
    <n v="819.85256410256409"/>
    <m/>
    <m/>
    <s v="46"/>
    <x v="69"/>
    <x v="0"/>
  </r>
  <r>
    <x v="18"/>
    <x v="25"/>
    <m/>
    <s v="Total"/>
    <x v="1"/>
    <x v="0"/>
    <x v="0"/>
    <x v="0"/>
    <n v="69817"/>
    <n v="69817"/>
    <n v="44.754487179487178"/>
    <m/>
    <m/>
    <s v="39"/>
    <x v="70"/>
    <x v="0"/>
  </r>
  <r>
    <x v="32"/>
    <x v="25"/>
    <s v="Herrera Pedro"/>
    <s v="Total"/>
    <x v="1"/>
    <x v="0"/>
    <x v="0"/>
    <x v="0"/>
    <n v="116523"/>
    <n v="116523"/>
    <n v="74.694230769230771"/>
    <m/>
    <m/>
    <s v="09"/>
    <x v="71"/>
    <x v="0"/>
  </r>
  <r>
    <x v="44"/>
    <x v="25"/>
    <s v="Regalo - MM"/>
    <s v="Total"/>
    <x v="2"/>
    <x v="0"/>
    <x v="2"/>
    <x v="0"/>
    <n v="100000"/>
    <n v="100000"/>
    <n v="64.102564102564102"/>
    <m/>
    <m/>
    <s v="31"/>
    <x v="72"/>
    <x v="0"/>
  </r>
  <r>
    <x v="1"/>
    <x v="26"/>
    <s v="Alojamiento Personal Instalacion Transformador planta aceite"/>
    <s v="Total"/>
    <x v="1"/>
    <x v="0"/>
    <x v="0"/>
    <x v="0"/>
    <n v="675000"/>
    <n v="675000"/>
    <n v="432.69230769230768"/>
    <m/>
    <m/>
    <s v="21"/>
    <x v="0"/>
    <x v="0"/>
  </r>
  <r>
    <x v="17"/>
    <x v="26"/>
    <s v="Alquiler cabañas"/>
    <s v="Total"/>
    <x v="1"/>
    <x v="0"/>
    <x v="0"/>
    <x v="0"/>
    <n v="750000"/>
    <n v="750000"/>
    <n v="480.76923076923077"/>
    <m/>
    <m/>
    <s v="26"/>
    <x v="73"/>
    <x v="0"/>
  </r>
  <r>
    <x v="48"/>
    <x v="27"/>
    <s v="Aceituna Fresca"/>
    <s v="Total"/>
    <x v="1"/>
    <x v="1"/>
    <x v="2"/>
    <x v="0"/>
    <n v="722164.8"/>
    <n v="722164.8"/>
    <n v="462.92615384615385"/>
    <m/>
    <m/>
    <s v="16"/>
    <x v="0"/>
    <x v="0"/>
  </r>
  <r>
    <x v="51"/>
    <x v="27"/>
    <s v="Aceituna Fresca"/>
    <s v="Total"/>
    <x v="1"/>
    <x v="1"/>
    <x v="2"/>
    <x v="0"/>
    <n v="471658"/>
    <n v="471658"/>
    <n v="302.34487179487178"/>
    <m/>
    <m/>
    <s v="17"/>
    <x v="0"/>
    <x v="0"/>
  </r>
  <r>
    <x v="49"/>
    <x v="28"/>
    <s v="Toner 1330xc"/>
    <s v="Total"/>
    <x v="1"/>
    <x v="0"/>
    <x v="0"/>
    <x v="0"/>
    <n v="289588.28000000003"/>
    <n v="289588.28000000003"/>
    <n v="185.63351282051283"/>
    <m/>
    <m/>
    <s v="25"/>
    <x v="74"/>
    <x v="0"/>
  </r>
  <r>
    <x v="52"/>
    <x v="28"/>
    <s v="Toner + unidad de imagen Impresora administración"/>
    <s v="Total"/>
    <x v="1"/>
    <x v="0"/>
    <x v="0"/>
    <x v="0"/>
    <n v="293462"/>
    <n v="293462"/>
    <n v="188.11666666666667"/>
    <m/>
    <m/>
    <s v="38"/>
    <x v="75"/>
    <x v="0"/>
  </r>
  <r>
    <x v="52"/>
    <x v="28"/>
    <s v="Toner + unidad de imagen Impresora administración"/>
    <s v="Total"/>
    <x v="1"/>
    <x v="0"/>
    <x v="1"/>
    <x v="0"/>
    <n v="478013.33"/>
    <n v="478013.33"/>
    <n v="306.41880128205128"/>
    <m/>
    <d v="2025-09-30T00:00:00"/>
    <n v="40"/>
    <x v="75"/>
    <x v="0"/>
  </r>
  <r>
    <x v="5"/>
    <x v="28"/>
    <s v="Toner Salon de ventas"/>
    <s v="Total"/>
    <x v="1"/>
    <x v="0"/>
    <x v="0"/>
    <x v="0"/>
    <n v="75000.009999999995"/>
    <n v="75000.009999999995"/>
    <n v="48.076929487179484"/>
    <m/>
    <m/>
    <s v="34"/>
    <x v="76"/>
    <x v="0"/>
  </r>
  <r>
    <x v="30"/>
    <x v="28"/>
    <s v="Toner impresora administración - cabezal + tinta impresora campo"/>
    <s v="Total"/>
    <x v="1"/>
    <x v="0"/>
    <x v="0"/>
    <x v="0"/>
    <n v="433600"/>
    <n v="433600"/>
    <n v="277.94871794871796"/>
    <m/>
    <m/>
    <s v="43"/>
    <x v="77"/>
    <x v="0"/>
  </r>
  <r>
    <x v="14"/>
    <x v="28"/>
    <s v="Toner impresora administración "/>
    <s v="Total"/>
    <x v="1"/>
    <x v="0"/>
    <x v="0"/>
    <x v="0"/>
    <n v="295980.83"/>
    <n v="295980.83"/>
    <n v="189.73130128205131"/>
    <m/>
    <d v="2025-11-28T00:00:00"/>
    <n v="48"/>
    <x v="78"/>
    <x v="0"/>
  </r>
  <r>
    <x v="53"/>
    <x v="28"/>
    <s v="Toner administración"/>
    <s v="Total"/>
    <x v="1"/>
    <x v="0"/>
    <x v="1"/>
    <x v="0"/>
    <n v="458000"/>
    <n v="458000"/>
    <n v="293.58974358974359"/>
    <m/>
    <m/>
    <s v="17"/>
    <x v="79"/>
    <x v="0"/>
  </r>
  <r>
    <x v="54"/>
    <x v="28"/>
    <s v="Unidad Imagen Impresora"/>
    <s v="Total"/>
    <x v="1"/>
    <x v="0"/>
    <x v="0"/>
    <x v="0"/>
    <n v="98750"/>
    <n v="98750"/>
    <n v="63.301282051282051"/>
    <m/>
    <m/>
    <s v="41"/>
    <x v="80"/>
    <x v="0"/>
  </r>
  <r>
    <x v="46"/>
    <x v="29"/>
    <s v="Corchos bodega - Deuda 2024/2025"/>
    <s v="Total"/>
    <x v="0"/>
    <x v="0"/>
    <x v="1"/>
    <x v="0"/>
    <n v="2400000"/>
    <n v="2400000"/>
    <n v="1538.4615384615386"/>
    <m/>
    <d v="2026-12-17T00:00:00"/>
    <n v="51"/>
    <x v="81"/>
    <x v="0"/>
  </r>
  <r>
    <x v="46"/>
    <x v="29"/>
    <s v="Corchos bodega - Deuda 2024/2025"/>
    <s v="Total"/>
    <x v="0"/>
    <x v="0"/>
    <x v="1"/>
    <x v="0"/>
    <n v="43520"/>
    <n v="43520"/>
    <n v="27.897435897435898"/>
    <s v="Retenciones"/>
    <m/>
    <s v="42"/>
    <x v="81"/>
    <x v="0"/>
  </r>
  <r>
    <x v="3"/>
    <x v="30"/>
    <s v="Repuestos - Correas B-110"/>
    <s v="Total"/>
    <x v="0"/>
    <x v="0"/>
    <x v="0"/>
    <x v="0"/>
    <n v="207341.97"/>
    <n v="207341.97"/>
    <n v="132.91151923076924"/>
    <m/>
    <m/>
    <s v="44"/>
    <x v="0"/>
    <x v="1"/>
  </r>
  <r>
    <x v="16"/>
    <x v="29"/>
    <s v="Corchos bodega - Deuda 2024/2025"/>
    <s v="Total"/>
    <x v="0"/>
    <x v="0"/>
    <x v="1"/>
    <x v="0"/>
    <n v="2400000"/>
    <n v="2400000"/>
    <n v="1538.4615384615386"/>
    <m/>
    <d v="2026-12-17T00:00:00"/>
    <n v="51"/>
    <x v="81"/>
    <x v="0"/>
  </r>
  <r>
    <x v="16"/>
    <x v="29"/>
    <s v="Corchos bodega - Deuda 2024/2025"/>
    <s v="Total"/>
    <x v="0"/>
    <x v="0"/>
    <x v="1"/>
    <x v="0"/>
    <n v="43520"/>
    <n v="43520"/>
    <n v="27.897435897435898"/>
    <s v="Retenciones"/>
    <m/>
    <s v="43"/>
    <x v="81"/>
    <x v="0"/>
  </r>
  <r>
    <x v="49"/>
    <x v="31"/>
    <s v="Pago Saldo Fletes"/>
    <s v="Total"/>
    <x v="0"/>
    <x v="1"/>
    <x v="2"/>
    <x v="0"/>
    <n v="730671.15"/>
    <n v="730671.15"/>
    <n v="468.37894230769234"/>
    <m/>
    <m/>
    <s v="25"/>
    <x v="82"/>
    <x v="0"/>
  </r>
  <r>
    <x v="51"/>
    <x v="31"/>
    <s v="Flete Frutas frescas"/>
    <s v="Total"/>
    <x v="1"/>
    <x v="1"/>
    <x v="2"/>
    <x v="0"/>
    <n v="1000000"/>
    <n v="1000000"/>
    <n v="641.02564102564099"/>
    <m/>
    <m/>
    <s v="17"/>
    <x v="83"/>
    <x v="0"/>
  </r>
  <r>
    <x v="55"/>
    <x v="31"/>
    <s v="Flete Frutas frescas"/>
    <s v="Total"/>
    <x v="1"/>
    <x v="1"/>
    <x v="1"/>
    <x v="0"/>
    <n v="2433645.21"/>
    <n v="2433645.21"/>
    <n v="1560.0289807692307"/>
    <m/>
    <m/>
    <s v="19"/>
    <x v="84"/>
    <x v="0"/>
  </r>
  <r>
    <x v="1"/>
    <x v="31"/>
    <s v="Flete fruta fresca cosecha 2025"/>
    <s v="Total"/>
    <x v="1"/>
    <x v="1"/>
    <x v="1"/>
    <x v="0"/>
    <n v="5210339.9000000004"/>
    <n v="5210339.9000000004"/>
    <n v="3339.9614743589746"/>
    <s v="CH 20 días"/>
    <m/>
    <s v="21"/>
    <x v="0"/>
    <x v="0"/>
  </r>
  <r>
    <x v="56"/>
    <x v="31"/>
    <s v="Flete santa cruz (Tractor)"/>
    <s v="Total"/>
    <x v="0"/>
    <x v="1"/>
    <x v="2"/>
    <x v="0"/>
    <n v="350000"/>
    <n v="350000"/>
    <n v="224.35897435897436"/>
    <m/>
    <m/>
    <s v="11"/>
    <x v="85"/>
    <x v="0"/>
  </r>
  <r>
    <x v="57"/>
    <x v="31"/>
    <s v="Flete Fruta campaña 2026"/>
    <s v="Total"/>
    <x v="2"/>
    <x v="1"/>
    <x v="2"/>
    <x v="0"/>
    <n v="500000"/>
    <n v="500000"/>
    <n v="320.5128205128205"/>
    <m/>
    <m/>
    <s v="16"/>
    <x v="86"/>
    <x v="0"/>
  </r>
  <r>
    <x v="48"/>
    <x v="32"/>
    <s v="Mano de obra plomeria - planta de aceite anticipo 60%"/>
    <s v="Total"/>
    <x v="1"/>
    <x v="0"/>
    <x v="0"/>
    <x v="0"/>
    <n v="900000"/>
    <n v="900000"/>
    <n v="576.92307692307691"/>
    <s v="$500000 Transferencia  / $400000 CH 15"/>
    <m/>
    <s v="16"/>
    <x v="87"/>
    <x v="0"/>
  </r>
  <r>
    <x v="0"/>
    <x v="32"/>
    <s v="Mano de obra plomeria - planta de aceite saldo 40%"/>
    <s v="Total"/>
    <x v="1"/>
    <x v="0"/>
    <x v="0"/>
    <x v="0"/>
    <n v="600000"/>
    <n v="600000"/>
    <n v="384.61538461538464"/>
    <m/>
    <m/>
    <s v="22"/>
    <x v="0"/>
    <x v="0"/>
  </r>
  <r>
    <x v="57"/>
    <x v="33"/>
    <s v="Reparación Bomba Toyota"/>
    <s v="Total"/>
    <x v="1"/>
    <x v="0"/>
    <x v="0"/>
    <x v="0"/>
    <n v="575500"/>
    <n v="575500"/>
    <n v="368.91025641025641"/>
    <m/>
    <d v="2026-04-16T00:00:00"/>
    <n v="16"/>
    <x v="88"/>
    <x v="0"/>
  </r>
  <r>
    <x v="57"/>
    <x v="33"/>
    <s v="Reparación Bomba Toyota"/>
    <s v="Total"/>
    <x v="1"/>
    <x v="0"/>
    <x v="1"/>
    <x v="0"/>
    <n v="1273480"/>
    <n v="1273480"/>
    <n v="816.33333333333337"/>
    <m/>
    <d v="2026-05-16T00:00:00"/>
    <n v="20"/>
    <x v="88"/>
    <x v="0"/>
  </r>
  <r>
    <x v="57"/>
    <x v="33"/>
    <s v="Reparación Bomba Toyota"/>
    <s v="Total"/>
    <x v="1"/>
    <x v="0"/>
    <x v="1"/>
    <x v="0"/>
    <n v="26520"/>
    <n v="26520"/>
    <n v="17"/>
    <m/>
    <m/>
    <s v="16"/>
    <x v="88"/>
    <x v="0"/>
  </r>
  <r>
    <x v="20"/>
    <x v="34"/>
    <s v="Fletes Fruta 2026"/>
    <s v="Total"/>
    <x v="2"/>
    <x v="1"/>
    <x v="2"/>
    <x v="0"/>
    <n v="1500000"/>
    <n v="1500000"/>
    <n v="961.53846153846155"/>
    <m/>
    <m/>
    <s v="15"/>
    <x v="89"/>
    <x v="0"/>
  </r>
  <r>
    <x v="43"/>
    <x v="34"/>
    <s v="Anticipo flete campaña 2026"/>
    <s v="Total"/>
    <x v="2"/>
    <x v="1"/>
    <x v="2"/>
    <x v="0"/>
    <n v="500000"/>
    <n v="500000"/>
    <n v="320.5128205128205"/>
    <m/>
    <m/>
    <s v="26"/>
    <x v="90"/>
    <x v="0"/>
  </r>
  <r>
    <x v="43"/>
    <x v="34"/>
    <s v="Anticipo flete campaña 2026"/>
    <s v="Total"/>
    <x v="2"/>
    <x v="1"/>
    <x v="2"/>
    <x v="0"/>
    <n v="1012500"/>
    <n v="1012500"/>
    <n v="649.03846153846155"/>
    <m/>
    <m/>
    <s v="26"/>
    <x v="90"/>
    <x v="0"/>
  </r>
  <r>
    <x v="36"/>
    <x v="34"/>
    <s v="Flete campaña 2026"/>
    <s v="Total"/>
    <x v="1"/>
    <x v="1"/>
    <x v="1"/>
    <x v="0"/>
    <n v="2726733"/>
    <n v="2726733"/>
    <n v="1747.9057692307692"/>
    <m/>
    <d v="2026-08-27T00:00:00"/>
    <n v="35"/>
    <x v="91"/>
    <x v="0"/>
  </r>
  <r>
    <x v="36"/>
    <x v="34"/>
    <s v="Flete campaña 2026"/>
    <s v="Total"/>
    <x v="1"/>
    <x v="1"/>
    <x v="2"/>
    <x v="0"/>
    <n v="273267"/>
    <n v="273267"/>
    <n v="175.17115384615386"/>
    <m/>
    <m/>
    <s v="28"/>
    <x v="91"/>
    <x v="0"/>
  </r>
  <r>
    <x v="37"/>
    <x v="34"/>
    <s v="Anticipo flete campaña 2026"/>
    <s v="Total"/>
    <x v="0"/>
    <x v="1"/>
    <x v="1"/>
    <x v="0"/>
    <n v="290000"/>
    <n v="290000"/>
    <n v="185.89743589743588"/>
    <m/>
    <d v="2026-07-24T00:00:00"/>
    <n v="30"/>
    <x v="92"/>
    <x v="0"/>
  </r>
  <r>
    <x v="37"/>
    <x v="34"/>
    <s v="Anticipo flete campaña 2026"/>
    <s v="Total"/>
    <x v="0"/>
    <x v="1"/>
    <x v="1"/>
    <x v="0"/>
    <n v="600000"/>
    <n v="600000"/>
    <n v="384.61538461538464"/>
    <m/>
    <d v="2026-07-24T00:00:00"/>
    <n v="30"/>
    <x v="92"/>
    <x v="0"/>
  </r>
  <r>
    <x v="37"/>
    <x v="34"/>
    <s v="Anticipo flete campaña 2026"/>
    <s v="Total"/>
    <x v="0"/>
    <x v="1"/>
    <x v="1"/>
    <x v="0"/>
    <n v="1200000"/>
    <n v="1200000"/>
    <n v="769.23076923076928"/>
    <m/>
    <d v="2026-08-24T00:00:00"/>
    <n v="35"/>
    <x v="92"/>
    <x v="0"/>
  </r>
  <r>
    <x v="37"/>
    <x v="34"/>
    <s v="Anticipo flete campaña 2026"/>
    <s v="Total"/>
    <x v="2"/>
    <x v="1"/>
    <x v="2"/>
    <x v="0"/>
    <n v="400000"/>
    <n v="400000"/>
    <n v="256.41025641025641"/>
    <m/>
    <m/>
    <s v="29"/>
    <x v="93"/>
    <x v="0"/>
  </r>
  <r>
    <x v="58"/>
    <x v="34"/>
    <s v="Anticipo flete campaña 2026"/>
    <s v="Total"/>
    <x v="2"/>
    <x v="1"/>
    <x v="2"/>
    <x v="0"/>
    <n v="500000"/>
    <n v="500000"/>
    <n v="320.5128205128205"/>
    <m/>
    <m/>
    <s v="30"/>
    <x v="94"/>
    <x v="0"/>
  </r>
  <r>
    <x v="11"/>
    <x v="34"/>
    <s v="Fletes campaña 2026"/>
    <s v="Total"/>
    <x v="2"/>
    <x v="1"/>
    <x v="2"/>
    <x v="0"/>
    <n v="500000"/>
    <n v="500000"/>
    <n v="320.5128205128205"/>
    <m/>
    <m/>
    <s v="37"/>
    <x v="95"/>
    <x v="0"/>
  </r>
  <r>
    <x v="22"/>
    <x v="34"/>
    <s v="Flete cosecha 2026"/>
    <s v="Total"/>
    <x v="2"/>
    <x v="1"/>
    <x v="2"/>
    <x v="0"/>
    <n v="500000"/>
    <n v="500000"/>
    <n v="320.5128205128205"/>
    <m/>
    <m/>
    <s v="23"/>
    <x v="96"/>
    <x v="0"/>
  </r>
  <r>
    <x v="22"/>
    <x v="34"/>
    <s v="Flete cosecha 2026"/>
    <s v="Total"/>
    <x v="2"/>
    <x v="1"/>
    <x v="2"/>
    <x v="0"/>
    <n v="400000"/>
    <n v="400000"/>
    <n v="256.41025641025641"/>
    <m/>
    <m/>
    <s v="23"/>
    <x v="97"/>
    <x v="0"/>
  </r>
  <r>
    <x v="45"/>
    <x v="34"/>
    <s v="Flete campaña 2026"/>
    <s v="Total"/>
    <x v="2"/>
    <x v="1"/>
    <x v="2"/>
    <x v="0"/>
    <n v="400000"/>
    <n v="400000"/>
    <n v="256.41025641025641"/>
    <m/>
    <m/>
    <s v="25"/>
    <x v="98"/>
    <x v="0"/>
  </r>
  <r>
    <x v="46"/>
    <x v="34"/>
    <s v="Fletes campaña 2026"/>
    <s v="Total"/>
    <x v="2"/>
    <x v="1"/>
    <x v="2"/>
    <x v="0"/>
    <n v="300000"/>
    <n v="300000"/>
    <n v="192.30769230769232"/>
    <s v="Chachos"/>
    <m/>
    <s v="42"/>
    <x v="99"/>
    <x v="0"/>
  </r>
  <r>
    <x v="3"/>
    <x v="30"/>
    <s v="Repuestos - Correas B-110"/>
    <s v="Total"/>
    <x v="0"/>
    <x v="0"/>
    <x v="0"/>
    <x v="0"/>
    <n v="168998.28"/>
    <n v="168998.28"/>
    <n v="108.33223076923076"/>
    <m/>
    <m/>
    <s v="44"/>
    <x v="0"/>
    <x v="1"/>
  </r>
  <r>
    <x v="26"/>
    <x v="35"/>
    <s v="Placa Balanza - Planta"/>
    <s v="Total"/>
    <x v="1"/>
    <x v="0"/>
    <x v="0"/>
    <x v="0"/>
    <n v="96800"/>
    <n v="96800"/>
    <n v="62.051282051282051"/>
    <m/>
    <m/>
    <s v="29"/>
    <x v="100"/>
    <x v="0"/>
  </r>
  <r>
    <x v="47"/>
    <x v="36"/>
    <s v="Presente cumpleaños Lourdes"/>
    <s v="Total"/>
    <x v="1"/>
    <x v="0"/>
    <x v="2"/>
    <x v="0"/>
    <n v="48590"/>
    <n v="48590"/>
    <n v="31.147435897435898"/>
    <m/>
    <m/>
    <s v="20"/>
    <x v="101"/>
    <x v="0"/>
  </r>
  <r>
    <x v="31"/>
    <x v="37"/>
    <s v="Planta de aceite (cuota1/9)"/>
    <s v="Total"/>
    <x v="0"/>
    <x v="0"/>
    <x v="0"/>
    <x v="0"/>
    <n v="47743024"/>
    <n v="47743024"/>
    <n v="30604.502564102564"/>
    <s v="Cuota 1 Junio Euro $1605"/>
    <m/>
    <s v="45"/>
    <x v="102"/>
    <x v="0"/>
  </r>
  <r>
    <x v="20"/>
    <x v="37"/>
    <s v="Planta de aceite "/>
    <s v="Total"/>
    <x v="0"/>
    <x v="0"/>
    <x v="0"/>
    <x v="0"/>
    <n v="46019932"/>
    <n v="46019932"/>
    <n v="29499.956410256411"/>
    <s v="Cuota 2 de 9"/>
    <m/>
    <s v="15"/>
    <x v="103"/>
    <x v="0"/>
  </r>
  <r>
    <x v="3"/>
    <x v="29"/>
    <s v="Corchos bodega - Deuda 2024/2025"/>
    <s v="Total"/>
    <x v="0"/>
    <x v="0"/>
    <x v="1"/>
    <x v="2"/>
    <n v="4682.7"/>
    <n v="8335206"/>
    <n v="5343.080769230769"/>
    <m/>
    <m/>
    <s v="44"/>
    <x v="0"/>
    <x v="1"/>
  </r>
  <r>
    <x v="27"/>
    <x v="38"/>
    <s v="Repuesto Autoelevador - Pedido campo"/>
    <s v="Total"/>
    <x v="1"/>
    <x v="0"/>
    <x v="0"/>
    <x v="0"/>
    <n v="91718"/>
    <n v="91718"/>
    <n v="58.793589743589742"/>
    <m/>
    <m/>
    <s v="35"/>
    <x v="104"/>
    <x v="0"/>
  </r>
  <r>
    <x v="43"/>
    <x v="38"/>
    <s v="Bomba de freno autoelevador Liugong"/>
    <s v="Total"/>
    <x v="1"/>
    <x v="0"/>
    <x v="0"/>
    <x v="0"/>
    <n v="104665"/>
    <n v="104665"/>
    <n v="67.092948717948715"/>
    <m/>
    <m/>
    <s v="26"/>
    <x v="105"/>
    <x v="0"/>
  </r>
  <r>
    <x v="44"/>
    <x v="38"/>
    <s v="Bomba de freno autoelevador Lonking"/>
    <s v="Total"/>
    <x v="1"/>
    <x v="0"/>
    <x v="0"/>
    <x v="0"/>
    <n v="104665"/>
    <n v="104665"/>
    <n v="67.092948717948715"/>
    <m/>
    <m/>
    <s v="31"/>
    <x v="106"/>
    <x v="0"/>
  </r>
  <r>
    <x v="59"/>
    <x v="39"/>
    <s v="Service camioneta Floriana Rondina "/>
    <s v="Total"/>
    <x v="1"/>
    <x v="0"/>
    <x v="2"/>
    <x v="0"/>
    <n v="375760"/>
    <n v="375760"/>
    <n v="240.87179487179486"/>
    <m/>
    <m/>
    <s v="06"/>
    <x v="107"/>
    <x v="0"/>
  </r>
  <r>
    <x v="3"/>
    <x v="34"/>
    <s v="Fletes campaña 2026"/>
    <s v="Total"/>
    <x v="2"/>
    <x v="1"/>
    <x v="2"/>
    <x v="0"/>
    <n v="210500"/>
    <n v="210500"/>
    <n v="134.93589743589743"/>
    <m/>
    <m/>
    <s v="44"/>
    <x v="108"/>
    <x v="0"/>
  </r>
  <r>
    <x v="34"/>
    <x v="40"/>
    <s v="Parcial factura x service camioneta F Rondina"/>
    <s v="Total"/>
    <x v="2"/>
    <x v="0"/>
    <x v="2"/>
    <x v="0"/>
    <n v="100000"/>
    <n v="100000"/>
    <n v="64.102564102564102"/>
    <m/>
    <m/>
    <s v="21"/>
    <x v="109"/>
    <x v="0"/>
  </r>
  <r>
    <x v="60"/>
    <x v="41"/>
    <s v="Sistema salon de ventas"/>
    <s v="Total"/>
    <x v="1"/>
    <x v="0"/>
    <x v="0"/>
    <x v="0"/>
    <n v="968000"/>
    <n v="968000"/>
    <n v="620.51282051282055"/>
    <m/>
    <m/>
    <s v="37"/>
    <x v="110"/>
    <x v="0"/>
  </r>
  <r>
    <x v="36"/>
    <x v="42"/>
    <s v="Software de ventas - punto de ventas 2"/>
    <s v="Total"/>
    <x v="1"/>
    <x v="0"/>
    <x v="0"/>
    <x v="0"/>
    <n v="777980"/>
    <n v="777980"/>
    <n v="498.70512820512823"/>
    <m/>
    <m/>
    <s v="28"/>
    <x v="111"/>
    <x v="0"/>
  </r>
  <r>
    <x v="36"/>
    <x v="42"/>
    <s v="Software de ventas - punto de ventas 2"/>
    <s v="Total"/>
    <x v="1"/>
    <x v="0"/>
    <x v="0"/>
    <x v="0"/>
    <n v="8520"/>
    <n v="8520"/>
    <n v="5.4615384615384617"/>
    <s v="Retenciones"/>
    <m/>
    <s v="28"/>
    <x v="111"/>
    <x v="0"/>
  </r>
  <r>
    <x v="3"/>
    <x v="37"/>
    <s v="Planta de aceite "/>
    <s v="Total"/>
    <x v="0"/>
    <x v="0"/>
    <x v="0"/>
    <x v="2"/>
    <n v="195400"/>
    <n v="347812000"/>
    <n v="222956.41025641025"/>
    <n v="223400"/>
    <m/>
    <s v="44"/>
    <x v="0"/>
    <x v="1"/>
  </r>
  <r>
    <x v="42"/>
    <x v="43"/>
    <s v="Combustible"/>
    <s v="Total"/>
    <x v="2"/>
    <x v="0"/>
    <x v="2"/>
    <x v="0"/>
    <n v="39999.89"/>
    <n v="39999.89"/>
    <n v="25.640955128205128"/>
    <m/>
    <m/>
    <s v="24"/>
    <x v="112"/>
    <x v="0"/>
  </r>
  <r>
    <x v="32"/>
    <x v="44"/>
    <s v="Consulta oftalmologica"/>
    <s v="Total"/>
    <x v="1"/>
    <x v="0"/>
    <x v="0"/>
    <x v="0"/>
    <n v="40000"/>
    <n v="40000"/>
    <n v="25.641025641025642"/>
    <m/>
    <m/>
    <s v="09"/>
    <x v="113"/>
    <x v="0"/>
  </r>
  <r>
    <x v="61"/>
    <x v="45"/>
    <s v="Pago Cuenta corriente"/>
    <s v="Total"/>
    <x v="1"/>
    <x v="1"/>
    <x v="1"/>
    <x v="0"/>
    <n v="5089358.6100000003"/>
    <n v="5089358.6100000003"/>
    <n v="3262.4093653846157"/>
    <s v="CH 30 60 días"/>
    <d v="2025-08-13T00:00:00"/>
    <n v="33"/>
    <x v="114"/>
    <x v="0"/>
  </r>
  <r>
    <x v="28"/>
    <x v="45"/>
    <s v="Cinta Tomate"/>
    <s v="Total"/>
    <x v="1"/>
    <x v="0"/>
    <x v="1"/>
    <x v="0"/>
    <n v="438439.67999999999"/>
    <n v="438439.67999999999"/>
    <n v="281.05107692307689"/>
    <m/>
    <d v="2025-10-30T00:00:00"/>
    <n v="44"/>
    <x v="34"/>
    <x v="0"/>
  </r>
  <r>
    <x v="28"/>
    <x v="45"/>
    <s v="Cinta Tomate"/>
    <s v="Total"/>
    <x v="1"/>
    <x v="0"/>
    <x v="1"/>
    <x v="0"/>
    <n v="661821.6"/>
    <n v="661821.6"/>
    <n v="424.24461538461537"/>
    <m/>
    <d v="2025-10-22T00:00:00"/>
    <n v="43"/>
    <x v="34"/>
    <x v="0"/>
  </r>
  <r>
    <x v="28"/>
    <x v="45"/>
    <s v="Cinta Tomate"/>
    <s v="Total"/>
    <x v="1"/>
    <x v="0"/>
    <x v="1"/>
    <x v="0"/>
    <n v="719378.8"/>
    <n v="719378.8"/>
    <n v="461.14025641025643"/>
    <m/>
    <d v="2025-10-30T00:00:00"/>
    <n v="44"/>
    <x v="34"/>
    <x v="0"/>
  </r>
  <r>
    <x v="28"/>
    <x v="45"/>
    <s v="Cinta Tomate"/>
    <s v="Total"/>
    <x v="1"/>
    <x v="0"/>
    <x v="1"/>
    <x v="0"/>
    <n v="2056690"/>
    <n v="2056690"/>
    <n v="1318.3910256410256"/>
    <m/>
    <d v="2025-12-02T00:00:00"/>
    <n v="49"/>
    <x v="34"/>
    <x v="0"/>
  </r>
  <r>
    <x v="28"/>
    <x v="45"/>
    <s v="Cinta Tomate"/>
    <s v="Total"/>
    <x v="1"/>
    <x v="0"/>
    <x v="1"/>
    <x v="0"/>
    <n v="700000"/>
    <n v="700000"/>
    <n v="448.71794871794873"/>
    <m/>
    <d v="2025-11-30T00:00:00"/>
    <n v="49"/>
    <x v="34"/>
    <x v="0"/>
  </r>
  <r>
    <x v="28"/>
    <x v="45"/>
    <s v="Cinta Tomate"/>
    <s v="Total"/>
    <x v="1"/>
    <x v="0"/>
    <x v="1"/>
    <x v="0"/>
    <n v="9887.92"/>
    <n v="9887.92"/>
    <n v="6.3384102564102562"/>
    <m/>
    <d v="2025-10-03T00:00:00"/>
    <n v="40"/>
    <x v="34"/>
    <x v="0"/>
  </r>
  <r>
    <x v="6"/>
    <x v="45"/>
    <s v="Cuenta Corriente"/>
    <s v="Parcial"/>
    <x v="1"/>
    <x v="0"/>
    <x v="1"/>
    <x v="0"/>
    <n v="661821.6"/>
    <n v="661821.6"/>
    <n v="424.24461538461537"/>
    <m/>
    <d v="2025-10-22T00:00:00"/>
    <n v="43"/>
    <x v="34"/>
    <x v="0"/>
  </r>
  <r>
    <x v="6"/>
    <x v="45"/>
    <s v="Cuenta Corriente"/>
    <s v="Parcial"/>
    <x v="1"/>
    <x v="0"/>
    <x v="1"/>
    <x v="0"/>
    <n v="700000"/>
    <n v="700000"/>
    <n v="448.71794871794873"/>
    <m/>
    <d v="2025-11-30T00:00:00"/>
    <n v="49"/>
    <x v="34"/>
    <x v="0"/>
  </r>
  <r>
    <x v="6"/>
    <x v="45"/>
    <s v="Cuenta Corriente"/>
    <s v="Parcial"/>
    <x v="1"/>
    <x v="0"/>
    <x v="1"/>
    <x v="0"/>
    <n v="2056690"/>
    <n v="2056690"/>
    <n v="1318.3910256410256"/>
    <m/>
    <d v="2025-12-02T00:00:00"/>
    <n v="49"/>
    <x v="34"/>
    <x v="0"/>
  </r>
  <r>
    <x v="6"/>
    <x v="45"/>
    <s v="Cuenta Corriente"/>
    <s v="Parcial"/>
    <x v="1"/>
    <x v="0"/>
    <x v="1"/>
    <x v="0"/>
    <n v="719378.8"/>
    <n v="719378.8"/>
    <n v="461.14025641025643"/>
    <m/>
    <s v="30/10/2025"/>
    <n v="44"/>
    <x v="34"/>
    <x v="0"/>
  </r>
  <r>
    <x v="6"/>
    <x v="45"/>
    <s v="Cuenta Corriente"/>
    <s v="Parcial"/>
    <x v="1"/>
    <x v="0"/>
    <x v="1"/>
    <x v="0"/>
    <n v="438439.67999999999"/>
    <n v="438439.67999999999"/>
    <n v="281.05107692307689"/>
    <m/>
    <s v="30/10/2025"/>
    <n v="44"/>
    <x v="34"/>
    <x v="0"/>
  </r>
  <r>
    <x v="13"/>
    <x v="45"/>
    <s v="Cuenta corriente"/>
    <s v="Total"/>
    <x v="6"/>
    <x v="0"/>
    <x v="1"/>
    <x v="0"/>
    <n v="17691152.670000002"/>
    <n v="17691152.670000002"/>
    <n v="11340.482480769231"/>
    <s v="Pago Agro Nacion"/>
    <m/>
    <s v="07"/>
    <x v="115"/>
    <x v="0"/>
  </r>
  <r>
    <x v="53"/>
    <x v="45"/>
    <s v="Cuenta corriente"/>
    <s v="Total"/>
    <x v="6"/>
    <x v="0"/>
    <x v="1"/>
    <x v="0"/>
    <n v="39156.36"/>
    <n v="39156.36"/>
    <n v="25.10023076923077"/>
    <s v="Retenciones"/>
    <m/>
    <s v="17"/>
    <x v="116"/>
    <x v="0"/>
  </r>
  <r>
    <x v="53"/>
    <x v="45"/>
    <s v="Cuenta corriente"/>
    <s v="Total"/>
    <x v="6"/>
    <x v="0"/>
    <x v="1"/>
    <x v="0"/>
    <n v="1320000"/>
    <n v="1320000"/>
    <n v="846.15384615384619"/>
    <m/>
    <d v="2026-06-11T00:00:00"/>
    <n v="24"/>
    <x v="116"/>
    <x v="0"/>
  </r>
  <r>
    <x v="53"/>
    <x v="45"/>
    <s v="Cuenta corriente"/>
    <s v="Total"/>
    <x v="6"/>
    <x v="0"/>
    <x v="1"/>
    <x v="0"/>
    <n v="1320000"/>
    <n v="1320000"/>
    <n v="846.15384615384619"/>
    <m/>
    <d v="2026-06-12T00:00:00"/>
    <n v="24"/>
    <x v="116"/>
    <x v="0"/>
  </r>
  <r>
    <x v="62"/>
    <x v="45"/>
    <s v="Cuenta corriente"/>
    <s v="Total"/>
    <x v="0"/>
    <x v="0"/>
    <x v="1"/>
    <x v="0"/>
    <n v="441878.16"/>
    <n v="441878.16"/>
    <n v="283.25523076923076"/>
    <m/>
    <d v="2026-06-10T00:00:00"/>
    <n v="24"/>
    <x v="117"/>
    <x v="0"/>
  </r>
  <r>
    <x v="62"/>
    <x v="45"/>
    <s v="Cuenta corriente"/>
    <s v="Total"/>
    <x v="0"/>
    <x v="0"/>
    <x v="1"/>
    <x v="0"/>
    <n v="506122.25"/>
    <n v="506122.25"/>
    <n v="324.43733974358975"/>
    <m/>
    <d v="2026-06-10T00:00:00"/>
    <n v="24"/>
    <x v="117"/>
    <x v="0"/>
  </r>
  <r>
    <x v="62"/>
    <x v="45"/>
    <s v="Cuenta corriente"/>
    <s v="Total"/>
    <x v="0"/>
    <x v="0"/>
    <x v="1"/>
    <x v="0"/>
    <n v="1267399.52"/>
    <n v="1267399.52"/>
    <n v="812.43558974358973"/>
    <m/>
    <d v="2026-06-10T00:00:00"/>
    <n v="24"/>
    <x v="117"/>
    <x v="0"/>
  </r>
  <r>
    <x v="62"/>
    <x v="45"/>
    <s v="Cuenta corriente"/>
    <s v="Total"/>
    <x v="0"/>
    <x v="0"/>
    <x v="1"/>
    <x v="0"/>
    <n v="32138.18"/>
    <n v="32138.18"/>
    <n v="20.601397435897436"/>
    <s v="Retenciones"/>
    <m/>
    <s v="19"/>
    <x v="117"/>
    <x v="0"/>
  </r>
  <r>
    <x v="34"/>
    <x v="45"/>
    <s v="Cuenta corriente"/>
    <s v="Total"/>
    <x v="0"/>
    <x v="0"/>
    <x v="1"/>
    <x v="0"/>
    <n v="757000"/>
    <n v="757000"/>
    <n v="485.25641025641028"/>
    <m/>
    <d v="2026-06-19T00:00:00"/>
    <n v="25"/>
    <x v="118"/>
    <x v="0"/>
  </r>
  <r>
    <x v="34"/>
    <x v="45"/>
    <s v="Cuenta corriente"/>
    <s v="Total"/>
    <x v="0"/>
    <x v="0"/>
    <x v="1"/>
    <x v="0"/>
    <n v="757000"/>
    <n v="757000"/>
    <n v="485.25641025641028"/>
    <m/>
    <d v="2026-06-29T00:00:00"/>
    <n v="27"/>
    <x v="118"/>
    <x v="0"/>
  </r>
  <r>
    <x v="34"/>
    <x v="45"/>
    <s v="Cuenta corriente"/>
    <s v="Total"/>
    <x v="0"/>
    <x v="0"/>
    <x v="1"/>
    <x v="0"/>
    <n v="25556"/>
    <n v="25556"/>
    <n v="16.382051282051282"/>
    <s v="Retenciones"/>
    <m/>
    <s v="21"/>
    <x v="118"/>
    <x v="0"/>
  </r>
  <r>
    <x v="39"/>
    <x v="45"/>
    <s v="Cuenta corriente"/>
    <s v="Total"/>
    <x v="0"/>
    <x v="0"/>
    <x v="1"/>
    <x v="0"/>
    <n v="9667839.4399999995"/>
    <n v="9667839.4399999995"/>
    <n v="6197.3329743589738"/>
    <m/>
    <d v="2026-10-01T00:00:00"/>
    <n v="40"/>
    <x v="119"/>
    <x v="0"/>
  </r>
  <r>
    <x v="39"/>
    <x v="45"/>
    <s v="Cuenta corriente"/>
    <s v="Total"/>
    <x v="0"/>
    <x v="0"/>
    <x v="1"/>
    <x v="0"/>
    <n v="188876.79"/>
    <n v="188876.79"/>
    <n v="121.07486538461539"/>
    <s v="Retenciones"/>
    <m/>
    <s v="38"/>
    <x v="119"/>
    <x v="0"/>
  </r>
  <r>
    <x v="3"/>
    <x v="39"/>
    <s v="Service 40000 KM S10 - Floriana Rondina"/>
    <s v="Total"/>
    <x v="1"/>
    <x v="0"/>
    <x v="2"/>
    <x v="0"/>
    <n v="579360.17000000004"/>
    <n v="579360.17000000004"/>
    <n v="371.38472435897438"/>
    <m/>
    <m/>
    <s v="44"/>
    <x v="120"/>
    <x v="0"/>
  </r>
  <r>
    <x v="18"/>
    <x v="46"/>
    <s v="Acesoramiento manejo de plagas"/>
    <s v="Total"/>
    <x v="1"/>
    <x v="0"/>
    <x v="0"/>
    <x v="0"/>
    <n v="350000"/>
    <n v="350000"/>
    <n v="224.35897435897436"/>
    <m/>
    <m/>
    <s v="39"/>
    <x v="34"/>
    <x v="0"/>
  </r>
  <r>
    <x v="63"/>
    <x v="46"/>
    <s v="Acesoramiento campo"/>
    <s v="Total"/>
    <x v="1"/>
    <x v="0"/>
    <x v="0"/>
    <x v="0"/>
    <n v="175000"/>
    <n v="175000"/>
    <n v="112.17948717948718"/>
    <m/>
    <m/>
    <s v="44"/>
    <x v="121"/>
    <x v="0"/>
  </r>
  <r>
    <x v="4"/>
    <x v="46"/>
    <s v="Asesoramiento manejo de plagas"/>
    <s v="Total"/>
    <x v="3"/>
    <x v="0"/>
    <x v="0"/>
    <x v="0"/>
    <n v="175000"/>
    <n v="175000"/>
    <n v="112.17948717948718"/>
    <m/>
    <m/>
    <s v="51"/>
    <x v="122"/>
    <x v="0"/>
  </r>
  <r>
    <x v="3"/>
    <x v="42"/>
    <s v="Renovación Licencia Anual (sistema salon de ventas)"/>
    <s v="Total"/>
    <x v="0"/>
    <x v="0"/>
    <x v="0"/>
    <x v="0"/>
    <n v="605000"/>
    <n v="605000"/>
    <n v="387.82051282051282"/>
    <m/>
    <m/>
    <s v="44"/>
    <x v="0"/>
    <x v="2"/>
  </r>
  <r>
    <x v="49"/>
    <x v="47"/>
    <s v="Sello Mecanico - Pedido planta"/>
    <s v="Total"/>
    <x v="1"/>
    <x v="0"/>
    <x v="1"/>
    <x v="0"/>
    <n v="774089.82"/>
    <n v="774089.82"/>
    <n v="496.21142307692304"/>
    <s v="CH 30 días"/>
    <d v="2025-07-11T00:00:00"/>
    <n v="28"/>
    <x v="123"/>
    <x v="0"/>
  </r>
  <r>
    <x v="51"/>
    <x v="47"/>
    <s v="Factura 2563"/>
    <s v="Total"/>
    <x v="1"/>
    <x v="0"/>
    <x v="1"/>
    <x v="0"/>
    <n v="1283117.5"/>
    <n v="1283117.5"/>
    <n v="822.5112179487179"/>
    <s v="CH 01/05"/>
    <m/>
    <s v="17"/>
    <x v="124"/>
    <x v="0"/>
  </r>
  <r>
    <x v="51"/>
    <x v="47"/>
    <s v="Factura 2754"/>
    <s v="Total"/>
    <x v="1"/>
    <x v="0"/>
    <x v="1"/>
    <x v="0"/>
    <n v="237514"/>
    <n v="237514"/>
    <n v="152.25256410256409"/>
    <s v="CH 30 días"/>
    <m/>
    <s v="17"/>
    <x v="125"/>
    <x v="0"/>
  </r>
  <r>
    <x v="5"/>
    <x v="47"/>
    <s v="Sellos mecanicos - Bodega"/>
    <s v="Total"/>
    <x v="1"/>
    <x v="0"/>
    <x v="1"/>
    <x v="0"/>
    <n v="599564.79999999993"/>
    <n v="599564.79999999993"/>
    <n v="384.3364102564102"/>
    <s v="CH 30 días"/>
    <d v="2025-08-28T00:00:00"/>
    <n v="35"/>
    <x v="126"/>
    <x v="0"/>
  </r>
  <r>
    <x v="20"/>
    <x v="47"/>
    <s v="Pedido de planta - Sellos mecanicos"/>
    <s v="Total"/>
    <x v="1"/>
    <x v="0"/>
    <x v="1"/>
    <x v="0"/>
    <n v="193671.44"/>
    <n v="193671.44"/>
    <n v="124.14835897435897"/>
    <m/>
    <d v="2026-05-10T00:00:00"/>
    <n v="20"/>
    <x v="127"/>
    <x v="0"/>
  </r>
  <r>
    <x v="64"/>
    <x v="47"/>
    <s v="Sello mecanico "/>
    <s v="Total"/>
    <x v="1"/>
    <x v="0"/>
    <x v="1"/>
    <x v="0"/>
    <n v="1090924.3999999999"/>
    <n v="1090924.3999999999"/>
    <n v="699.31051282051271"/>
    <m/>
    <d v="2026-06-26T00:00:00"/>
    <n v="26"/>
    <x v="128"/>
    <x v="0"/>
  </r>
  <r>
    <x v="64"/>
    <x v="47"/>
    <s v="Sello mecanico "/>
    <s v="Total"/>
    <x v="1"/>
    <x v="0"/>
    <x v="1"/>
    <x v="0"/>
    <n v="13779.52"/>
    <n v="13779.52"/>
    <n v="8.8330256410256407"/>
    <s v="Retenciones"/>
    <m/>
    <s v="22"/>
    <x v="128"/>
    <x v="0"/>
  </r>
  <r>
    <x v="64"/>
    <x v="47"/>
    <s v="Sello mecanico "/>
    <s v="Total"/>
    <x v="1"/>
    <x v="0"/>
    <x v="1"/>
    <x v="0"/>
    <n v="911421.87"/>
    <n v="911421.87"/>
    <n v="584.24478846153841"/>
    <m/>
    <d v="2026-06-26T00:00:00"/>
    <n v="26"/>
    <x v="129"/>
    <x v="0"/>
  </r>
  <r>
    <x v="64"/>
    <x v="47"/>
    <s v="Sello mecanico "/>
    <s v="Total"/>
    <x v="1"/>
    <x v="0"/>
    <x v="1"/>
    <x v="0"/>
    <n v="15317.97"/>
    <n v="15317.97"/>
    <n v="9.8192115384615377"/>
    <s v="Retenciones"/>
    <m/>
    <s v="22"/>
    <x v="129"/>
    <x v="0"/>
  </r>
  <r>
    <x v="35"/>
    <x v="47"/>
    <s v="Reposición de chueque sin fondos"/>
    <s v="Total"/>
    <x v="1"/>
    <x v="0"/>
    <x v="0"/>
    <x v="0"/>
    <n v="2002346.27"/>
    <n v="2002346.27"/>
    <n v="1283.5553012820512"/>
    <m/>
    <m/>
    <s v="27"/>
    <x v="130"/>
    <x v="0"/>
  </r>
  <r>
    <x v="11"/>
    <x v="47"/>
    <s v="Pago gastos"/>
    <s v="Total"/>
    <x v="0"/>
    <x v="0"/>
    <x v="0"/>
    <x v="0"/>
    <n v="8703.15"/>
    <n v="8703.15"/>
    <n v="5.5789423076923077"/>
    <m/>
    <m/>
    <s v="37"/>
    <x v="131"/>
    <x v="0"/>
  </r>
  <r>
    <x v="9"/>
    <x v="48"/>
    <s v="Manguera COE"/>
    <s v="Total"/>
    <x v="1"/>
    <x v="0"/>
    <x v="1"/>
    <x v="0"/>
    <n v="217800"/>
    <n v="217800"/>
    <n v="139.61538461538461"/>
    <m/>
    <d v="2026-02-27T00:00:00"/>
    <n v="9"/>
    <x v="132"/>
    <x v="0"/>
  </r>
  <r>
    <x v="41"/>
    <x v="48"/>
    <s v="Cajas de oring Milimetricos y pulgadas"/>
    <s v="Total"/>
    <x v="1"/>
    <x v="0"/>
    <x v="1"/>
    <x v="0"/>
    <n v="211750"/>
    <n v="211750"/>
    <n v="135.73717948717947"/>
    <m/>
    <m/>
    <s v="08"/>
    <x v="133"/>
    <x v="0"/>
  </r>
  <r>
    <x v="32"/>
    <x v="48"/>
    <s v="Goma 10mm con tela - COE"/>
    <s v="Total"/>
    <x v="1"/>
    <x v="0"/>
    <x v="1"/>
    <x v="0"/>
    <n v="479955"/>
    <n v="479955"/>
    <n v="307.66346153846155"/>
    <m/>
    <d v="2026-03-27T00:00:00"/>
    <n v="13"/>
    <x v="134"/>
    <x v="0"/>
  </r>
  <r>
    <x v="64"/>
    <x v="48"/>
    <s v="Ruedas carro / retenes"/>
    <s v="Total"/>
    <x v="1"/>
    <x v="0"/>
    <x v="1"/>
    <x v="0"/>
    <n v="517370"/>
    <n v="517370"/>
    <n v="331.64743589743591"/>
    <m/>
    <d v="2026-06-28T00:00:00"/>
    <n v="27"/>
    <x v="135"/>
    <x v="0"/>
  </r>
  <r>
    <x v="64"/>
    <x v="48"/>
    <s v="Ruedas carro / retenes"/>
    <s v="Total"/>
    <x v="1"/>
    <x v="0"/>
    <x v="1"/>
    <x v="0"/>
    <n v="4140"/>
    <n v="4140"/>
    <n v="2.6538461538461537"/>
    <s v="Retenciones"/>
    <m/>
    <s v="22"/>
    <x v="135"/>
    <x v="0"/>
  </r>
  <r>
    <x v="22"/>
    <x v="48"/>
    <s v="Rudas Carro bodega"/>
    <s v="Total"/>
    <x v="1"/>
    <x v="0"/>
    <x v="1"/>
    <x v="0"/>
    <n v="470960"/>
    <n v="470960"/>
    <n v="301.89743589743591"/>
    <m/>
    <d v="2026-07-05T00:00:00"/>
    <n v="28"/>
    <x v="136"/>
    <x v="0"/>
  </r>
  <r>
    <x v="22"/>
    <x v="48"/>
    <s v="Rudas Carro bodega"/>
    <s v="Total"/>
    <x v="1"/>
    <x v="0"/>
    <x v="1"/>
    <x v="0"/>
    <n v="3360"/>
    <n v="3360"/>
    <n v="2.1538461538461537"/>
    <s v="Retenciones"/>
    <m/>
    <s v="23"/>
    <x v="136"/>
    <x v="0"/>
  </r>
  <r>
    <x v="35"/>
    <x v="48"/>
    <s v="Reposición de chueque sin fondos"/>
    <s v="Total"/>
    <x v="1"/>
    <x v="0"/>
    <x v="0"/>
    <x v="0"/>
    <n v="529954"/>
    <n v="529954"/>
    <n v="339.71410256410257"/>
    <m/>
    <m/>
    <s v="27"/>
    <x v="137"/>
    <x v="0"/>
  </r>
  <r>
    <x v="46"/>
    <x v="48"/>
    <s v="Planchas de goma 3 y 5mm - cortinas "/>
    <s v="Total"/>
    <x v="0"/>
    <x v="0"/>
    <x v="1"/>
    <x v="0"/>
    <n v="1432171.27"/>
    <n v="1432171.27"/>
    <n v="918.05850641025643"/>
    <m/>
    <d v="2026-11-05T00:00:00"/>
    <n v="45"/>
    <x v="138"/>
    <x v="0"/>
  </r>
  <r>
    <x v="46"/>
    <x v="48"/>
    <s v="Planchas de goma 3 y 5mm - cortinas "/>
    <s v="Total"/>
    <x v="0"/>
    <x v="0"/>
    <x v="1"/>
    <x v="0"/>
    <n v="190708.73"/>
    <n v="190708.73"/>
    <n v="122.24918589743591"/>
    <m/>
    <d v="2026-11-09T00:00:00"/>
    <n v="46"/>
    <x v="138"/>
    <x v="0"/>
  </r>
  <r>
    <x v="46"/>
    <x v="48"/>
    <s v="Planchas de goma 3 y 5mm - cortinas "/>
    <s v="Total"/>
    <x v="0"/>
    <x v="0"/>
    <x v="1"/>
    <x v="0"/>
    <n v="22720"/>
    <n v="22720"/>
    <n v="14.564102564102564"/>
    <s v="Retenciones"/>
    <m/>
    <s v="42"/>
    <x v="138"/>
    <x v="0"/>
  </r>
  <r>
    <x v="65"/>
    <x v="49"/>
    <s v="Inserctocutores - tampa roedores - Planta de aceite"/>
    <s v="Total"/>
    <x v="3"/>
    <x v="0"/>
    <x v="1"/>
    <x v="0"/>
    <n v="1599870"/>
    <n v="1599870"/>
    <n v="1025.5576923076924"/>
    <m/>
    <d v="2026-04-09T00:00:00"/>
    <n v="15"/>
    <x v="139"/>
    <x v="0"/>
  </r>
  <r>
    <x v="65"/>
    <x v="49"/>
    <s v="Inserctocutores - tampa roedores - Planta de aceite"/>
    <s v="Total"/>
    <x v="3"/>
    <x v="0"/>
    <x v="2"/>
    <x v="0"/>
    <n v="25100.73"/>
    <n v="25100.73"/>
    <n v="16.090211538461539"/>
    <s v="Retenciones"/>
    <m/>
    <s v="13"/>
    <x v="139"/>
    <x v="0"/>
  </r>
  <r>
    <x v="34"/>
    <x v="49"/>
    <s v="Servicio de fumigación "/>
    <s v="Total"/>
    <x v="3"/>
    <x v="0"/>
    <x v="1"/>
    <x v="0"/>
    <n v="233419.4"/>
    <n v="233419.4"/>
    <n v="149.62782051282051"/>
    <m/>
    <d v="2026-06-02T00:00:00"/>
    <n v="23"/>
    <x v="140"/>
    <x v="0"/>
  </r>
  <r>
    <x v="34"/>
    <x v="49"/>
    <s v="Servicio de fumigación "/>
    <s v="Total"/>
    <x v="3"/>
    <x v="0"/>
    <x v="1"/>
    <x v="0"/>
    <n v="787200"/>
    <n v="787200"/>
    <n v="504.61538461538464"/>
    <m/>
    <d v="2026-06-27T00:00:00"/>
    <n v="26"/>
    <x v="140"/>
    <x v="0"/>
  </r>
  <r>
    <x v="34"/>
    <x v="49"/>
    <s v="Servicio de fumigación "/>
    <s v="Total"/>
    <x v="3"/>
    <x v="0"/>
    <x v="1"/>
    <x v="0"/>
    <n v="15516.1"/>
    <n v="15516.1"/>
    <n v="9.9462179487179494"/>
    <s v="Retenciones"/>
    <m/>
    <s v="21"/>
    <x v="140"/>
    <x v="0"/>
  </r>
  <r>
    <x v="12"/>
    <x v="49"/>
    <s v="Servicio de fumigación "/>
    <s v="Total"/>
    <x v="3"/>
    <x v="0"/>
    <x v="0"/>
    <x v="0"/>
    <n v="1242115.3999999999"/>
    <n v="1242115.3999999999"/>
    <n v="796.22782051282047"/>
    <m/>
    <m/>
    <s v="33"/>
    <x v="141"/>
    <x v="0"/>
  </r>
  <r>
    <x v="22"/>
    <x v="50"/>
    <s v="Servicio de desinfeccion"/>
    <s v="Total"/>
    <x v="3"/>
    <x v="0"/>
    <x v="0"/>
    <x v="0"/>
    <n v="659628.05000000005"/>
    <n v="659628.05000000005"/>
    <n v="422.83849358974362"/>
    <m/>
    <m/>
    <s v="23"/>
    <x v="142"/>
    <x v="0"/>
  </r>
  <r>
    <x v="22"/>
    <x v="50"/>
    <s v="Servicio de desinfeccion"/>
    <s v="Total"/>
    <x v="3"/>
    <x v="0"/>
    <x v="1"/>
    <x v="0"/>
    <n v="659628.06000000006"/>
    <n v="659628.06000000006"/>
    <n v="422.83850000000001"/>
    <m/>
    <d v="2026-07-01T00:00:00"/>
    <n v="27"/>
    <x v="142"/>
    <x v="0"/>
  </r>
  <r>
    <x v="22"/>
    <x v="50"/>
    <s v="Servicio de desinfeccion"/>
    <s v="Total"/>
    <x v="3"/>
    <x v="0"/>
    <x v="1"/>
    <x v="0"/>
    <n v="20806.39"/>
    <n v="20806.39"/>
    <n v="13.337429487179486"/>
    <s v="Retenciones"/>
    <m/>
    <s v="23"/>
    <x v="142"/>
    <x v="0"/>
  </r>
  <r>
    <x v="66"/>
    <x v="50"/>
    <s v="Servicios de fumigación"/>
    <s v="Total"/>
    <x v="3"/>
    <x v="0"/>
    <x v="1"/>
    <x v="0"/>
    <n v="718089.3"/>
    <n v="718089.3"/>
    <n v="460.3136538461539"/>
    <m/>
    <d v="2026-09-18T00:00:00"/>
    <n v="38"/>
    <x v="143"/>
    <x v="0"/>
  </r>
  <r>
    <x v="66"/>
    <x v="50"/>
    <s v="Servicios de fumigación"/>
    <s v="Total"/>
    <x v="3"/>
    <x v="0"/>
    <x v="1"/>
    <x v="0"/>
    <n v="12147.56"/>
    <n v="12147.56"/>
    <n v="7.7868974358974352"/>
    <s v="Retenciones"/>
    <m/>
    <s v="34"/>
    <x v="143"/>
    <x v="0"/>
  </r>
  <r>
    <x v="11"/>
    <x v="50"/>
    <s v="Servicio de desinfeccion "/>
    <s v="Total"/>
    <x v="0"/>
    <x v="0"/>
    <x v="1"/>
    <x v="0"/>
    <n v="2296079.9"/>
    <n v="2296079.9"/>
    <n v="1471.8460897435896"/>
    <m/>
    <d v="2026-10-09T00:00:00"/>
    <n v="41"/>
    <x v="144"/>
    <x v="0"/>
  </r>
  <r>
    <x v="11"/>
    <x v="50"/>
    <s v="Servicio de desinfeccion "/>
    <s v="Total"/>
    <x v="0"/>
    <x v="0"/>
    <x v="1"/>
    <x v="0"/>
    <n v="37223.599999999999"/>
    <n v="37223.599999999999"/>
    <n v="23.86128205128205"/>
    <s v="Retenciones"/>
    <m/>
    <s v="37"/>
    <x v="144"/>
    <x v="0"/>
  </r>
  <r>
    <x v="40"/>
    <x v="50"/>
    <s v="Trampas de monitoreo"/>
    <s v="Total"/>
    <x v="1"/>
    <x v="0"/>
    <x v="0"/>
    <x v="0"/>
    <n v="52300"/>
    <n v="52300"/>
    <n v="33.525641025641029"/>
    <m/>
    <m/>
    <s v="40"/>
    <x v="145"/>
    <x v="0"/>
  </r>
  <r>
    <x v="40"/>
    <x v="50"/>
    <s v="Trampas de monitoreo"/>
    <s v="Total"/>
    <x v="1"/>
    <x v="0"/>
    <x v="1"/>
    <x v="0"/>
    <n v="150000"/>
    <n v="150000"/>
    <n v="96.15384615384616"/>
    <m/>
    <d v="2026-10-17T00:00:00"/>
    <n v="42"/>
    <x v="145"/>
    <x v="0"/>
  </r>
  <r>
    <x v="40"/>
    <x v="50"/>
    <s v="Trampas de monitoreo"/>
    <s v="Total"/>
    <x v="1"/>
    <x v="0"/>
    <x v="1"/>
    <x v="0"/>
    <n v="3400"/>
    <n v="3400"/>
    <n v="2.1794871794871793"/>
    <m/>
    <m/>
    <s v="40"/>
    <x v="145"/>
    <x v="0"/>
  </r>
  <r>
    <x v="24"/>
    <x v="51"/>
    <s v="Servicio de fumigación "/>
    <s v="Total"/>
    <x v="3"/>
    <x v="0"/>
    <x v="1"/>
    <x v="0"/>
    <n v="933614.7"/>
    <n v="933614.7"/>
    <n v="598.47096153846155"/>
    <m/>
    <d v="2026-04-19T00:00:00"/>
    <n v="17"/>
    <x v="146"/>
    <x v="0"/>
  </r>
  <r>
    <x v="24"/>
    <x v="51"/>
    <s v="Servicio de fumigación "/>
    <s v="Total"/>
    <x v="3"/>
    <x v="0"/>
    <x v="1"/>
    <x v="0"/>
    <n v="933614.7"/>
    <n v="933614.7"/>
    <n v="598.47096153846155"/>
    <m/>
    <d v="2026-04-30T00:00:00"/>
    <n v="18"/>
    <x v="146"/>
    <x v="0"/>
  </r>
  <r>
    <x v="67"/>
    <x v="51"/>
    <s v="Servicio "/>
    <s v="Total"/>
    <x v="3"/>
    <x v="0"/>
    <x v="0"/>
    <x v="0"/>
    <n v="1061412"/>
    <n v="1061412"/>
    <n v="680.39230769230767"/>
    <m/>
    <m/>
    <s v="24"/>
    <x v="147"/>
    <x v="0"/>
  </r>
  <r>
    <x v="26"/>
    <x v="51"/>
    <s v="Servicio "/>
    <s v="Total"/>
    <x v="3"/>
    <x v="0"/>
    <x v="0"/>
    <x v="0"/>
    <n v="1061412"/>
    <n v="1061412"/>
    <n v="680.39230769230767"/>
    <m/>
    <m/>
    <s v="29"/>
    <x v="148"/>
    <x v="0"/>
  </r>
  <r>
    <x v="26"/>
    <x v="51"/>
    <s v="Chapas matafuegos Planta / bodega"/>
    <s v="Total"/>
    <x v="3"/>
    <x v="0"/>
    <x v="0"/>
    <x v="0"/>
    <n v="125840"/>
    <n v="125840"/>
    <n v="80.666666666666671"/>
    <m/>
    <m/>
    <s v="29"/>
    <x v="148"/>
    <x v="0"/>
  </r>
  <r>
    <x v="5"/>
    <x v="51"/>
    <s v="Manejo de plagas integradas"/>
    <s v="Total"/>
    <x v="3"/>
    <x v="0"/>
    <x v="0"/>
    <x v="0"/>
    <n v="1939258.4"/>
    <n v="1939258.4"/>
    <n v="1243.114358974359"/>
    <m/>
    <m/>
    <s v="34"/>
    <x v="149"/>
    <x v="0"/>
  </r>
  <r>
    <x v="18"/>
    <x v="51"/>
    <s v="Manejo de plagas integradas"/>
    <s v="Total"/>
    <x v="3"/>
    <x v="0"/>
    <x v="0"/>
    <x v="0"/>
    <n v="1152404"/>
    <n v="1152404"/>
    <n v="738.72051282051279"/>
    <m/>
    <m/>
    <s v="39"/>
    <x v="34"/>
    <x v="0"/>
  </r>
  <r>
    <x v="30"/>
    <x v="51"/>
    <s v="Manejo de plagas integradas"/>
    <s v="Total"/>
    <x v="3"/>
    <x v="0"/>
    <x v="0"/>
    <x v="0"/>
    <n v="1152404"/>
    <n v="1152404"/>
    <n v="738.72051282051279"/>
    <m/>
    <m/>
    <s v="43"/>
    <x v="150"/>
    <x v="0"/>
  </r>
  <r>
    <x v="7"/>
    <x v="51"/>
    <s v="Manejo de plagas integradas"/>
    <s v="Total"/>
    <x v="3"/>
    <x v="0"/>
    <x v="0"/>
    <x v="0"/>
    <n v="1132319.3999999999"/>
    <n v="1132319.3999999999"/>
    <n v="725.84576923076918"/>
    <m/>
    <m/>
    <s v="46"/>
    <x v="151"/>
    <x v="0"/>
  </r>
  <r>
    <x v="19"/>
    <x v="51"/>
    <s v="Servicio Fumigación"/>
    <s v="Total"/>
    <x v="3"/>
    <x v="0"/>
    <x v="0"/>
    <x v="0"/>
    <n v="1210621.3999999999"/>
    <n v="1210621.3999999999"/>
    <n v="776.03935897435895"/>
    <m/>
    <m/>
    <s v="50"/>
    <x v="152"/>
    <x v="0"/>
  </r>
  <r>
    <x v="13"/>
    <x v="51"/>
    <s v="Servicio de fumigación"/>
    <s v="Total"/>
    <x v="3"/>
    <x v="0"/>
    <x v="0"/>
    <x v="0"/>
    <n v="1197174"/>
    <n v="1197174"/>
    <n v="767.41923076923081"/>
    <m/>
    <m/>
    <s v="07"/>
    <x v="153"/>
    <x v="0"/>
  </r>
  <r>
    <x v="24"/>
    <x v="51"/>
    <s v="Servicio de fumigación "/>
    <s v="Total"/>
    <x v="3"/>
    <x v="0"/>
    <x v="1"/>
    <x v="0"/>
    <n v="31803.87"/>
    <n v="31803.87"/>
    <n v="20.387096153846151"/>
    <s v="Retenciones"/>
    <m/>
    <s v="14"/>
    <x v="146"/>
    <x v="0"/>
  </r>
  <r>
    <x v="16"/>
    <x v="51"/>
    <s v="Servicio de fumigacion"/>
    <s v="Total"/>
    <x v="0"/>
    <x v="0"/>
    <x v="0"/>
    <x v="0"/>
    <n v="1030916.45"/>
    <n v="1030916.45"/>
    <n v="660.84387820512814"/>
    <m/>
    <m/>
    <s v="43"/>
    <x v="154"/>
    <x v="0"/>
  </r>
  <r>
    <x v="16"/>
    <x v="51"/>
    <s v="Servicio de fumigacion"/>
    <s v="Total"/>
    <x v="0"/>
    <x v="0"/>
    <x v="0"/>
    <x v="0"/>
    <n v="17643.55"/>
    <n v="17643.55"/>
    <n v="11.309967948717949"/>
    <s v="Retenciones"/>
    <m/>
    <s v="43"/>
    <x v="154"/>
    <x v="0"/>
  </r>
  <r>
    <x v="54"/>
    <x v="51"/>
    <s v="Servicio "/>
    <s v="Total"/>
    <x v="0"/>
    <x v="0"/>
    <x v="1"/>
    <x v="0"/>
    <n v="75113.759999999995"/>
    <n v="75113.759999999995"/>
    <n v="48.149846153846148"/>
    <m/>
    <m/>
    <s v="41"/>
    <x v="155"/>
    <x v="0"/>
  </r>
  <r>
    <x v="54"/>
    <x v="51"/>
    <s v="Servicio "/>
    <s v="Total"/>
    <x v="0"/>
    <x v="0"/>
    <x v="1"/>
    <x v="0"/>
    <n v="744355.96"/>
    <n v="744355.96"/>
    <n v="477.15125641025639"/>
    <m/>
    <m/>
    <s v="41"/>
    <x v="155"/>
    <x v="0"/>
  </r>
  <r>
    <x v="54"/>
    <x v="51"/>
    <s v="Servicio "/>
    <s v="Total"/>
    <x v="0"/>
    <x v="0"/>
    <x v="1"/>
    <x v="0"/>
    <n v="403736.12"/>
    <n v="403736.12"/>
    <n v="258.8052051282051"/>
    <m/>
    <m/>
    <s v="41"/>
    <x v="155"/>
    <x v="0"/>
  </r>
  <r>
    <x v="54"/>
    <x v="51"/>
    <s v="Servicio "/>
    <s v="Total"/>
    <x v="0"/>
    <x v="0"/>
    <x v="1"/>
    <x v="0"/>
    <n v="18874.88"/>
    <n v="18874.88"/>
    <n v="12.099282051282051"/>
    <s v="Retenciones"/>
    <m/>
    <s v="41"/>
    <x v="155"/>
    <x v="0"/>
  </r>
  <r>
    <x v="24"/>
    <x v="52"/>
    <s v="Reparación frenso Combi Kia"/>
    <s v="Total"/>
    <x v="2"/>
    <x v="0"/>
    <x v="2"/>
    <x v="0"/>
    <n v="600000"/>
    <n v="600000"/>
    <n v="384.61538461538464"/>
    <m/>
    <m/>
    <s v="14"/>
    <x v="156"/>
    <x v="0"/>
  </r>
  <r>
    <x v="65"/>
    <x v="52"/>
    <s v="Reparación frenso Combi Kia"/>
    <s v="Total"/>
    <x v="2"/>
    <x v="0"/>
    <x v="2"/>
    <x v="0"/>
    <n v="500000"/>
    <n v="500000"/>
    <n v="320.5128205128205"/>
    <m/>
    <m/>
    <s v="13"/>
    <x v="157"/>
    <x v="0"/>
  </r>
  <r>
    <x v="44"/>
    <x v="53"/>
    <s v="Repuesto Chevrolet S10 -  Manguera rurbo"/>
    <s v="Total"/>
    <x v="1"/>
    <x v="0"/>
    <x v="0"/>
    <x v="0"/>
    <n v="478310.42"/>
    <n v="478310.42"/>
    <n v="306.60924358974358"/>
    <m/>
    <m/>
    <s v="31"/>
    <x v="158"/>
    <x v="0"/>
  </r>
  <r>
    <x v="44"/>
    <x v="53"/>
    <s v="Repuesto Chevrolet S10 -  Manguera rurbo"/>
    <s v="Total"/>
    <x v="1"/>
    <x v="0"/>
    <x v="0"/>
    <x v="0"/>
    <n v="5190.01"/>
    <n v="5190.01"/>
    <n v="3.3269294871794872"/>
    <s v="Retenciones"/>
    <m/>
    <s v="31"/>
    <x v="158"/>
    <x v="0"/>
  </r>
  <r>
    <x v="8"/>
    <x v="54"/>
    <s v="Pedido EPP - Planta - Campo"/>
    <s v="Total"/>
    <x v="1"/>
    <x v="0"/>
    <x v="1"/>
    <x v="0"/>
    <n v="84948.64"/>
    <n v="84948.64"/>
    <n v="54.454256410256413"/>
    <m/>
    <d v="2025-09-12T00:00:00"/>
    <n v="37"/>
    <x v="159"/>
    <x v="0"/>
  </r>
  <r>
    <x v="52"/>
    <x v="54"/>
    <s v="Pedido Ferreteria septiembre 2025"/>
    <s v="Total"/>
    <x v="1"/>
    <x v="0"/>
    <x v="1"/>
    <x v="0"/>
    <n v="615773.99"/>
    <n v="615773.99"/>
    <n v="394.72691666666668"/>
    <m/>
    <d v="2025-10-16T00:00:00"/>
    <n v="42"/>
    <x v="34"/>
    <x v="0"/>
  </r>
  <r>
    <x v="52"/>
    <x v="54"/>
    <s v="Pedido EPP septiembre 2025"/>
    <s v="Total"/>
    <x v="1"/>
    <x v="0"/>
    <x v="1"/>
    <x v="0"/>
    <n v="615773.99"/>
    <n v="615773.99"/>
    <n v="394.72691666666668"/>
    <m/>
    <d v="2025-10-30T00:00:00"/>
    <n v="44"/>
    <x v="34"/>
    <x v="0"/>
  </r>
  <r>
    <x v="18"/>
    <x v="54"/>
    <s v="Pedido Campo - Mascaras "/>
    <s v="Total"/>
    <x v="1"/>
    <x v="0"/>
    <x v="1"/>
    <x v="0"/>
    <n v="87291.29"/>
    <n v="87291.29"/>
    <n v="55.955955128205126"/>
    <m/>
    <m/>
    <s v="39"/>
    <x v="0"/>
    <x v="0"/>
  </r>
  <r>
    <x v="18"/>
    <x v="54"/>
    <s v="Pedido Campo - Mascaras "/>
    <s v="Total"/>
    <x v="1"/>
    <x v="0"/>
    <x v="1"/>
    <x v="0"/>
    <n v="358857.3"/>
    <n v="358857.3"/>
    <n v="230.03673076923076"/>
    <m/>
    <m/>
    <s v="39"/>
    <x v="34"/>
    <x v="0"/>
  </r>
  <r>
    <x v="19"/>
    <x v="54"/>
    <s v="Hidrolavadora + Pistola para pintar"/>
    <s v="Total"/>
    <x v="1"/>
    <x v="0"/>
    <x v="1"/>
    <x v="0"/>
    <n v="1517370.81"/>
    <n v="1517370.81"/>
    <n v="972.67359615384623"/>
    <m/>
    <d v="2025-12-19T00:00:00"/>
    <n v="51"/>
    <x v="160"/>
    <x v="0"/>
  </r>
  <r>
    <x v="19"/>
    <x v="54"/>
    <s v="Ventilador Industrial 2 - Pedido Bodega"/>
    <s v="Total"/>
    <x v="1"/>
    <x v="0"/>
    <x v="1"/>
    <x v="0"/>
    <n v="450000"/>
    <n v="450000"/>
    <n v="288.46153846153845"/>
    <m/>
    <d v="2025-12-19T00:00:00"/>
    <n v="51"/>
    <x v="160"/>
    <x v="0"/>
  </r>
  <r>
    <x v="19"/>
    <x v="54"/>
    <s v="Articulos de ferreteria pedido planta "/>
    <s v="Total"/>
    <x v="1"/>
    <x v="0"/>
    <x v="1"/>
    <x v="0"/>
    <n v="414401.89"/>
    <n v="414401.89"/>
    <n v="265.64223717948721"/>
    <m/>
    <d v="2025-12-19T00:00:00"/>
    <n v="51"/>
    <x v="160"/>
    <x v="0"/>
  </r>
  <r>
    <x v="59"/>
    <x v="54"/>
    <s v="EPP / Insumos mantenimiento - Planta Facturas 28179/28178"/>
    <s v="Total"/>
    <x v="1"/>
    <x v="0"/>
    <x v="1"/>
    <x v="0"/>
    <n v="273024.90000000002"/>
    <n v="273024.90000000002"/>
    <n v="175.01596153846154"/>
    <s v="Pagar"/>
    <d v="2026-03-07T00:00:00"/>
    <n v="10"/>
    <x v="161"/>
    <x v="0"/>
  </r>
  <r>
    <x v="30"/>
    <x v="54"/>
    <s v="Pedidos Cava"/>
    <s v="Total"/>
    <x v="1"/>
    <x v="0"/>
    <x v="1"/>
    <x v="0"/>
    <n v="280498.21999999997"/>
    <n v="280498.21999999997"/>
    <n v="179.80655128205126"/>
    <m/>
    <m/>
    <s v="43"/>
    <x v="162"/>
    <x v="0"/>
  </r>
  <r>
    <x v="30"/>
    <x v="54"/>
    <s v="Pedidos EPP - Campo"/>
    <s v="Total"/>
    <x v="1"/>
    <x v="0"/>
    <x v="1"/>
    <x v="0"/>
    <n v="522975.81"/>
    <n v="522975.81"/>
    <n v="335.24090384615386"/>
    <m/>
    <m/>
    <s v="43"/>
    <x v="162"/>
    <x v="0"/>
  </r>
  <r>
    <x v="30"/>
    <x v="54"/>
    <s v="Pedidos EPP - Campo"/>
    <s v="Total"/>
    <x v="1"/>
    <x v="0"/>
    <x v="1"/>
    <x v="0"/>
    <n v="173368"/>
    <n v="173368"/>
    <n v="111.13333333333334"/>
    <m/>
    <m/>
    <s v="43"/>
    <x v="162"/>
    <x v="0"/>
  </r>
  <r>
    <x v="30"/>
    <x v="54"/>
    <s v="Pedidos EPP - Limpiesa / planta / campo / bodega"/>
    <s v="Total"/>
    <x v="1"/>
    <x v="0"/>
    <x v="1"/>
    <x v="0"/>
    <n v="138229.96"/>
    <n v="138229.96"/>
    <n v="88.608948717948707"/>
    <m/>
    <m/>
    <s v="43"/>
    <x v="162"/>
    <x v="0"/>
  </r>
  <r>
    <x v="30"/>
    <x v="54"/>
    <s v="Pedidos EPP - Limpiesa / planta / campo / bodega"/>
    <s v="Total"/>
    <x v="1"/>
    <x v="0"/>
    <x v="1"/>
    <x v="0"/>
    <n v="421743.13"/>
    <n v="421743.13"/>
    <n v="270.34816025641027"/>
    <m/>
    <m/>
    <s v="43"/>
    <x v="162"/>
    <x v="0"/>
  </r>
  <r>
    <x v="63"/>
    <x v="54"/>
    <s v="Pedidos Cava"/>
    <s v="Total"/>
    <x v="1"/>
    <x v="0"/>
    <x v="1"/>
    <x v="0"/>
    <n v="1142428.78"/>
    <n v="1142428.78"/>
    <n v="732.32614102564105"/>
    <m/>
    <m/>
    <s v="44"/>
    <x v="163"/>
    <x v="0"/>
  </r>
  <r>
    <x v="63"/>
    <x v="54"/>
    <s v="Pedidos Cava"/>
    <s v="Total"/>
    <x v="1"/>
    <x v="0"/>
    <x v="1"/>
    <x v="0"/>
    <n v="204461.25"/>
    <n v="204461.25"/>
    <n v="131.06490384615384"/>
    <m/>
    <m/>
    <s v="44"/>
    <x v="163"/>
    <x v="0"/>
  </r>
  <r>
    <x v="63"/>
    <x v="54"/>
    <s v="Pedidos Cava"/>
    <s v="Total"/>
    <x v="1"/>
    <x v="0"/>
    <x v="1"/>
    <x v="0"/>
    <n v="56826.35"/>
    <n v="56826.35"/>
    <n v="36.427147435897432"/>
    <m/>
    <m/>
    <s v="44"/>
    <x v="163"/>
    <x v="0"/>
  </r>
  <r>
    <x v="49"/>
    <x v="54"/>
    <s v="Pedido Planta / Bodega"/>
    <s v="Total"/>
    <x v="1"/>
    <x v="0"/>
    <x v="1"/>
    <x v="0"/>
    <n v="331676.40999999997"/>
    <n v="331676.40999999997"/>
    <n v="212.61308333333332"/>
    <s v="CH 30días"/>
    <d v="2025-07-18T00:00:00"/>
    <n v="29"/>
    <x v="164"/>
    <x v="0"/>
  </r>
  <r>
    <x v="49"/>
    <x v="54"/>
    <s v="Pedido Campo - Poda "/>
    <s v="Total"/>
    <x v="1"/>
    <x v="0"/>
    <x v="1"/>
    <x v="0"/>
    <n v="377854.75"/>
    <n v="377854.75"/>
    <n v="242.21458333333334"/>
    <s v="CH 30 días"/>
    <d v="2025-07-19T00:00:00"/>
    <n v="29"/>
    <x v="165"/>
    <x v="0"/>
  </r>
  <r>
    <x v="49"/>
    <x v="54"/>
    <s v="Pedido Campo - Poda "/>
    <s v="Total"/>
    <x v="1"/>
    <x v="0"/>
    <x v="1"/>
    <x v="0"/>
    <n v="377854.75"/>
    <n v="377854.75"/>
    <n v="242.21458333333334"/>
    <s v="CH 45 días"/>
    <d v="2025-08-03T00:00:00"/>
    <n v="32"/>
    <x v="165"/>
    <x v="0"/>
  </r>
  <r>
    <x v="68"/>
    <x v="54"/>
    <s v="EPP - Ferreteria  - Pedido Planta/campo/bodega"/>
    <s v="Total"/>
    <x v="1"/>
    <x v="0"/>
    <x v="1"/>
    <x v="0"/>
    <n v="416392.94"/>
    <n v="416392.94"/>
    <n v="266.91855128205128"/>
    <s v="CH 30 días"/>
    <d v="2025-07-21T00:00:00"/>
    <n v="30"/>
    <x v="166"/>
    <x v="0"/>
  </r>
  <r>
    <x v="68"/>
    <x v="54"/>
    <s v="EPP - Ferreteria  - Pedido Planta/campo/bodega"/>
    <s v="Total"/>
    <x v="1"/>
    <x v="0"/>
    <x v="1"/>
    <x v="0"/>
    <n v="416392.93"/>
    <n v="416392.93"/>
    <n v="266.91854487179489"/>
    <s v="CH 45 días"/>
    <d v="2025-07-06T00:00:00"/>
    <n v="28"/>
    <x v="166"/>
    <x v="0"/>
  </r>
  <r>
    <x v="68"/>
    <x v="54"/>
    <s v="EPP - Ferreteria  - Pedido Planta/campo/bodega"/>
    <s v="Total"/>
    <x v="1"/>
    <x v="0"/>
    <x v="1"/>
    <x v="0"/>
    <n v="416392.93"/>
    <n v="416392.93"/>
    <n v="266.91854487179489"/>
    <s v="CH 45 días"/>
    <d v="2025-07-06T00:00:00"/>
    <n v="28"/>
    <x v="166"/>
    <x v="0"/>
  </r>
  <r>
    <x v="67"/>
    <x v="54"/>
    <s v="Pedido planta / "/>
    <s v="Total"/>
    <x v="1"/>
    <x v="0"/>
    <x v="1"/>
    <x v="0"/>
    <n v="260853.33"/>
    <n v="260853.33"/>
    <n v="167.21367307692307"/>
    <s v="CH 30 días"/>
    <d v="2025-07-13T00:00:00"/>
    <n v="29"/>
    <x v="167"/>
    <x v="0"/>
  </r>
  <r>
    <x v="67"/>
    <x v="54"/>
    <s v="Pedido planta / "/>
    <s v="Total"/>
    <x v="1"/>
    <x v="0"/>
    <x v="1"/>
    <x v="0"/>
    <n v="260853.33"/>
    <n v="260853.33"/>
    <n v="167.21367307692307"/>
    <s v="CH 45 días"/>
    <d v="2025-07-30T00:00:00"/>
    <n v="31"/>
    <x v="167"/>
    <x v="0"/>
  </r>
  <r>
    <x v="0"/>
    <x v="54"/>
    <s v="EPP - Ferreteria "/>
    <s v="Parcial"/>
    <x v="1"/>
    <x v="0"/>
    <x v="1"/>
    <x v="0"/>
    <n v="902861.69"/>
    <n v="902861.69"/>
    <n v="578.7574935897436"/>
    <s v="CH 30 días"/>
    <d v="2025-07-03T00:00:00"/>
    <n v="27"/>
    <x v="168"/>
    <x v="0"/>
  </r>
  <r>
    <x v="25"/>
    <x v="54"/>
    <s v="Pedido ferreteria - campo"/>
    <s v="Total"/>
    <x v="1"/>
    <x v="0"/>
    <x v="1"/>
    <x v="0"/>
    <n v="216495.52"/>
    <n v="216495.52"/>
    <n v="138.77917948717948"/>
    <s v="CH 30 días"/>
    <d v="2025-08-05T00:00:00"/>
    <n v="32"/>
    <x v="169"/>
    <x v="0"/>
  </r>
  <r>
    <x v="25"/>
    <x v="54"/>
    <s v="Pedido EPP - Planta - Campo"/>
    <s v="Total"/>
    <x v="1"/>
    <x v="0"/>
    <x v="1"/>
    <x v="0"/>
    <n v="360145.99"/>
    <n v="360145.99"/>
    <n v="230.8628141025641"/>
    <s v="CH 30 días"/>
    <d v="2025-07-30T00:00:00"/>
    <n v="31"/>
    <x v="170"/>
    <x v="0"/>
  </r>
  <r>
    <x v="25"/>
    <x v="54"/>
    <s v="Pedido EPP - Planta - Campo"/>
    <s v="Total"/>
    <x v="1"/>
    <x v="0"/>
    <x v="1"/>
    <x v="0"/>
    <n v="732397.73"/>
    <n v="732397.73"/>
    <n v="469.48572435897432"/>
    <s v="CH 45 días"/>
    <d v="2025-08-14T00:00:00"/>
    <n v="33"/>
    <x v="170"/>
    <x v="0"/>
  </r>
  <r>
    <x v="25"/>
    <x v="54"/>
    <s v="Articulos de limpieza Planta / campo / bodega"/>
    <s v="Total"/>
    <x v="1"/>
    <x v="0"/>
    <x v="1"/>
    <x v="0"/>
    <n v="376526.67"/>
    <n v="376526.67"/>
    <n v="241.36324999999999"/>
    <s v="CH 30 días"/>
    <d v="2025-08-02T00:00:00"/>
    <n v="31"/>
    <x v="171"/>
    <x v="0"/>
  </r>
  <r>
    <x v="25"/>
    <x v="54"/>
    <s v="Articulos de limpieza Planta / campo / bodega"/>
    <s v="Total"/>
    <x v="1"/>
    <x v="0"/>
    <x v="1"/>
    <x v="0"/>
    <n v="376526.68"/>
    <n v="376526.68"/>
    <n v="241.36325641025641"/>
    <s v="CH 45 días"/>
    <d v="2025-08-16T00:00:00"/>
    <n v="33"/>
    <x v="171"/>
    <x v="0"/>
  </r>
  <r>
    <x v="26"/>
    <x v="54"/>
    <s v="Pedido Ferreteria Planta"/>
    <s v="Total"/>
    <x v="1"/>
    <x v="0"/>
    <x v="1"/>
    <x v="0"/>
    <n v="315158.30499999999"/>
    <n v="315158.30499999999"/>
    <n v="202.02455448717947"/>
    <s v="CH 30 días"/>
    <d v="2025-08-14T00:00:00"/>
    <n v="33"/>
    <x v="172"/>
    <x v="0"/>
  </r>
  <r>
    <x v="26"/>
    <x v="54"/>
    <s v="Pedido Ferreteria Planta"/>
    <s v="Total"/>
    <x v="1"/>
    <x v="0"/>
    <x v="1"/>
    <x v="0"/>
    <n v="315158.30499999999"/>
    <n v="315158.30499999999"/>
    <n v="202.02455448717947"/>
    <s v="CH 45 días"/>
    <d v="2025-08-30T00:00:00"/>
    <n v="35"/>
    <x v="172"/>
    <x v="0"/>
  </r>
  <r>
    <x v="69"/>
    <x v="54"/>
    <s v="Pedido EPP planta / campo"/>
    <s v="Total"/>
    <x v="1"/>
    <x v="0"/>
    <x v="1"/>
    <x v="0"/>
    <n v="328422.77"/>
    <n v="328422.77"/>
    <n v="210.52741666666668"/>
    <m/>
    <d v="2025-08-30T00:00:00"/>
    <n v="35"/>
    <x v="173"/>
    <x v="0"/>
  </r>
  <r>
    <x v="27"/>
    <x v="54"/>
    <s v="Pedido EPP / Ferreteria - Planta - bodega - campo"/>
    <s v="Total"/>
    <x v="1"/>
    <x v="0"/>
    <x v="1"/>
    <x v="0"/>
    <n v="318428.82"/>
    <n v="318428.82"/>
    <n v="204.12103846153846"/>
    <m/>
    <d v="2025-09-26T00:00:00"/>
    <n v="39"/>
    <x v="174"/>
    <x v="0"/>
  </r>
  <r>
    <x v="70"/>
    <x v="54"/>
    <s v="Pedido limpieza planta / campo"/>
    <s v="Total"/>
    <x v="1"/>
    <x v="0"/>
    <x v="1"/>
    <x v="0"/>
    <n v="406313.31"/>
    <n v="406313.31"/>
    <n v="260.45724999999999"/>
    <m/>
    <d v="2025-10-10T00:00:00"/>
    <n v="41"/>
    <x v="0"/>
    <x v="0"/>
  </r>
  <r>
    <x v="9"/>
    <x v="54"/>
    <s v="EPP / Insumos mantenimiento - Planta Facturas 28046/28048/28045"/>
    <s v="Total"/>
    <x v="1"/>
    <x v="0"/>
    <x v="1"/>
    <x v="0"/>
    <n v="388676.83999999997"/>
    <n v="388676.83999999997"/>
    <n v="249.15182051282048"/>
    <m/>
    <d v="2026-02-22T00:00:00"/>
    <n v="9"/>
    <x v="175"/>
    <x v="0"/>
  </r>
  <r>
    <x v="32"/>
    <x v="54"/>
    <s v="Pedidlo epp / ferreteria / limpieza - bodega - Campo - Planta"/>
    <s v="Total"/>
    <x v="1"/>
    <x v="0"/>
    <x v="1"/>
    <x v="0"/>
    <n v="221809.01"/>
    <n v="221809.01"/>
    <n v="142.18526282051283"/>
    <m/>
    <d v="2026-03-14T00:00:00"/>
    <n v="11"/>
    <x v="176"/>
    <x v="0"/>
  </r>
  <r>
    <x v="56"/>
    <x v="54"/>
    <s v="Ventiladores tipo industrial - Pedid planta"/>
    <s v="Total"/>
    <x v="1"/>
    <x v="0"/>
    <x v="1"/>
    <x v="0"/>
    <n v="1631000"/>
    <n v="1631000"/>
    <n v="1045.5128205128206"/>
    <m/>
    <m/>
    <s v="11"/>
    <x v="177"/>
    <x v="0"/>
  </r>
  <r>
    <x v="65"/>
    <x v="54"/>
    <s v="Unipeg NU40 - Cava"/>
    <s v="Total"/>
    <x v="1"/>
    <x v="0"/>
    <x v="0"/>
    <x v="0"/>
    <n v="1047191.48"/>
    <n v="1047191.48"/>
    <n v="671.27658974358974"/>
    <m/>
    <d v="2026-04-27T00:00:00"/>
    <n v="18"/>
    <x v="178"/>
    <x v="0"/>
  </r>
  <r>
    <x v="33"/>
    <x v="54"/>
    <s v="Pedido ferreteria - limpieza - planta"/>
    <s v="Total"/>
    <x v="1"/>
    <x v="0"/>
    <x v="1"/>
    <x v="0"/>
    <n v="479487.77"/>
    <n v="479487.77"/>
    <n v="307.36395512820513"/>
    <m/>
    <d v="2026-04-20T00:00:00"/>
    <n v="17"/>
    <x v="179"/>
    <x v="0"/>
  </r>
  <r>
    <x v="33"/>
    <x v="54"/>
    <s v="Pedido ferreteria - limpieza - planta"/>
    <s v="Total"/>
    <x v="1"/>
    <x v="0"/>
    <x v="1"/>
    <x v="0"/>
    <n v="8058.62"/>
    <n v="8058.62"/>
    <n v="5.1657820512820516"/>
    <m/>
    <m/>
    <s v="12"/>
    <x v="179"/>
    <x v="0"/>
  </r>
  <r>
    <x v="65"/>
    <x v="54"/>
    <s v="Unipeg NU40 - Cava"/>
    <s v="Total"/>
    <x v="1"/>
    <x v="0"/>
    <x v="0"/>
    <x v="0"/>
    <n v="17599.86"/>
    <n v="17599.86"/>
    <n v="11.281961538461539"/>
    <s v="Retenciones"/>
    <m/>
    <s v="13"/>
    <x v="178"/>
    <x v="0"/>
  </r>
  <r>
    <x v="23"/>
    <x v="54"/>
    <s v="Pedido mantenimiento - campo"/>
    <s v="Total"/>
    <x v="1"/>
    <x v="0"/>
    <x v="1"/>
    <x v="0"/>
    <n v="748217.39"/>
    <n v="748217.39"/>
    <n v="479.62653205128208"/>
    <m/>
    <m/>
    <s v="18"/>
    <x v="180"/>
    <x v="0"/>
  </r>
  <r>
    <x v="64"/>
    <x v="54"/>
    <s v="Pedido ferreteria planta"/>
    <s v="Total"/>
    <x v="1"/>
    <x v="0"/>
    <x v="1"/>
    <x v="0"/>
    <n v="365468.31"/>
    <n v="365468.31"/>
    <n v="234.2745576923077"/>
    <m/>
    <d v="2026-06-26T00:00:00"/>
    <n v="26"/>
    <x v="181"/>
    <x v="0"/>
  </r>
  <r>
    <x v="64"/>
    <x v="54"/>
    <s v="Pedido ferreteria planta"/>
    <s v="Total"/>
    <x v="1"/>
    <x v="0"/>
    <x v="1"/>
    <x v="0"/>
    <n v="3142.32"/>
    <n v="3142.32"/>
    <n v="2.0143076923076926"/>
    <s v="Retenciones"/>
    <m/>
    <s v="22"/>
    <x v="181"/>
    <x v="0"/>
  </r>
  <r>
    <x v="42"/>
    <x v="54"/>
    <s v="Pedidos Planta"/>
    <s v="Total"/>
    <x v="1"/>
    <x v="0"/>
    <x v="1"/>
    <x v="0"/>
    <n v="263570.95"/>
    <n v="263570.95"/>
    <n v="168.95573717948719"/>
    <m/>
    <d v="2026-07-09T00:00:00"/>
    <n v="28"/>
    <x v="182"/>
    <x v="0"/>
  </r>
  <r>
    <x v="42"/>
    <x v="54"/>
    <s v="Pedidos Planta"/>
    <s v="Total"/>
    <x v="1"/>
    <x v="0"/>
    <x v="1"/>
    <x v="0"/>
    <n v="4429.7700000000004"/>
    <n v="4429.7700000000004"/>
    <n v="2.8395961538461543"/>
    <s v="Retenciones"/>
    <m/>
    <s v="24"/>
    <x v="182"/>
    <x v="0"/>
  </r>
  <r>
    <x v="45"/>
    <x v="54"/>
    <s v="Pedido planta - "/>
    <s v="Total"/>
    <x v="1"/>
    <x v="0"/>
    <x v="1"/>
    <x v="0"/>
    <n v="102496.76"/>
    <n v="102496.76"/>
    <n v="65.703051282051277"/>
    <m/>
    <d v="2026-07-16T00:00:00"/>
    <n v="29"/>
    <x v="183"/>
    <x v="0"/>
  </r>
  <r>
    <x v="45"/>
    <x v="54"/>
    <s v="Pedido planta - "/>
    <s v="Total"/>
    <x v="1"/>
    <x v="0"/>
    <x v="1"/>
    <x v="0"/>
    <n v="79031.45"/>
    <n v="79031.45"/>
    <n v="50.661185897435892"/>
    <m/>
    <d v="2026-07-19T00:00:00"/>
    <n v="30"/>
    <x v="184"/>
    <x v="0"/>
  </r>
  <r>
    <x v="35"/>
    <x v="54"/>
    <s v="Pedido planta - Insumos taller"/>
    <s v="Total"/>
    <x v="1"/>
    <x v="0"/>
    <x v="1"/>
    <x v="0"/>
    <n v="877699.16"/>
    <n v="877699.16"/>
    <n v="562.62766666666664"/>
    <m/>
    <d v="2026-08-02T00:00:00"/>
    <n v="32"/>
    <x v="185"/>
    <x v="0"/>
  </r>
  <r>
    <x v="35"/>
    <x v="54"/>
    <s v="Pedidos Planta / campo"/>
    <s v="Total"/>
    <x v="1"/>
    <x v="0"/>
    <x v="1"/>
    <x v="0"/>
    <n v="17653.12"/>
    <n v="17653.12"/>
    <n v="11.316102564102563"/>
    <s v="Retenciones"/>
    <m/>
    <s v="27"/>
    <x v="185"/>
    <x v="0"/>
  </r>
  <r>
    <x v="35"/>
    <x v="54"/>
    <s v="Reposición de chueque sin fondos"/>
    <s v="Total"/>
    <x v="1"/>
    <x v="0"/>
    <x v="0"/>
    <x v="0"/>
    <n v="365468.31"/>
    <n v="365468.31"/>
    <n v="234.2745576923077"/>
    <m/>
    <m/>
    <s v="27"/>
    <x v="186"/>
    <x v="0"/>
  </r>
  <r>
    <x v="47"/>
    <x v="54"/>
    <s v="Pedidos Bodega/cava - Planta"/>
    <s v="Total"/>
    <x v="1"/>
    <x v="0"/>
    <x v="1"/>
    <x v="0"/>
    <n v="469797.79"/>
    <n v="469797.79"/>
    <n v="301.15242948717946"/>
    <m/>
    <d v="2026-06-15T00:00:00"/>
    <n v="25"/>
    <x v="187"/>
    <x v="0"/>
  </r>
  <r>
    <x v="47"/>
    <x v="54"/>
    <s v="Pedidos Bodega/cava - Planta"/>
    <s v="Total"/>
    <x v="1"/>
    <x v="0"/>
    <x v="1"/>
    <x v="0"/>
    <n v="3340.47"/>
    <n v="3340.47"/>
    <n v="2.1413269230769227"/>
    <s v="Retenciones"/>
    <m/>
    <s v="20"/>
    <x v="187"/>
    <x v="0"/>
  </r>
  <r>
    <x v="58"/>
    <x v="54"/>
    <s v="Pedidos EPP - Ferreteria"/>
    <s v="Total"/>
    <x v="1"/>
    <x v="0"/>
    <x v="1"/>
    <x v="0"/>
    <n v="958175.99"/>
    <n v="958175.99"/>
    <n v="614.21537820512822"/>
    <m/>
    <d v="2026-08-22T00:00:00"/>
    <n v="34"/>
    <x v="188"/>
    <x v="0"/>
  </r>
  <r>
    <x v="58"/>
    <x v="54"/>
    <s v="Pedidos EPP - Ferreteria"/>
    <s v="Total"/>
    <x v="1"/>
    <x v="0"/>
    <x v="1"/>
    <x v="0"/>
    <n v="16103.8"/>
    <n v="16103.8"/>
    <n v="10.322948717948718"/>
    <s v="Retenciones"/>
    <m/>
    <s v="30"/>
    <x v="188"/>
    <x v="0"/>
  </r>
  <r>
    <x v="38"/>
    <x v="54"/>
    <s v="Pedidos EPP - Ferreteria"/>
    <s v="Total"/>
    <x v="0"/>
    <x v="0"/>
    <x v="1"/>
    <x v="0"/>
    <n v="911706.48"/>
    <n v="911706.48"/>
    <n v="584.42723076923073"/>
    <m/>
    <d v="2026-08-30T00:00:00"/>
    <n v="36"/>
    <x v="141"/>
    <x v="0"/>
  </r>
  <r>
    <x v="38"/>
    <x v="54"/>
    <s v="Pedidos EPP - Ferreteria"/>
    <s v="Total"/>
    <x v="0"/>
    <x v="0"/>
    <x v="1"/>
    <x v="0"/>
    <n v="16495.68"/>
    <n v="16495.68"/>
    <n v="10.574153846153846"/>
    <s v="Retenciones"/>
    <m/>
    <s v="32"/>
    <x v="141"/>
    <x v="0"/>
  </r>
  <r>
    <x v="12"/>
    <x v="54"/>
    <s v="Pedidos EPP - Ferreteria"/>
    <s v="Total"/>
    <x v="0"/>
    <x v="0"/>
    <x v="1"/>
    <x v="0"/>
    <n v="1905551.85"/>
    <n v="1905551.85"/>
    <n v="1221.5075961538462"/>
    <m/>
    <d v="2026-09-11T00:00:00"/>
    <n v="37"/>
    <x v="189"/>
    <x v="0"/>
  </r>
  <r>
    <x v="12"/>
    <x v="54"/>
    <s v="Pedidos EPP - Ferreteria"/>
    <s v="Total"/>
    <x v="0"/>
    <x v="0"/>
    <x v="1"/>
    <x v="0"/>
    <n v="27016.73"/>
    <n v="27016.73"/>
    <n v="17.318416666666668"/>
    <s v="Retenciones"/>
    <m/>
    <s v="33"/>
    <x v="189"/>
    <x v="0"/>
  </r>
  <r>
    <x v="71"/>
    <x v="54"/>
    <s v="Cheque rechazado"/>
    <s v="Total"/>
    <x v="0"/>
    <x v="0"/>
    <x v="0"/>
    <x v="0"/>
    <n v="877699.16"/>
    <n v="877699.16"/>
    <n v="562.62766666666664"/>
    <m/>
    <m/>
    <s v="36"/>
    <x v="190"/>
    <x v="0"/>
  </r>
  <r>
    <x v="71"/>
    <x v="54"/>
    <s v="Pedidos varios - EPP - limpieza - Planta / campo"/>
    <s v="Total"/>
    <x v="1"/>
    <x v="0"/>
    <x v="1"/>
    <x v="0"/>
    <n v="500000"/>
    <n v="500000"/>
    <n v="320.5128205128205"/>
    <m/>
    <d v="2026-09-16T00:00:00"/>
    <n v="38"/>
    <x v="191"/>
    <x v="0"/>
  </r>
  <r>
    <x v="71"/>
    <x v="54"/>
    <s v="Pedidos varios - EPP - limpieza - Planta / campo"/>
    <s v="Total"/>
    <x v="1"/>
    <x v="0"/>
    <x v="1"/>
    <x v="0"/>
    <n v="200000"/>
    <n v="200000"/>
    <n v="128.2051282051282"/>
    <m/>
    <d v="2026-09-10T00:00:00"/>
    <n v="37"/>
    <x v="191"/>
    <x v="0"/>
  </r>
  <r>
    <x v="71"/>
    <x v="54"/>
    <s v="Pedidos varios - EPP - limpieza - Planta / campo"/>
    <s v="Total"/>
    <x v="1"/>
    <x v="0"/>
    <x v="1"/>
    <x v="0"/>
    <n v="14000"/>
    <n v="14000"/>
    <n v="8.9743589743589745"/>
    <s v="Retenciones"/>
    <m/>
    <s v="36"/>
    <x v="191"/>
    <x v="0"/>
  </r>
  <r>
    <x v="71"/>
    <x v="54"/>
    <s v="Chieque rechazado N845"/>
    <s v="Total"/>
    <x v="1"/>
    <x v="0"/>
    <x v="1"/>
    <x v="0"/>
    <n v="911706.48"/>
    <n v="911706.48"/>
    <n v="584.42723076923073"/>
    <m/>
    <m/>
    <s v="36"/>
    <x v="192"/>
    <x v="0"/>
  </r>
  <r>
    <x v="11"/>
    <x v="54"/>
    <s v="Pedido Ferreteria - EPP / Planta - Campo"/>
    <s v="Total"/>
    <x v="1"/>
    <x v="0"/>
    <x v="1"/>
    <x v="0"/>
    <n v="343801.97"/>
    <n v="343801.97"/>
    <n v="220.38587820512819"/>
    <m/>
    <m/>
    <s v="37"/>
    <x v="193"/>
    <x v="0"/>
  </r>
  <r>
    <x v="11"/>
    <x v="54"/>
    <s v="Cheque rechazado 829"/>
    <s v="Total"/>
    <x v="0"/>
    <x v="0"/>
    <x v="0"/>
    <x v="0"/>
    <n v="958175.99"/>
    <n v="958175.99"/>
    <n v="614.21537820512822"/>
    <m/>
    <m/>
    <s v="37"/>
    <x v="194"/>
    <x v="0"/>
  </r>
  <r>
    <x v="72"/>
    <x v="54"/>
    <s v="Cheque rechazado 851 + gastos"/>
    <s v="Total"/>
    <x v="1"/>
    <x v="0"/>
    <x v="0"/>
    <x v="0"/>
    <n v="1901525.12"/>
    <n v="1901525.12"/>
    <n v="1218.9263589743591"/>
    <m/>
    <m/>
    <s v="39"/>
    <x v="195"/>
    <x v="0"/>
  </r>
  <r>
    <x v="46"/>
    <x v="54"/>
    <s v="Pedido planta "/>
    <s v="Total"/>
    <x v="1"/>
    <x v="0"/>
    <x v="0"/>
    <x v="0"/>
    <n v="3655065.62"/>
    <n v="3655065.62"/>
    <n v="2342.9907820512822"/>
    <m/>
    <d v="2026-10-29T00:00:00"/>
    <n v="44"/>
    <x v="196"/>
    <x v="0"/>
  </r>
  <r>
    <x v="46"/>
    <x v="54"/>
    <s v="Pedido planta "/>
    <s v="Total"/>
    <x v="1"/>
    <x v="0"/>
    <x v="1"/>
    <x v="0"/>
    <n v="73101.31"/>
    <n v="73101.31"/>
    <n v="46.859814102564101"/>
    <s v="Retenciones"/>
    <m/>
    <s v="42"/>
    <x v="196"/>
    <x v="0"/>
  </r>
  <r>
    <x v="73"/>
    <x v="55"/>
    <s v="Acido tartarico - bodega"/>
    <s v="Total"/>
    <x v="1"/>
    <x v="0"/>
    <x v="1"/>
    <x v="0"/>
    <n v="1550476.66"/>
    <n v="1550476.66"/>
    <n v="993.89529487179482"/>
    <m/>
    <d v="2026-05-31T00:00:00"/>
    <n v="23"/>
    <x v="197"/>
    <x v="0"/>
  </r>
  <r>
    <x v="73"/>
    <x v="55"/>
    <s v="Acido tartarico - bodega"/>
    <s v="Total"/>
    <x v="1"/>
    <x v="0"/>
    <x v="1"/>
    <x v="0"/>
    <n v="1550476.67"/>
    <n v="1550476.67"/>
    <n v="993.89530128205126"/>
    <m/>
    <d v="2026-04-01T00:00:00"/>
    <n v="14"/>
    <x v="197"/>
    <x v="0"/>
  </r>
  <r>
    <x v="73"/>
    <x v="55"/>
    <s v="Acido tartarico - bodega"/>
    <s v="Total"/>
    <x v="1"/>
    <x v="0"/>
    <x v="1"/>
    <x v="0"/>
    <n v="1550476.67"/>
    <n v="1550476.67"/>
    <n v="993.89530128205126"/>
    <m/>
    <d v="2026-05-01T00:00:00"/>
    <n v="18"/>
    <x v="197"/>
    <x v="0"/>
  </r>
  <r>
    <x v="18"/>
    <x v="56"/>
    <s v="Pedido Planta - Vinagre"/>
    <s v="Total"/>
    <x v="1"/>
    <x v="0"/>
    <x v="1"/>
    <x v="0"/>
    <n v="122766.6"/>
    <n v="122766.6"/>
    <n v="78.696538461538466"/>
    <m/>
    <d v="2025-10-15T00:00:00"/>
    <n v="42"/>
    <x v="0"/>
    <x v="0"/>
  </r>
  <r>
    <x v="19"/>
    <x v="57"/>
    <s v="Cubierta camioneta David 255/65 r18"/>
    <s v="Total"/>
    <x v="2"/>
    <x v="0"/>
    <x v="2"/>
    <x v="0"/>
    <n v="470000"/>
    <n v="470000"/>
    <n v="301.28205128205127"/>
    <m/>
    <m/>
    <s v="50"/>
    <x v="198"/>
    <x v="0"/>
  </r>
  <r>
    <x v="22"/>
    <x v="57"/>
    <s v="Alineado y balanceado"/>
    <s v="Total"/>
    <x v="1"/>
    <x v="0"/>
    <x v="1"/>
    <x v="0"/>
    <n v="120000.01"/>
    <n v="120000.01"/>
    <n v="76.923083333333324"/>
    <m/>
    <d v="2026-06-10T00:00:00"/>
    <n v="24"/>
    <x v="199"/>
    <x v="0"/>
  </r>
  <r>
    <x v="11"/>
    <x v="58"/>
    <s v="Pedido Vinagre - Planta"/>
    <s v="Total"/>
    <x v="1"/>
    <x v="0"/>
    <x v="0"/>
    <x v="0"/>
    <n v="118439.64"/>
    <n v="118439.64"/>
    <n v="75.922846153846152"/>
    <m/>
    <m/>
    <s v="37"/>
    <x v="200"/>
    <x v="0"/>
  </r>
  <r>
    <x v="7"/>
    <x v="59"/>
    <s v="Pedio Planta de aceite (Richetta) - gestiono Jorge"/>
    <s v="Total"/>
    <x v="1"/>
    <x v="1"/>
    <x v="2"/>
    <x v="0"/>
    <n v="13660"/>
    <n v="13660"/>
    <n v="8.7564102564102573"/>
    <m/>
    <m/>
    <s v="46"/>
    <x v="201"/>
    <x v="0"/>
  </r>
  <r>
    <x v="7"/>
    <x v="59"/>
    <s v="Pedio Planta de aceite (Richetta) - gestiono Jorge"/>
    <s v="Total"/>
    <x v="1"/>
    <x v="1"/>
    <x v="1"/>
    <x v="0"/>
    <n v="181300"/>
    <n v="181300"/>
    <n v="116.21794871794872"/>
    <m/>
    <d v="2025-12-13T00:00:00"/>
    <n v="50"/>
    <x v="201"/>
    <x v="0"/>
  </r>
  <r>
    <x v="7"/>
    <x v="59"/>
    <s v="Pedio Planta de aceite (Richetta) - gestiono Jorge"/>
    <s v="Total"/>
    <x v="1"/>
    <x v="1"/>
    <x v="1"/>
    <x v="0"/>
    <n v="1700000"/>
    <n v="1700000"/>
    <n v="1089.7435897435898"/>
    <m/>
    <d v="2025-12-19T00:00:00"/>
    <n v="51"/>
    <x v="201"/>
    <x v="0"/>
  </r>
  <r>
    <x v="7"/>
    <x v="59"/>
    <s v="Pedio Planta de aceite (Richetta) - gestiono Jorge"/>
    <s v="Total"/>
    <x v="1"/>
    <x v="1"/>
    <x v="1"/>
    <x v="0"/>
    <n v="880000"/>
    <n v="880000"/>
    <n v="564.10256410256409"/>
    <m/>
    <d v="2025-12-16T00:00:00"/>
    <n v="51"/>
    <x v="201"/>
    <x v="0"/>
  </r>
  <r>
    <x v="9"/>
    <x v="59"/>
    <s v="Bomba Mouvex F-89 Auxerre "/>
    <s v="Total"/>
    <x v="1"/>
    <x v="1"/>
    <x v="1"/>
    <x v="0"/>
    <n v="5000000"/>
    <n v="5000000"/>
    <n v="3205.1282051282051"/>
    <m/>
    <d v="2026-03-23T00:00:00"/>
    <n v="13"/>
    <x v="202"/>
    <x v="0"/>
  </r>
  <r>
    <x v="9"/>
    <x v="59"/>
    <s v="Bomba Mouvex F-89 Auxerre "/>
    <s v="Total"/>
    <x v="1"/>
    <x v="1"/>
    <x v="1"/>
    <x v="0"/>
    <n v="5000000"/>
    <n v="5000000"/>
    <n v="3205.1282051282051"/>
    <m/>
    <d v="2026-03-30T00:00:00"/>
    <n v="14"/>
    <x v="202"/>
    <x v="0"/>
  </r>
  <r>
    <x v="9"/>
    <x v="59"/>
    <s v="Bomba Mouvex F-89 Auxerre "/>
    <s v="Total"/>
    <x v="1"/>
    <x v="1"/>
    <x v="1"/>
    <x v="0"/>
    <n v="5000000"/>
    <n v="5000000"/>
    <n v="3205.1282051282051"/>
    <m/>
    <d v="2026-03-31T00:00:00"/>
    <n v="14"/>
    <x v="202"/>
    <x v="0"/>
  </r>
  <r>
    <x v="22"/>
    <x v="59"/>
    <s v="Reposición de cheque"/>
    <s v="Total"/>
    <x v="1"/>
    <x v="0"/>
    <x v="0"/>
    <x v="0"/>
    <n v="5000000"/>
    <n v="5000000"/>
    <n v="3205.1282051282051"/>
    <m/>
    <m/>
    <s v="23"/>
    <x v="203"/>
    <x v="0"/>
  </r>
  <r>
    <x v="12"/>
    <x v="59"/>
    <s v="Servicio envasado de aceitunas"/>
    <s v="Total"/>
    <x v="0"/>
    <x v="0"/>
    <x v="1"/>
    <x v="0"/>
    <n v="340150"/>
    <n v="340150"/>
    <n v="218.0448717948718"/>
    <m/>
    <d v="2026-08-05T00:00:00"/>
    <n v="32"/>
    <x v="204"/>
    <x v="0"/>
  </r>
  <r>
    <x v="12"/>
    <x v="59"/>
    <s v="Servicio envasado de aceitunas"/>
    <s v="Total"/>
    <x v="0"/>
    <x v="0"/>
    <x v="1"/>
    <x v="0"/>
    <n v="480914"/>
    <n v="480914"/>
    <n v="308.27820512820512"/>
    <m/>
    <d v="2026-08-21T00:00:00"/>
    <n v="34"/>
    <x v="204"/>
    <x v="0"/>
  </r>
  <r>
    <x v="12"/>
    <x v="59"/>
    <s v="Servicio envasado de aceitunas"/>
    <s v="Total"/>
    <x v="0"/>
    <x v="0"/>
    <x v="1"/>
    <x v="0"/>
    <n v="1080000"/>
    <n v="1080000"/>
    <n v="692.30769230769226"/>
    <m/>
    <d v="2026-09-01T00:00:00"/>
    <n v="36"/>
    <x v="204"/>
    <x v="0"/>
  </r>
  <r>
    <x v="12"/>
    <x v="59"/>
    <s v="Servicio envasado de aceitunas"/>
    <s v="Total"/>
    <x v="2"/>
    <x v="0"/>
    <x v="2"/>
    <x v="0"/>
    <n v="466936"/>
    <n v="466936"/>
    <n v="299.3179487179487"/>
    <m/>
    <m/>
    <s v="33"/>
    <x v="204"/>
    <x v="0"/>
  </r>
  <r>
    <x v="3"/>
    <x v="45"/>
    <s v="Campaña 2025"/>
    <s v="Total"/>
    <x v="7"/>
    <x v="0"/>
    <x v="1"/>
    <x v="1"/>
    <n v="4766"/>
    <n v="7434960"/>
    <n v="4766"/>
    <m/>
    <m/>
    <s v="44"/>
    <x v="0"/>
    <x v="1"/>
  </r>
  <r>
    <x v="13"/>
    <x v="60"/>
    <s v="Cuenta corriente"/>
    <s v="Total"/>
    <x v="6"/>
    <x v="0"/>
    <x v="0"/>
    <x v="0"/>
    <n v="513800"/>
    <n v="513800"/>
    <n v="329.35897435897436"/>
    <m/>
    <m/>
    <s v="07"/>
    <x v="205"/>
    <x v="0"/>
  </r>
  <r>
    <x v="27"/>
    <x v="60"/>
    <s v="Pedido Limpieza - Planta - Bodega - Campo"/>
    <s v="Total"/>
    <x v="1"/>
    <x v="0"/>
    <x v="0"/>
    <x v="0"/>
    <n v="553896.12"/>
    <n v="553896.12"/>
    <n v="355.06161538461538"/>
    <m/>
    <m/>
    <s v="35"/>
    <x v="206"/>
    <x v="0"/>
  </r>
  <r>
    <x v="13"/>
    <x v="60"/>
    <s v="Articulos de librería"/>
    <s v="Total"/>
    <x v="6"/>
    <x v="0"/>
    <x v="0"/>
    <x v="0"/>
    <n v="513800"/>
    <n v="513800"/>
    <n v="329.35897435897436"/>
    <m/>
    <m/>
    <s v="07"/>
    <x v="205"/>
    <x v="0"/>
  </r>
  <r>
    <x v="24"/>
    <x v="60"/>
    <s v="Recibos USARES cod 1823"/>
    <s v="Total"/>
    <x v="6"/>
    <x v="0"/>
    <x v="0"/>
    <x v="0"/>
    <n v="363840.33"/>
    <n v="363840.33"/>
    <n v="233.23098076923077"/>
    <m/>
    <m/>
    <s v="14"/>
    <x v="207"/>
    <x v="0"/>
  </r>
  <r>
    <x v="24"/>
    <x v="60"/>
    <s v="Articulos de librería  "/>
    <s v="Total"/>
    <x v="6"/>
    <x v="0"/>
    <x v="0"/>
    <x v="0"/>
    <n v="1559.67"/>
    <n v="1559.67"/>
    <n v="0.99978846153846157"/>
    <s v="Retenciones"/>
    <m/>
    <s v="14"/>
    <x v="207"/>
    <x v="0"/>
  </r>
  <r>
    <x v="20"/>
    <x v="60"/>
    <s v="Pedido de Librería"/>
    <s v="Total"/>
    <x v="6"/>
    <x v="0"/>
    <x v="0"/>
    <x v="0"/>
    <n v="504127.27"/>
    <n v="504127.27"/>
    <n v="323.15850641025645"/>
    <m/>
    <m/>
    <s v="15"/>
    <x v="20"/>
    <x v="0"/>
  </r>
  <r>
    <x v="20"/>
    <x v="60"/>
    <s v="Pedido de Librería"/>
    <s v="Total"/>
    <x v="6"/>
    <x v="0"/>
    <x v="0"/>
    <x v="0"/>
    <n v="8472.73"/>
    <n v="8472.73"/>
    <n v="5.4312371794871792"/>
    <s v="Retenciones"/>
    <m/>
    <s v="15"/>
    <x v="20"/>
    <x v="0"/>
  </r>
  <r>
    <x v="23"/>
    <x v="60"/>
    <s v="Bolsa de bandas elasticas"/>
    <s v="Total"/>
    <x v="2"/>
    <x v="0"/>
    <x v="2"/>
    <x v="0"/>
    <n v="16500"/>
    <n v="16500"/>
    <n v="10.576923076923077"/>
    <m/>
    <m/>
    <s v="18"/>
    <x v="208"/>
    <x v="0"/>
  </r>
  <r>
    <x v="22"/>
    <x v="60"/>
    <s v="Articulos librería - administración"/>
    <s v="Total"/>
    <x v="6"/>
    <x v="0"/>
    <x v="0"/>
    <x v="0"/>
    <n v="453600"/>
    <n v="453600"/>
    <n v="290.76923076923077"/>
    <m/>
    <m/>
    <s v="23"/>
    <x v="209"/>
    <x v="0"/>
  </r>
  <r>
    <x v="11"/>
    <x v="60"/>
    <s v="Articulos de librería"/>
    <s v="Total"/>
    <x v="0"/>
    <x v="0"/>
    <x v="0"/>
    <x v="0"/>
    <n v="1234920.33"/>
    <n v="1234920.33"/>
    <n v="791.61559615384624"/>
    <m/>
    <m/>
    <s v="37"/>
    <x v="210"/>
    <x v="0"/>
  </r>
  <r>
    <x v="11"/>
    <x v="60"/>
    <s v="Articulos de librería"/>
    <s v="Total"/>
    <x v="0"/>
    <x v="0"/>
    <x v="0"/>
    <x v="0"/>
    <n v="16199.67"/>
    <n v="16199.67"/>
    <n v="10.384403846153846"/>
    <s v="Retenciones"/>
    <m/>
    <s v="37"/>
    <x v="210"/>
    <x v="0"/>
  </r>
  <r>
    <x v="3"/>
    <x v="46"/>
    <s v="Asesoramiento técnico - Campo"/>
    <s v="Total"/>
    <x v="1"/>
    <x v="0"/>
    <x v="0"/>
    <x v="0"/>
    <m/>
    <n v="0"/>
    <n v="0"/>
    <m/>
    <m/>
    <s v="44"/>
    <x v="0"/>
    <x v="1"/>
  </r>
  <r>
    <x v="16"/>
    <x v="60"/>
    <s v="Articulos Libretia"/>
    <s v="Total"/>
    <x v="0"/>
    <x v="0"/>
    <x v="0"/>
    <x v="0"/>
    <n v="547120.98"/>
    <n v="547120.98"/>
    <n v="350.71857692307691"/>
    <m/>
    <m/>
    <s v="43"/>
    <x v="211"/>
    <x v="0"/>
  </r>
  <r>
    <x v="16"/>
    <x v="60"/>
    <s v="Articulos Libretia"/>
    <s v="Total"/>
    <x v="0"/>
    <x v="0"/>
    <x v="0"/>
    <x v="0"/>
    <n v="4640.0200000000004"/>
    <n v="4640.0200000000004"/>
    <n v="2.9743717948717951"/>
    <s v="Retenciones"/>
    <m/>
    <s v="43"/>
    <x v="211"/>
    <x v="0"/>
  </r>
  <r>
    <x v="21"/>
    <x v="61"/>
    <s v="Aridos"/>
    <s v="Total"/>
    <x v="1"/>
    <x v="0"/>
    <x v="1"/>
    <x v="0"/>
    <n v="1191202.6499999999"/>
    <n v="1191202.6499999999"/>
    <n v="763.5914423076922"/>
    <m/>
    <d v="2025-07-29T00:00:00"/>
    <n v="31"/>
    <x v="212"/>
    <x v="0"/>
  </r>
  <r>
    <x v="21"/>
    <x v="61"/>
    <s v="Aridos"/>
    <s v="Total"/>
    <x v="1"/>
    <x v="0"/>
    <x v="1"/>
    <x v="0"/>
    <n v="440000"/>
    <n v="440000"/>
    <n v="282.05128205128204"/>
    <m/>
    <d v="2025-07-25T00:00:00"/>
    <n v="30"/>
    <x v="212"/>
    <x v="0"/>
  </r>
  <r>
    <x v="2"/>
    <x v="61"/>
    <s v="Aridos"/>
    <s v="Total"/>
    <x v="1"/>
    <x v="0"/>
    <x v="1"/>
    <x v="0"/>
    <n v="1600000"/>
    <n v="1600000"/>
    <n v="1025.6410256410256"/>
    <m/>
    <m/>
    <s v="32"/>
    <x v="213"/>
    <x v="0"/>
  </r>
  <r>
    <x v="2"/>
    <x v="61"/>
    <s v="Aridos"/>
    <s v="Total"/>
    <x v="1"/>
    <x v="0"/>
    <x v="1"/>
    <x v="0"/>
    <n v="110128.95"/>
    <n v="110128.95"/>
    <n v="70.595480769230761"/>
    <m/>
    <m/>
    <s v="32"/>
    <x v="213"/>
    <x v="0"/>
  </r>
  <r>
    <x v="27"/>
    <x v="61"/>
    <s v="Provisión de aridos porton de ingreso"/>
    <s v="Total"/>
    <x v="1"/>
    <x v="0"/>
    <x v="1"/>
    <x v="0"/>
    <n v="235000"/>
    <n v="235000"/>
    <n v="150.64102564102564"/>
    <m/>
    <d v="2025-09-14T00:00:00"/>
    <n v="38"/>
    <x v="0"/>
    <x v="0"/>
  </r>
  <r>
    <x v="27"/>
    <x v="61"/>
    <s v="Provisión de aridos porton de ingreso"/>
    <s v="Total"/>
    <x v="1"/>
    <x v="0"/>
    <x v="1"/>
    <x v="0"/>
    <n v="280000"/>
    <n v="280000"/>
    <n v="179.48717948717947"/>
    <m/>
    <d v="2025-09-22T00:00:00"/>
    <n v="39"/>
    <x v="34"/>
    <x v="0"/>
  </r>
  <r>
    <x v="27"/>
    <x v="61"/>
    <s v="Provisión de aridos porton de ingreso"/>
    <s v="Total"/>
    <x v="1"/>
    <x v="0"/>
    <x v="1"/>
    <x v="0"/>
    <n v="635000"/>
    <n v="635000"/>
    <n v="407.05128205128204"/>
    <m/>
    <d v="2025-09-10T00:00:00"/>
    <n v="37"/>
    <x v="0"/>
    <x v="0"/>
  </r>
  <r>
    <x v="18"/>
    <x v="61"/>
    <s v="Aridos (cheque rechazado) "/>
    <s v="Total"/>
    <x v="1"/>
    <x v="0"/>
    <x v="0"/>
    <x v="0"/>
    <n v="1600000"/>
    <n v="1600000"/>
    <n v="1025.6410256410256"/>
    <m/>
    <m/>
    <s v="39"/>
    <x v="34"/>
    <x v="0"/>
  </r>
  <r>
    <x v="41"/>
    <x v="61"/>
    <m/>
    <s v="Total"/>
    <x v="1"/>
    <x v="0"/>
    <x v="1"/>
    <x v="0"/>
    <n v="946036"/>
    <n v="946036"/>
    <n v="606.43333333333328"/>
    <m/>
    <d v="2026-04-05T00:00:00"/>
    <n v="15"/>
    <x v="214"/>
    <x v="0"/>
  </r>
  <r>
    <x v="41"/>
    <x v="61"/>
    <m/>
    <s v="Total"/>
    <x v="1"/>
    <x v="0"/>
    <x v="1"/>
    <x v="0"/>
    <n v="1366328.37"/>
    <n v="1366328.37"/>
    <n v="875.85151923076933"/>
    <m/>
    <d v="2026-03-10T00:00:00"/>
    <n v="11"/>
    <x v="214"/>
    <x v="0"/>
  </r>
  <r>
    <x v="23"/>
    <x v="61"/>
    <s v="100 vueltas de ripio"/>
    <s v="Total"/>
    <x v="0"/>
    <x v="0"/>
    <x v="1"/>
    <x v="0"/>
    <n v="300000"/>
    <n v="300000"/>
    <n v="192.30769230769232"/>
    <m/>
    <d v="2026-05-15T00:00:00"/>
    <n v="20"/>
    <x v="215"/>
    <x v="0"/>
  </r>
  <r>
    <x v="23"/>
    <x v="61"/>
    <s v="100 vueltas de ripio"/>
    <s v="Total"/>
    <x v="0"/>
    <x v="0"/>
    <x v="1"/>
    <x v="0"/>
    <n v="478.68"/>
    <n v="478.68"/>
    <n v="0.30684615384615382"/>
    <s v="Retenciones"/>
    <m/>
    <s v="18"/>
    <x v="215"/>
    <x v="0"/>
  </r>
  <r>
    <x v="22"/>
    <x v="61"/>
    <s v="100 vueltas de ripio"/>
    <s v="Total"/>
    <x v="0"/>
    <x v="0"/>
    <x v="1"/>
    <x v="0"/>
    <n v="200000"/>
    <n v="200000"/>
    <n v="128.2051282051282"/>
    <m/>
    <m/>
    <s v="23"/>
    <x v="216"/>
    <x v="0"/>
  </r>
  <r>
    <x v="36"/>
    <x v="61"/>
    <s v="100 vueltas de ripio"/>
    <s v="Total"/>
    <x v="2"/>
    <x v="0"/>
    <x v="2"/>
    <x v="0"/>
    <n v="426745.29"/>
    <n v="426745.29"/>
    <n v="273.55467307692305"/>
    <m/>
    <m/>
    <s v="28"/>
    <x v="217"/>
    <x v="0"/>
  </r>
  <r>
    <x v="36"/>
    <x v="61"/>
    <s v="100 vueltas de ripio"/>
    <s v="Total"/>
    <x v="2"/>
    <x v="0"/>
    <x v="2"/>
    <x v="0"/>
    <n v="2616.9"/>
    <n v="2616.9"/>
    <n v="1.6775"/>
    <s v="Retenciones"/>
    <m/>
    <s v="28"/>
    <x v="217"/>
    <x v="0"/>
  </r>
  <r>
    <x v="36"/>
    <x v="61"/>
    <s v="100 vueltas de ripio"/>
    <s v="Total"/>
    <x v="2"/>
    <x v="1"/>
    <x v="2"/>
    <x v="0"/>
    <n v="375000"/>
    <n v="375000"/>
    <n v="240.38461538461539"/>
    <m/>
    <m/>
    <s v="28"/>
    <x v="218"/>
    <x v="0"/>
  </r>
  <r>
    <x v="12"/>
    <x v="61"/>
    <s v="Aridos - Finca Lolita"/>
    <s v="Total"/>
    <x v="2"/>
    <x v="1"/>
    <x v="2"/>
    <x v="0"/>
    <n v="220000"/>
    <n v="220000"/>
    <n v="141.02564102564102"/>
    <m/>
    <m/>
    <s v="33"/>
    <x v="219"/>
    <x v="0"/>
  </r>
  <r>
    <x v="27"/>
    <x v="62"/>
    <s v="Pedido RRHH (4 aportes profesionales)"/>
    <s v="Total"/>
    <x v="2"/>
    <x v="0"/>
    <x v="2"/>
    <x v="0"/>
    <n v="120000"/>
    <n v="120000"/>
    <n v="76.92307692307692"/>
    <m/>
    <m/>
    <s v="35"/>
    <x v="0"/>
    <x v="0"/>
  </r>
  <r>
    <x v="35"/>
    <x v="63"/>
    <s v="Diseño e impresión de tarjetas"/>
    <s v="Total"/>
    <x v="1"/>
    <x v="0"/>
    <x v="0"/>
    <x v="0"/>
    <n v="223000"/>
    <n v="223000"/>
    <n v="142.94871794871796"/>
    <m/>
    <m/>
    <s v="27"/>
    <x v="220"/>
    <x v="0"/>
  </r>
  <r>
    <x v="20"/>
    <x v="64"/>
    <s v="Etiquetas de pasta de aceitunas"/>
    <s v="Total"/>
    <x v="1"/>
    <x v="0"/>
    <x v="0"/>
    <x v="0"/>
    <n v="90750"/>
    <n v="90750"/>
    <n v="58.17307692307692"/>
    <m/>
    <m/>
    <s v="15"/>
    <x v="221"/>
    <x v="0"/>
  </r>
  <r>
    <x v="22"/>
    <x v="64"/>
    <s v="Etiquetas pasta de aceituna"/>
    <s v="Total"/>
    <x v="1"/>
    <x v="0"/>
    <x v="0"/>
    <x v="0"/>
    <n v="344063.4"/>
    <n v="344063.4"/>
    <n v="220.55346153846156"/>
    <m/>
    <m/>
    <s v="23"/>
    <x v="222"/>
    <x v="0"/>
  </r>
  <r>
    <x v="22"/>
    <x v="64"/>
    <s v="Etiquetas pasta de aceituna"/>
    <s v="Total"/>
    <x v="1"/>
    <x v="0"/>
    <x v="0"/>
    <x v="0"/>
    <n v="4416.6000000000004"/>
    <n v="4416.6000000000004"/>
    <n v="2.8311538461538466"/>
    <s v="Retenciones"/>
    <m/>
    <s v="23"/>
    <x v="222"/>
    <x v="0"/>
  </r>
  <r>
    <x v="13"/>
    <x v="65"/>
    <s v="Reparación electrica Toyota 3.0"/>
    <s v="Total"/>
    <x v="1"/>
    <x v="0"/>
    <x v="0"/>
    <x v="0"/>
    <n v="159200"/>
    <n v="159200"/>
    <n v="102.05128205128206"/>
    <m/>
    <m/>
    <s v="07"/>
    <x v="223"/>
    <x v="0"/>
  </r>
  <r>
    <x v="32"/>
    <x v="65"/>
    <s v="Reparaciones electricas flota de camionetas"/>
    <s v="Total"/>
    <x v="1"/>
    <x v="0"/>
    <x v="0"/>
    <x v="0"/>
    <n v="349400"/>
    <n v="349400"/>
    <n v="223.97435897435898"/>
    <m/>
    <m/>
    <s v="09"/>
    <x v="224"/>
    <x v="0"/>
  </r>
  <r>
    <x v="56"/>
    <x v="65"/>
    <s v="Reparación motor de arranque - Campo"/>
    <s v="Total"/>
    <x v="1"/>
    <x v="0"/>
    <x v="0"/>
    <x v="0"/>
    <n v="148500"/>
    <n v="148500"/>
    <n v="95.192307692307693"/>
    <m/>
    <m/>
    <s v="11"/>
    <x v="225"/>
    <x v="0"/>
  </r>
  <r>
    <x v="20"/>
    <x v="65"/>
    <s v="Reparacion electrica VW Senda"/>
    <s v="Total"/>
    <x v="1"/>
    <x v="0"/>
    <x v="0"/>
    <x v="0"/>
    <n v="149100"/>
    <n v="149100"/>
    <n v="95.57692307692308"/>
    <m/>
    <m/>
    <s v="15"/>
    <x v="226"/>
    <x v="0"/>
  </r>
  <r>
    <x v="62"/>
    <x v="65"/>
    <s v="Reparación Alternador - Camioneta LH Bateria"/>
    <s v="Total"/>
    <x v="1"/>
    <x v="0"/>
    <x v="1"/>
    <x v="0"/>
    <n v="597562.23"/>
    <n v="597562.23"/>
    <n v="383.05271153846155"/>
    <m/>
    <m/>
    <s v="19"/>
    <x v="227"/>
    <x v="0"/>
  </r>
  <r>
    <x v="62"/>
    <x v="65"/>
    <s v="Reparación Alternador - Camioneta LH Bateria"/>
    <s v="Total"/>
    <x v="1"/>
    <x v="0"/>
    <x v="1"/>
    <x v="0"/>
    <n v="5487.77"/>
    <n v="5487.77"/>
    <n v="3.5178012820512823"/>
    <s v="Retenciones"/>
    <m/>
    <s v="19"/>
    <x v="227"/>
    <x v="0"/>
  </r>
  <r>
    <x v="42"/>
    <x v="65"/>
    <s v="Reparacion camioneta Sose Olmos  + Alternador"/>
    <s v="Total"/>
    <x v="2"/>
    <x v="0"/>
    <x v="1"/>
    <x v="0"/>
    <n v="458548.59"/>
    <n v="458548.59"/>
    <n v="293.94140384615389"/>
    <m/>
    <d v="2026-07-03T00:00:00"/>
    <n v="27"/>
    <x v="228"/>
    <x v="0"/>
  </r>
  <r>
    <x v="42"/>
    <x v="65"/>
    <s v="Reparacion camioneta Sose Olmos  + Alternador"/>
    <s v="Total"/>
    <x v="2"/>
    <x v="0"/>
    <x v="1"/>
    <x v="0"/>
    <n v="3151.41"/>
    <n v="3151.41"/>
    <n v="2.0201346153846154"/>
    <s v="Retenciones"/>
    <m/>
    <s v="24"/>
    <x v="228"/>
    <x v="0"/>
  </r>
  <r>
    <x v="36"/>
    <x v="65"/>
    <s v="Reparación motor de arranque"/>
    <s v="Total"/>
    <x v="1"/>
    <x v="0"/>
    <x v="1"/>
    <x v="0"/>
    <n v="463121.74"/>
    <n v="463121.74"/>
    <n v="296.87291025641025"/>
    <m/>
    <d v="2026-08-01T00:00:00"/>
    <n v="31"/>
    <x v="229"/>
    <x v="0"/>
  </r>
  <r>
    <x v="36"/>
    <x v="65"/>
    <s v="Reparación motor de arranque"/>
    <s v="Total"/>
    <x v="1"/>
    <x v="0"/>
    <x v="1"/>
    <x v="0"/>
    <n v="3228.26"/>
    <n v="3228.26"/>
    <n v="2.0693974358974359"/>
    <s v="Retenciones"/>
    <m/>
    <s v="28"/>
    <x v="229"/>
    <x v="0"/>
  </r>
  <r>
    <x v="12"/>
    <x v="65"/>
    <s v="Reparacion arranque camioneta toyota"/>
    <s v="Total"/>
    <x v="1"/>
    <x v="0"/>
    <x v="1"/>
    <x v="0"/>
    <n v="120000"/>
    <n v="120000"/>
    <n v="76.92307692307692"/>
    <m/>
    <d v="2026-09-26T00:00:00"/>
    <n v="39"/>
    <x v="230"/>
    <x v="0"/>
  </r>
  <r>
    <x v="12"/>
    <x v="65"/>
    <s v="Reparacion arranque camioneta toyota"/>
    <s v="Total"/>
    <x v="1"/>
    <x v="0"/>
    <x v="1"/>
    <x v="0"/>
    <n v="200000"/>
    <n v="200000"/>
    <n v="128.2051282051282"/>
    <m/>
    <d v="2026-07-31T00:00:00"/>
    <n v="31"/>
    <x v="230"/>
    <x v="0"/>
  </r>
  <r>
    <x v="12"/>
    <x v="65"/>
    <s v="Reparacion arranque camioneta toyota"/>
    <s v="Total"/>
    <x v="2"/>
    <x v="0"/>
    <x v="2"/>
    <x v="0"/>
    <n v="13451.06"/>
    <n v="13451.06"/>
    <n v="8.6224743589743582"/>
    <m/>
    <m/>
    <s v="33"/>
    <x v="230"/>
    <x v="0"/>
  </r>
  <r>
    <x v="12"/>
    <x v="65"/>
    <s v="Reparacion arranque camioneta toyota"/>
    <s v="Total"/>
    <x v="1"/>
    <x v="0"/>
    <x v="1"/>
    <x v="0"/>
    <n v="1048.93"/>
    <n v="1048.93"/>
    <n v="0.67239102564102571"/>
    <s v="Retenciones"/>
    <m/>
    <s v="33"/>
    <x v="230"/>
    <x v="0"/>
  </r>
  <r>
    <x v="11"/>
    <x v="65"/>
    <s v="Reposición de cheques rechazados 810"/>
    <s v="Total"/>
    <x v="0"/>
    <x v="0"/>
    <x v="0"/>
    <x v="0"/>
    <n v="463121.74"/>
    <n v="463121.74"/>
    <n v="296.87291025641025"/>
    <m/>
    <m/>
    <s v="37"/>
    <x v="231"/>
    <x v="0"/>
  </r>
  <r>
    <x v="11"/>
    <x v="65"/>
    <s v="Reposición de cheques rechazados 830"/>
    <s v="Total"/>
    <x v="0"/>
    <x v="0"/>
    <x v="0"/>
    <x v="0"/>
    <n v="153000"/>
    <n v="153000"/>
    <n v="98.07692307692308"/>
    <m/>
    <m/>
    <s v="37"/>
    <x v="232"/>
    <x v="0"/>
  </r>
  <r>
    <x v="58"/>
    <x v="65"/>
    <s v="Reparacion de Alternador - los Cerrillos"/>
    <s v="Total"/>
    <x v="1"/>
    <x v="0"/>
    <x v="1"/>
    <x v="0"/>
    <n v="153000"/>
    <n v="153000"/>
    <n v="98.07692307692308"/>
    <m/>
    <m/>
    <s v="30"/>
    <x v="233"/>
    <x v="0"/>
  </r>
  <r>
    <x v="16"/>
    <x v="65"/>
    <s v="Reparación Combi Kia"/>
    <s v="Total"/>
    <x v="1"/>
    <x v="0"/>
    <x v="0"/>
    <x v="0"/>
    <n v="331179.26"/>
    <n v="331179.26"/>
    <n v="212.29439743589745"/>
    <m/>
    <d v="2026-10-20T00:00:00"/>
    <n v="43"/>
    <x v="234"/>
    <x v="0"/>
  </r>
  <r>
    <x v="16"/>
    <x v="65"/>
    <s v="Reparación Combi Kia"/>
    <s v="Total"/>
    <x v="1"/>
    <x v="0"/>
    <x v="0"/>
    <x v="0"/>
    <n v="1010.74"/>
    <n v="1010.74"/>
    <n v="0.64791025641025646"/>
    <m/>
    <m/>
    <s v="43"/>
    <x v="234"/>
    <x v="0"/>
  </r>
  <r>
    <x v="31"/>
    <x v="66"/>
    <s v="Pava elctrica - Planta"/>
    <s v="Total"/>
    <x v="2"/>
    <x v="0"/>
    <x v="2"/>
    <x v="0"/>
    <n v="41399"/>
    <n v="41399"/>
    <n v="26.537820512820513"/>
    <m/>
    <m/>
    <s v="45"/>
    <x v="235"/>
    <x v="0"/>
  </r>
  <r>
    <x v="31"/>
    <x v="66"/>
    <s v="Aire compras"/>
    <s v="Total"/>
    <x v="1"/>
    <x v="0"/>
    <x v="0"/>
    <x v="0"/>
    <n v="594561.66"/>
    <n v="594561.66"/>
    <n v="381.12926923076924"/>
    <m/>
    <m/>
    <s v="45"/>
    <x v="236"/>
    <x v="0"/>
  </r>
  <r>
    <x v="62"/>
    <x v="67"/>
    <s v="Tapas frascos - "/>
    <s v="Total"/>
    <x v="1"/>
    <x v="0"/>
    <x v="1"/>
    <x v="0"/>
    <n v="484260.77"/>
    <n v="484260.77"/>
    <n v="310.4235705128205"/>
    <m/>
    <d v="2026-06-10T00:00:00"/>
    <n v="24"/>
    <x v="237"/>
    <x v="0"/>
  </r>
  <r>
    <x v="62"/>
    <x v="67"/>
    <s v="Tapas frascos - "/>
    <s v="Total"/>
    <x v="1"/>
    <x v="0"/>
    <x v="1"/>
    <x v="0"/>
    <n v="1441190.5"/>
    <n v="1441190.5"/>
    <n v="923.84006410256416"/>
    <m/>
    <d v="2026-06-10T00:00:00"/>
    <n v="24"/>
    <x v="237"/>
    <x v="0"/>
  </r>
  <r>
    <x v="62"/>
    <x v="67"/>
    <s v="Tapas frascos - "/>
    <s v="Total"/>
    <x v="1"/>
    <x v="0"/>
    <x v="1"/>
    <x v="0"/>
    <n v="27345.64"/>
    <n v="27345.64"/>
    <n v="17.529256410256409"/>
    <s v="Retenciones"/>
    <m/>
    <s v="19"/>
    <x v="237"/>
    <x v="0"/>
  </r>
  <r>
    <x v="47"/>
    <x v="67"/>
    <m/>
    <s v="Total"/>
    <x v="1"/>
    <x v="0"/>
    <x v="1"/>
    <x v="0"/>
    <n v="484260.77"/>
    <n v="484260.77"/>
    <n v="310.4235705128205"/>
    <m/>
    <d v="2026-06-10T00:00:00"/>
    <n v="24"/>
    <x v="237"/>
    <x v="0"/>
  </r>
  <r>
    <x v="47"/>
    <x v="67"/>
    <m/>
    <s v="Total"/>
    <x v="1"/>
    <x v="0"/>
    <x v="1"/>
    <x v="0"/>
    <n v="1441191.5"/>
    <n v="1441191.5"/>
    <n v="923.84070512820517"/>
    <m/>
    <d v="2026-06-10T00:00:00"/>
    <n v="24"/>
    <x v="237"/>
    <x v="0"/>
  </r>
  <r>
    <x v="47"/>
    <x v="67"/>
    <m/>
    <s v="Total"/>
    <x v="1"/>
    <x v="0"/>
    <x v="1"/>
    <x v="0"/>
    <n v="27345.64"/>
    <n v="27345.64"/>
    <n v="17.529256410256409"/>
    <s v="Retenciones"/>
    <m/>
    <s v="20"/>
    <x v="237"/>
    <x v="0"/>
  </r>
  <r>
    <x v="35"/>
    <x v="67"/>
    <s v="Reposición de chueque sin fondos"/>
    <s v="Total"/>
    <x v="1"/>
    <x v="0"/>
    <x v="0"/>
    <x v="0"/>
    <n v="1290848.79"/>
    <n v="1290848.79"/>
    <n v="827.46717307692313"/>
    <m/>
    <m/>
    <s v="27"/>
    <x v="238"/>
    <x v="0"/>
  </r>
  <r>
    <x v="12"/>
    <x v="67"/>
    <s v="Pedido de tapas frascos - Ventas"/>
    <s v="Total"/>
    <x v="1"/>
    <x v="0"/>
    <x v="1"/>
    <x v="0"/>
    <n v="6000000"/>
    <n v="6000000"/>
    <n v="3846.1538461538462"/>
    <m/>
    <d v="2026-10-16T00:00:00"/>
    <n v="42"/>
    <x v="239"/>
    <x v="0"/>
  </r>
  <r>
    <x v="12"/>
    <x v="67"/>
    <s v="Pedido de tapas frascos - Ventas"/>
    <s v="Total"/>
    <x v="1"/>
    <x v="0"/>
    <x v="1"/>
    <x v="0"/>
    <n v="6145423.3200000003"/>
    <n v="6145423.3200000003"/>
    <n v="3939.3739230769233"/>
    <m/>
    <d v="2026-10-23T00:00:00"/>
    <n v="43"/>
    <x v="239"/>
    <x v="0"/>
  </r>
  <r>
    <x v="12"/>
    <x v="67"/>
    <s v="Pedido de tapas frascos - Ventas"/>
    <s v="Total"/>
    <x v="1"/>
    <x v="0"/>
    <x v="1"/>
    <x v="0"/>
    <n v="199569.47"/>
    <n v="199569.47"/>
    <n v="127.92914743589743"/>
    <s v="Retenciones"/>
    <m/>
    <s v="33"/>
    <x v="239"/>
    <x v="0"/>
  </r>
  <r>
    <x v="5"/>
    <x v="68"/>
    <s v="Flete Mendoza - Anguinan (1 pallet)"/>
    <s v="Total"/>
    <x v="1"/>
    <x v="0"/>
    <x v="1"/>
    <x v="0"/>
    <n v="157300"/>
    <n v="157300"/>
    <n v="100.83333333333333"/>
    <m/>
    <m/>
    <s v="34"/>
    <x v="240"/>
    <x v="0"/>
  </r>
  <r>
    <x v="4"/>
    <x v="68"/>
    <s v="Flete - retiro carga plastiandino"/>
    <s v="Total"/>
    <x v="0"/>
    <x v="0"/>
    <x v="1"/>
    <x v="0"/>
    <n v="266200"/>
    <n v="266200"/>
    <n v="170.64102564102564"/>
    <m/>
    <m/>
    <s v="51"/>
    <x v="241"/>
    <x v="0"/>
  </r>
  <r>
    <x v="55"/>
    <x v="69"/>
    <s v="Importación Pepinitos - FC - INAL ANMAT"/>
    <s v="Total"/>
    <x v="1"/>
    <x v="0"/>
    <x v="1"/>
    <x v="0"/>
    <n v="4673797.9000000004"/>
    <n v="4673797.9000000004"/>
    <n v="2996.0242948717951"/>
    <s v="CH 15 días"/>
    <m/>
    <s v="19"/>
    <x v="242"/>
    <x v="0"/>
  </r>
  <r>
    <x v="30"/>
    <x v="70"/>
    <s v="Resvicio tecnico preventivo grupo electrogeno + viaticos"/>
    <s v="Total"/>
    <x v="1"/>
    <x v="0"/>
    <x v="0"/>
    <x v="0"/>
    <n v="145200"/>
    <n v="145200"/>
    <n v="93.07692307692308"/>
    <m/>
    <m/>
    <s v="43"/>
    <x v="243"/>
    <x v="0"/>
  </r>
  <r>
    <x v="70"/>
    <x v="71"/>
    <s v="Reparacion y limpieza Radiador  New Holand "/>
    <s v="Total"/>
    <x v="1"/>
    <x v="0"/>
    <x v="0"/>
    <x v="0"/>
    <n v="120000"/>
    <n v="120000"/>
    <n v="76.92307692307692"/>
    <m/>
    <m/>
    <s v="36"/>
    <x v="34"/>
    <x v="0"/>
  </r>
  <r>
    <x v="5"/>
    <x v="71"/>
    <s v="Reparacion radiador Toyota 4x4"/>
    <s v="Total"/>
    <x v="1"/>
    <x v="0"/>
    <x v="0"/>
    <x v="0"/>
    <n v="100000"/>
    <n v="100000"/>
    <n v="64.102564102564102"/>
    <m/>
    <m/>
    <s v="34"/>
    <x v="244"/>
    <x v="0"/>
  </r>
  <r>
    <x v="33"/>
    <x v="71"/>
    <s v="Reparación Radiador tractor Massey Ferguson"/>
    <s v="Total"/>
    <x v="2"/>
    <x v="0"/>
    <x v="2"/>
    <x v="0"/>
    <n v="260000"/>
    <n v="260000"/>
    <n v="166.66666666666666"/>
    <m/>
    <m/>
    <s v="12"/>
    <x v="245"/>
    <x v="0"/>
  </r>
  <r>
    <x v="37"/>
    <x v="71"/>
    <s v="Reparación raiador tractor finca Lolita"/>
    <s v="Total"/>
    <x v="2"/>
    <x v="0"/>
    <x v="2"/>
    <x v="0"/>
    <n v="80000"/>
    <n v="80000"/>
    <n v="51.282051282051285"/>
    <m/>
    <m/>
    <s v="29"/>
    <x v="246"/>
    <x v="0"/>
  </r>
  <r>
    <x v="65"/>
    <x v="72"/>
    <s v="Reparación Bomba Grunfos - Planta"/>
    <s v="Total"/>
    <x v="1"/>
    <x v="0"/>
    <x v="1"/>
    <x v="0"/>
    <n v="1077596.6499999999"/>
    <n v="1077596.6499999999"/>
    <n v="690.76708333333329"/>
    <m/>
    <d v="2026-04-07T00:00:00"/>
    <n v="15"/>
    <x v="247"/>
    <x v="0"/>
  </r>
  <r>
    <x v="65"/>
    <x v="72"/>
    <s v="Reparación Bomba Grunfos - Planta"/>
    <s v="Total"/>
    <x v="1"/>
    <x v="0"/>
    <x v="1"/>
    <x v="0"/>
    <n v="1077596.6499999999"/>
    <n v="1077596.6499999999"/>
    <n v="690.76708333333329"/>
    <m/>
    <d v="2026-04-22T00:00:00"/>
    <n v="17"/>
    <x v="247"/>
    <x v="0"/>
  </r>
  <r>
    <x v="65"/>
    <x v="72"/>
    <s v="Reparación Bomba Grunfos - Planta"/>
    <s v="Total"/>
    <x v="1"/>
    <x v="0"/>
    <x v="1"/>
    <x v="0"/>
    <n v="1077596.6499999999"/>
    <n v="1077596.6499999999"/>
    <n v="690.76708333333329"/>
    <m/>
    <d v="2026-05-01T00:00:00"/>
    <n v="18"/>
    <x v="247"/>
    <x v="0"/>
  </r>
  <r>
    <x v="65"/>
    <x v="72"/>
    <s v="Reparación Bomba Grunfos - Planta"/>
    <s v="Total"/>
    <x v="1"/>
    <x v="0"/>
    <x v="1"/>
    <x v="0"/>
    <n v="49777.31"/>
    <n v="49777.31"/>
    <n v="31.908532051282048"/>
    <s v="Retenciones"/>
    <m/>
    <s v="13"/>
    <x v="247"/>
    <x v="0"/>
  </r>
  <r>
    <x v="28"/>
    <x v="73"/>
    <s v="Estacones 200x$3500"/>
    <s v="Total"/>
    <x v="2"/>
    <x v="1"/>
    <x v="2"/>
    <x v="0"/>
    <n v="700000"/>
    <n v="700000"/>
    <n v="448.71794871794873"/>
    <m/>
    <m/>
    <s v="40"/>
    <x v="248"/>
    <x v="0"/>
  </r>
  <r>
    <x v="10"/>
    <x v="74"/>
    <s v="Pintura sintetica x 60 litros (Marron) pintado de bines"/>
    <s v="Total"/>
    <x v="1"/>
    <x v="1"/>
    <x v="2"/>
    <x v="0"/>
    <n v="480000"/>
    <n v="480000"/>
    <n v="307.69230769230768"/>
    <m/>
    <m/>
    <s v="48"/>
    <x v="249"/>
    <x v="0"/>
  </r>
  <r>
    <x v="15"/>
    <x v="74"/>
    <s v="Pintura sintetica 80 litros"/>
    <s v="Total"/>
    <x v="1"/>
    <x v="1"/>
    <x v="2"/>
    <x v="0"/>
    <n v="680000"/>
    <n v="680000"/>
    <n v="435.89743589743591"/>
    <m/>
    <m/>
    <s v="49"/>
    <x v="250"/>
    <x v="0"/>
  </r>
  <r>
    <x v="74"/>
    <x v="74"/>
    <s v="Bines x 1000 lts - 20 unidades"/>
    <s v="Total"/>
    <x v="1"/>
    <x v="1"/>
    <x v="2"/>
    <x v="0"/>
    <n v="2750000"/>
    <n v="2750000"/>
    <n v="1762.8205128205129"/>
    <m/>
    <m/>
    <s v="03"/>
    <x v="251"/>
    <x v="0"/>
  </r>
  <r>
    <x v="60"/>
    <x v="75"/>
    <s v="Pedido Ferreteria septiembre 2025"/>
    <s v="Total"/>
    <x v="1"/>
    <x v="0"/>
    <x v="1"/>
    <x v="0"/>
    <n v="536598.69999999995"/>
    <n v="536598.69999999995"/>
    <n v="343.97352564102562"/>
    <m/>
    <d v="2025-10-11T00:00:00"/>
    <n v="41"/>
    <x v="34"/>
    <x v="0"/>
  </r>
  <r>
    <x v="35"/>
    <x v="76"/>
    <s v="Capaciotacion manupulación de alimentos"/>
    <s v="Total"/>
    <x v="1"/>
    <x v="0"/>
    <x v="0"/>
    <x v="0"/>
    <n v="180000"/>
    <n v="180000"/>
    <n v="115.38461538461539"/>
    <m/>
    <m/>
    <s v="27"/>
    <x v="252"/>
    <x v="0"/>
  </r>
  <r>
    <x v="53"/>
    <x v="77"/>
    <s v="Encio Cordoba - Chilecito"/>
    <s v="Total"/>
    <x v="2"/>
    <x v="0"/>
    <x v="2"/>
    <x v="0"/>
    <n v="38100"/>
    <n v="38100"/>
    <n v="24.423076923076923"/>
    <m/>
    <m/>
    <s v="17"/>
    <x v="253"/>
    <x v="0"/>
  </r>
  <r>
    <x v="57"/>
    <x v="78"/>
    <s v="Flete Cordoba - Chilecito - R Caropya"/>
    <s v="Total"/>
    <x v="2"/>
    <x v="0"/>
    <x v="2"/>
    <x v="0"/>
    <n v="22500"/>
    <n v="22500"/>
    <n v="14.423076923076923"/>
    <m/>
    <m/>
    <s v="16"/>
    <x v="254"/>
    <x v="0"/>
  </r>
  <r>
    <x v="22"/>
    <x v="78"/>
    <s v="Envio Cordoba - Chilecito -  Argentop"/>
    <s v="Total"/>
    <x v="2"/>
    <x v="0"/>
    <x v="2"/>
    <x v="0"/>
    <n v="41950"/>
    <n v="41950"/>
    <n v="26.891025641025642"/>
    <m/>
    <m/>
    <s v="23"/>
    <x v="255"/>
    <x v="0"/>
  </r>
  <r>
    <x v="8"/>
    <x v="79"/>
    <s v="Servicio GPS"/>
    <s v="Total"/>
    <x v="3"/>
    <x v="0"/>
    <x v="0"/>
    <x v="0"/>
    <n v="144000"/>
    <n v="144000"/>
    <n v="92.307692307692307"/>
    <m/>
    <m/>
    <s v="33"/>
    <x v="256"/>
    <x v="0"/>
  </r>
  <r>
    <x v="42"/>
    <x v="80"/>
    <s v="Filtros COE"/>
    <s v="Total"/>
    <x v="1"/>
    <x v="0"/>
    <x v="0"/>
    <x v="0"/>
    <n v="48414.91"/>
    <n v="48414.91"/>
    <n v="31.03519871794872"/>
    <m/>
    <m/>
    <s v="24"/>
    <x v="257"/>
    <x v="0"/>
  </r>
  <r>
    <x v="63"/>
    <x v="81"/>
    <s v="Pedido campo - Filtros"/>
    <s v="Total"/>
    <x v="1"/>
    <x v="0"/>
    <x v="0"/>
    <x v="0"/>
    <n v="473630.25"/>
    <n v="473630.25"/>
    <n v="303.60913461538462"/>
    <m/>
    <m/>
    <s v="44"/>
    <x v="258"/>
    <x v="0"/>
  </r>
  <r>
    <x v="10"/>
    <x v="81"/>
    <s v="Pedido filtros"/>
    <s v="Total"/>
    <x v="1"/>
    <x v="0"/>
    <x v="1"/>
    <x v="0"/>
    <n v="131475.6"/>
    <n v="131475.6"/>
    <n v="84.279230769230779"/>
    <m/>
    <d v="2025-12-27T00:00:00"/>
    <n v="52"/>
    <x v="259"/>
    <x v="0"/>
  </r>
  <r>
    <x v="6"/>
    <x v="82"/>
    <s v="Servicio Tratamiento Volatil Bodega - Factura 1846/1871"/>
    <s v="Total"/>
    <x v="1"/>
    <x v="0"/>
    <x v="1"/>
    <x v="0"/>
    <n v="2056690"/>
    <n v="2056690"/>
    <n v="1318.3910256410256"/>
    <m/>
    <d v="2025-12-04T00:00:00"/>
    <n v="49"/>
    <x v="260"/>
    <x v="0"/>
  </r>
  <r>
    <x v="10"/>
    <x v="82"/>
    <s v="Servicio Tratamiento Volatil Bodega - Factura 1846/1871"/>
    <s v="Parcial"/>
    <x v="0"/>
    <x v="0"/>
    <x v="1"/>
    <x v="0"/>
    <n v="1950000"/>
    <n v="1950000"/>
    <n v="1250"/>
    <m/>
    <d v="2026-01-16T00:00:00"/>
    <n v="3"/>
    <x v="261"/>
    <x v="0"/>
  </r>
  <r>
    <x v="10"/>
    <x v="82"/>
    <s v="Servicio Tratamiento Volatil Bodega - Factura 1846/1871"/>
    <s v="Parcial"/>
    <x v="0"/>
    <x v="0"/>
    <x v="1"/>
    <x v="0"/>
    <n v="1950000"/>
    <n v="1950000"/>
    <n v="1250"/>
    <m/>
    <d v="2026-01-19T00:00:00"/>
    <n v="4"/>
    <x v="261"/>
    <x v="0"/>
  </r>
  <r>
    <x v="10"/>
    <x v="82"/>
    <s v="Servicio Tratamiento Volatil Bodega - Factura 1846/1871"/>
    <s v="Parcial"/>
    <x v="0"/>
    <x v="0"/>
    <x v="1"/>
    <x v="0"/>
    <n v="1950000"/>
    <n v="1950000"/>
    <n v="1250"/>
    <m/>
    <d v="2026-01-05T00:00:00"/>
    <n v="2"/>
    <x v="261"/>
    <x v="0"/>
  </r>
  <r>
    <x v="10"/>
    <x v="82"/>
    <s v="Servicio Tratamiento Volatil Bodega - Factura 1846/1871"/>
    <s v="Parcial"/>
    <x v="0"/>
    <x v="0"/>
    <x v="1"/>
    <x v="0"/>
    <n v="1950000"/>
    <n v="1950000"/>
    <n v="1250"/>
    <m/>
    <d v="2026-01-21T00:00:00"/>
    <n v="4"/>
    <x v="261"/>
    <x v="0"/>
  </r>
  <r>
    <x v="3"/>
    <x v="59"/>
    <s v="Calibración de maquina"/>
    <s v="Total"/>
    <x v="0"/>
    <x v="0"/>
    <x v="1"/>
    <x v="0"/>
    <n v="1323000"/>
    <n v="1323000"/>
    <n v="848.07692307692309"/>
    <m/>
    <m/>
    <s v="44"/>
    <x v="0"/>
    <x v="1"/>
  </r>
  <r>
    <x v="59"/>
    <x v="83"/>
    <s v="Certificacion firma alquiler departamento"/>
    <s v="Total"/>
    <x v="1"/>
    <x v="0"/>
    <x v="0"/>
    <x v="0"/>
    <n v="100000"/>
    <n v="100000"/>
    <n v="64.102564102564102"/>
    <m/>
    <m/>
    <s v="06"/>
    <x v="262"/>
    <x v="0"/>
  </r>
  <r>
    <x v="68"/>
    <x v="83"/>
    <s v="Acta Notificacion / sertificacion firma (Macarena"/>
    <s v="Total"/>
    <x v="3"/>
    <x v="0"/>
    <x v="0"/>
    <x v="0"/>
    <n v="550000"/>
    <n v="550000"/>
    <n v="352.56410256410254"/>
    <m/>
    <m/>
    <s v="23"/>
    <x v="263"/>
    <x v="0"/>
  </r>
  <r>
    <x v="67"/>
    <x v="83"/>
    <s v="Gastos administrativos - honorarios profesionales"/>
    <s v="Total"/>
    <x v="3"/>
    <x v="0"/>
    <x v="0"/>
    <x v="0"/>
    <n v="280000"/>
    <n v="280000"/>
    <n v="179.48717948717947"/>
    <m/>
    <m/>
    <s v="24"/>
    <x v="0"/>
    <x v="0"/>
  </r>
  <r>
    <x v="21"/>
    <x v="83"/>
    <s v="honorarios"/>
    <s v="Total"/>
    <x v="3"/>
    <x v="0"/>
    <x v="0"/>
    <x v="0"/>
    <n v="280000"/>
    <n v="280000"/>
    <n v="179.48717948717947"/>
    <m/>
    <m/>
    <s v="28"/>
    <x v="264"/>
    <x v="0"/>
  </r>
  <r>
    <x v="5"/>
    <x v="83"/>
    <s v="Servicio de escribania"/>
    <s v="Total"/>
    <x v="1"/>
    <x v="0"/>
    <x v="0"/>
    <x v="0"/>
    <n v="410000"/>
    <n v="410000"/>
    <n v="262.82051282051282"/>
    <m/>
    <m/>
    <s v="34"/>
    <x v="265"/>
    <x v="0"/>
  </r>
  <r>
    <x v="32"/>
    <x v="83"/>
    <s v="Honorarios Profesionales"/>
    <s v="Total"/>
    <x v="1"/>
    <x v="0"/>
    <x v="0"/>
    <x v="0"/>
    <n v="220000"/>
    <n v="220000"/>
    <n v="141.02564102564102"/>
    <m/>
    <m/>
    <s v="09"/>
    <x v="266"/>
    <x v="0"/>
  </r>
  <r>
    <x v="70"/>
    <x v="84"/>
    <s v="Materiales pileta Luciano H."/>
    <s v="Total"/>
    <x v="1"/>
    <x v="0"/>
    <x v="0"/>
    <x v="0"/>
    <n v="135520"/>
    <n v="135520"/>
    <n v="86.871794871794876"/>
    <m/>
    <m/>
    <s v="36"/>
    <x v="267"/>
    <x v="0"/>
  </r>
  <r>
    <x v="7"/>
    <x v="84"/>
    <s v="Materialespileta Luciano H."/>
    <s v="Total"/>
    <x v="1"/>
    <x v="0"/>
    <x v="1"/>
    <x v="0"/>
    <n v="135520"/>
    <n v="135520"/>
    <n v="86.871794871794876"/>
    <m/>
    <m/>
    <s v="46"/>
    <x v="267"/>
    <x v="0"/>
  </r>
  <r>
    <x v="46"/>
    <x v="84"/>
    <s v="Maderas para embaleje - marco cuadro"/>
    <s v="Total"/>
    <x v="0"/>
    <x v="0"/>
    <x v="1"/>
    <x v="0"/>
    <n v="321467.39"/>
    <n v="321467.39"/>
    <n v="206.06883974358976"/>
    <m/>
    <d v="2026-11-23T00:00:00"/>
    <n v="48"/>
    <x v="268"/>
    <x v="0"/>
  </r>
  <r>
    <x v="46"/>
    <x v="84"/>
    <s v="Maderas para embaleje - marco cuadro"/>
    <s v="Total"/>
    <x v="0"/>
    <x v="0"/>
    <x v="1"/>
    <x v="0"/>
    <n v="688972.83"/>
    <n v="688972.83"/>
    <n v="441.64924999999999"/>
    <m/>
    <d v="2026-11-21T00:00:00"/>
    <n v="47"/>
    <x v="268"/>
    <x v="0"/>
  </r>
  <r>
    <x v="46"/>
    <x v="84"/>
    <s v="Maderas para embaleje - marco cuadro"/>
    <s v="Total"/>
    <x v="0"/>
    <x v="0"/>
    <x v="1"/>
    <x v="0"/>
    <n v="12221.49"/>
    <n v="12221.49"/>
    <n v="7.8342884615384616"/>
    <s v="Retenciones"/>
    <m/>
    <s v="42"/>
    <x v="268"/>
    <x v="0"/>
  </r>
  <r>
    <x v="57"/>
    <x v="85"/>
    <s v="Sillon casa doctor"/>
    <s v="Total"/>
    <x v="1"/>
    <x v="0"/>
    <x v="1"/>
    <x v="0"/>
    <n v="491298.18"/>
    <n v="491298.18"/>
    <n v="314.93473076923078"/>
    <m/>
    <d v="2026-05-13T00:00:00"/>
    <n v="20"/>
    <x v="269"/>
    <x v="0"/>
  </r>
  <r>
    <x v="57"/>
    <x v="85"/>
    <s v="Sillon casa doctor"/>
    <s v="Total"/>
    <x v="1"/>
    <x v="0"/>
    <x v="1"/>
    <x v="0"/>
    <n v="3701.82"/>
    <n v="3701.82"/>
    <n v="2.3729615384615386"/>
    <s v="Retenciones"/>
    <m/>
    <s v="16"/>
    <x v="269"/>
    <x v="0"/>
  </r>
  <r>
    <x v="39"/>
    <x v="86"/>
    <s v="Servicio"/>
    <s v="Total"/>
    <x v="1"/>
    <x v="0"/>
    <x v="0"/>
    <x v="0"/>
    <n v="690000"/>
    <n v="690000"/>
    <n v="442.30769230769232"/>
    <m/>
    <m/>
    <s v="38"/>
    <x v="270"/>
    <x v="0"/>
  </r>
  <r>
    <x v="75"/>
    <x v="87"/>
    <s v="Liquido refrigerante - taller"/>
    <s v="Total"/>
    <x v="2"/>
    <x v="0"/>
    <x v="2"/>
    <x v="0"/>
    <n v="24000"/>
    <n v="24000"/>
    <n v="15.384615384615385"/>
    <m/>
    <m/>
    <s v="52"/>
    <x v="271"/>
    <x v="0"/>
  </r>
  <r>
    <x v="33"/>
    <x v="87"/>
    <s v="Filtro de aire primario cosechadora COE"/>
    <s v="Total"/>
    <x v="2"/>
    <x v="0"/>
    <x v="2"/>
    <x v="0"/>
    <n v="155000"/>
    <n v="155000"/>
    <n v="99.358974358974365"/>
    <m/>
    <m/>
    <s v="12"/>
    <x v="272"/>
    <x v="0"/>
  </r>
  <r>
    <x v="34"/>
    <x v="87"/>
    <s v="Repuestos service camionetas Moyano / Chancalay"/>
    <s v="Total"/>
    <x v="1"/>
    <x v="0"/>
    <x v="1"/>
    <x v="0"/>
    <n v="353830.91"/>
    <n v="353830.91"/>
    <n v="226.81468589743588"/>
    <m/>
    <d v="2026-06-19T00:00:00"/>
    <n v="25"/>
    <x v="273"/>
    <x v="0"/>
  </r>
  <r>
    <x v="34"/>
    <x v="87"/>
    <s v="Repuestos service camionetas Moyano / Chancalay"/>
    <s v="Total"/>
    <x v="1"/>
    <x v="0"/>
    <x v="1"/>
    <x v="0"/>
    <n v="353830.91"/>
    <n v="353830.91"/>
    <n v="226.81468589743588"/>
    <m/>
    <d v="2026-07-03T00:00:00"/>
    <n v="27"/>
    <x v="273"/>
    <x v="0"/>
  </r>
  <r>
    <x v="34"/>
    <x v="87"/>
    <s v="Repuestos service camionetas Moyano / Chancalay"/>
    <s v="Total"/>
    <x v="1"/>
    <x v="0"/>
    <x v="1"/>
    <x v="0"/>
    <n v="7338.18"/>
    <n v="7338.18"/>
    <n v="4.703961538461539"/>
    <s v="Retenciones"/>
    <m/>
    <s v="21"/>
    <x v="273"/>
    <x v="0"/>
  </r>
  <r>
    <x v="76"/>
    <x v="88"/>
    <s v="Honorarios Profesionales"/>
    <s v="Total"/>
    <x v="1"/>
    <x v="0"/>
    <x v="0"/>
    <x v="0"/>
    <n v="450000"/>
    <n v="450000"/>
    <n v="288.46153846153845"/>
    <m/>
    <m/>
    <s v="12"/>
    <x v="0"/>
    <x v="0"/>
  </r>
  <r>
    <x v="21"/>
    <x v="88"/>
    <s v="Honorarios"/>
    <s v="Total"/>
    <x v="3"/>
    <x v="0"/>
    <x v="0"/>
    <x v="0"/>
    <n v="450000"/>
    <n v="450000"/>
    <n v="288.46153846153845"/>
    <m/>
    <m/>
    <s v="28"/>
    <x v="274"/>
    <x v="0"/>
  </r>
  <r>
    <x v="26"/>
    <x v="88"/>
    <s v="Honorarios"/>
    <s v="Total"/>
    <x v="3"/>
    <x v="0"/>
    <x v="0"/>
    <x v="0"/>
    <n v="450000"/>
    <n v="450000"/>
    <n v="288.46153846153845"/>
    <m/>
    <m/>
    <s v="29"/>
    <x v="275"/>
    <x v="0"/>
  </r>
  <r>
    <x v="18"/>
    <x v="88"/>
    <s v="Honorarios"/>
    <s v="Total"/>
    <x v="3"/>
    <x v="0"/>
    <x v="0"/>
    <x v="0"/>
    <n v="450000"/>
    <n v="450000"/>
    <n v="288.46153846153845"/>
    <m/>
    <m/>
    <s v="39"/>
    <x v="276"/>
    <x v="0"/>
  </r>
  <r>
    <x v="6"/>
    <x v="88"/>
    <s v="Honorarios"/>
    <s v="Total"/>
    <x v="3"/>
    <x v="0"/>
    <x v="0"/>
    <x v="0"/>
    <n v="450000"/>
    <n v="450000"/>
    <n v="288.46153846153845"/>
    <m/>
    <m/>
    <s v="41"/>
    <x v="277"/>
    <x v="0"/>
  </r>
  <r>
    <x v="30"/>
    <x v="88"/>
    <s v="Honorarios"/>
    <s v="Total"/>
    <x v="3"/>
    <x v="0"/>
    <x v="0"/>
    <x v="0"/>
    <n v="450000"/>
    <n v="450000"/>
    <n v="288.46153846153845"/>
    <m/>
    <m/>
    <s v="43"/>
    <x v="278"/>
    <x v="0"/>
  </r>
  <r>
    <x v="7"/>
    <x v="88"/>
    <s v="Honorarios"/>
    <s v="Total"/>
    <x v="3"/>
    <x v="0"/>
    <x v="0"/>
    <x v="0"/>
    <n v="450000"/>
    <n v="450000"/>
    <n v="288.46153846153845"/>
    <m/>
    <m/>
    <s v="46"/>
    <x v="279"/>
    <x v="0"/>
  </r>
  <r>
    <x v="19"/>
    <x v="88"/>
    <s v="Obra Planta de Aceite   "/>
    <s v="Total"/>
    <x v="3"/>
    <x v="0"/>
    <x v="0"/>
    <x v="0"/>
    <n v="450000"/>
    <n v="450000"/>
    <n v="288.46153846153845"/>
    <m/>
    <m/>
    <s v="50"/>
    <x v="280"/>
    <x v="0"/>
  </r>
  <r>
    <x v="59"/>
    <x v="88"/>
    <s v="Honorarios"/>
    <s v="Total"/>
    <x v="3"/>
    <x v="0"/>
    <x v="0"/>
    <x v="0"/>
    <n v="450000"/>
    <n v="450000"/>
    <n v="288.46153846153845"/>
    <m/>
    <m/>
    <s v="06"/>
    <x v="281"/>
    <x v="0"/>
  </r>
  <r>
    <x v="13"/>
    <x v="88"/>
    <s v="Factura Enero"/>
    <s v="Total"/>
    <x v="3"/>
    <x v="0"/>
    <x v="0"/>
    <x v="0"/>
    <n v="450000"/>
    <n v="450000"/>
    <n v="288.46153846153845"/>
    <m/>
    <m/>
    <s v="07"/>
    <x v="282"/>
    <x v="0"/>
  </r>
  <r>
    <x v="20"/>
    <x v="88"/>
    <s v="honorarios profesionales"/>
    <s v="Total"/>
    <x v="3"/>
    <x v="0"/>
    <x v="0"/>
    <x v="0"/>
    <n v="450000"/>
    <n v="450000"/>
    <n v="288.46153846153845"/>
    <m/>
    <m/>
    <s v="15"/>
    <x v="283"/>
    <x v="0"/>
  </r>
  <r>
    <x v="20"/>
    <x v="88"/>
    <s v="honorarios profesionales"/>
    <s v="Total"/>
    <x v="3"/>
    <x v="0"/>
    <x v="0"/>
    <x v="0"/>
    <n v="450000"/>
    <n v="450000"/>
    <n v="288.46153846153845"/>
    <m/>
    <m/>
    <s v="15"/>
    <x v="284"/>
    <x v="0"/>
  </r>
  <r>
    <x v="11"/>
    <x v="89"/>
    <s v="Pedido Casa Doctor"/>
    <s v="Total"/>
    <x v="2"/>
    <x v="0"/>
    <x v="2"/>
    <x v="0"/>
    <n v="46001.1"/>
    <n v="46001.1"/>
    <n v="29.487884615384615"/>
    <m/>
    <m/>
    <s v="37"/>
    <x v="285"/>
    <x v="0"/>
  </r>
  <r>
    <x v="19"/>
    <x v="90"/>
    <m/>
    <s v="Total"/>
    <x v="3"/>
    <x v="0"/>
    <x v="0"/>
    <x v="0"/>
    <n v="530264"/>
    <n v="530264"/>
    <n v="339.91282051282053"/>
    <m/>
    <m/>
    <s v="50"/>
    <x v="286"/>
    <x v="0"/>
  </r>
  <r>
    <x v="49"/>
    <x v="90"/>
    <s v="Honorarios profesionales permisos de exportación"/>
    <s v="Total"/>
    <x v="3"/>
    <x v="0"/>
    <x v="0"/>
    <x v="0"/>
    <n v="321096"/>
    <n v="321096"/>
    <n v="205.83076923076922"/>
    <m/>
    <m/>
    <s v="25"/>
    <x v="0"/>
    <x v="0"/>
  </r>
  <r>
    <x v="5"/>
    <x v="90"/>
    <s v="Servicio"/>
    <s v="Total"/>
    <x v="3"/>
    <x v="0"/>
    <x v="0"/>
    <x v="0"/>
    <n v="653792"/>
    <n v="653792"/>
    <n v="419.0974358974359"/>
    <m/>
    <m/>
    <s v="34"/>
    <x v="287"/>
    <x v="0"/>
  </r>
  <r>
    <x v="18"/>
    <x v="90"/>
    <s v="Servicio"/>
    <s v="Total"/>
    <x v="3"/>
    <x v="0"/>
    <x v="0"/>
    <x v="0"/>
    <n v="343400"/>
    <n v="343400"/>
    <n v="220.12820512820514"/>
    <m/>
    <m/>
    <s v="39"/>
    <x v="34"/>
    <x v="0"/>
  </r>
  <r>
    <x v="30"/>
    <x v="90"/>
    <m/>
    <s v="Total"/>
    <x v="3"/>
    <x v="0"/>
    <x v="0"/>
    <x v="0"/>
    <n v="247064"/>
    <n v="247064"/>
    <n v="158.37435897435898"/>
    <m/>
    <m/>
    <s v="43"/>
    <x v="288"/>
    <x v="0"/>
  </r>
  <r>
    <x v="74"/>
    <x v="90"/>
    <m/>
    <s v="Total"/>
    <x v="3"/>
    <x v="0"/>
    <x v="0"/>
    <x v="0"/>
    <n v="46960"/>
    <n v="46960"/>
    <n v="30.102564102564102"/>
    <m/>
    <m/>
    <s v="03"/>
    <x v="289"/>
    <x v="0"/>
  </r>
  <r>
    <x v="13"/>
    <x v="90"/>
    <m/>
    <s v="Total"/>
    <x v="3"/>
    <x v="0"/>
    <x v="0"/>
    <x v="0"/>
    <n v="368352"/>
    <n v="368352"/>
    <n v="236.12307692307692"/>
    <m/>
    <m/>
    <s v="07"/>
    <x v="290"/>
    <x v="0"/>
  </r>
  <r>
    <x v="56"/>
    <x v="90"/>
    <s v="Servicio "/>
    <s v="Total"/>
    <x v="0"/>
    <x v="0"/>
    <x v="1"/>
    <x v="0"/>
    <n v="167466.34"/>
    <n v="167466.34"/>
    <n v="107.35021794871794"/>
    <m/>
    <d v="2026-04-03T00:00:00"/>
    <n v="14"/>
    <x v="291"/>
    <x v="0"/>
  </r>
  <r>
    <x v="56"/>
    <x v="90"/>
    <s v="Servicio "/>
    <s v="Total"/>
    <x v="0"/>
    <x v="0"/>
    <x v="1"/>
    <x v="0"/>
    <n v="248603.99"/>
    <n v="248603.99"/>
    <n v="159.36153205128204"/>
    <m/>
    <d v="2026-04-03T00:00:00"/>
    <n v="14"/>
    <x v="291"/>
    <x v="0"/>
  </r>
  <r>
    <x v="56"/>
    <x v="90"/>
    <s v="Servicio "/>
    <s v="Total"/>
    <x v="0"/>
    <x v="0"/>
    <x v="0"/>
    <x v="0"/>
    <n v="4746.67"/>
    <n v="4746.67"/>
    <n v="3.0427371794871796"/>
    <m/>
    <d v="2026-02-24T00:00:00"/>
    <n v="9"/>
    <x v="291"/>
    <x v="0"/>
  </r>
  <r>
    <x v="33"/>
    <x v="90"/>
    <s v="Servicio"/>
    <s v="Total"/>
    <x v="3"/>
    <x v="0"/>
    <x v="0"/>
    <x v="0"/>
    <n v="30690"/>
    <n v="30690"/>
    <n v="19.673076923076923"/>
    <m/>
    <m/>
    <s v="12"/>
    <x v="292"/>
    <x v="0"/>
  </r>
  <r>
    <x v="45"/>
    <x v="90"/>
    <m/>
    <s v="Total"/>
    <x v="3"/>
    <x v="0"/>
    <x v="1"/>
    <x v="0"/>
    <n v="617320"/>
    <n v="617320"/>
    <n v="395.71794871794873"/>
    <m/>
    <d v="2026-06-30T00:00:00"/>
    <n v="27"/>
    <x v="293"/>
    <x v="0"/>
  </r>
  <r>
    <x v="36"/>
    <x v="90"/>
    <s v="Servicio"/>
    <s v="Total"/>
    <x v="3"/>
    <x v="0"/>
    <x v="1"/>
    <x v="0"/>
    <n v="982410"/>
    <n v="982410"/>
    <n v="629.75"/>
    <m/>
    <m/>
    <s v="28"/>
    <x v="294"/>
    <x v="0"/>
  </r>
  <r>
    <x v="12"/>
    <x v="90"/>
    <s v="Servicio"/>
    <s v="Total"/>
    <x v="3"/>
    <x v="0"/>
    <x v="1"/>
    <x v="0"/>
    <n v="989670"/>
    <n v="989670"/>
    <n v="634.40384615384619"/>
    <m/>
    <d v="2026-09-28T00:00:00"/>
    <n v="40"/>
    <x v="295"/>
    <x v="0"/>
  </r>
  <r>
    <x v="40"/>
    <x v="90"/>
    <m/>
    <s v="Total"/>
    <x v="3"/>
    <x v="0"/>
    <x v="1"/>
    <x v="0"/>
    <n v="772197.44"/>
    <n v="772197.44"/>
    <n v="494.99835897435895"/>
    <m/>
    <d v="2026-10-30T00:00:00"/>
    <n v="44"/>
    <x v="296"/>
    <x v="0"/>
  </r>
  <r>
    <x v="40"/>
    <x v="90"/>
    <m/>
    <s v="Total"/>
    <x v="3"/>
    <x v="0"/>
    <x v="1"/>
    <x v="0"/>
    <n v="227042.56"/>
    <n v="227042.56"/>
    <n v="145.54010256410257"/>
    <m/>
    <d v="2026-10-30T00:00:00"/>
    <n v="44"/>
    <x v="296"/>
    <x v="0"/>
  </r>
  <r>
    <x v="74"/>
    <x v="91"/>
    <m/>
    <s v="Total"/>
    <x v="1"/>
    <x v="0"/>
    <x v="0"/>
    <x v="0"/>
    <n v="984000"/>
    <n v="984000"/>
    <n v="630.76923076923072"/>
    <m/>
    <m/>
    <s v="03"/>
    <x v="297"/>
    <x v="0"/>
  </r>
  <r>
    <x v="68"/>
    <x v="92"/>
    <s v="Aviso Busqueda de personal"/>
    <s v="Total"/>
    <x v="1"/>
    <x v="0"/>
    <x v="0"/>
    <x v="0"/>
    <n v="48000"/>
    <n v="48000"/>
    <n v="30.76923076923077"/>
    <m/>
    <m/>
    <s v="23"/>
    <x v="298"/>
    <x v="0"/>
  </r>
  <r>
    <x v="53"/>
    <x v="93"/>
    <s v="Envases para dulce"/>
    <s v="Total"/>
    <x v="2"/>
    <x v="0"/>
    <x v="2"/>
    <x v="0"/>
    <n v="12000"/>
    <n v="12000"/>
    <n v="7.6923076923076925"/>
    <m/>
    <m/>
    <s v="17"/>
    <x v="299"/>
    <x v="0"/>
  </r>
  <r>
    <x v="35"/>
    <x v="93"/>
    <s v="Caminos y sabores"/>
    <s v="Total"/>
    <x v="2"/>
    <x v="0"/>
    <x v="2"/>
    <x v="0"/>
    <n v="26400"/>
    <n v="26400"/>
    <n v="16.923076923076923"/>
    <m/>
    <m/>
    <s v="27"/>
    <x v="300"/>
    <x v="0"/>
  </r>
  <r>
    <x v="49"/>
    <x v="94"/>
    <s v="Repuestos autoelevadores"/>
    <s v="Parcial"/>
    <x v="1"/>
    <x v="0"/>
    <x v="1"/>
    <x v="0"/>
    <n v="807015.55"/>
    <n v="807015.55"/>
    <n v="517.31766025641025"/>
    <s v="CH 20 días"/>
    <d v="2025-07-19T00:00:00"/>
    <n v="29"/>
    <x v="301"/>
    <x v="0"/>
  </r>
  <r>
    <x v="5"/>
    <x v="94"/>
    <s v="Cubiertas autoelevadores"/>
    <s v="Total"/>
    <x v="1"/>
    <x v="0"/>
    <x v="0"/>
    <x v="0"/>
    <n v="21926.89"/>
    <n v="21926.89"/>
    <n v="14.055698717948717"/>
    <m/>
    <m/>
    <s v="34"/>
    <x v="302"/>
    <x v="0"/>
  </r>
  <r>
    <x v="5"/>
    <x v="94"/>
    <s v="Cubiertas autoelevadores"/>
    <s v="Total"/>
    <x v="1"/>
    <x v="0"/>
    <x v="1"/>
    <x v="0"/>
    <n v="410953.11"/>
    <n v="410953.11"/>
    <n v="263.43148076923075"/>
    <m/>
    <d v="2025-08-21T00:00:00"/>
    <n v="34"/>
    <x v="302"/>
    <x v="0"/>
  </r>
  <r>
    <x v="33"/>
    <x v="94"/>
    <s v="Repuetos Campo"/>
    <s v="Total"/>
    <x v="0"/>
    <x v="0"/>
    <x v="0"/>
    <x v="0"/>
    <n v="301296"/>
    <n v="301296"/>
    <n v="193.13846153846154"/>
    <m/>
    <d v="2026-04-19T00:00:00"/>
    <n v="17"/>
    <x v="303"/>
    <x v="0"/>
  </r>
  <r>
    <x v="33"/>
    <x v="94"/>
    <s v="Repuetos Campo"/>
    <s v="Total"/>
    <x v="0"/>
    <x v="0"/>
    <x v="0"/>
    <x v="0"/>
    <n v="5076.38"/>
    <n v="5076.38"/>
    <n v="3.2540897435897436"/>
    <s v="Retenciones"/>
    <m/>
    <s v="12"/>
    <x v="303"/>
    <x v="0"/>
  </r>
  <r>
    <x v="3"/>
    <x v="60"/>
    <s v="Pedido Librería Planta - Administración"/>
    <s v="Total"/>
    <x v="0"/>
    <x v="0"/>
    <x v="0"/>
    <x v="0"/>
    <n v="178200"/>
    <n v="178200"/>
    <n v="114.23076923076923"/>
    <m/>
    <m/>
    <s v="44"/>
    <x v="0"/>
    <x v="1"/>
  </r>
  <r>
    <x v="65"/>
    <x v="95"/>
    <s v="Grava - Pozo nuevo"/>
    <s v="Total"/>
    <x v="1"/>
    <x v="0"/>
    <x v="1"/>
    <x v="0"/>
    <n v="589148"/>
    <n v="589148"/>
    <n v="377.65897435897438"/>
    <m/>
    <d v="2026-04-27T00:00:00"/>
    <n v="18"/>
    <x v="304"/>
    <x v="0"/>
  </r>
  <r>
    <x v="65"/>
    <x v="95"/>
    <s v="Grava - Pozo nuevo"/>
    <s v="Total"/>
    <x v="1"/>
    <x v="0"/>
    <x v="1"/>
    <x v="0"/>
    <n v="589148"/>
    <n v="589148"/>
    <n v="377.65897435897438"/>
    <m/>
    <d v="2026-05-27T00:00:00"/>
    <n v="22"/>
    <x v="304"/>
    <x v="0"/>
  </r>
  <r>
    <x v="65"/>
    <x v="95"/>
    <s v="Grava - Pozo nuevo"/>
    <s v="Total"/>
    <x v="1"/>
    <x v="0"/>
    <x v="1"/>
    <x v="0"/>
    <n v="15248"/>
    <n v="15248"/>
    <n v="9.7743589743589752"/>
    <s v="Retenciones"/>
    <m/>
    <s v="13"/>
    <x v="304"/>
    <x v="0"/>
  </r>
  <r>
    <x v="49"/>
    <x v="96"/>
    <s v="Obra bodega - Solicita Dr. Veder Herrera"/>
    <s v="Total"/>
    <x v="1"/>
    <x v="0"/>
    <x v="1"/>
    <x v="0"/>
    <n v="1206000"/>
    <n v="1206000"/>
    <n v="773.07692307692309"/>
    <s v="CH 30 días"/>
    <d v="2025-07-19T00:00:00"/>
    <n v="29"/>
    <x v="305"/>
    <x v="0"/>
  </r>
  <r>
    <x v="76"/>
    <x v="96"/>
    <s v="Materiales Reparación acoplado Monte Negro"/>
    <s v="Total"/>
    <x v="1"/>
    <x v="0"/>
    <x v="1"/>
    <x v="0"/>
    <n v="2439022.61"/>
    <n v="2439022.61"/>
    <n v="1563.4760320512819"/>
    <s v="20/días"/>
    <m/>
    <s v="12"/>
    <x v="0"/>
    <x v="0"/>
  </r>
  <r>
    <x v="68"/>
    <x v="96"/>
    <s v="Factura 3029 - Materiales Cava"/>
    <s v="Parcial"/>
    <x v="0"/>
    <x v="0"/>
    <x v="1"/>
    <x v="0"/>
    <n v="1057000"/>
    <n v="1057000"/>
    <n v="677.56410256410254"/>
    <s v="Pago 16/06/2025"/>
    <d v="2025-06-16T00:00:00"/>
    <n v="25"/>
    <x v="306"/>
    <x v="0"/>
  </r>
  <r>
    <x v="5"/>
    <x v="96"/>
    <s v="Facturas 3193/3259/3286"/>
    <s v="Total"/>
    <x v="1"/>
    <x v="0"/>
    <x v="1"/>
    <x v="0"/>
    <n v="763568.91"/>
    <n v="763568.91"/>
    <n v="489.46725000000004"/>
    <m/>
    <d v="2025-08-06T00:00:00"/>
    <n v="32"/>
    <x v="307"/>
    <x v="0"/>
  </r>
  <r>
    <x v="5"/>
    <x v="96"/>
    <s v="Facturas 3193/3259/3286"/>
    <s v="Total"/>
    <x v="1"/>
    <x v="0"/>
    <x v="1"/>
    <x v="0"/>
    <n v="25253.21"/>
    <n v="25253.21"/>
    <n v="16.187955128205129"/>
    <m/>
    <d v="2025-08-20T00:00:00"/>
    <n v="34"/>
    <x v="307"/>
    <x v="0"/>
  </r>
  <r>
    <x v="5"/>
    <x v="96"/>
    <s v="Facturas 3193/3259/3286"/>
    <s v="Total"/>
    <x v="1"/>
    <x v="0"/>
    <x v="1"/>
    <x v="0"/>
    <n v="127448.69"/>
    <n v="127448.69"/>
    <n v="81.697878205128205"/>
    <m/>
    <d v="2025-08-18T00:00:00"/>
    <n v="34"/>
    <x v="307"/>
    <x v="0"/>
  </r>
  <r>
    <x v="5"/>
    <x v="96"/>
    <s v="Facturas 3193/3259/3286"/>
    <s v="Total"/>
    <x v="1"/>
    <x v="0"/>
    <x v="1"/>
    <x v="0"/>
    <n v="756770.94"/>
    <n v="756770.94"/>
    <n v="485.10957692307687"/>
    <m/>
    <d v="2025-08-20T00:00:00"/>
    <n v="34"/>
    <x v="307"/>
    <x v="0"/>
  </r>
  <r>
    <x v="5"/>
    <x v="96"/>
    <s v="Facturas 3193/3259/3286"/>
    <s v="Total"/>
    <x v="1"/>
    <x v="0"/>
    <x v="2"/>
    <x v="0"/>
    <n v="5915.76"/>
    <n v="5915.76"/>
    <n v="3.7921538461538464"/>
    <m/>
    <m/>
    <s v="34"/>
    <x v="307"/>
    <x v="0"/>
  </r>
  <r>
    <x v="28"/>
    <x v="96"/>
    <s v="Materiales planta de aceite"/>
    <s v="Total"/>
    <x v="1"/>
    <x v="0"/>
    <x v="1"/>
    <x v="0"/>
    <n v="1166480"/>
    <n v="1166480"/>
    <n v="747.74358974358972"/>
    <m/>
    <d v="2025-10-17T00:00:00"/>
    <n v="42"/>
    <x v="308"/>
    <x v="0"/>
  </r>
  <r>
    <x v="15"/>
    <x v="96"/>
    <s v="Materiales Cava"/>
    <s v="Total"/>
    <x v="0"/>
    <x v="0"/>
    <x v="1"/>
    <x v="0"/>
    <n v="1469825"/>
    <n v="1469825"/>
    <n v="942.19551282051282"/>
    <m/>
    <d v="2025-12-19T00:00:00"/>
    <n v="51"/>
    <x v="309"/>
    <x v="0"/>
  </r>
  <r>
    <x v="74"/>
    <x v="96"/>
    <s v="Materiales construccion"/>
    <s v="Total"/>
    <x v="0"/>
    <x v="0"/>
    <x v="0"/>
    <x v="0"/>
    <n v="406627.32"/>
    <n v="406627.32"/>
    <n v="260.65853846153846"/>
    <m/>
    <m/>
    <s v="03"/>
    <x v="310"/>
    <x v="0"/>
  </r>
  <r>
    <x v="9"/>
    <x v="96"/>
    <s v="Materiales construccion"/>
    <s v="Total"/>
    <x v="0"/>
    <x v="0"/>
    <x v="0"/>
    <x v="0"/>
    <n v="629750"/>
    <n v="629750"/>
    <n v="403.68589743589746"/>
    <m/>
    <m/>
    <s v="05"/>
    <x v="311"/>
    <x v="0"/>
  </r>
  <r>
    <x v="44"/>
    <x v="96"/>
    <s v="Pedidos Bruno - Fina Lolita"/>
    <s v="Total"/>
    <x v="2"/>
    <x v="0"/>
    <x v="2"/>
    <x v="0"/>
    <n v="922987.6"/>
    <n v="922987.6"/>
    <n v="591.65871794871794"/>
    <m/>
    <m/>
    <s v="31"/>
    <x v="312"/>
    <x v="0"/>
  </r>
  <r>
    <x v="44"/>
    <x v="96"/>
    <s v="Pedidos Bruno - Fina Lolita"/>
    <s v="Total"/>
    <x v="2"/>
    <x v="0"/>
    <x v="2"/>
    <x v="0"/>
    <n v="15512.4"/>
    <n v="15512.4"/>
    <n v="9.9438461538461542"/>
    <s v="Retenciones"/>
    <m/>
    <s v="31"/>
    <x v="312"/>
    <x v="0"/>
  </r>
  <r>
    <x v="11"/>
    <x v="96"/>
    <s v="Pedidos Bruno - Fina Lolita"/>
    <s v="Total"/>
    <x v="0"/>
    <x v="0"/>
    <x v="1"/>
    <x v="0"/>
    <n v="1000000"/>
    <n v="1000000"/>
    <n v="641.02564102564099"/>
    <m/>
    <d v="2026-10-10T00:00:00"/>
    <n v="41"/>
    <x v="313"/>
    <x v="0"/>
  </r>
  <r>
    <x v="11"/>
    <x v="96"/>
    <s v="Pedidos Bruno - Fina Lolita"/>
    <s v="Total"/>
    <x v="2"/>
    <x v="0"/>
    <x v="2"/>
    <x v="0"/>
    <n v="10964.3"/>
    <n v="10964.3"/>
    <n v="7.0283974358974355"/>
    <m/>
    <m/>
    <s v="37"/>
    <x v="313"/>
    <x v="0"/>
  </r>
  <r>
    <x v="11"/>
    <x v="96"/>
    <s v="Pedidos Bruno - Fina Lolita"/>
    <s v="Total"/>
    <x v="0"/>
    <x v="0"/>
    <x v="1"/>
    <x v="0"/>
    <n v="12435.7"/>
    <n v="12435.7"/>
    <n v="7.9716025641025645"/>
    <s v="Retenciones"/>
    <m/>
    <s v="37"/>
    <x v="313"/>
    <x v="0"/>
  </r>
  <r>
    <x v="3"/>
    <x v="82"/>
    <s v="Filtrado de vino"/>
    <s v="Total"/>
    <x v="0"/>
    <x v="0"/>
    <x v="1"/>
    <x v="0"/>
    <n v="4552979.5599999996"/>
    <n v="4552979.5599999996"/>
    <n v="2918.5766410256406"/>
    <m/>
    <m/>
    <s v="44"/>
    <x v="0"/>
    <x v="1"/>
  </r>
  <r>
    <x v="62"/>
    <x v="97"/>
    <s v="Compras varias"/>
    <s v="Total"/>
    <x v="1"/>
    <x v="0"/>
    <x v="1"/>
    <x v="0"/>
    <n v="436383.1"/>
    <n v="436383.1"/>
    <n v="279.7327564102564"/>
    <m/>
    <d v="2026-06-10T00:00:00"/>
    <n v="24"/>
    <x v="314"/>
    <x v="0"/>
  </r>
  <r>
    <x v="62"/>
    <x v="97"/>
    <s v="Compras varias"/>
    <s v="Total"/>
    <x v="1"/>
    <x v="0"/>
    <x v="1"/>
    <x v="0"/>
    <n v="32000.21"/>
    <n v="32000.21"/>
    <n v="20.512955128205128"/>
    <m/>
    <m/>
    <s v="19"/>
    <x v="314"/>
    <x v="0"/>
  </r>
  <r>
    <x v="62"/>
    <x v="97"/>
    <s v="Compras varias"/>
    <s v="Total"/>
    <x v="1"/>
    <x v="0"/>
    <x v="1"/>
    <x v="0"/>
    <n v="3316.69"/>
    <n v="3316.69"/>
    <n v="2.1260833333333333"/>
    <s v="Retenciones"/>
    <m/>
    <s v="19"/>
    <x v="314"/>
    <x v="0"/>
  </r>
  <r>
    <x v="22"/>
    <x v="98"/>
    <s v="Trabajo torneria (los cerrillos)"/>
    <s v="Total"/>
    <x v="2"/>
    <x v="1"/>
    <x v="2"/>
    <x v="0"/>
    <n v="150000"/>
    <n v="150000"/>
    <n v="96.15384615384616"/>
    <m/>
    <m/>
    <s v="23"/>
    <x v="315"/>
    <x v="0"/>
  </r>
  <r>
    <x v="63"/>
    <x v="99"/>
    <s v="Reparacion Aire oficina administracion"/>
    <s v="Total"/>
    <x v="2"/>
    <x v="1"/>
    <x v="2"/>
    <x v="0"/>
    <n v="40000"/>
    <n v="40000"/>
    <n v="25.641025641025642"/>
    <m/>
    <m/>
    <s v="44"/>
    <x v="316"/>
    <x v="0"/>
  </r>
  <r>
    <x v="7"/>
    <x v="99"/>
    <s v="Instalacion aire compras"/>
    <s v="Total"/>
    <x v="1"/>
    <x v="1"/>
    <x v="2"/>
    <x v="0"/>
    <n v="100000"/>
    <n v="100000"/>
    <n v="64.102564102564102"/>
    <m/>
    <m/>
    <s v="46"/>
    <x v="317"/>
    <x v="0"/>
  </r>
  <r>
    <x v="50"/>
    <x v="99"/>
    <s v="Reparación aires administración "/>
    <s v="Total"/>
    <x v="2"/>
    <x v="1"/>
    <x v="2"/>
    <x v="0"/>
    <n v="140000"/>
    <n v="140000"/>
    <n v="89.743589743589737"/>
    <m/>
    <m/>
    <s v="04"/>
    <x v="318"/>
    <x v="0"/>
  </r>
  <r>
    <x v="32"/>
    <x v="99"/>
    <s v="Reparacón plaqueta "/>
    <s v="Total"/>
    <x v="1"/>
    <x v="1"/>
    <x v="2"/>
    <x v="0"/>
    <n v="90000"/>
    <n v="90000"/>
    <n v="57.692307692307693"/>
    <m/>
    <m/>
    <s v="09"/>
    <x v="319"/>
    <x v="0"/>
  </r>
  <r>
    <x v="26"/>
    <x v="100"/>
    <m/>
    <s v="Total"/>
    <x v="1"/>
    <x v="0"/>
    <x v="0"/>
    <x v="0"/>
    <n v="4664209"/>
    <n v="4664209"/>
    <n v="2989.8775641025641"/>
    <s v="Tarjeta Agro Nacion"/>
    <m/>
    <s v="29"/>
    <x v="320"/>
    <x v="0"/>
  </r>
  <r>
    <x v="50"/>
    <x v="100"/>
    <s v="Cajas Exibidoras aceituna"/>
    <s v="Total"/>
    <x v="1"/>
    <x v="0"/>
    <x v="0"/>
    <x v="0"/>
    <n v="3330437.93"/>
    <n v="3330437.93"/>
    <n v="2134.8961089743589"/>
    <m/>
    <m/>
    <s v="04"/>
    <x v="321"/>
    <x v="0"/>
  </r>
  <r>
    <x v="33"/>
    <x v="100"/>
    <s v="Cajas para pasas"/>
    <s v="Total"/>
    <x v="1"/>
    <x v="0"/>
    <x v="0"/>
    <x v="0"/>
    <n v="6596296.5599999996"/>
    <n v="6596296.5599999996"/>
    <n v="4228.3952307692307"/>
    <m/>
    <m/>
    <s v="12"/>
    <x v="322"/>
    <x v="0"/>
  </r>
  <r>
    <x v="22"/>
    <x v="100"/>
    <s v="Cajas"/>
    <s v="Total"/>
    <x v="1"/>
    <x v="0"/>
    <x v="1"/>
    <x v="0"/>
    <n v="3239012.7"/>
    <n v="3239012.7"/>
    <n v="2076.2901923076925"/>
    <m/>
    <d v="2026-07-04T00:00:00"/>
    <n v="27"/>
    <x v="323"/>
    <x v="0"/>
  </r>
  <r>
    <x v="22"/>
    <x v="100"/>
    <s v="Cajas"/>
    <s v="Total"/>
    <x v="1"/>
    <x v="0"/>
    <x v="1"/>
    <x v="0"/>
    <n v="3239012.7"/>
    <n v="3239012.7"/>
    <n v="2076.2901923076925"/>
    <m/>
    <d v="2026-08-04T00:00:00"/>
    <n v="32"/>
    <x v="323"/>
    <x v="0"/>
  </r>
  <r>
    <x v="23"/>
    <x v="100"/>
    <s v="Caja para pasas"/>
    <s v="Total"/>
    <x v="1"/>
    <x v="0"/>
    <x v="1"/>
    <x v="0"/>
    <n v="5311217.7300000004"/>
    <n v="5311217.7300000004"/>
    <n v="3404.6267500000004"/>
    <m/>
    <m/>
    <s v="18"/>
    <x v="324"/>
    <x v="0"/>
  </r>
  <r>
    <x v="35"/>
    <x v="100"/>
    <s v="5400 cajas de pasas"/>
    <s v="Total"/>
    <x v="1"/>
    <x v="0"/>
    <x v="1"/>
    <x v="0"/>
    <n v="3443614.02"/>
    <n v="3443614.02"/>
    <n v="2207.4448846153846"/>
    <m/>
    <d v="2026-08-02T00:00:00"/>
    <n v="32"/>
    <x v="325"/>
    <x v="0"/>
  </r>
  <r>
    <x v="35"/>
    <x v="100"/>
    <s v="5400 cajas de pasas"/>
    <s v="Total"/>
    <x v="1"/>
    <x v="0"/>
    <x v="1"/>
    <x v="0"/>
    <n v="3443614.02"/>
    <n v="3443614.02"/>
    <n v="2207.4448846153846"/>
    <m/>
    <d v="2026-08-15T00:00:00"/>
    <n v="33"/>
    <x v="325"/>
    <x v="0"/>
  </r>
  <r>
    <x v="77"/>
    <x v="100"/>
    <s v="Reposición de cheque rechazado"/>
    <s v="Total"/>
    <x v="1"/>
    <x v="0"/>
    <x v="0"/>
    <x v="0"/>
    <n v="6767626.7199999997"/>
    <n v="6767626.7199999997"/>
    <n v="4338.2222564102558"/>
    <s v="AgroNación"/>
    <m/>
    <s v="35"/>
    <x v="326"/>
    <x v="0"/>
  </r>
  <r>
    <x v="77"/>
    <x v="100"/>
    <s v="Reposición de cheque rechazado"/>
    <s v="Total"/>
    <x v="1"/>
    <x v="0"/>
    <x v="0"/>
    <x v="0"/>
    <n v="2425758.4"/>
    <n v="2425758.4"/>
    <n v="1554.9733333333334"/>
    <s v="AgroNación"/>
    <m/>
    <s v="35"/>
    <x v="327"/>
    <x v="0"/>
  </r>
  <r>
    <x v="77"/>
    <x v="100"/>
    <s v="Reposición de cheque rechazado"/>
    <s v="Total"/>
    <x v="1"/>
    <x v="0"/>
    <x v="1"/>
    <x v="0"/>
    <n v="2000000"/>
    <n v="2000000"/>
    <n v="1282.051282051282"/>
    <m/>
    <d v="2026-09-26T00:00:00"/>
    <n v="39"/>
    <x v="327"/>
    <x v="0"/>
  </r>
  <r>
    <x v="3"/>
    <x v="94"/>
    <s v="Repuetos Campo"/>
    <s v="Total"/>
    <x v="0"/>
    <x v="0"/>
    <x v="1"/>
    <x v="0"/>
    <n v="14275.28"/>
    <n v="14275.28"/>
    <n v="9.1508205128205127"/>
    <m/>
    <m/>
    <s v="44"/>
    <x v="0"/>
    <x v="1"/>
  </r>
  <r>
    <x v="17"/>
    <x v="101"/>
    <s v="Baterias + repuestos - Pedido de campo"/>
    <s v="Total"/>
    <x v="1"/>
    <x v="0"/>
    <x v="1"/>
    <x v="0"/>
    <n v="554240.44999999995"/>
    <n v="554240.44999999995"/>
    <n v="355.28233974358972"/>
    <s v="CH 20 días"/>
    <d v="2025-07-11T00:00:00"/>
    <n v="28"/>
    <x v="328"/>
    <x v="0"/>
  </r>
  <r>
    <x v="3"/>
    <x v="96"/>
    <s v="Pedidos Bruno - Fina Lolita"/>
    <s v="Total"/>
    <x v="0"/>
    <x v="0"/>
    <x v="1"/>
    <x v="0"/>
    <n v="193375"/>
    <n v="193375"/>
    <n v="123.95833333333333"/>
    <m/>
    <m/>
    <s v="44"/>
    <x v="0"/>
    <x v="1"/>
  </r>
  <r>
    <x v="19"/>
    <x v="102"/>
    <s v="Silla salon de ventas"/>
    <s v="Total"/>
    <x v="0"/>
    <x v="0"/>
    <x v="0"/>
    <x v="0"/>
    <n v="217000"/>
    <n v="217000"/>
    <n v="139.10256410256412"/>
    <m/>
    <m/>
    <s v="50"/>
    <x v="329"/>
    <x v="0"/>
  </r>
  <r>
    <x v="66"/>
    <x v="103"/>
    <s v="Servicio de envios - La Rioja"/>
    <s v="Total"/>
    <x v="1"/>
    <x v="0"/>
    <x v="2"/>
    <x v="0"/>
    <n v="20000"/>
    <n v="20000"/>
    <n v="12.820512820512821"/>
    <m/>
    <m/>
    <s v="34"/>
    <x v="330"/>
    <x v="0"/>
  </r>
  <r>
    <x v="71"/>
    <x v="103"/>
    <s v="Servicio de envio -  Etiquetas - La Rioja Chilecito"/>
    <s v="Total"/>
    <x v="1"/>
    <x v="0"/>
    <x v="0"/>
    <x v="0"/>
    <n v="17000"/>
    <n v="17000"/>
    <n v="10.897435897435898"/>
    <m/>
    <m/>
    <s v="36"/>
    <x v="331"/>
    <x v="0"/>
  </r>
  <r>
    <x v="0"/>
    <x v="104"/>
    <s v="Repuestsos equipo de frio - Bodega"/>
    <s v="Total"/>
    <x v="1"/>
    <x v="0"/>
    <x v="0"/>
    <x v="0"/>
    <n v="269112.64"/>
    <n v="269112.64"/>
    <n v="172.50810256410259"/>
    <m/>
    <m/>
    <s v="22"/>
    <x v="0"/>
    <x v="0"/>
  </r>
  <r>
    <x v="50"/>
    <x v="104"/>
    <s v="Reparación aire casa Doctor"/>
    <s v="Total"/>
    <x v="1"/>
    <x v="0"/>
    <x v="0"/>
    <x v="0"/>
    <n v="494249.51"/>
    <n v="494249.51"/>
    <n v="316.82660897435898"/>
    <m/>
    <m/>
    <s v="04"/>
    <x v="332"/>
    <x v="0"/>
  </r>
  <r>
    <x v="57"/>
    <x v="104"/>
    <s v="Casa LH "/>
    <s v="Total"/>
    <x v="2"/>
    <x v="0"/>
    <x v="2"/>
    <x v="0"/>
    <n v="25999.98"/>
    <n v="25999.98"/>
    <n v="16.666653846153846"/>
    <m/>
    <m/>
    <s v="16"/>
    <x v="333"/>
    <x v="0"/>
  </r>
  <r>
    <x v="54"/>
    <x v="104"/>
    <s v="Servicio Lavanderia - Casa "/>
    <s v="Total"/>
    <x v="2"/>
    <x v="0"/>
    <x v="2"/>
    <x v="0"/>
    <n v="24000"/>
    <n v="24000"/>
    <n v="15.384615384615385"/>
    <m/>
    <m/>
    <s v="41"/>
    <x v="334"/>
    <x v="0"/>
  </r>
  <r>
    <x v="12"/>
    <x v="105"/>
    <s v="Reparaciones Fiat Toro"/>
    <s v="Total"/>
    <x v="2"/>
    <x v="0"/>
    <x v="2"/>
    <x v="0"/>
    <n v="590534.37"/>
    <n v="590534.37"/>
    <n v="378.54767307692305"/>
    <m/>
    <d v="2026-08-26T00:00:00"/>
    <n v="35"/>
    <x v="335"/>
    <x v="0"/>
  </r>
  <r>
    <x v="12"/>
    <x v="105"/>
    <s v="Reparaciones Fiat Toro"/>
    <s v="Total"/>
    <x v="2"/>
    <x v="0"/>
    <x v="2"/>
    <x v="0"/>
    <n v="5280.9"/>
    <n v="5280.9"/>
    <n v="3.3851923076923076"/>
    <s v="Retenciones"/>
    <m/>
    <s v="33"/>
    <x v="335"/>
    <x v="0"/>
  </r>
  <r>
    <x v="3"/>
    <x v="100"/>
    <s v="Cajas de pasas sin impresión"/>
    <s v="Total"/>
    <x v="0"/>
    <x v="0"/>
    <x v="1"/>
    <x v="0"/>
    <n v="3282681.6"/>
    <n v="3282681.6"/>
    <n v="2104.2830769230768"/>
    <m/>
    <m/>
    <s v="44"/>
    <x v="0"/>
    <x v="1"/>
  </r>
  <r>
    <x v="49"/>
    <x v="106"/>
    <s v="Service Toro"/>
    <s v="Parcial"/>
    <x v="1"/>
    <x v="0"/>
    <x v="1"/>
    <x v="0"/>
    <n v="984000"/>
    <n v="984000"/>
    <n v="630.76923076923072"/>
    <s v="CH 30 días"/>
    <d v="2025-07-11T00:00:00"/>
    <n v="28"/>
    <x v="336"/>
    <x v="0"/>
  </r>
  <r>
    <x v="48"/>
    <x v="106"/>
    <s v="Service S10 (Moyano)"/>
    <s v="Total"/>
    <x v="1"/>
    <x v="0"/>
    <x v="1"/>
    <x v="0"/>
    <n v="559499.99"/>
    <n v="559499.99"/>
    <n v="358.65383974358974"/>
    <s v="CH 15 días"/>
    <m/>
    <s v="16"/>
    <x v="337"/>
    <x v="0"/>
  </r>
  <r>
    <x v="58"/>
    <x v="107"/>
    <s v="Estacones de vid variedad malbec - atados"/>
    <s v="Total"/>
    <x v="2"/>
    <x v="1"/>
    <x v="2"/>
    <x v="0"/>
    <n v="500000"/>
    <n v="500000"/>
    <n v="320.5128205128205"/>
    <s v="Entregado a Flriana Rondina"/>
    <m/>
    <s v="30"/>
    <x v="338"/>
    <x v="0"/>
  </r>
  <r>
    <x v="64"/>
    <x v="108"/>
    <s v="Gas Planta"/>
    <s v="Total"/>
    <x v="1"/>
    <x v="0"/>
    <x v="1"/>
    <x v="0"/>
    <n v="844004.89"/>
    <n v="844004.89"/>
    <n v="541.02877564102562"/>
    <m/>
    <d v="2026-07-05T00:00:00"/>
    <n v="28"/>
    <x v="339"/>
    <x v="0"/>
  </r>
  <r>
    <x v="64"/>
    <x v="108"/>
    <s v="Gas Planta"/>
    <s v="Total"/>
    <x v="1"/>
    <x v="0"/>
    <x v="1"/>
    <x v="0"/>
    <n v="10995.11"/>
    <n v="10995.11"/>
    <n v="7.0481474358974365"/>
    <s v="Retenciones"/>
    <m/>
    <s v="22"/>
    <x v="339"/>
    <x v="0"/>
  </r>
  <r>
    <x v="44"/>
    <x v="108"/>
    <s v="Tubos de gas Planta"/>
    <s v="Total"/>
    <x v="0"/>
    <x v="0"/>
    <x v="1"/>
    <x v="0"/>
    <n v="2995034.35"/>
    <n v="2995034.35"/>
    <n v="1919.8938141025642"/>
    <m/>
    <d v="2026-08-12T00:00:00"/>
    <n v="33"/>
    <x v="340"/>
    <x v="0"/>
  </r>
  <r>
    <x v="44"/>
    <x v="108"/>
    <s v="Tubos de gas Planta"/>
    <s v="Total"/>
    <x v="0"/>
    <x v="0"/>
    <x v="2"/>
    <x v="0"/>
    <n v="55420.69"/>
    <n v="55420.69"/>
    <n v="35.526083333333332"/>
    <s v="Retenciones"/>
    <m/>
    <s v="31"/>
    <x v="340"/>
    <x v="0"/>
  </r>
  <r>
    <x v="11"/>
    <x v="108"/>
    <s v="Tubos de gas Planta"/>
    <s v="Total"/>
    <x v="0"/>
    <x v="0"/>
    <x v="1"/>
    <x v="0"/>
    <n v="280000"/>
    <n v="280000"/>
    <n v="179.48717948717947"/>
    <m/>
    <d v="2026-10-17T00:00:00"/>
    <n v="42"/>
    <x v="341"/>
    <x v="0"/>
  </r>
  <r>
    <x v="11"/>
    <x v="108"/>
    <s v="Tubos de gas Planta"/>
    <s v="Total"/>
    <x v="0"/>
    <x v="0"/>
    <x v="1"/>
    <x v="0"/>
    <n v="280000"/>
    <n v="280000"/>
    <n v="179.48717948717947"/>
    <m/>
    <d v="2026-10-20T00:00:00"/>
    <n v="43"/>
    <x v="341"/>
    <x v="0"/>
  </r>
  <r>
    <x v="11"/>
    <x v="108"/>
    <s v="Tubos de gas Planta"/>
    <s v="Total"/>
    <x v="0"/>
    <x v="0"/>
    <x v="1"/>
    <x v="0"/>
    <n v="280000"/>
    <n v="280000"/>
    <n v="179.48717948717947"/>
    <m/>
    <d v="2026-10-24T00:00:00"/>
    <n v="43"/>
    <x v="341"/>
    <x v="0"/>
  </r>
  <r>
    <x v="11"/>
    <x v="108"/>
    <s v="Tubos de gas Planta"/>
    <s v="Total"/>
    <x v="0"/>
    <x v="0"/>
    <x v="1"/>
    <x v="0"/>
    <n v="700000"/>
    <n v="700000"/>
    <n v="448.71794871794873"/>
    <m/>
    <d v="2026-11-25T00:00:00"/>
    <n v="48"/>
    <x v="341"/>
    <x v="0"/>
  </r>
  <r>
    <x v="11"/>
    <x v="108"/>
    <s v="Tubos de gas Planta"/>
    <s v="Total"/>
    <x v="0"/>
    <x v="0"/>
    <x v="2"/>
    <x v="0"/>
    <n v="10973.21"/>
    <n v="10973.21"/>
    <n v="7.0341089743589738"/>
    <m/>
    <m/>
    <s v="37"/>
    <x v="341"/>
    <x v="0"/>
  </r>
  <r>
    <x v="11"/>
    <x v="108"/>
    <s v="Tubos de gas Planta"/>
    <s v="Total"/>
    <x v="0"/>
    <x v="0"/>
    <x v="2"/>
    <x v="0"/>
    <n v="24026.79"/>
    <n v="24026.79"/>
    <n v="15.401788461538462"/>
    <s v="Retenciones"/>
    <m/>
    <s v="37"/>
    <x v="341"/>
    <x v="0"/>
  </r>
  <r>
    <x v="3"/>
    <x v="109"/>
    <s v="Gastos comida limpeza casa Doctor / Luciano"/>
    <s v="Total"/>
    <x v="2"/>
    <x v="0"/>
    <x v="2"/>
    <x v="0"/>
    <n v="250000"/>
    <n v="250000"/>
    <n v="160.25641025641025"/>
    <m/>
    <m/>
    <s v="44"/>
    <x v="0"/>
    <x v="2"/>
  </r>
  <r>
    <x v="0"/>
    <x v="110"/>
    <s v="Tubo Gas - nuez"/>
    <s v="Total"/>
    <x v="1"/>
    <x v="0"/>
    <x v="0"/>
    <x v="0"/>
    <n v="415500"/>
    <n v="415500"/>
    <n v="266.34615384615387"/>
    <m/>
    <m/>
    <s v="22"/>
    <x v="0"/>
    <x v="0"/>
  </r>
  <r>
    <x v="68"/>
    <x v="110"/>
    <s v="Bubos de gas Planta / Bodega"/>
    <s v="Total"/>
    <x v="1"/>
    <x v="0"/>
    <x v="0"/>
    <x v="0"/>
    <n v="412459.64"/>
    <n v="412459.64"/>
    <n v="264.39720512820514"/>
    <m/>
    <m/>
    <s v="23"/>
    <x v="21"/>
    <x v="0"/>
  </r>
  <r>
    <x v="67"/>
    <x v="110"/>
    <s v="2 tubos de gas x 45 para planta "/>
    <s v="Total"/>
    <x v="1"/>
    <x v="0"/>
    <x v="0"/>
    <x v="0"/>
    <n v="130000"/>
    <n v="130000"/>
    <n v="83.333333333333329"/>
    <m/>
    <m/>
    <s v="24"/>
    <x v="0"/>
    <x v="0"/>
  </r>
  <r>
    <x v="25"/>
    <x v="110"/>
    <s v="Tubos de gas planta"/>
    <s v="Total"/>
    <x v="1"/>
    <x v="0"/>
    <x v="0"/>
    <x v="0"/>
    <n v="195000"/>
    <n v="195000"/>
    <n v="125"/>
    <m/>
    <m/>
    <s v="27"/>
    <x v="342"/>
    <x v="0"/>
  </r>
  <r>
    <x v="69"/>
    <x v="110"/>
    <s v="Tubos de gas planta"/>
    <s v="Total"/>
    <x v="1"/>
    <x v="0"/>
    <x v="0"/>
    <x v="0"/>
    <n v="845000"/>
    <n v="845000"/>
    <n v="541.66666666666663"/>
    <m/>
    <m/>
    <s v="31"/>
    <x v="343"/>
    <x v="0"/>
  </r>
  <r>
    <x v="2"/>
    <x v="110"/>
    <s v="Tubos de cas - calefaccion planta"/>
    <s v="Total"/>
    <x v="1"/>
    <x v="0"/>
    <x v="0"/>
    <x v="0"/>
    <n v="260000"/>
    <n v="260000"/>
    <n v="166.66666666666666"/>
    <m/>
    <m/>
    <s v="32"/>
    <x v="344"/>
    <x v="0"/>
  </r>
  <r>
    <x v="28"/>
    <x v="110"/>
    <s v="Tubos - garrafa - pedido bodega"/>
    <s v="Total"/>
    <x v="1"/>
    <x v="0"/>
    <x v="0"/>
    <x v="0"/>
    <n v="717830.72"/>
    <n v="717830.72"/>
    <n v="460.14789743589739"/>
    <m/>
    <m/>
    <s v="40"/>
    <x v="345"/>
    <x v="0"/>
  </r>
  <r>
    <x v="29"/>
    <x v="110"/>
    <s v="Gas"/>
    <s v="Total"/>
    <x v="2"/>
    <x v="0"/>
    <x v="2"/>
    <x v="0"/>
    <n v="306500"/>
    <n v="306500"/>
    <n v="196.47435897435898"/>
    <m/>
    <m/>
    <s v="42"/>
    <x v="346"/>
    <x v="0"/>
  </r>
  <r>
    <x v="29"/>
    <x v="110"/>
    <s v="Gas"/>
    <s v="Total"/>
    <x v="1"/>
    <x v="0"/>
    <x v="1"/>
    <x v="0"/>
    <n v="407239.82"/>
    <n v="407239.82"/>
    <n v="261.05116666666669"/>
    <m/>
    <d v="2025-11-15T00:00:00"/>
    <n v="46"/>
    <x v="347"/>
    <x v="0"/>
  </r>
  <r>
    <x v="32"/>
    <x v="110"/>
    <s v="Pedido bodega "/>
    <s v="Total"/>
    <x v="1"/>
    <x v="0"/>
    <x v="0"/>
    <x v="0"/>
    <n v="116500.01"/>
    <n v="116500.01"/>
    <n v="74.679493589743586"/>
    <m/>
    <m/>
    <s v="09"/>
    <x v="348"/>
    <x v="0"/>
  </r>
  <r>
    <x v="20"/>
    <x v="110"/>
    <s v="Pdido campo"/>
    <s v="Total"/>
    <x v="0"/>
    <x v="0"/>
    <x v="0"/>
    <x v="0"/>
    <n v="169000"/>
    <n v="169000"/>
    <n v="108.33333333333333"/>
    <m/>
    <m/>
    <s v="15"/>
    <x v="349"/>
    <x v="0"/>
  </r>
  <r>
    <x v="20"/>
    <x v="110"/>
    <s v="Garrafa 10 KG"/>
    <s v="Total"/>
    <x v="2"/>
    <x v="0"/>
    <x v="2"/>
    <x v="0"/>
    <n v="30000"/>
    <n v="30000"/>
    <n v="19.23076923076923"/>
    <m/>
    <m/>
    <s v="15"/>
    <x v="350"/>
    <x v="0"/>
  </r>
  <r>
    <x v="58"/>
    <x v="110"/>
    <s v="Azucar x 50kg x 2 - pedido bodega"/>
    <s v="Total"/>
    <x v="2"/>
    <x v="0"/>
    <x v="2"/>
    <x v="0"/>
    <n v="118000"/>
    <n v="118000"/>
    <n v="75.641025641025635"/>
    <m/>
    <m/>
    <s v="30"/>
    <x v="351"/>
    <x v="0"/>
  </r>
  <r>
    <x v="38"/>
    <x v="110"/>
    <s v="Azucar para dulce de membirillo"/>
    <s v="Total"/>
    <x v="2"/>
    <x v="0"/>
    <x v="2"/>
    <x v="0"/>
    <n v="59000"/>
    <n v="59000"/>
    <n v="37.820512820512818"/>
    <m/>
    <m/>
    <s v="32"/>
    <x v="352"/>
    <x v="0"/>
  </r>
  <r>
    <x v="12"/>
    <x v="110"/>
    <s v="Reguladores de gas planta"/>
    <s v="Total"/>
    <x v="2"/>
    <x v="0"/>
    <x v="2"/>
    <x v="0"/>
    <n v="40000.01"/>
    <n v="40000.01"/>
    <n v="25.641032051282053"/>
    <m/>
    <m/>
    <s v="33"/>
    <x v="353"/>
    <x v="0"/>
  </r>
  <r>
    <x v="20"/>
    <x v="111"/>
    <s v="Flete finca La Seis a Granuva"/>
    <s v="Total"/>
    <x v="1"/>
    <x v="0"/>
    <x v="1"/>
    <x v="0"/>
    <n v="1072343.3999999999"/>
    <n v="1072343.3999999999"/>
    <n v="687.39961538461534"/>
    <m/>
    <d v="2026-04-24T00:00:00"/>
    <n v="17"/>
    <x v="354"/>
    <x v="0"/>
  </r>
  <r>
    <x v="20"/>
    <x v="111"/>
    <s v="Flete finca La Seis a Granuva"/>
    <s v="Total"/>
    <x v="1"/>
    <x v="0"/>
    <x v="1"/>
    <x v="0"/>
    <n v="16656.599999999999"/>
    <n v="16656.599999999999"/>
    <n v="10.677307692307691"/>
    <m/>
    <m/>
    <s v="15"/>
    <x v="354"/>
    <x v="0"/>
  </r>
  <r>
    <x v="64"/>
    <x v="111"/>
    <s v="Flete Bodega - 2 pallets"/>
    <s v="Total"/>
    <x v="1"/>
    <x v="0"/>
    <x v="1"/>
    <x v="0"/>
    <n v="270000"/>
    <n v="270000"/>
    <n v="173.07692307692307"/>
    <m/>
    <d v="2026-05-20T00:00:00"/>
    <n v="21"/>
    <x v="355"/>
    <x v="0"/>
  </r>
  <r>
    <x v="64"/>
    <x v="111"/>
    <s v="Flete Bodega - 2 pallets"/>
    <s v="Total"/>
    <x v="1"/>
    <x v="0"/>
    <x v="1"/>
    <x v="0"/>
    <n v="3119.41"/>
    <n v="3119.41"/>
    <n v="1.9996217948717947"/>
    <s v="Retenciones"/>
    <m/>
    <s v="22"/>
    <x v="355"/>
    <x v="0"/>
  </r>
  <r>
    <x v="12"/>
    <x v="112"/>
    <s v="Botellas Burdeo conica baja - 7 pallets"/>
    <s v="Total"/>
    <x v="1"/>
    <x v="0"/>
    <x v="0"/>
    <x v="0"/>
    <n v="4415909.57"/>
    <n v="4415909.57"/>
    <n v="2830.7112628205132"/>
    <m/>
    <m/>
    <s v="33"/>
    <x v="356"/>
    <x v="0"/>
  </r>
  <r>
    <x v="12"/>
    <x v="112"/>
    <s v="Botellas Burdeo conica baja - 7 pallets"/>
    <s v="Total"/>
    <x v="1"/>
    <x v="0"/>
    <x v="0"/>
    <x v="0"/>
    <n v="85549.18"/>
    <n v="85549.18"/>
    <n v="54.839217948717945"/>
    <m/>
    <m/>
    <s v="33"/>
    <x v="356"/>
    <x v="0"/>
  </r>
  <r>
    <x v="39"/>
    <x v="112"/>
    <s v="Pedido botellas bodega"/>
    <s v="Total"/>
    <x v="1"/>
    <x v="0"/>
    <x v="1"/>
    <x v="0"/>
    <n v="401103.23"/>
    <n v="401103.23"/>
    <n v="257.11745512820511"/>
    <m/>
    <d v="2026-10-15T00:00:00"/>
    <n v="42"/>
    <x v="357"/>
    <x v="0"/>
  </r>
  <r>
    <x v="39"/>
    <x v="112"/>
    <s v="Pedido botellas bodega"/>
    <s v="Total"/>
    <x v="1"/>
    <x v="0"/>
    <x v="1"/>
    <x v="0"/>
    <n v="3710158.99"/>
    <n v="3710158.99"/>
    <n v="2378.3070448717949"/>
    <m/>
    <d v="2026-10-15T00:00:00"/>
    <n v="42"/>
    <x v="357"/>
    <x v="0"/>
  </r>
  <r>
    <x v="39"/>
    <x v="112"/>
    <s v="Pedido botellas bodega"/>
    <s v="Total"/>
    <x v="1"/>
    <x v="0"/>
    <x v="1"/>
    <x v="0"/>
    <n v="204729.66"/>
    <n v="204729.66"/>
    <n v="131.23696153846154"/>
    <m/>
    <d v="2026-11-13T00:00:00"/>
    <n v="46"/>
    <x v="357"/>
    <x v="0"/>
  </r>
  <r>
    <x v="39"/>
    <x v="112"/>
    <s v="Pedido botellas bodega"/>
    <s v="Total"/>
    <x v="1"/>
    <x v="0"/>
    <x v="1"/>
    <x v="0"/>
    <n v="83510.039999999994"/>
    <n v="83510.039999999994"/>
    <n v="53.532076923076922"/>
    <s v="Retenciones"/>
    <m/>
    <s v="38"/>
    <x v="357"/>
    <x v="0"/>
  </r>
  <r>
    <x v="61"/>
    <x v="113"/>
    <s v="Filtros Service Campo"/>
    <s v="Total"/>
    <x v="1"/>
    <x v="0"/>
    <x v="1"/>
    <x v="0"/>
    <n v="314871.84999999998"/>
    <n v="314871.84999999998"/>
    <n v="201.84092948717947"/>
    <m/>
    <d v="2025-08-23T00:00:00"/>
    <n v="34"/>
    <x v="358"/>
    <x v="0"/>
  </r>
  <r>
    <x v="61"/>
    <x v="113"/>
    <s v="Filtros Service Campo"/>
    <s v="Total"/>
    <x v="1"/>
    <x v="0"/>
    <x v="1"/>
    <x v="0"/>
    <n v="314871.84999999998"/>
    <n v="314871.84999999998"/>
    <n v="201.84092948717947"/>
    <m/>
    <d v="2025-09-05T00:00:00"/>
    <n v="36"/>
    <x v="358"/>
    <x v="0"/>
  </r>
  <r>
    <x v="49"/>
    <x v="114"/>
    <s v="200 KG alambre 4.2 - Cava"/>
    <s v="Parcial"/>
    <x v="1"/>
    <x v="0"/>
    <x v="1"/>
    <x v="0"/>
    <n v="570000"/>
    <n v="570000"/>
    <n v="365.38461538461536"/>
    <s v="CH 30 días"/>
    <d v="2025-07-19T00:00:00"/>
    <n v="29"/>
    <x v="359"/>
    <x v="0"/>
  </r>
  <r>
    <x v="22"/>
    <x v="114"/>
    <s v="Alambre - Campana"/>
    <s v="Total"/>
    <x v="0"/>
    <x v="0"/>
    <x v="1"/>
    <x v="0"/>
    <n v="446667.34"/>
    <n v="446667.34"/>
    <n v="286.32521794871798"/>
    <m/>
    <m/>
    <s v="23"/>
    <x v="360"/>
    <x v="0"/>
  </r>
  <r>
    <x v="22"/>
    <x v="114"/>
    <s v="Alambre - Campana"/>
    <s v="Total"/>
    <x v="0"/>
    <x v="0"/>
    <x v="1"/>
    <x v="0"/>
    <n v="2951.72"/>
    <n v="2951.72"/>
    <n v="1.8921282051282049"/>
    <s v="Retenciones"/>
    <m/>
    <s v="23"/>
    <x v="360"/>
    <x v="0"/>
  </r>
  <r>
    <x v="26"/>
    <x v="115"/>
    <s v="Viñetas (Poda)"/>
    <s v="Total"/>
    <x v="1"/>
    <x v="0"/>
    <x v="0"/>
    <x v="0"/>
    <n v="606900.1"/>
    <n v="606900.1"/>
    <n v="389.03852564102561"/>
    <m/>
    <m/>
    <s v="29"/>
    <x v="361"/>
    <x v="0"/>
  </r>
  <r>
    <x v="5"/>
    <x v="115"/>
    <s v="Cintas de atar vid"/>
    <s v="Total"/>
    <x v="1"/>
    <x v="0"/>
    <x v="0"/>
    <x v="0"/>
    <n v="253980.04"/>
    <n v="253980.04"/>
    <n v="162.80771794871796"/>
    <m/>
    <m/>
    <s v="34"/>
    <x v="362"/>
    <x v="0"/>
  </r>
  <r>
    <x v="67"/>
    <x v="115"/>
    <s v="Cinta atar vid"/>
    <s v="Total"/>
    <x v="1"/>
    <x v="0"/>
    <x v="0"/>
    <x v="0"/>
    <n v="253980.04"/>
    <n v="253980.04"/>
    <n v="162.80771794871796"/>
    <m/>
    <m/>
    <s v="24"/>
    <x v="362"/>
    <x v="0"/>
  </r>
  <r>
    <x v="14"/>
    <x v="116"/>
    <s v="Reparacion de morores varios planta"/>
    <s v="Total"/>
    <x v="1"/>
    <x v="0"/>
    <x v="1"/>
    <x v="0"/>
    <n v="725000"/>
    <n v="725000"/>
    <n v="464.74358974358972"/>
    <m/>
    <m/>
    <s v="47"/>
    <x v="363"/>
    <x v="0"/>
  </r>
  <r>
    <x v="19"/>
    <x v="116"/>
    <s v="Reparacion y bolindo de motores 2 hp 3hp"/>
    <s v="Total"/>
    <x v="1"/>
    <x v="0"/>
    <x v="1"/>
    <x v="0"/>
    <n v="749652.47999999998"/>
    <n v="749652.47999999998"/>
    <n v="480.54646153846153"/>
    <m/>
    <d v="2026-01-02T00:00:00"/>
    <n v="1"/>
    <x v="364"/>
    <x v="0"/>
  </r>
  <r>
    <x v="19"/>
    <x v="116"/>
    <s v="Reparacion y bolindo de motores 2 hp 3hp"/>
    <s v="Total"/>
    <x v="1"/>
    <x v="0"/>
    <x v="1"/>
    <x v="0"/>
    <n v="115347.52"/>
    <n v="115347.52"/>
    <n v="73.940717948717946"/>
    <m/>
    <d v="2026-01-12T00:00:00"/>
    <n v="3"/>
    <x v="364"/>
    <x v="0"/>
  </r>
  <r>
    <x v="49"/>
    <x v="116"/>
    <s v="Sellos mecanico / Planta"/>
    <s v="Total"/>
    <x v="1"/>
    <x v="0"/>
    <x v="1"/>
    <x v="0"/>
    <n v="308000"/>
    <n v="308000"/>
    <n v="197.43589743589743"/>
    <s v="CH 30 días"/>
    <d v="2025-07-27T00:00:00"/>
    <n v="31"/>
    <x v="365"/>
    <x v="0"/>
  </r>
  <r>
    <x v="78"/>
    <x v="116"/>
    <s v="Reparacion motores varios - bodega  (trabajos ya realizados)"/>
    <s v="Total"/>
    <x v="1"/>
    <x v="0"/>
    <x v="0"/>
    <x v="0"/>
    <n v="680000"/>
    <n v="680000"/>
    <n v="435.89743589743591"/>
    <m/>
    <m/>
    <s v="13"/>
    <x v="0"/>
    <x v="0"/>
  </r>
  <r>
    <x v="51"/>
    <x v="116"/>
    <s v="Reparaciòn motores varios - Planta (trabajos ya realizados)"/>
    <s v="Total"/>
    <x v="1"/>
    <x v="0"/>
    <x v="1"/>
    <x v="0"/>
    <n v="1285000"/>
    <n v="1285000"/>
    <n v="823.71794871794873"/>
    <s v="CH 30 días"/>
    <m/>
    <s v="17"/>
    <x v="366"/>
    <x v="0"/>
  </r>
  <r>
    <x v="55"/>
    <x v="116"/>
    <s v="Reparacion talado / amoladora"/>
    <s v="Total"/>
    <x v="1"/>
    <x v="0"/>
    <x v="1"/>
    <x v="0"/>
    <n v="65000"/>
    <n v="65000"/>
    <n v="41.666666666666664"/>
    <s v="CH 15 días"/>
    <m/>
    <s v="19"/>
    <x v="367"/>
    <x v="0"/>
  </r>
  <r>
    <x v="0"/>
    <x v="116"/>
    <s v="Reparacion motores planta"/>
    <s v="Parcial"/>
    <x v="1"/>
    <x v="0"/>
    <x v="1"/>
    <x v="0"/>
    <n v="700000"/>
    <n v="700000"/>
    <n v="448.71794871794873"/>
    <s v="CH 45 días"/>
    <d v="2025-07-18T00:00:00"/>
    <n v="29"/>
    <x v="368"/>
    <x v="0"/>
  </r>
  <r>
    <x v="0"/>
    <x v="116"/>
    <s v="Sellos mecanicos - Planta "/>
    <s v="Parcial"/>
    <x v="1"/>
    <x v="0"/>
    <x v="1"/>
    <x v="0"/>
    <n v="120000"/>
    <n v="120000"/>
    <n v="76.92307692307692"/>
    <s v="CH 45 días"/>
    <d v="2025-07-18T00:00:00"/>
    <n v="29"/>
    <x v="368"/>
    <x v="0"/>
  </r>
  <r>
    <x v="8"/>
    <x v="116"/>
    <s v="Repararcion de motores varios - Planta"/>
    <s v="Total"/>
    <x v="1"/>
    <x v="0"/>
    <x v="1"/>
    <x v="0"/>
    <n v="1060000"/>
    <n v="1060000"/>
    <n v="679.48717948717945"/>
    <s v="CH 30 días"/>
    <d v="2025-09-04T00:00:00"/>
    <n v="36"/>
    <x v="369"/>
    <x v="0"/>
  </r>
  <r>
    <x v="70"/>
    <x v="116"/>
    <s v="Pedido bodega - Bomba de trasiego"/>
    <s v="Total"/>
    <x v="1"/>
    <x v="1"/>
    <x v="1"/>
    <x v="0"/>
    <n v="3500000"/>
    <n v="3500000"/>
    <n v="2243.5897435897436"/>
    <m/>
    <d v="2025-10-07T00:00:00"/>
    <n v="41"/>
    <x v="0"/>
    <x v="0"/>
  </r>
  <r>
    <x v="70"/>
    <x v="116"/>
    <s v="Pedido bodega - Bomba de trasiego"/>
    <s v="Total"/>
    <x v="1"/>
    <x v="1"/>
    <x v="1"/>
    <x v="0"/>
    <n v="472000"/>
    <n v="472000"/>
    <n v="302.56410256410254"/>
    <m/>
    <d v="2025-09-22T00:00:00"/>
    <n v="39"/>
    <x v="0"/>
    <x v="0"/>
  </r>
  <r>
    <x v="70"/>
    <x v="116"/>
    <s v="Pedido bodega - Bomba de trasiego"/>
    <s v="Total"/>
    <x v="2"/>
    <x v="1"/>
    <x v="2"/>
    <x v="0"/>
    <n v="28000"/>
    <n v="28000"/>
    <n v="17.948717948717949"/>
    <m/>
    <m/>
    <s v="36"/>
    <x v="0"/>
    <x v="0"/>
  </r>
  <r>
    <x v="6"/>
    <x v="116"/>
    <s v="Reposición de cheque"/>
    <s v="Total"/>
    <x v="2"/>
    <x v="1"/>
    <x v="2"/>
    <x v="0"/>
    <n v="500000"/>
    <n v="500000"/>
    <n v="320.5128205128205"/>
    <m/>
    <m/>
    <s v="41"/>
    <x v="370"/>
    <x v="0"/>
  </r>
  <r>
    <x v="29"/>
    <x v="116"/>
    <s v="Reposición de cheque"/>
    <s v="Total"/>
    <x v="2"/>
    <x v="1"/>
    <x v="2"/>
    <x v="0"/>
    <n v="1300000"/>
    <n v="1300000"/>
    <n v="833.33333333333337"/>
    <m/>
    <m/>
    <s v="42"/>
    <x v="371"/>
    <x v="0"/>
  </r>
  <r>
    <x v="63"/>
    <x v="116"/>
    <s v="Reposición de cheque"/>
    <s v="Total"/>
    <x v="2"/>
    <x v="1"/>
    <x v="2"/>
    <x v="0"/>
    <n v="700000"/>
    <n v="700000"/>
    <n v="448.71794871794873"/>
    <m/>
    <m/>
    <s v="44"/>
    <x v="372"/>
    <x v="0"/>
  </r>
  <r>
    <x v="30"/>
    <x v="116"/>
    <s v="Reposición de cheque"/>
    <s v="Total"/>
    <x v="2"/>
    <x v="1"/>
    <x v="2"/>
    <x v="0"/>
    <n v="1000000"/>
    <n v="1000000"/>
    <n v="641.02564102564099"/>
    <m/>
    <m/>
    <s v="43"/>
    <x v="373"/>
    <x v="0"/>
  </r>
  <r>
    <x v="50"/>
    <x v="116"/>
    <s v="Reposición cheque rehasado"/>
    <s v="Total"/>
    <x v="0"/>
    <x v="1"/>
    <x v="2"/>
    <x v="0"/>
    <n v="1086000"/>
    <n v="1086000"/>
    <n v="696.15384615384619"/>
    <m/>
    <m/>
    <s v="04"/>
    <x v="374"/>
    <x v="0"/>
  </r>
  <r>
    <x v="62"/>
    <x v="117"/>
    <s v="Reparaciones varias "/>
    <s v="Total"/>
    <x v="1"/>
    <x v="0"/>
    <x v="1"/>
    <x v="0"/>
    <n v="189935"/>
    <n v="189935"/>
    <n v="121.75320512820512"/>
    <m/>
    <d v="2026-06-19T00:00:00"/>
    <n v="25"/>
    <x v="375"/>
    <x v="0"/>
  </r>
  <r>
    <x v="62"/>
    <x v="117"/>
    <s v="Reparaciones varias "/>
    <s v="Total"/>
    <x v="1"/>
    <x v="0"/>
    <x v="1"/>
    <x v="0"/>
    <n v="100000"/>
    <n v="100000"/>
    <n v="64.102564102564102"/>
    <m/>
    <d v="2026-06-12T00:00:00"/>
    <n v="24"/>
    <x v="375"/>
    <x v="0"/>
  </r>
  <r>
    <x v="62"/>
    <x v="117"/>
    <s v="Reparaciones varias "/>
    <s v="Total"/>
    <x v="1"/>
    <x v="0"/>
    <x v="1"/>
    <x v="0"/>
    <n v="800000"/>
    <n v="800000"/>
    <n v="512.82051282051282"/>
    <m/>
    <d v="2026-06-21T00:00:00"/>
    <n v="26"/>
    <x v="375"/>
    <x v="0"/>
  </r>
  <r>
    <x v="34"/>
    <x v="117"/>
    <s v="Reparacion de motores varios"/>
    <s v="Total"/>
    <x v="1"/>
    <x v="0"/>
    <x v="1"/>
    <x v="0"/>
    <n v="617866"/>
    <n v="617866"/>
    <n v="396.0679487179487"/>
    <m/>
    <d v="2026-06-27T00:00:00"/>
    <n v="26"/>
    <x v="376"/>
    <x v="0"/>
  </r>
  <r>
    <x v="39"/>
    <x v="117"/>
    <s v="Reparacion de motores varios"/>
    <s v="Total"/>
    <x v="0"/>
    <x v="0"/>
    <x v="1"/>
    <x v="0"/>
    <n v="1000000"/>
    <n v="1000000"/>
    <n v="641.02564102564099"/>
    <m/>
    <d v="2026-10-15T00:00:00"/>
    <n v="42"/>
    <x v="377"/>
    <x v="0"/>
  </r>
  <r>
    <x v="3"/>
    <x v="105"/>
    <s v="Reparaciones Fiat Toro"/>
    <s v="Total"/>
    <x v="2"/>
    <x v="0"/>
    <x v="2"/>
    <x v="0"/>
    <n v="16184.729999999981"/>
    <n v="16184.729999999981"/>
    <n v="10.374826923076911"/>
    <m/>
    <m/>
    <s v="44"/>
    <x v="0"/>
    <x v="2"/>
  </r>
  <r>
    <x v="52"/>
    <x v="118"/>
    <s v="Bolsas termocontraibles "/>
    <s v="Total"/>
    <x v="1"/>
    <x v="0"/>
    <x v="1"/>
    <x v="0"/>
    <n v="499734.2"/>
    <n v="499734.2"/>
    <n v="320.34243589743591"/>
    <m/>
    <d v="2025-10-01T00:00:00"/>
    <n v="40"/>
    <x v="34"/>
    <x v="0"/>
  </r>
  <r>
    <x v="18"/>
    <x v="118"/>
    <s v="Bolsas para Nueces"/>
    <s v="Total"/>
    <x v="1"/>
    <x v="0"/>
    <x v="1"/>
    <x v="0"/>
    <n v="510111.35"/>
    <n v="510111.35"/>
    <n v="326.99445512820512"/>
    <m/>
    <d v="2025-10-10T00:00:00"/>
    <n v="41"/>
    <x v="34"/>
    <x v="0"/>
  </r>
  <r>
    <x v="52"/>
    <x v="118"/>
    <s v="Bolsas 40 x 60 90 micrones (al vacio)"/>
    <s v="Total"/>
    <x v="1"/>
    <x v="0"/>
    <x v="1"/>
    <x v="0"/>
    <n v="803577.8"/>
    <n v="803577.8"/>
    <n v="515.11397435897436"/>
    <m/>
    <d v="2025-10-01T00:00:00"/>
    <n v="40"/>
    <x v="378"/>
    <x v="0"/>
  </r>
  <r>
    <x v="63"/>
    <x v="118"/>
    <s v="Bolsas termocontraibles para nueces"/>
    <s v="Total"/>
    <x v="1"/>
    <x v="0"/>
    <x v="0"/>
    <x v="0"/>
    <n v="508308.9"/>
    <n v="508308.9"/>
    <n v="325.83903846153845"/>
    <m/>
    <m/>
    <s v="44"/>
    <x v="379"/>
    <x v="0"/>
  </r>
  <r>
    <x v="19"/>
    <x v="118"/>
    <s v="Bolsas termocontraibles para nueces"/>
    <s v="Total"/>
    <x v="1"/>
    <x v="0"/>
    <x v="0"/>
    <x v="0"/>
    <n v="504387.1"/>
    <n v="504387.1"/>
    <n v="323.32506410256411"/>
    <m/>
    <m/>
    <s v="50"/>
    <x v="380"/>
    <x v="0"/>
  </r>
  <r>
    <x v="77"/>
    <x v="118"/>
    <s v="Bolsas para nueces"/>
    <s v="Total"/>
    <x v="1"/>
    <x v="0"/>
    <x v="1"/>
    <x v="0"/>
    <n v="84486"/>
    <n v="84486"/>
    <n v="54.157692307692308"/>
    <m/>
    <m/>
    <s v="35"/>
    <x v="381"/>
    <x v="0"/>
  </r>
  <r>
    <x v="16"/>
    <x v="118"/>
    <s v="Cheque Rechasado"/>
    <s v="Total"/>
    <x v="0"/>
    <x v="0"/>
    <x v="0"/>
    <x v="0"/>
    <n v="85792.8"/>
    <n v="85792.8"/>
    <n v="54.995384615384616"/>
    <m/>
    <m/>
    <s v="43"/>
    <x v="382"/>
    <x v="0"/>
  </r>
  <r>
    <x v="16"/>
    <x v="118"/>
    <s v="Cheque Rechasado"/>
    <s v="Total"/>
    <x v="1"/>
    <x v="0"/>
    <x v="0"/>
    <x v="0"/>
    <n v="224871.89"/>
    <n v="224871.89"/>
    <n v="144.14864743589746"/>
    <m/>
    <d v="2026-11-13T00:00:00"/>
    <n v="46"/>
    <x v="383"/>
    <x v="0"/>
  </r>
  <r>
    <x v="16"/>
    <x v="118"/>
    <s v="Cheque Rechasado"/>
    <s v="Total"/>
    <x v="1"/>
    <x v="0"/>
    <x v="0"/>
    <x v="0"/>
    <n v="101102.84"/>
    <n v="101102.84"/>
    <n v="64.809512820512822"/>
    <m/>
    <d v="2026-10-19T00:00:00"/>
    <n v="43"/>
    <x v="383"/>
    <x v="0"/>
  </r>
  <r>
    <x v="16"/>
    <x v="118"/>
    <s v="Cheque Rechasado"/>
    <s v="Total"/>
    <x v="1"/>
    <x v="0"/>
    <x v="0"/>
    <x v="0"/>
    <n v="923.27"/>
    <n v="923.27"/>
    <n v="0.59183974358974356"/>
    <s v="Retenciones"/>
    <m/>
    <s v="43"/>
    <x v="383"/>
    <x v="0"/>
  </r>
  <r>
    <x v="0"/>
    <x v="119"/>
    <s v="Bolsas 60x40 90Mic."/>
    <s v="Parcial"/>
    <x v="1"/>
    <x v="0"/>
    <x v="1"/>
    <x v="0"/>
    <n v="465608"/>
    <n v="465608"/>
    <n v="298.46666666666664"/>
    <s v="CH 7 días"/>
    <d v="2025-06-10T00:00:00"/>
    <n v="24"/>
    <x v="0"/>
    <x v="0"/>
  </r>
  <r>
    <x v="25"/>
    <x v="119"/>
    <s v="Bolsas termocontraibles "/>
    <s v="Total"/>
    <x v="1"/>
    <x v="0"/>
    <x v="1"/>
    <x v="0"/>
    <n v="900000"/>
    <n v="900000"/>
    <n v="576.92307692307691"/>
    <s v="CH 15 días"/>
    <d v="2025-07-19T00:00:00"/>
    <n v="29"/>
    <x v="384"/>
    <x v="0"/>
  </r>
  <r>
    <x v="47"/>
    <x v="119"/>
    <s v="Bolsas de vacio para nueces"/>
    <s v="Total"/>
    <x v="1"/>
    <x v="0"/>
    <x v="1"/>
    <x v="0"/>
    <n v="1044920.8"/>
    <n v="1044920.8"/>
    <n v="669.8210256410257"/>
    <m/>
    <m/>
    <s v="20"/>
    <x v="385"/>
    <x v="0"/>
  </r>
  <r>
    <x v="47"/>
    <x v="119"/>
    <s v="Bolsas de vacio para nueces"/>
    <s v="Total"/>
    <x v="1"/>
    <x v="0"/>
    <x v="1"/>
    <x v="0"/>
    <n v="130006.39999999999"/>
    <n v="130006.39999999999"/>
    <n v="83.337435897435896"/>
    <s v="Retenciones"/>
    <m/>
    <s v="20"/>
    <x v="385"/>
    <x v="0"/>
  </r>
  <r>
    <x v="35"/>
    <x v="119"/>
    <s v="Bolsas de vacio para nueces"/>
    <s v="Total"/>
    <x v="1"/>
    <x v="0"/>
    <x v="1"/>
    <x v="0"/>
    <n v="1044920.8"/>
    <n v="1044920.8"/>
    <n v="669.8210256410257"/>
    <m/>
    <d v="2026-07-30T00:00:00"/>
    <n v="31"/>
    <x v="386"/>
    <x v="0"/>
  </r>
  <r>
    <x v="35"/>
    <x v="119"/>
    <s v="Bolsas de vacio para nueces"/>
    <s v="Total"/>
    <x v="1"/>
    <x v="0"/>
    <x v="1"/>
    <x v="0"/>
    <n v="13006.4"/>
    <n v="13006.4"/>
    <n v="8.3374358974358973"/>
    <s v="Retenciones"/>
    <m/>
    <s v="27"/>
    <x v="386"/>
    <x v="0"/>
  </r>
  <r>
    <x v="63"/>
    <x v="120"/>
    <s v="Estudio contable"/>
    <s v="Total"/>
    <x v="1"/>
    <x v="0"/>
    <x v="1"/>
    <x v="0"/>
    <n v="21333013.879999999"/>
    <n v="21333013.879999999"/>
    <n v="13675.008897435897"/>
    <m/>
    <m/>
    <s v="44"/>
    <x v="387"/>
    <x v="0"/>
  </r>
  <r>
    <x v="13"/>
    <x v="120"/>
    <m/>
    <s v="Total"/>
    <x v="3"/>
    <x v="0"/>
    <x v="0"/>
    <x v="0"/>
    <n v="3406551.65"/>
    <n v="3406551.65"/>
    <n v="2183.6869551282052"/>
    <m/>
    <m/>
    <s v="07"/>
    <x v="388"/>
    <x v="0"/>
  </r>
  <r>
    <x v="34"/>
    <x v="120"/>
    <s v="Estudio contable"/>
    <s v="Total"/>
    <x v="0"/>
    <x v="0"/>
    <x v="1"/>
    <x v="0"/>
    <n v="1062965.3400000001"/>
    <n v="1062965.3400000001"/>
    <n v="681.38803846153849"/>
    <m/>
    <d v="2026-06-20T00:00:00"/>
    <n v="25"/>
    <x v="389"/>
    <x v="0"/>
  </r>
  <r>
    <x v="34"/>
    <x v="120"/>
    <s v="Estudio contable"/>
    <s v="Total"/>
    <x v="0"/>
    <x v="0"/>
    <x v="1"/>
    <x v="0"/>
    <n v="190228"/>
    <n v="190228"/>
    <n v="121.94102564102565"/>
    <m/>
    <d v="2026-06-20T00:00:00"/>
    <n v="25"/>
    <x v="389"/>
    <x v="0"/>
  </r>
  <r>
    <x v="34"/>
    <x v="120"/>
    <s v="Estudio contable"/>
    <s v="Total"/>
    <x v="0"/>
    <x v="0"/>
    <x v="1"/>
    <x v="0"/>
    <n v="300000"/>
    <n v="300000"/>
    <n v="192.30769230769232"/>
    <m/>
    <d v="2026-06-20T00:00:00"/>
    <n v="25"/>
    <x v="389"/>
    <x v="0"/>
  </r>
  <r>
    <x v="34"/>
    <x v="120"/>
    <s v="Estudio contable"/>
    <s v="Total"/>
    <x v="0"/>
    <x v="0"/>
    <x v="1"/>
    <x v="0"/>
    <n v="680000"/>
    <n v="680000"/>
    <n v="435.89743589743591"/>
    <m/>
    <d v="2026-07-28T00:00:00"/>
    <n v="31"/>
    <x v="389"/>
    <x v="0"/>
  </r>
  <r>
    <x v="34"/>
    <x v="120"/>
    <s v="Estudio contable"/>
    <s v="Total"/>
    <x v="0"/>
    <x v="0"/>
    <x v="1"/>
    <x v="0"/>
    <n v="1214000"/>
    <n v="1214000"/>
    <n v="778.20512820512818"/>
    <m/>
    <d v="2026-05-20T00:00:00"/>
    <n v="21"/>
    <x v="389"/>
    <x v="0"/>
  </r>
  <r>
    <x v="34"/>
    <x v="120"/>
    <s v="Estudio contable"/>
    <s v="Total"/>
    <x v="0"/>
    <x v="0"/>
    <x v="1"/>
    <x v="0"/>
    <n v="54963.24"/>
    <n v="54963.24"/>
    <n v="35.232846153846154"/>
    <s v="Retenciones"/>
    <m/>
    <s v="21"/>
    <x v="389"/>
    <x v="0"/>
  </r>
  <r>
    <x v="22"/>
    <x v="120"/>
    <s v="Estudio contable"/>
    <s v="Total"/>
    <x v="0"/>
    <x v="0"/>
    <x v="1"/>
    <x v="0"/>
    <n v="3254640.08"/>
    <n v="3254640.08"/>
    <n v="2086.3077435897435"/>
    <m/>
    <m/>
    <s v="23"/>
    <x v="390"/>
    <x v="0"/>
  </r>
  <r>
    <x v="22"/>
    <x v="120"/>
    <s v="Estudio contable"/>
    <s v="Total"/>
    <x v="0"/>
    <x v="0"/>
    <x v="1"/>
    <x v="0"/>
    <n v="56306.64"/>
    <n v="56306.64"/>
    <n v="36.094000000000001"/>
    <s v="Retenciones"/>
    <m/>
    <s v="23"/>
    <x v="390"/>
    <x v="0"/>
  </r>
  <r>
    <x v="36"/>
    <x v="120"/>
    <s v="Estudio contable"/>
    <s v="Total"/>
    <x v="0"/>
    <x v="0"/>
    <x v="1"/>
    <x v="0"/>
    <n v="5250000"/>
    <n v="5250000"/>
    <n v="3365.3846153846152"/>
    <m/>
    <d v="2026-08-14T00:00:00"/>
    <n v="33"/>
    <x v="391"/>
    <x v="0"/>
  </r>
  <r>
    <x v="36"/>
    <x v="120"/>
    <s v="Estudio contable"/>
    <s v="Total"/>
    <x v="0"/>
    <x v="0"/>
    <x v="1"/>
    <x v="0"/>
    <n v="5250000"/>
    <n v="5250000"/>
    <n v="3365.3846153846152"/>
    <m/>
    <d v="2026-08-21T00:00:00"/>
    <n v="34"/>
    <x v="391"/>
    <x v="0"/>
  </r>
  <r>
    <x v="36"/>
    <x v="120"/>
    <s v="Estudio contable"/>
    <s v="Total"/>
    <x v="0"/>
    <x v="0"/>
    <x v="1"/>
    <x v="0"/>
    <n v="5250000"/>
    <n v="5250000"/>
    <n v="3365.3846153846152"/>
    <m/>
    <d v="2026-08-25T00:00:00"/>
    <n v="35"/>
    <x v="391"/>
    <x v="0"/>
  </r>
  <r>
    <x v="36"/>
    <x v="120"/>
    <s v="Estudio contable"/>
    <s v="Total"/>
    <x v="0"/>
    <x v="0"/>
    <x v="1"/>
    <x v="0"/>
    <n v="6150654.04"/>
    <n v="6150654.04"/>
    <n v="3942.7269487179487"/>
    <m/>
    <d v="2026-08-28T00:00:00"/>
    <n v="35"/>
    <x v="391"/>
    <x v="0"/>
  </r>
  <r>
    <x v="11"/>
    <x v="120"/>
    <s v="Cheque rechazado 812"/>
    <s v="Total"/>
    <x v="0"/>
    <x v="0"/>
    <x v="0"/>
    <x v="0"/>
    <n v="5250000"/>
    <n v="5250000"/>
    <n v="3365.3846153846152"/>
    <m/>
    <m/>
    <s v="37"/>
    <x v="392"/>
    <x v="0"/>
  </r>
  <r>
    <x v="11"/>
    <x v="120"/>
    <s v="Cheque rechazado 813"/>
    <s v="Total"/>
    <x v="0"/>
    <x v="0"/>
    <x v="0"/>
    <x v="0"/>
    <n v="5250000"/>
    <n v="5250000"/>
    <n v="3365.3846153846152"/>
    <m/>
    <m/>
    <s v="37"/>
    <x v="393"/>
    <x v="0"/>
  </r>
  <r>
    <x v="11"/>
    <x v="120"/>
    <s v="Cheque rechazado 814"/>
    <s v="Total"/>
    <x v="0"/>
    <x v="0"/>
    <x v="0"/>
    <x v="0"/>
    <n v="6150654.0499999998"/>
    <n v="6150654.0499999998"/>
    <n v="3942.7269551282052"/>
    <m/>
    <m/>
    <s v="37"/>
    <x v="394"/>
    <x v="0"/>
  </r>
  <r>
    <x v="3"/>
    <x v="108"/>
    <s v="Tubos de gas Planta"/>
    <s v="Total"/>
    <x v="0"/>
    <x v="0"/>
    <x v="2"/>
    <x v="0"/>
    <n v="0"/>
    <n v="0"/>
    <n v="0"/>
    <s v="Saldo a favor 901694.84"/>
    <m/>
    <s v="44"/>
    <x v="0"/>
    <x v="1"/>
  </r>
  <r>
    <x v="24"/>
    <x v="121"/>
    <s v="Flete"/>
    <s v="Total"/>
    <x v="1"/>
    <x v="0"/>
    <x v="0"/>
    <x v="0"/>
    <n v="1600000"/>
    <n v="1600000"/>
    <n v="1025.6410256410256"/>
    <m/>
    <m/>
    <s v="14"/>
    <x v="395"/>
    <x v="0"/>
  </r>
  <r>
    <x v="24"/>
    <x v="121"/>
    <s v="Flete"/>
    <s v="Total"/>
    <x v="1"/>
    <x v="0"/>
    <x v="0"/>
    <x v="0"/>
    <n v="25102.880000000001"/>
    <n v="25102.880000000001"/>
    <n v="16.091589743589743"/>
    <s v="Retenciones"/>
    <m/>
    <s v="14"/>
    <x v="395"/>
    <x v="0"/>
  </r>
  <r>
    <x v="50"/>
    <x v="121"/>
    <s v="Fletes"/>
    <s v="Total"/>
    <x v="0"/>
    <x v="1"/>
    <x v="1"/>
    <x v="0"/>
    <n v="300000"/>
    <n v="300000"/>
    <n v="192.30769230769232"/>
    <m/>
    <d v="2026-02-21T00:00:00"/>
    <n v="8"/>
    <x v="396"/>
    <x v="0"/>
  </r>
  <r>
    <x v="50"/>
    <x v="121"/>
    <s v="Fletes"/>
    <s v="Total"/>
    <x v="0"/>
    <x v="1"/>
    <x v="1"/>
    <x v="0"/>
    <n v="625000"/>
    <n v="625000"/>
    <n v="400.64102564102564"/>
    <m/>
    <d v="2026-02-16T00:00:00"/>
    <n v="8"/>
    <x v="396"/>
    <x v="0"/>
  </r>
  <r>
    <x v="50"/>
    <x v="121"/>
    <s v="Fletes"/>
    <s v="Total"/>
    <x v="0"/>
    <x v="1"/>
    <x v="1"/>
    <x v="0"/>
    <n v="970292"/>
    <n v="970292"/>
    <n v="621.98205128205132"/>
    <m/>
    <d v="2026-02-06T00:00:00"/>
    <n v="6"/>
    <x v="396"/>
    <x v="0"/>
  </r>
  <r>
    <x v="50"/>
    <x v="121"/>
    <s v="Fletes"/>
    <s v="Total"/>
    <x v="0"/>
    <x v="1"/>
    <x v="1"/>
    <x v="0"/>
    <n v="1880511.77"/>
    <n v="1880511.77"/>
    <n v="1205.4562628205128"/>
    <m/>
    <d v="2026-02-12T00:00:00"/>
    <n v="7"/>
    <x v="396"/>
    <x v="0"/>
  </r>
  <r>
    <x v="76"/>
    <x v="121"/>
    <s v="Combustible"/>
    <s v="Total"/>
    <x v="1"/>
    <x v="0"/>
    <x v="2"/>
    <x v="0"/>
    <n v="120000"/>
    <n v="120000"/>
    <n v="76.92307692307692"/>
    <m/>
    <m/>
    <s v="12"/>
    <x v="0"/>
    <x v="0"/>
  </r>
  <r>
    <x v="68"/>
    <x v="121"/>
    <s v="Combustible"/>
    <s v="Total"/>
    <x v="2"/>
    <x v="0"/>
    <x v="2"/>
    <x v="0"/>
    <n v="209000"/>
    <n v="209000"/>
    <n v="133.97435897435898"/>
    <m/>
    <m/>
    <s v="23"/>
    <x v="0"/>
    <x v="0"/>
  </r>
  <r>
    <x v="27"/>
    <x v="121"/>
    <s v="Combustible"/>
    <s v="Total"/>
    <x v="2"/>
    <x v="0"/>
    <x v="2"/>
    <x v="0"/>
    <n v="113001"/>
    <n v="113001"/>
    <n v="72.436538461538461"/>
    <m/>
    <m/>
    <s v="35"/>
    <x v="34"/>
    <x v="0"/>
  </r>
  <r>
    <x v="70"/>
    <x v="121"/>
    <s v="Combustible"/>
    <s v="Total"/>
    <x v="2"/>
    <x v="0"/>
    <x v="2"/>
    <x v="0"/>
    <n v="40000"/>
    <n v="40000"/>
    <n v="25.641025641025642"/>
    <m/>
    <m/>
    <s v="36"/>
    <x v="0"/>
    <x v="0"/>
  </r>
  <r>
    <x v="70"/>
    <x v="121"/>
    <s v="Combustible"/>
    <s v="Total"/>
    <x v="2"/>
    <x v="0"/>
    <x v="2"/>
    <x v="0"/>
    <n v="60000"/>
    <n v="60000"/>
    <n v="38.46153846153846"/>
    <m/>
    <m/>
    <s v="36"/>
    <x v="0"/>
    <x v="0"/>
  </r>
  <r>
    <x v="70"/>
    <x v="121"/>
    <s v="Combustible"/>
    <s v="Total"/>
    <x v="2"/>
    <x v="0"/>
    <x v="2"/>
    <x v="0"/>
    <n v="100000"/>
    <n v="100000"/>
    <n v="64.102564102564102"/>
    <m/>
    <m/>
    <s v="36"/>
    <x v="34"/>
    <x v="0"/>
  </r>
  <r>
    <x v="60"/>
    <x v="121"/>
    <s v="Combustible"/>
    <s v="Total"/>
    <x v="2"/>
    <x v="0"/>
    <x v="2"/>
    <x v="0"/>
    <n v="100000"/>
    <n v="100000"/>
    <n v="64.102564102564102"/>
    <m/>
    <m/>
    <s v="37"/>
    <x v="397"/>
    <x v="0"/>
  </r>
  <r>
    <x v="18"/>
    <x v="121"/>
    <s v="Combustible"/>
    <s v="Total"/>
    <x v="2"/>
    <x v="0"/>
    <x v="2"/>
    <x v="0"/>
    <n v="100000"/>
    <n v="100000"/>
    <n v="64.102564102564102"/>
    <m/>
    <m/>
    <s v="39"/>
    <x v="398"/>
    <x v="0"/>
  </r>
  <r>
    <x v="10"/>
    <x v="121"/>
    <s v="Combustible"/>
    <s v="Total"/>
    <x v="2"/>
    <x v="0"/>
    <x v="2"/>
    <x v="0"/>
    <n v="120010.47"/>
    <n v="120010.47"/>
    <n v="76.929788461538465"/>
    <m/>
    <m/>
    <s v="48"/>
    <x v="399"/>
    <x v="0"/>
  </r>
  <r>
    <x v="19"/>
    <x v="121"/>
    <s v="Combustible"/>
    <s v="Total"/>
    <x v="2"/>
    <x v="0"/>
    <x v="2"/>
    <x v="0"/>
    <n v="94999.14"/>
    <n v="94999.14"/>
    <n v="60.896884615384614"/>
    <m/>
    <m/>
    <s v="50"/>
    <x v="400"/>
    <x v="0"/>
  </r>
  <r>
    <x v="19"/>
    <x v="121"/>
    <s v="Combustible"/>
    <s v="Total"/>
    <x v="2"/>
    <x v="0"/>
    <x v="2"/>
    <x v="0"/>
    <n v="95000"/>
    <n v="95000"/>
    <n v="60.897435897435898"/>
    <m/>
    <m/>
    <s v="50"/>
    <x v="400"/>
    <x v="0"/>
  </r>
  <r>
    <x v="4"/>
    <x v="121"/>
    <s v="Combustible"/>
    <s v="Total"/>
    <x v="2"/>
    <x v="0"/>
    <x v="2"/>
    <x v="0"/>
    <n v="120000"/>
    <n v="120000"/>
    <n v="76.92307692307692"/>
    <m/>
    <m/>
    <s v="51"/>
    <x v="401"/>
    <x v="0"/>
  </r>
  <r>
    <x v="4"/>
    <x v="121"/>
    <s v="Combustible"/>
    <s v="Total"/>
    <x v="2"/>
    <x v="0"/>
    <x v="2"/>
    <x v="0"/>
    <n v="100000"/>
    <n v="100000"/>
    <n v="64.102564102564102"/>
    <m/>
    <m/>
    <s v="51"/>
    <x v="402"/>
    <x v="0"/>
  </r>
  <r>
    <x v="4"/>
    <x v="121"/>
    <s v="Flete canastos"/>
    <s v="Total"/>
    <x v="1"/>
    <x v="0"/>
    <x v="1"/>
    <x v="0"/>
    <n v="1936000"/>
    <n v="1936000"/>
    <n v="1241.0256410256411"/>
    <m/>
    <m/>
    <s v="51"/>
    <x v="403"/>
    <x v="0"/>
  </r>
  <r>
    <x v="10"/>
    <x v="121"/>
    <s v="Flete campana"/>
    <s v="Total"/>
    <x v="1"/>
    <x v="0"/>
    <x v="0"/>
    <x v="0"/>
    <n v="961506.21"/>
    <n v="961506.21"/>
    <n v="616.3501346153846"/>
    <m/>
    <m/>
    <s v="48"/>
    <x v="404"/>
    <x v="0"/>
  </r>
  <r>
    <x v="9"/>
    <x v="121"/>
    <s v="Combustible"/>
    <s v="Total"/>
    <x v="2"/>
    <x v="0"/>
    <x v="2"/>
    <x v="0"/>
    <n v="143005"/>
    <n v="143005"/>
    <n v="91.669871794871796"/>
    <m/>
    <m/>
    <s v="05"/>
    <x v="405"/>
    <x v="0"/>
  </r>
  <r>
    <x v="41"/>
    <x v="121"/>
    <s v="Flete"/>
    <s v="Total"/>
    <x v="1"/>
    <x v="0"/>
    <x v="0"/>
    <x v="0"/>
    <n v="1936000"/>
    <n v="1936000"/>
    <n v="1241.0256410256411"/>
    <m/>
    <m/>
    <s v="08"/>
    <x v="406"/>
    <x v="0"/>
  </r>
  <r>
    <x v="20"/>
    <x v="121"/>
    <s v="Combustible"/>
    <s v="Total"/>
    <x v="2"/>
    <x v="0"/>
    <x v="2"/>
    <x v="0"/>
    <n v="80011.27"/>
    <n v="80011.27"/>
    <n v="51.289275641025647"/>
    <m/>
    <m/>
    <s v="15"/>
    <x v="407"/>
    <x v="0"/>
  </r>
  <r>
    <x v="20"/>
    <x v="121"/>
    <s v="Fletes Soda Caustica"/>
    <s v="Parcial"/>
    <x v="1"/>
    <x v="0"/>
    <x v="0"/>
    <x v="0"/>
    <n v="2400000"/>
    <n v="2400000"/>
    <n v="1538.4615384615386"/>
    <m/>
    <m/>
    <s v="15"/>
    <x v="408"/>
    <x v="0"/>
  </r>
  <r>
    <x v="20"/>
    <x v="121"/>
    <s v="Fletes Soda Caustica"/>
    <s v="Parcial"/>
    <x v="1"/>
    <x v="0"/>
    <x v="0"/>
    <x v="0"/>
    <n v="38326.019999999997"/>
    <n v="38326.019999999997"/>
    <n v="24.567961538461535"/>
    <m/>
    <m/>
    <s v="15"/>
    <x v="408"/>
    <x v="0"/>
  </r>
  <r>
    <x v="57"/>
    <x v="121"/>
    <s v="Combustible"/>
    <s v="Total"/>
    <x v="2"/>
    <x v="0"/>
    <x v="2"/>
    <x v="0"/>
    <n v="40000.85"/>
    <n v="40000.85"/>
    <n v="25.641570512820511"/>
    <m/>
    <m/>
    <s v="16"/>
    <x v="409"/>
    <x v="0"/>
  </r>
  <r>
    <x v="57"/>
    <x v="121"/>
    <s v="Combustible"/>
    <s v="Total"/>
    <x v="2"/>
    <x v="0"/>
    <x v="2"/>
    <x v="0"/>
    <n v="159996.93"/>
    <n v="159996.93"/>
    <n v="102.56213461538461"/>
    <m/>
    <m/>
    <s v="16"/>
    <x v="410"/>
    <x v="0"/>
  </r>
  <r>
    <x v="57"/>
    <x v="121"/>
    <s v="Combustible"/>
    <s v="Total"/>
    <x v="2"/>
    <x v="0"/>
    <x v="2"/>
    <x v="0"/>
    <n v="161009.29999999999"/>
    <n v="161009.29999999999"/>
    <n v="103.21108974358974"/>
    <m/>
    <m/>
    <s v="16"/>
    <x v="411"/>
    <x v="0"/>
  </r>
  <r>
    <x v="62"/>
    <x v="121"/>
    <s v="Combustible"/>
    <s v="Total"/>
    <x v="2"/>
    <x v="0"/>
    <x v="2"/>
    <x v="0"/>
    <n v="20000.419999999998"/>
    <n v="20000.419999999998"/>
    <n v="12.82078205128205"/>
    <m/>
    <m/>
    <s v="19"/>
    <x v="412"/>
    <x v="0"/>
  </r>
  <r>
    <x v="62"/>
    <x v="121"/>
    <s v="Combustible"/>
    <s v="Total"/>
    <x v="2"/>
    <x v="0"/>
    <x v="2"/>
    <x v="0"/>
    <n v="169013.4"/>
    <n v="169013.4"/>
    <n v="108.34192307692307"/>
    <m/>
    <m/>
    <s v="19"/>
    <x v="413"/>
    <x v="0"/>
  </r>
  <r>
    <x v="62"/>
    <x v="121"/>
    <s v="Combustible"/>
    <s v="Total"/>
    <x v="2"/>
    <x v="0"/>
    <x v="2"/>
    <x v="0"/>
    <n v="50000.91"/>
    <n v="50000.91"/>
    <n v="32.05186538461539"/>
    <m/>
    <m/>
    <s v="19"/>
    <x v="414"/>
    <x v="0"/>
  </r>
  <r>
    <x v="47"/>
    <x v="121"/>
    <s v="Combustible"/>
    <s v="Total"/>
    <x v="2"/>
    <x v="0"/>
    <x v="2"/>
    <x v="0"/>
    <n v="150005.12"/>
    <n v="150005.12"/>
    <n v="96.157128205128203"/>
    <m/>
    <m/>
    <s v="20"/>
    <x v="415"/>
    <x v="0"/>
  </r>
  <r>
    <x v="47"/>
    <x v="121"/>
    <s v="Combustible"/>
    <s v="Total"/>
    <x v="2"/>
    <x v="0"/>
    <x v="2"/>
    <x v="0"/>
    <n v="150081.9"/>
    <n v="150081.9"/>
    <n v="96.206346153846155"/>
    <m/>
    <m/>
    <s v="20"/>
    <x v="416"/>
    <x v="0"/>
  </r>
  <r>
    <x v="47"/>
    <x v="121"/>
    <s v="Combustible"/>
    <s v="Total"/>
    <x v="2"/>
    <x v="0"/>
    <x v="2"/>
    <x v="0"/>
    <n v="99998.98"/>
    <n v="99998.98"/>
    <n v="64.10191025641025"/>
    <m/>
    <m/>
    <s v="20"/>
    <x v="417"/>
    <x v="0"/>
  </r>
  <r>
    <x v="47"/>
    <x v="121"/>
    <s v="Combustible"/>
    <s v="Total"/>
    <x v="2"/>
    <x v="0"/>
    <x v="2"/>
    <x v="0"/>
    <n v="14999.71"/>
    <n v="14999.71"/>
    <n v="9.6151987179487168"/>
    <m/>
    <m/>
    <s v="20"/>
    <x v="418"/>
    <x v="0"/>
  </r>
  <r>
    <x v="43"/>
    <x v="121"/>
    <s v="Pulpeado Nueces "/>
    <s v="Total"/>
    <x v="2"/>
    <x v="1"/>
    <x v="2"/>
    <x v="0"/>
    <n v="1000000"/>
    <n v="1000000"/>
    <n v="641.02564102564099"/>
    <m/>
    <m/>
    <s v="26"/>
    <x v="419"/>
    <x v="0"/>
  </r>
  <r>
    <x v="35"/>
    <x v="121"/>
    <s v="Combustible"/>
    <s v="Total"/>
    <x v="2"/>
    <x v="0"/>
    <x v="2"/>
    <x v="0"/>
    <n v="65006.15"/>
    <n v="65006.15"/>
    <n v="41.670608974358977"/>
    <m/>
    <m/>
    <s v="27"/>
    <x v="420"/>
    <x v="0"/>
  </r>
  <r>
    <x v="35"/>
    <x v="121"/>
    <s v="Combustible"/>
    <s v="Total"/>
    <x v="2"/>
    <x v="0"/>
    <x v="2"/>
    <x v="0"/>
    <n v="49999.5"/>
    <n v="49999.5"/>
    <n v="32.050961538461536"/>
    <m/>
    <m/>
    <s v="27"/>
    <x v="420"/>
    <x v="0"/>
  </r>
  <r>
    <x v="35"/>
    <x v="121"/>
    <s v="Combustible"/>
    <s v="Total"/>
    <x v="2"/>
    <x v="0"/>
    <x v="2"/>
    <x v="0"/>
    <n v="30000.19"/>
    <n v="30000.19"/>
    <n v="19.230891025641025"/>
    <m/>
    <m/>
    <s v="27"/>
    <x v="420"/>
    <x v="0"/>
  </r>
  <r>
    <x v="35"/>
    <x v="121"/>
    <s v="Combustible"/>
    <s v="Total"/>
    <x v="2"/>
    <x v="0"/>
    <x v="2"/>
    <x v="0"/>
    <n v="40000.550000000003"/>
    <n v="40000.550000000003"/>
    <n v="25.641378205128206"/>
    <m/>
    <m/>
    <s v="27"/>
    <x v="420"/>
    <x v="0"/>
  </r>
  <r>
    <x v="35"/>
    <x v="121"/>
    <s v="Combustible"/>
    <s v="Total"/>
    <x v="2"/>
    <x v="0"/>
    <x v="2"/>
    <x v="0"/>
    <n v="40000.99"/>
    <n v="40000.99"/>
    <n v="25.641660256410255"/>
    <m/>
    <m/>
    <s v="27"/>
    <x v="420"/>
    <x v="0"/>
  </r>
  <r>
    <x v="35"/>
    <x v="121"/>
    <s v="Combustible"/>
    <s v="Total"/>
    <x v="2"/>
    <x v="0"/>
    <x v="2"/>
    <x v="0"/>
    <n v="49998.9"/>
    <n v="49998.9"/>
    <n v="32.050576923076925"/>
    <m/>
    <m/>
    <s v="27"/>
    <x v="420"/>
    <x v="0"/>
  </r>
  <r>
    <x v="35"/>
    <x v="121"/>
    <s v="Pulpeado Nueces "/>
    <s v="Total"/>
    <x v="2"/>
    <x v="1"/>
    <x v="2"/>
    <x v="0"/>
    <n v="1000000"/>
    <n v="1000000"/>
    <n v="641.02564102564099"/>
    <m/>
    <m/>
    <s v="27"/>
    <x v="421"/>
    <x v="0"/>
  </r>
  <r>
    <x v="36"/>
    <x v="121"/>
    <s v="Pulpeado Nueces "/>
    <s v="Total"/>
    <x v="2"/>
    <x v="1"/>
    <x v="2"/>
    <x v="0"/>
    <n v="1000000"/>
    <n v="1000000"/>
    <n v="641.02564102564099"/>
    <m/>
    <m/>
    <s v="28"/>
    <x v="422"/>
    <x v="0"/>
  </r>
  <r>
    <x v="37"/>
    <x v="121"/>
    <s v="Pulpeado Nueces "/>
    <s v="Total"/>
    <x v="2"/>
    <x v="1"/>
    <x v="2"/>
    <x v="0"/>
    <n v="1000000"/>
    <n v="1000000"/>
    <n v="641.02564102564099"/>
    <m/>
    <m/>
    <s v="29"/>
    <x v="423"/>
    <x v="0"/>
  </r>
  <r>
    <x v="42"/>
    <x v="121"/>
    <s v="Pulpeado Nueces "/>
    <s v="Total"/>
    <x v="2"/>
    <x v="1"/>
    <x v="2"/>
    <x v="0"/>
    <n v="500000"/>
    <n v="500000"/>
    <n v="320.5128205128205"/>
    <m/>
    <m/>
    <s v="24"/>
    <x v="424"/>
    <x v="0"/>
  </r>
  <r>
    <x v="42"/>
    <x v="121"/>
    <s v="Riego Santa Cruz "/>
    <s v="Total"/>
    <x v="2"/>
    <x v="1"/>
    <x v="2"/>
    <x v="0"/>
    <n v="170000"/>
    <n v="170000"/>
    <n v="108.97435897435898"/>
    <m/>
    <m/>
    <s v="24"/>
    <x v="425"/>
    <x v="0"/>
  </r>
  <r>
    <x v="58"/>
    <x v="121"/>
    <s v="Combustible"/>
    <s v="Total"/>
    <x v="2"/>
    <x v="0"/>
    <x v="2"/>
    <x v="0"/>
    <n v="160008"/>
    <n v="160008"/>
    <n v="102.56923076923077"/>
    <s v="A rendir"/>
    <m/>
    <s v="30"/>
    <x v="426"/>
    <x v="0"/>
  </r>
  <r>
    <x v="58"/>
    <x v="121"/>
    <s v="Pulpeado Nueces "/>
    <s v="Total"/>
    <x v="2"/>
    <x v="1"/>
    <x v="2"/>
    <x v="0"/>
    <n v="1000000"/>
    <n v="1000000"/>
    <n v="641.02564102564099"/>
    <m/>
    <m/>
    <s v="30"/>
    <x v="427"/>
    <x v="0"/>
  </r>
  <r>
    <x v="58"/>
    <x v="121"/>
    <s v="Combustible"/>
    <s v="Total"/>
    <x v="2"/>
    <x v="0"/>
    <x v="2"/>
    <x v="0"/>
    <n v="19999.21"/>
    <n v="19999.21"/>
    <n v="12.82000641025641"/>
    <m/>
    <m/>
    <s v="30"/>
    <x v="428"/>
    <x v="0"/>
  </r>
  <r>
    <x v="58"/>
    <x v="121"/>
    <s v="Combustible"/>
    <s v="Total"/>
    <x v="2"/>
    <x v="0"/>
    <x v="2"/>
    <x v="0"/>
    <n v="50000.75"/>
    <n v="50000.75"/>
    <n v="32.05176282051282"/>
    <m/>
    <m/>
    <s v="30"/>
    <x v="429"/>
    <x v="0"/>
  </r>
  <r>
    <x v="58"/>
    <x v="121"/>
    <s v="Combustible"/>
    <s v="Total"/>
    <x v="2"/>
    <x v="0"/>
    <x v="2"/>
    <x v="0"/>
    <n v="80002.69"/>
    <n v="80002.69"/>
    <n v="51.283775641025642"/>
    <m/>
    <m/>
    <s v="30"/>
    <x v="430"/>
    <x v="0"/>
  </r>
  <r>
    <x v="38"/>
    <x v="121"/>
    <s v="Combustible"/>
    <s v="Total"/>
    <x v="2"/>
    <x v="0"/>
    <x v="2"/>
    <x v="0"/>
    <n v="100000.02"/>
    <n v="100000.02"/>
    <n v="64.102576923076924"/>
    <m/>
    <m/>
    <s v="32"/>
    <x v="431"/>
    <x v="0"/>
  </r>
  <r>
    <x v="66"/>
    <x v="121"/>
    <s v="Combustible"/>
    <s v="Total"/>
    <x v="2"/>
    <x v="0"/>
    <x v="2"/>
    <x v="0"/>
    <n v="100000.1"/>
    <n v="100000.1"/>
    <n v="64.102628205128212"/>
    <m/>
    <m/>
    <s v="34"/>
    <x v="432"/>
    <x v="0"/>
  </r>
  <r>
    <x v="71"/>
    <x v="121"/>
    <s v="Pulpeado Nueces "/>
    <s v="Total"/>
    <x v="2"/>
    <x v="1"/>
    <x v="2"/>
    <x v="0"/>
    <n v="500000"/>
    <n v="500000"/>
    <n v="320.5128205128205"/>
    <m/>
    <m/>
    <s v="36"/>
    <x v="433"/>
    <x v="0"/>
  </r>
  <r>
    <x v="77"/>
    <x v="121"/>
    <s v="Pulpeado de nuez campaña 2026"/>
    <s v="Total"/>
    <x v="0"/>
    <x v="1"/>
    <x v="2"/>
    <x v="0"/>
    <n v="1000000"/>
    <n v="1000000"/>
    <n v="641.02564102564099"/>
    <m/>
    <m/>
    <s v="35"/>
    <x v="434"/>
    <x v="0"/>
  </r>
  <r>
    <x v="72"/>
    <x v="121"/>
    <s v="Combustible"/>
    <s v="Total"/>
    <x v="2"/>
    <x v="0"/>
    <x v="2"/>
    <x v="0"/>
    <n v="149999.59"/>
    <n v="149999.59"/>
    <n v="96.15358333333333"/>
    <m/>
    <m/>
    <s v="39"/>
    <x v="435"/>
    <x v="0"/>
  </r>
  <r>
    <x v="72"/>
    <x v="121"/>
    <s v="Combustible"/>
    <s v="Total"/>
    <x v="2"/>
    <x v="0"/>
    <x v="2"/>
    <x v="0"/>
    <n v="40005"/>
    <n v="40005"/>
    <n v="25.64423076923077"/>
    <m/>
    <m/>
    <s v="39"/>
    <x v="436"/>
    <x v="0"/>
  </r>
  <r>
    <x v="72"/>
    <x v="121"/>
    <s v="Combustible"/>
    <s v="Total"/>
    <x v="2"/>
    <x v="0"/>
    <x v="2"/>
    <x v="0"/>
    <n v="146018.6"/>
    <n v="146018.6"/>
    <n v="93.601666666666674"/>
    <m/>
    <m/>
    <s v="39"/>
    <x v="437"/>
    <x v="0"/>
  </r>
  <r>
    <x v="46"/>
    <x v="121"/>
    <s v="Combustible"/>
    <s v="Total"/>
    <x v="2"/>
    <x v="0"/>
    <x v="2"/>
    <x v="0"/>
    <n v="166002.97"/>
    <n v="166002.97"/>
    <n v="106.41216025641026"/>
    <s v="A rendir"/>
    <m/>
    <s v="42"/>
    <x v="438"/>
    <x v="0"/>
  </r>
  <r>
    <x v="3"/>
    <x v="117"/>
    <s v="Reparacion de motores varios"/>
    <s v="Total"/>
    <x v="0"/>
    <x v="0"/>
    <x v="1"/>
    <x v="0"/>
    <n v="137199"/>
    <n v="137199"/>
    <n v="87.948076923076925"/>
    <m/>
    <m/>
    <s v="44"/>
    <x v="0"/>
    <x v="2"/>
  </r>
  <r>
    <x v="3"/>
    <x v="120"/>
    <s v="Estudio contable"/>
    <s v="Total"/>
    <x v="0"/>
    <x v="0"/>
    <x v="1"/>
    <x v="0"/>
    <n v="15053191.1"/>
    <n v="15053191.1"/>
    <n v="9649.4814743589741"/>
    <m/>
    <m/>
    <s v="44"/>
    <x v="0"/>
    <x v="1"/>
  </r>
  <r>
    <x v="3"/>
    <x v="121"/>
    <s v="Combustible"/>
    <s v="Total"/>
    <x v="2"/>
    <x v="0"/>
    <x v="2"/>
    <x v="0"/>
    <n v="26023.19"/>
    <n v="26023.19"/>
    <n v="16.681532051282051"/>
    <s v="A favor"/>
    <m/>
    <s v="44"/>
    <x v="0"/>
    <x v="1"/>
  </r>
  <r>
    <x v="3"/>
    <x v="121"/>
    <s v="Combustible"/>
    <s v="Total"/>
    <x v="2"/>
    <x v="0"/>
    <x v="2"/>
    <x v="0"/>
    <n v="200000"/>
    <n v="200000"/>
    <n v="128.2051282051282"/>
    <m/>
    <m/>
    <s v="44"/>
    <x v="0"/>
    <x v="2"/>
  </r>
  <r>
    <x v="56"/>
    <x v="122"/>
    <s v="Combustible los cerrillos"/>
    <s v="Total"/>
    <x v="2"/>
    <x v="0"/>
    <x v="2"/>
    <x v="0"/>
    <n v="50007"/>
    <n v="50007"/>
    <n v="32.055769230769229"/>
    <m/>
    <m/>
    <s v="11"/>
    <x v="439"/>
    <x v="0"/>
  </r>
  <r>
    <x v="20"/>
    <x v="123"/>
    <s v="Flete Grava"/>
    <s v="Total"/>
    <x v="1"/>
    <x v="0"/>
    <x v="1"/>
    <x v="0"/>
    <n v="982421.7"/>
    <n v="982421.7"/>
    <n v="629.75749999999994"/>
    <m/>
    <d v="2026-04-22T00:00:00"/>
    <n v="17"/>
    <x v="440"/>
    <x v="0"/>
  </r>
  <r>
    <x v="20"/>
    <x v="123"/>
    <s v="Flete Grava"/>
    <s v="Total"/>
    <x v="1"/>
    <x v="0"/>
    <x v="1"/>
    <x v="0"/>
    <n v="982421.7"/>
    <n v="982421.7"/>
    <n v="629.75749999999994"/>
    <m/>
    <d v="2026-05-08T00:00:00"/>
    <n v="19"/>
    <x v="440"/>
    <x v="0"/>
  </r>
  <r>
    <x v="20"/>
    <x v="123"/>
    <s v="Flete Grava"/>
    <s v="Total"/>
    <x v="1"/>
    <x v="0"/>
    <x v="1"/>
    <x v="0"/>
    <n v="31656.6"/>
    <n v="31656.6"/>
    <n v="20.292692307692306"/>
    <s v="Retenciones"/>
    <m/>
    <s v="15"/>
    <x v="440"/>
    <x v="0"/>
  </r>
  <r>
    <x v="2"/>
    <x v="124"/>
    <s v="Movilidad y viatico - alojamiento Barreini Jorge"/>
    <s v="Total"/>
    <x v="1"/>
    <x v="0"/>
    <x v="0"/>
    <x v="0"/>
    <n v="330100"/>
    <n v="330100"/>
    <n v="211.60256410256412"/>
    <m/>
    <m/>
    <s v="32"/>
    <x v="441"/>
    <x v="0"/>
  </r>
  <r>
    <x v="18"/>
    <x v="124"/>
    <s v="Hospedaje Jorge Ballerini"/>
    <s v="Total"/>
    <x v="1"/>
    <x v="0"/>
    <x v="0"/>
    <x v="0"/>
    <n v="63600"/>
    <n v="63600"/>
    <n v="40.769230769230766"/>
    <m/>
    <m/>
    <s v="39"/>
    <x v="442"/>
    <x v="0"/>
  </r>
  <r>
    <x v="18"/>
    <x v="124"/>
    <m/>
    <s v="Total"/>
    <x v="1"/>
    <x v="0"/>
    <x v="0"/>
    <x v="0"/>
    <n v="44700"/>
    <n v="44700"/>
    <n v="28.653846153846153"/>
    <m/>
    <m/>
    <s v="39"/>
    <x v="443"/>
    <x v="0"/>
  </r>
  <r>
    <x v="79"/>
    <x v="125"/>
    <s v="Recambio Postes - cuadros pasa de uva"/>
    <s v="Total"/>
    <x v="1"/>
    <x v="0"/>
    <x v="1"/>
    <x v="0"/>
    <n v="101421716"/>
    <n v="101421716"/>
    <n v="65013.920512820514"/>
    <m/>
    <m/>
    <s v="00"/>
    <x v="0"/>
    <x v="1"/>
  </r>
  <r>
    <x v="10"/>
    <x v="126"/>
    <s v="Vajillas Almuerzo fin de capactación"/>
    <s v="Total"/>
    <x v="1"/>
    <x v="0"/>
    <x v="0"/>
    <x v="0"/>
    <n v="105875"/>
    <n v="105875"/>
    <n v="67.868589743589737"/>
    <m/>
    <m/>
    <s v="48"/>
    <x v="444"/>
    <x v="0"/>
  </r>
  <r>
    <x v="17"/>
    <x v="127"/>
    <s v="Griferia salon de ventas"/>
    <s v="Total"/>
    <x v="1"/>
    <x v="0"/>
    <x v="0"/>
    <x v="0"/>
    <n v="101800"/>
    <n v="101800"/>
    <n v="65.256410256410263"/>
    <m/>
    <m/>
    <s v="26"/>
    <x v="0"/>
    <x v="0"/>
  </r>
  <r>
    <x v="19"/>
    <x v="128"/>
    <s v="Dispenser para papel y jabon - planta"/>
    <s v="Total"/>
    <x v="1"/>
    <x v="0"/>
    <x v="0"/>
    <x v="0"/>
    <n v="67760"/>
    <n v="67760"/>
    <n v="43.435897435897438"/>
    <m/>
    <m/>
    <s v="50"/>
    <x v="445"/>
    <x v="0"/>
  </r>
  <r>
    <x v="69"/>
    <x v="129"/>
    <s v="Estudios oftalmologico"/>
    <s v="Total"/>
    <x v="3"/>
    <x v="0"/>
    <x v="0"/>
    <x v="0"/>
    <n v="72600"/>
    <n v="72600"/>
    <n v="46.53846153846154"/>
    <m/>
    <m/>
    <s v="31"/>
    <x v="446"/>
    <x v="0"/>
  </r>
  <r>
    <x v="24"/>
    <x v="130"/>
    <s v="Acido Clorihidrico"/>
    <s v="Total"/>
    <x v="1"/>
    <x v="0"/>
    <x v="1"/>
    <x v="0"/>
    <n v="3457107.5"/>
    <n v="3457107.5"/>
    <n v="2216.0945512820513"/>
    <m/>
    <d v="2026-04-30T00:00:00"/>
    <n v="18"/>
    <x v="447"/>
    <x v="0"/>
  </r>
  <r>
    <x v="24"/>
    <x v="130"/>
    <s v="Acido Clorihidrico"/>
    <s v="Total"/>
    <x v="1"/>
    <x v="0"/>
    <x v="1"/>
    <x v="0"/>
    <n v="3457107.5"/>
    <n v="3457107.5"/>
    <n v="2216.0945512820513"/>
    <m/>
    <d v="2026-05-15T00:00:00"/>
    <n v="20"/>
    <x v="447"/>
    <x v="0"/>
  </r>
  <r>
    <x v="24"/>
    <x v="130"/>
    <s v="Acido Clorihidrico"/>
    <s v="Total"/>
    <x v="1"/>
    <x v="0"/>
    <x v="1"/>
    <x v="0"/>
    <n v="111650"/>
    <n v="111650"/>
    <n v="71.570512820512818"/>
    <s v="Retenciones"/>
    <m/>
    <s v="14"/>
    <x v="447"/>
    <x v="0"/>
  </r>
  <r>
    <x v="53"/>
    <x v="130"/>
    <s v="Insumo Campaña 2026 - Acido Clorhidrico"/>
    <s v="Total"/>
    <x v="1"/>
    <x v="0"/>
    <x v="1"/>
    <x v="0"/>
    <n v="111187.2"/>
    <n v="111187.2"/>
    <n v="71.273846153846151"/>
    <s v="Retenciones"/>
    <m/>
    <s v="17"/>
    <x v="448"/>
    <x v="0"/>
  </r>
  <r>
    <x v="53"/>
    <x v="130"/>
    <s v="Insumo Campaña 2026 - Acido Clorhidrico"/>
    <s v="Total"/>
    <x v="1"/>
    <x v="0"/>
    <x v="1"/>
    <x v="0"/>
    <n v="3443339.2"/>
    <n v="3443339.2"/>
    <n v="2207.2687179487179"/>
    <m/>
    <d v="2026-05-16T00:00:00"/>
    <n v="20"/>
    <x v="448"/>
    <x v="0"/>
  </r>
  <r>
    <x v="53"/>
    <x v="130"/>
    <s v="Insumo Campaña 2026 - Acido Clorhidrico"/>
    <s v="Total"/>
    <x v="1"/>
    <x v="0"/>
    <x v="1"/>
    <x v="0"/>
    <n v="3443339.2"/>
    <n v="3443339.2"/>
    <n v="2207.2687179487179"/>
    <m/>
    <d v="2026-06-01T00:00:00"/>
    <n v="23"/>
    <x v="448"/>
    <x v="0"/>
  </r>
  <r>
    <x v="19"/>
    <x v="131"/>
    <s v="Couta tractores "/>
    <s v="Total"/>
    <x v="0"/>
    <x v="0"/>
    <x v="0"/>
    <x v="0"/>
    <n v="15695939.279999999"/>
    <n v="15695939.279999999"/>
    <n v="10061.499538461538"/>
    <m/>
    <m/>
    <s v="50"/>
    <x v="449"/>
    <x v="0"/>
  </r>
  <r>
    <x v="19"/>
    <x v="131"/>
    <s v="Couta tractores "/>
    <s v="Total"/>
    <x v="0"/>
    <x v="0"/>
    <x v="0"/>
    <x v="0"/>
    <n v="14744046.24"/>
    <n v="14744046.24"/>
    <n v="9451.3116923076923"/>
    <m/>
    <m/>
    <s v="50"/>
    <x v="450"/>
    <x v="0"/>
  </r>
  <r>
    <x v="21"/>
    <x v="131"/>
    <s v="Pago 50% cuota mayo 2025"/>
    <s v="Total"/>
    <x v="1"/>
    <x v="0"/>
    <x v="0"/>
    <x v="0"/>
    <n v="6958041.9199999999"/>
    <n v="6958041.9199999999"/>
    <n v="4460.2832820512822"/>
    <m/>
    <m/>
    <s v="28"/>
    <x v="451"/>
    <x v="0"/>
  </r>
  <r>
    <x v="21"/>
    <x v="131"/>
    <s v="Pago 50% cuota mayo 2025"/>
    <s v="Total"/>
    <x v="1"/>
    <x v="0"/>
    <x v="0"/>
    <x v="0"/>
    <n v="7415887.7599999998"/>
    <n v="7415887.7599999998"/>
    <n v="4753.7742051282048"/>
    <m/>
    <m/>
    <s v="28"/>
    <x v="452"/>
    <x v="0"/>
  </r>
  <r>
    <x v="21"/>
    <x v="131"/>
    <s v="Pago 50% cuota mayo 2025"/>
    <s v="Total"/>
    <x v="1"/>
    <x v="0"/>
    <x v="0"/>
    <x v="0"/>
    <n v="6958041.9199999999"/>
    <n v="6958041.9199999999"/>
    <n v="4460.2832820512822"/>
    <m/>
    <m/>
    <s v="28"/>
    <x v="453"/>
    <x v="0"/>
  </r>
  <r>
    <x v="21"/>
    <x v="131"/>
    <s v="Pago 50% cuota mayo 2025"/>
    <s v="Total"/>
    <x v="1"/>
    <x v="0"/>
    <x v="0"/>
    <x v="0"/>
    <n v="7415887.7599999998"/>
    <n v="7415887.7599999998"/>
    <n v="4753.7742051282048"/>
    <m/>
    <m/>
    <s v="28"/>
    <x v="454"/>
    <x v="0"/>
  </r>
  <r>
    <x v="61"/>
    <x v="131"/>
    <s v="Tractores (retenciones)"/>
    <s v="Total"/>
    <x v="1"/>
    <x v="0"/>
    <x v="0"/>
    <x v="0"/>
    <n v="1355775"/>
    <n v="1355775"/>
    <n v="869.08653846153845"/>
    <m/>
    <m/>
    <s v="30"/>
    <x v="455"/>
    <x v="0"/>
  </r>
  <r>
    <x v="3"/>
    <x v="121"/>
    <s v="Combustible"/>
    <s v="Total"/>
    <x v="2"/>
    <x v="0"/>
    <x v="2"/>
    <x v="0"/>
    <n v="60000.32"/>
    <n v="60000.32"/>
    <n v="38.461743589743591"/>
    <s v="Falta Pago"/>
    <m/>
    <s v="44"/>
    <x v="0"/>
    <x v="1"/>
  </r>
  <r>
    <x v="11"/>
    <x v="132"/>
    <s v="Cheque rechazado 834"/>
    <s v="Total"/>
    <x v="0"/>
    <x v="0"/>
    <x v="0"/>
    <x v="0"/>
    <n v="1084589.54"/>
    <n v="1084589.54"/>
    <n v="695.24970512820516"/>
    <m/>
    <m/>
    <s v="37"/>
    <x v="456"/>
    <x v="0"/>
  </r>
  <r>
    <x v="11"/>
    <x v="132"/>
    <s v="Cheque rechazado 865"/>
    <s v="Total"/>
    <x v="0"/>
    <x v="0"/>
    <x v="0"/>
    <x v="0"/>
    <n v="1476410.22"/>
    <n v="1476410.22"/>
    <n v="946.41680769230766"/>
    <m/>
    <m/>
    <s v="37"/>
    <x v="457"/>
    <x v="0"/>
  </r>
  <r>
    <x v="56"/>
    <x v="133"/>
    <s v="Repuestos COE (Agroscuadra SRL)"/>
    <s v="Total"/>
    <x v="1"/>
    <x v="0"/>
    <x v="1"/>
    <x v="0"/>
    <n v="110950"/>
    <n v="110950"/>
    <n v="71.121794871794876"/>
    <m/>
    <d v="2026-02-28T00:00:00"/>
    <n v="9"/>
    <x v="458"/>
    <x v="0"/>
  </r>
  <r>
    <x v="56"/>
    <x v="133"/>
    <s v="Repuestos COE (Agroscuadra SRL)"/>
    <s v="Total"/>
    <x v="1"/>
    <x v="0"/>
    <x v="1"/>
    <x v="0"/>
    <n v="1700000"/>
    <n v="1700000"/>
    <n v="1089.7435897435898"/>
    <m/>
    <d v="2025-09-30T00:00:00"/>
    <n v="40"/>
    <x v="458"/>
    <x v="0"/>
  </r>
  <r>
    <x v="56"/>
    <x v="133"/>
    <s v="Repuestos COE (Agroscuadra SRL)"/>
    <s v="Total"/>
    <x v="1"/>
    <x v="0"/>
    <x v="1"/>
    <x v="0"/>
    <n v="8764667"/>
    <n v="8764667"/>
    <n v="5618.376282051282"/>
    <m/>
    <d v="2026-02-28T00:00:00"/>
    <n v="9"/>
    <x v="458"/>
    <x v="0"/>
  </r>
  <r>
    <x v="56"/>
    <x v="133"/>
    <s v="Repuestos COE (Agroscuadra SRL)"/>
    <s v="Total"/>
    <x v="1"/>
    <x v="0"/>
    <x v="1"/>
    <x v="0"/>
    <n v="10000000"/>
    <n v="10000000"/>
    <n v="6410.2564102564102"/>
    <m/>
    <d v="2026-02-07T00:00:00"/>
    <n v="6"/>
    <x v="458"/>
    <x v="0"/>
  </r>
  <r>
    <x v="56"/>
    <x v="133"/>
    <s v="Repuestos COE (Agroscuadra SRL)"/>
    <s v="Total"/>
    <x v="1"/>
    <x v="0"/>
    <x v="1"/>
    <x v="0"/>
    <n v="371065.96"/>
    <n v="371065.96"/>
    <n v="237.86279487179488"/>
    <m/>
    <m/>
    <s v="11"/>
    <x v="458"/>
    <x v="0"/>
  </r>
  <r>
    <x v="62"/>
    <x v="133"/>
    <s v="Repuestos COE (Agroscuadra SRL)"/>
    <s v="Total"/>
    <x v="0"/>
    <x v="0"/>
    <x v="1"/>
    <x v="0"/>
    <n v="5373450"/>
    <n v="5373450"/>
    <n v="3444.5192307692309"/>
    <m/>
    <d v="2026-05-09T00:00:00"/>
    <n v="19"/>
    <x v="459"/>
    <x v="0"/>
  </r>
  <r>
    <x v="62"/>
    <x v="133"/>
    <s v="Repuestos COE (Agroscuadra SRL)"/>
    <s v="Total"/>
    <x v="0"/>
    <x v="0"/>
    <x v="1"/>
    <x v="0"/>
    <n v="95913.61"/>
    <n v="95913.61"/>
    <n v="61.483083333333333"/>
    <s v="Retenciones"/>
    <m/>
    <s v="19"/>
    <x v="459"/>
    <x v="0"/>
  </r>
  <r>
    <x v="34"/>
    <x v="133"/>
    <s v="Repuestos COE (Agroscuadra SRL)"/>
    <s v="Total"/>
    <x v="0"/>
    <x v="0"/>
    <x v="1"/>
    <x v="0"/>
    <n v="800000"/>
    <n v="800000"/>
    <n v="512.82051282051282"/>
    <m/>
    <d v="2026-06-06T00:00:00"/>
    <n v="23"/>
    <x v="460"/>
    <x v="0"/>
  </r>
  <r>
    <x v="34"/>
    <x v="133"/>
    <s v="Repuestos COE (Agroscuadra SRL)"/>
    <s v="Total"/>
    <x v="0"/>
    <x v="0"/>
    <x v="1"/>
    <x v="0"/>
    <n v="617866"/>
    <n v="617866"/>
    <n v="396.0679487179487"/>
    <m/>
    <d v="2026-06-13T00:00:00"/>
    <n v="24"/>
    <x v="460"/>
    <x v="0"/>
  </r>
  <r>
    <x v="34"/>
    <x v="133"/>
    <s v="Repuestos COE (Agroscuadra SRL)"/>
    <s v="Total"/>
    <x v="0"/>
    <x v="0"/>
    <x v="1"/>
    <x v="0"/>
    <n v="627129.16"/>
    <n v="627129.16"/>
    <n v="402.00587179487184"/>
    <m/>
    <d v="2026-05-23T00:00:00"/>
    <n v="21"/>
    <x v="460"/>
    <x v="0"/>
  </r>
  <r>
    <x v="34"/>
    <x v="133"/>
    <s v="Repuestos COE (Agroscuadra SRL)"/>
    <s v="Total"/>
    <x v="0"/>
    <x v="0"/>
    <x v="1"/>
    <x v="0"/>
    <n v="38749.49"/>
    <n v="38749.49"/>
    <n v="24.839416666666665"/>
    <s v="Retenciones"/>
    <m/>
    <s v="21"/>
    <x v="460"/>
    <x v="0"/>
  </r>
  <r>
    <x v="49"/>
    <x v="134"/>
    <s v="Comision por venta"/>
    <s v="Total"/>
    <x v="3"/>
    <x v="1"/>
    <x v="1"/>
    <x v="0"/>
    <n v="1510804"/>
    <n v="1510804"/>
    <n v="968.46410256410252"/>
    <s v="saldo actualizado 19/06 OP N 5212"/>
    <d v="2025-06-30T00:00:00"/>
    <n v="27"/>
    <x v="0"/>
    <x v="0"/>
  </r>
  <r>
    <x v="26"/>
    <x v="134"/>
    <s v="Consultoria vitivinicola"/>
    <s v="Total"/>
    <x v="3"/>
    <x v="0"/>
    <x v="0"/>
    <x v="0"/>
    <n v="1240250"/>
    <n v="1240250"/>
    <n v="795.03205128205127"/>
    <m/>
    <m/>
    <s v="29"/>
    <x v="461"/>
    <x v="0"/>
  </r>
  <r>
    <x v="5"/>
    <x v="134"/>
    <s v="Acesor"/>
    <s v="Total"/>
    <x v="3"/>
    <x v="0"/>
    <x v="0"/>
    <x v="0"/>
    <n v="1150000"/>
    <n v="1150000"/>
    <n v="737.17948717948718"/>
    <m/>
    <m/>
    <s v="34"/>
    <x v="0"/>
    <x v="0"/>
  </r>
  <r>
    <x v="18"/>
    <x v="134"/>
    <s v="Consultor"/>
    <s v="Total"/>
    <x v="3"/>
    <x v="0"/>
    <x v="0"/>
    <x v="0"/>
    <n v="1150000"/>
    <n v="1150000"/>
    <n v="737.17948717948718"/>
    <m/>
    <m/>
    <s v="39"/>
    <x v="462"/>
    <x v="0"/>
  </r>
  <r>
    <x v="28"/>
    <x v="134"/>
    <s v="Anticipo - Autorizado por H Macarena"/>
    <s v="Total"/>
    <x v="1"/>
    <x v="0"/>
    <x v="0"/>
    <x v="0"/>
    <n v="1150000"/>
    <n v="1150000"/>
    <n v="737.17948717948718"/>
    <m/>
    <m/>
    <s v="40"/>
    <x v="463"/>
    <x v="0"/>
  </r>
  <r>
    <x v="5"/>
    <x v="134"/>
    <s v="Acesoramiento Bodega"/>
    <s v="Total"/>
    <x v="3"/>
    <x v="0"/>
    <x v="0"/>
    <x v="0"/>
    <n v="1150000"/>
    <n v="1150000"/>
    <n v="737.17948717948718"/>
    <m/>
    <m/>
    <s v="34"/>
    <x v="0"/>
    <x v="0"/>
  </r>
  <r>
    <x v="30"/>
    <x v="134"/>
    <s v="Honorarios bodega"/>
    <s v="Total"/>
    <x v="3"/>
    <x v="0"/>
    <x v="0"/>
    <x v="0"/>
    <n v="1150000"/>
    <n v="1150000"/>
    <n v="737.17948717948718"/>
    <m/>
    <m/>
    <s v="43"/>
    <x v="464"/>
    <x v="0"/>
  </r>
  <r>
    <x v="7"/>
    <x v="134"/>
    <s v="Honorarios bodega"/>
    <s v="Total"/>
    <x v="3"/>
    <x v="0"/>
    <x v="0"/>
    <x v="0"/>
    <n v="1150000"/>
    <n v="1150000"/>
    <n v="737.17948717948718"/>
    <m/>
    <m/>
    <s v="46"/>
    <x v="465"/>
    <x v="0"/>
  </r>
  <r>
    <x v="19"/>
    <x v="134"/>
    <s v="Asesor  Bodega "/>
    <s v="Total"/>
    <x v="3"/>
    <x v="0"/>
    <x v="0"/>
    <x v="0"/>
    <n v="1150000"/>
    <n v="1150000"/>
    <n v="737.17948717948718"/>
    <m/>
    <m/>
    <s v="50"/>
    <x v="466"/>
    <x v="0"/>
  </r>
  <r>
    <x v="13"/>
    <x v="134"/>
    <s v="Honorarios profesionales "/>
    <s v="Total"/>
    <x v="3"/>
    <x v="0"/>
    <x v="0"/>
    <x v="0"/>
    <n v="650000"/>
    <n v="650000"/>
    <n v="416.66666666666669"/>
    <m/>
    <m/>
    <s v="07"/>
    <x v="467"/>
    <x v="0"/>
  </r>
  <r>
    <x v="1"/>
    <x v="134"/>
    <s v="Honorarios"/>
    <s v="Total"/>
    <x v="1"/>
    <x v="0"/>
    <x v="0"/>
    <x v="0"/>
    <n v="1240250"/>
    <n v="1240250"/>
    <n v="795.03205128205127"/>
    <m/>
    <m/>
    <s v="21"/>
    <x v="0"/>
    <x v="0"/>
  </r>
  <r>
    <x v="20"/>
    <x v="134"/>
    <s v="Honorarios Pofesionales"/>
    <s v="Total"/>
    <x v="3"/>
    <x v="0"/>
    <x v="1"/>
    <x v="0"/>
    <n v="701679"/>
    <n v="701679"/>
    <n v="449.79423076923075"/>
    <m/>
    <d v="2026-04-25T00:00:00"/>
    <n v="17"/>
    <x v="468"/>
    <x v="0"/>
  </r>
  <r>
    <x v="20"/>
    <x v="134"/>
    <s v="Honorarios Pofesionales"/>
    <s v="Total"/>
    <x v="2"/>
    <x v="0"/>
    <x v="2"/>
    <x v="0"/>
    <n v="598321"/>
    <n v="598321"/>
    <n v="383.53910256410256"/>
    <m/>
    <m/>
    <s v="15"/>
    <x v="468"/>
    <x v="0"/>
  </r>
  <r>
    <x v="20"/>
    <x v="134"/>
    <s v="Viaticos viaje semana 15"/>
    <s v="Total"/>
    <x v="1"/>
    <x v="0"/>
    <x v="0"/>
    <x v="0"/>
    <n v="211599"/>
    <n v="211599"/>
    <n v="135.64038461538462"/>
    <m/>
    <m/>
    <s v="15"/>
    <x v="469"/>
    <x v="0"/>
  </r>
  <r>
    <x v="53"/>
    <x v="134"/>
    <s v="Viaticos viaje semana 15"/>
    <s v="Total"/>
    <x v="3"/>
    <x v="0"/>
    <x v="0"/>
    <x v="0"/>
    <n v="91800"/>
    <n v="91800"/>
    <n v="58.846153846153847"/>
    <m/>
    <m/>
    <s v="17"/>
    <x v="0"/>
    <x v="0"/>
  </r>
  <r>
    <x v="22"/>
    <x v="134"/>
    <s v="Honorarios"/>
    <s v="Total"/>
    <x v="3"/>
    <x v="0"/>
    <x v="0"/>
    <x v="0"/>
    <n v="620000"/>
    <n v="620000"/>
    <n v="397.43589743589746"/>
    <m/>
    <m/>
    <s v="23"/>
    <x v="470"/>
    <x v="0"/>
  </r>
  <r>
    <x v="22"/>
    <x v="134"/>
    <s v="Pasajes + alojamiento viaje a Bs. As."/>
    <s v="Total"/>
    <x v="1"/>
    <x v="0"/>
    <x v="0"/>
    <x v="0"/>
    <n v="728170"/>
    <n v="728170"/>
    <n v="466.77564102564105"/>
    <m/>
    <m/>
    <s v="23"/>
    <x v="471"/>
    <x v="0"/>
  </r>
  <r>
    <x v="45"/>
    <x v="134"/>
    <s v="Honorarios profesionales"/>
    <s v="Total"/>
    <x v="3"/>
    <x v="0"/>
    <x v="0"/>
    <x v="0"/>
    <n v="500000"/>
    <n v="500000"/>
    <n v="320.5128205128205"/>
    <m/>
    <m/>
    <s v="25"/>
    <x v="472"/>
    <x v="0"/>
  </r>
  <r>
    <x v="35"/>
    <x v="134"/>
    <s v="Movilidad y viaticos"/>
    <s v="Total"/>
    <x v="1"/>
    <x v="0"/>
    <x v="0"/>
    <x v="0"/>
    <n v="183600"/>
    <n v="183600"/>
    <n v="117.69230769230769"/>
    <m/>
    <m/>
    <s v="27"/>
    <x v="473"/>
    <x v="0"/>
  </r>
  <r>
    <x v="36"/>
    <x v="134"/>
    <s v="Honorarios profesionales"/>
    <s v="Total"/>
    <x v="3"/>
    <x v="0"/>
    <x v="0"/>
    <x v="0"/>
    <n v="1120000"/>
    <n v="1120000"/>
    <n v="717.9487179487179"/>
    <m/>
    <m/>
    <s v="28"/>
    <x v="474"/>
    <x v="0"/>
  </r>
  <r>
    <x v="36"/>
    <x v="135"/>
    <s v="Combustible"/>
    <s v="Total"/>
    <x v="2"/>
    <x v="0"/>
    <x v="2"/>
    <x v="0"/>
    <n v="60000.06"/>
    <n v="60000.06"/>
    <n v="38.461576923076919"/>
    <m/>
    <m/>
    <s v="28"/>
    <x v="475"/>
    <x v="0"/>
  </r>
  <r>
    <x v="38"/>
    <x v="135"/>
    <s v="Combustible"/>
    <s v="Total"/>
    <x v="2"/>
    <x v="0"/>
    <x v="2"/>
    <x v="0"/>
    <n v="49999.98"/>
    <n v="49999.98"/>
    <n v="32.051269230769236"/>
    <m/>
    <m/>
    <s v="32"/>
    <x v="476"/>
    <x v="0"/>
  </r>
  <r>
    <x v="38"/>
    <x v="135"/>
    <s v="Combustible"/>
    <s v="Total"/>
    <x v="2"/>
    <x v="0"/>
    <x v="2"/>
    <x v="0"/>
    <n v="20011.240000000002"/>
    <n v="20011.240000000002"/>
    <n v="12.82771794871795"/>
    <m/>
    <m/>
    <s v="32"/>
    <x v="477"/>
    <x v="0"/>
  </r>
  <r>
    <x v="71"/>
    <x v="135"/>
    <s v="Combustible"/>
    <s v="Total"/>
    <x v="2"/>
    <x v="0"/>
    <x v="2"/>
    <x v="0"/>
    <n v="29999.94"/>
    <n v="29999.94"/>
    <n v="19.230730769230767"/>
    <s v="a devolver"/>
    <m/>
    <s v="36"/>
    <x v="478"/>
    <x v="0"/>
  </r>
  <r>
    <x v="11"/>
    <x v="135"/>
    <s v="Combustible"/>
    <s v="Total"/>
    <x v="2"/>
    <x v="0"/>
    <x v="2"/>
    <x v="0"/>
    <n v="46799.92"/>
    <n v="46799.92"/>
    <n v="29.999948717948715"/>
    <m/>
    <m/>
    <s v="37"/>
    <x v="479"/>
    <x v="0"/>
  </r>
  <r>
    <x v="39"/>
    <x v="135"/>
    <s v="Combustible"/>
    <s v="Total"/>
    <x v="2"/>
    <x v="0"/>
    <x v="2"/>
    <x v="0"/>
    <n v="30000.080000000002"/>
    <n v="30000.080000000002"/>
    <n v="19.230820512820515"/>
    <m/>
    <m/>
    <s v="38"/>
    <x v="480"/>
    <x v="0"/>
  </r>
  <r>
    <x v="39"/>
    <x v="135"/>
    <s v="Combustible"/>
    <s v="Total"/>
    <x v="2"/>
    <x v="0"/>
    <x v="2"/>
    <x v="0"/>
    <n v="49999.9"/>
    <n v="49999.9"/>
    <n v="32.051217948717948"/>
    <m/>
    <m/>
    <s v="38"/>
    <x v="481"/>
    <x v="0"/>
  </r>
  <r>
    <x v="39"/>
    <x v="135"/>
    <s v="Combustible"/>
    <s v="Total"/>
    <x v="2"/>
    <x v="0"/>
    <x v="2"/>
    <x v="0"/>
    <n v="30000.080000000002"/>
    <n v="30000.080000000002"/>
    <n v="19.230820512820515"/>
    <m/>
    <m/>
    <s v="38"/>
    <x v="480"/>
    <x v="0"/>
  </r>
  <r>
    <x v="39"/>
    <x v="135"/>
    <s v="Combustible"/>
    <s v="Total"/>
    <x v="2"/>
    <x v="0"/>
    <x v="2"/>
    <x v="0"/>
    <n v="40000"/>
    <n v="40000"/>
    <n v="25.641025641025642"/>
    <m/>
    <m/>
    <s v="38"/>
    <x v="482"/>
    <x v="0"/>
  </r>
  <r>
    <x v="13"/>
    <x v="136"/>
    <m/>
    <s v="Total"/>
    <x v="1"/>
    <x v="1"/>
    <x v="1"/>
    <x v="0"/>
    <n v="500000"/>
    <n v="500000"/>
    <n v="320.5128205128205"/>
    <m/>
    <d v="2026-02-04T00:00:00"/>
    <n v="6"/>
    <x v="483"/>
    <x v="0"/>
  </r>
  <r>
    <x v="13"/>
    <x v="136"/>
    <m/>
    <s v="Total"/>
    <x v="1"/>
    <x v="1"/>
    <x v="1"/>
    <x v="0"/>
    <n v="100000"/>
    <n v="100000"/>
    <n v="64.102564102564102"/>
    <m/>
    <d v="2026-03-14T00:00:00"/>
    <n v="11"/>
    <x v="483"/>
    <x v="0"/>
  </r>
  <r>
    <x v="13"/>
    <x v="136"/>
    <m/>
    <s v="Total"/>
    <x v="1"/>
    <x v="1"/>
    <x v="1"/>
    <x v="0"/>
    <n v="281000"/>
    <n v="281000"/>
    <n v="180.12820512820514"/>
    <m/>
    <d v="2026-03-11T00:00:00"/>
    <n v="11"/>
    <x v="483"/>
    <x v="0"/>
  </r>
  <r>
    <x v="13"/>
    <x v="136"/>
    <m/>
    <s v="Total"/>
    <x v="1"/>
    <x v="1"/>
    <x v="1"/>
    <x v="0"/>
    <n v="350000"/>
    <n v="350000"/>
    <n v="224.35897435897436"/>
    <m/>
    <d v="2026-03-10T00:00:00"/>
    <n v="11"/>
    <x v="483"/>
    <x v="0"/>
  </r>
  <r>
    <x v="13"/>
    <x v="136"/>
    <m/>
    <s v="Total"/>
    <x v="1"/>
    <x v="1"/>
    <x v="1"/>
    <x v="0"/>
    <n v="466000"/>
    <n v="466000"/>
    <n v="298.71794871794873"/>
    <m/>
    <d v="2026-02-28T00:00:00"/>
    <n v="9"/>
    <x v="483"/>
    <x v="0"/>
  </r>
  <r>
    <x v="13"/>
    <x v="136"/>
    <m/>
    <s v="Total"/>
    <x v="1"/>
    <x v="1"/>
    <x v="1"/>
    <x v="0"/>
    <n v="110740"/>
    <n v="110740"/>
    <n v="70.987179487179489"/>
    <m/>
    <d v="2026-02-11T00:00:00"/>
    <n v="7"/>
    <x v="483"/>
    <x v="0"/>
  </r>
  <r>
    <x v="32"/>
    <x v="136"/>
    <s v="Combustible (Pago Daniel)"/>
    <s v="Total"/>
    <x v="2"/>
    <x v="1"/>
    <x v="2"/>
    <x v="0"/>
    <n v="110740"/>
    <n v="110740"/>
    <n v="70.987179487179489"/>
    <m/>
    <m/>
    <s v="09"/>
    <x v="483"/>
    <x v="0"/>
  </r>
  <r>
    <x v="32"/>
    <x v="136"/>
    <s v="Combustible (Pago Daniel)"/>
    <s v="Total"/>
    <x v="2"/>
    <x v="1"/>
    <x v="1"/>
    <x v="0"/>
    <n v="500000"/>
    <n v="500000"/>
    <n v="320.5128205128205"/>
    <m/>
    <d v="2026-02-04T00:00:00"/>
    <n v="6"/>
    <x v="483"/>
    <x v="0"/>
  </r>
  <r>
    <x v="32"/>
    <x v="136"/>
    <s v="Combustible (Pago Daniel)"/>
    <s v="Total"/>
    <x v="2"/>
    <x v="1"/>
    <x v="1"/>
    <x v="0"/>
    <n v="100000"/>
    <n v="100000"/>
    <n v="64.102564102564102"/>
    <m/>
    <d v="2026-03-14T00:00:00"/>
    <n v="11"/>
    <x v="483"/>
    <x v="0"/>
  </r>
  <r>
    <x v="32"/>
    <x v="136"/>
    <s v="Combustible (Pago Daniel)"/>
    <s v="Total"/>
    <x v="2"/>
    <x v="1"/>
    <x v="1"/>
    <x v="0"/>
    <n v="281000"/>
    <n v="281000"/>
    <n v="180.12820512820514"/>
    <m/>
    <d v="2026-03-11T00:00:00"/>
    <n v="11"/>
    <x v="483"/>
    <x v="0"/>
  </r>
  <r>
    <x v="32"/>
    <x v="136"/>
    <s v="Combustible (Pago Daniel)"/>
    <s v="Total"/>
    <x v="2"/>
    <x v="1"/>
    <x v="1"/>
    <x v="0"/>
    <n v="350000"/>
    <n v="350000"/>
    <n v="224.35897435897436"/>
    <m/>
    <d v="2026-03-10T00:00:00"/>
    <n v="11"/>
    <x v="483"/>
    <x v="0"/>
  </r>
  <r>
    <x v="32"/>
    <x v="136"/>
    <s v="Combustible (Pago Daniel)"/>
    <s v="Total"/>
    <x v="2"/>
    <x v="1"/>
    <x v="1"/>
    <x v="0"/>
    <n v="466260"/>
    <n v="466260"/>
    <n v="298.88461538461536"/>
    <m/>
    <d v="2026-02-28T00:00:00"/>
    <n v="9"/>
    <x v="483"/>
    <x v="0"/>
  </r>
  <r>
    <x v="70"/>
    <x v="137"/>
    <s v="Combustible"/>
    <s v="Total"/>
    <x v="1"/>
    <x v="0"/>
    <x v="1"/>
    <x v="0"/>
    <n v="166300"/>
    <n v="166300"/>
    <n v="106.6025641025641"/>
    <m/>
    <d v="2025-09-19T00:00:00"/>
    <n v="38"/>
    <x v="34"/>
    <x v="0"/>
  </r>
  <r>
    <x v="70"/>
    <x v="137"/>
    <s v="Combustible"/>
    <s v="Total"/>
    <x v="1"/>
    <x v="0"/>
    <x v="1"/>
    <x v="0"/>
    <n v="200000"/>
    <n v="200000"/>
    <n v="128.2051282051282"/>
    <m/>
    <d v="2025-09-13T00:00:00"/>
    <n v="37"/>
    <x v="0"/>
    <x v="0"/>
  </r>
  <r>
    <x v="70"/>
    <x v="137"/>
    <s v="Combustible"/>
    <s v="Total"/>
    <x v="1"/>
    <x v="0"/>
    <x v="1"/>
    <x v="0"/>
    <n v="255000"/>
    <n v="255000"/>
    <n v="163.46153846153845"/>
    <m/>
    <d v="2025-09-15T00:00:00"/>
    <n v="38"/>
    <x v="0"/>
    <x v="0"/>
  </r>
  <r>
    <x v="70"/>
    <x v="137"/>
    <s v="Combustible"/>
    <s v="Total"/>
    <x v="1"/>
    <x v="0"/>
    <x v="1"/>
    <x v="0"/>
    <n v="300000"/>
    <n v="300000"/>
    <n v="192.30769230769232"/>
    <m/>
    <d v="2025-09-11T00:00:00"/>
    <n v="37"/>
    <x v="484"/>
    <x v="0"/>
  </r>
  <r>
    <x v="70"/>
    <x v="137"/>
    <s v="Combustible"/>
    <s v="Total"/>
    <x v="1"/>
    <x v="0"/>
    <x v="1"/>
    <x v="0"/>
    <n v="308454"/>
    <n v="308454"/>
    <n v="197.72692307692307"/>
    <m/>
    <d v="2025-09-15T00:00:00"/>
    <n v="38"/>
    <x v="484"/>
    <x v="0"/>
  </r>
  <r>
    <x v="70"/>
    <x v="137"/>
    <s v="Combustible"/>
    <s v="Total"/>
    <x v="1"/>
    <x v="0"/>
    <x v="1"/>
    <x v="0"/>
    <n v="350000"/>
    <n v="350000"/>
    <n v="224.35897435897436"/>
    <m/>
    <d v="2025-09-10T00:00:00"/>
    <n v="37"/>
    <x v="484"/>
    <x v="0"/>
  </r>
  <r>
    <x v="70"/>
    <x v="137"/>
    <s v="Combustible"/>
    <s v="Total"/>
    <x v="1"/>
    <x v="0"/>
    <x v="1"/>
    <x v="0"/>
    <n v="440000"/>
    <n v="440000"/>
    <n v="282.05128205128204"/>
    <m/>
    <d v="2025-09-15T00:00:00"/>
    <n v="38"/>
    <x v="484"/>
    <x v="0"/>
  </r>
  <r>
    <x v="70"/>
    <x v="137"/>
    <s v="Combustible"/>
    <s v="Total"/>
    <x v="1"/>
    <x v="0"/>
    <x v="1"/>
    <x v="0"/>
    <n v="457000"/>
    <n v="457000"/>
    <n v="292.94871794871796"/>
    <m/>
    <d v="2025-09-15T00:00:00"/>
    <n v="38"/>
    <x v="484"/>
    <x v="0"/>
  </r>
  <r>
    <x v="70"/>
    <x v="137"/>
    <s v="Combustible"/>
    <s v="Total"/>
    <x v="1"/>
    <x v="0"/>
    <x v="1"/>
    <x v="0"/>
    <n v="472000"/>
    <n v="472000"/>
    <n v="302.56410256410254"/>
    <m/>
    <d v="2025-09-18T00:00:00"/>
    <n v="38"/>
    <x v="484"/>
    <x v="0"/>
  </r>
  <r>
    <x v="70"/>
    <x v="137"/>
    <s v="Combustible"/>
    <s v="Total"/>
    <x v="1"/>
    <x v="0"/>
    <x v="1"/>
    <x v="0"/>
    <n v="472000"/>
    <n v="472000"/>
    <n v="302.56410256410254"/>
    <m/>
    <d v="2025-09-24T00:00:00"/>
    <n v="39"/>
    <x v="484"/>
    <x v="0"/>
  </r>
  <r>
    <x v="68"/>
    <x v="137"/>
    <s v="Combustible"/>
    <s v="Parcial"/>
    <x v="0"/>
    <x v="0"/>
    <x v="1"/>
    <x v="0"/>
    <n v="6985000"/>
    <n v="6985000"/>
    <n v="4477.5641025641025"/>
    <s v="Pago 02/07/2025"/>
    <d v="2025-07-02T00:00:00"/>
    <n v="27"/>
    <x v="485"/>
    <x v="0"/>
  </r>
  <r>
    <x v="17"/>
    <x v="137"/>
    <s v="Combustibles"/>
    <s v="Total"/>
    <x v="1"/>
    <x v="0"/>
    <x v="1"/>
    <x v="0"/>
    <n v="6408533.8899999997"/>
    <n v="6408533.8899999997"/>
    <n v="4108.0345448717944"/>
    <s v="CH 30 días"/>
    <d v="2025-07-25T00:00:00"/>
    <n v="30"/>
    <x v="0"/>
    <x v="0"/>
  </r>
  <r>
    <x v="2"/>
    <x v="137"/>
    <s v="Combustrtibles y lubricantes"/>
    <s v="Total"/>
    <x v="1"/>
    <x v="0"/>
    <x v="1"/>
    <x v="0"/>
    <n v="144100"/>
    <n v="144100"/>
    <n v="92.371794871794876"/>
    <m/>
    <d v="2025-08-15T00:00:00"/>
    <n v="33"/>
    <x v="486"/>
    <x v="0"/>
  </r>
  <r>
    <x v="2"/>
    <x v="137"/>
    <s v="Combustrtibles y lubricantes"/>
    <s v="Total"/>
    <x v="1"/>
    <x v="0"/>
    <x v="1"/>
    <x v="0"/>
    <n v="1000000"/>
    <n v="1000000"/>
    <n v="641.02564102564099"/>
    <m/>
    <d v="2025-08-04T00:00:00"/>
    <n v="32"/>
    <x v="486"/>
    <x v="0"/>
  </r>
  <r>
    <x v="2"/>
    <x v="137"/>
    <s v="Combustrtibles y lubricantes"/>
    <s v="Total"/>
    <x v="1"/>
    <x v="0"/>
    <x v="1"/>
    <x v="0"/>
    <n v="1387804.7"/>
    <n v="1387804.7"/>
    <n v="889.61839743589735"/>
    <m/>
    <d v="2025-08-15T00:00:00"/>
    <n v="33"/>
    <x v="486"/>
    <x v="0"/>
  </r>
  <r>
    <x v="2"/>
    <x v="137"/>
    <s v="Combustrtibles y lubricantes"/>
    <s v="Total"/>
    <x v="1"/>
    <x v="0"/>
    <x v="1"/>
    <x v="0"/>
    <n v="1562500"/>
    <n v="1562500"/>
    <n v="1001.6025641025641"/>
    <m/>
    <d v="2025-08-15T00:00:00"/>
    <n v="33"/>
    <x v="486"/>
    <x v="0"/>
  </r>
  <r>
    <x v="2"/>
    <x v="137"/>
    <s v="Combustrtibles y lubricantes"/>
    <s v="Total"/>
    <x v="1"/>
    <x v="0"/>
    <x v="1"/>
    <x v="0"/>
    <n v="1600000"/>
    <n v="1600000"/>
    <n v="1025.6410256410256"/>
    <m/>
    <d v="2025-08-22T00:00:00"/>
    <n v="34"/>
    <x v="486"/>
    <x v="0"/>
  </r>
  <r>
    <x v="29"/>
    <x v="137"/>
    <s v="Combustrtibles y lubricantes"/>
    <s v="Total"/>
    <x v="1"/>
    <x v="0"/>
    <x v="1"/>
    <x v="0"/>
    <n v="1250000"/>
    <n v="1250000"/>
    <n v="801.28205128205127"/>
    <m/>
    <d v="2025-11-28T00:00:00"/>
    <n v="48"/>
    <x v="487"/>
    <x v="0"/>
  </r>
  <r>
    <x v="63"/>
    <x v="137"/>
    <s v="Combustrtibles y lubricantes"/>
    <s v="Total"/>
    <x v="0"/>
    <x v="0"/>
    <x v="1"/>
    <x v="0"/>
    <n v="464023.32"/>
    <n v="464023.32"/>
    <n v="297.45084615384616"/>
    <m/>
    <d v="2025-12-05T00:00:00"/>
    <n v="49"/>
    <x v="488"/>
    <x v="0"/>
  </r>
  <r>
    <x v="63"/>
    <x v="137"/>
    <s v="Combustrtibles y lubricantes"/>
    <s v="Total"/>
    <x v="0"/>
    <x v="0"/>
    <x v="1"/>
    <x v="0"/>
    <n v="970855.65"/>
    <n v="970855.65"/>
    <n v="622.34336538461537"/>
    <m/>
    <d v="2025-12-05T00:00:00"/>
    <n v="49"/>
    <x v="488"/>
    <x v="0"/>
  </r>
  <r>
    <x v="63"/>
    <x v="137"/>
    <s v="Combustrtibles y lubricantes"/>
    <s v="Total"/>
    <x v="0"/>
    <x v="0"/>
    <x v="1"/>
    <x v="0"/>
    <n v="3034102.76"/>
    <n v="3034102.76"/>
    <n v="1944.9376666666665"/>
    <m/>
    <d v="2025-12-05T00:00:00"/>
    <n v="49"/>
    <x v="488"/>
    <x v="0"/>
  </r>
  <r>
    <x v="63"/>
    <x v="137"/>
    <s v="Combustrtibles y lubricantes"/>
    <s v="Total"/>
    <x v="0"/>
    <x v="0"/>
    <x v="0"/>
    <x v="0"/>
    <n v="64756.59"/>
    <n v="64756.59"/>
    <n v="41.51063461538461"/>
    <m/>
    <m/>
    <s v="44"/>
    <x v="488"/>
    <x v="0"/>
  </r>
  <r>
    <x v="75"/>
    <x v="137"/>
    <s v="Combustrtibles y lubricantes"/>
    <s v="Total"/>
    <x v="0"/>
    <x v="0"/>
    <x v="1"/>
    <x v="0"/>
    <n v="500000"/>
    <n v="500000"/>
    <n v="320.5128205128205"/>
    <m/>
    <d v="2025-12-20T00:00:00"/>
    <n v="51"/>
    <x v="489"/>
    <x v="0"/>
  </r>
  <r>
    <x v="75"/>
    <x v="137"/>
    <s v="Combustrtibles y lubricantes"/>
    <s v="Total"/>
    <x v="0"/>
    <x v="0"/>
    <x v="1"/>
    <x v="0"/>
    <n v="525696"/>
    <n v="525696"/>
    <n v="336.98461538461538"/>
    <m/>
    <d v="2025-12-22T00:00:00"/>
    <n v="52"/>
    <x v="489"/>
    <x v="0"/>
  </r>
  <r>
    <x v="75"/>
    <x v="137"/>
    <s v="Combustrtibles y lubricantes"/>
    <s v="Total"/>
    <x v="0"/>
    <x v="0"/>
    <x v="1"/>
    <x v="0"/>
    <n v="1100000"/>
    <n v="1100000"/>
    <n v="705.12820512820508"/>
    <m/>
    <d v="2026-01-10T00:00:00"/>
    <n v="2"/>
    <x v="489"/>
    <x v="0"/>
  </r>
  <r>
    <x v="75"/>
    <x v="137"/>
    <s v="Combustrtibles y lubricantes"/>
    <s v="Total"/>
    <x v="0"/>
    <x v="0"/>
    <x v="1"/>
    <x v="0"/>
    <n v="1500000"/>
    <n v="1500000"/>
    <n v="961.53846153846155"/>
    <m/>
    <d v="2025-12-16T00:00:00"/>
    <n v="51"/>
    <x v="489"/>
    <x v="0"/>
  </r>
  <r>
    <x v="75"/>
    <x v="137"/>
    <s v="Combustrtibles y lubricantes"/>
    <s v="Total"/>
    <x v="0"/>
    <x v="0"/>
    <x v="1"/>
    <x v="0"/>
    <n v="700000"/>
    <n v="700000"/>
    <n v="448.71794871794873"/>
    <m/>
    <d v="2025-12-22T00:00:00"/>
    <n v="52"/>
    <x v="489"/>
    <x v="0"/>
  </r>
  <r>
    <x v="75"/>
    <x v="137"/>
    <s v="Combustrtibles y lubricantes"/>
    <s v="Total"/>
    <x v="0"/>
    <x v="0"/>
    <x v="1"/>
    <x v="0"/>
    <n v="325000"/>
    <n v="325000"/>
    <n v="208.33333333333334"/>
    <m/>
    <d v="2025-12-29T00:00:00"/>
    <n v="53"/>
    <x v="489"/>
    <x v="0"/>
  </r>
  <r>
    <x v="33"/>
    <x v="137"/>
    <s v="Combustrtibles y lubricantes"/>
    <s v="Total"/>
    <x v="0"/>
    <x v="0"/>
    <x v="1"/>
    <x v="0"/>
    <n v="94135.919999999925"/>
    <n v="94135.919999999925"/>
    <n v="60.343538461538415"/>
    <m/>
    <d v="2026-04-28T00:00:00"/>
    <n v="18"/>
    <x v="490"/>
    <x v="0"/>
  </r>
  <r>
    <x v="33"/>
    <x v="137"/>
    <s v="Combustrtibles y lubricantes"/>
    <s v="Total"/>
    <x v="0"/>
    <x v="0"/>
    <x v="1"/>
    <x v="0"/>
    <n v="2000000"/>
    <n v="2000000"/>
    <n v="1282.051282051282"/>
    <m/>
    <m/>
    <s v="12"/>
    <x v="490"/>
    <x v="0"/>
  </r>
  <r>
    <x v="37"/>
    <x v="137"/>
    <s v="Lubricantes"/>
    <s v="Total"/>
    <x v="1"/>
    <x v="0"/>
    <x v="1"/>
    <x v="0"/>
    <n v="1562981.2"/>
    <n v="1562981.2"/>
    <n v="1001.9110256410256"/>
    <m/>
    <d v="2026-09-01T00:00:00"/>
    <n v="36"/>
    <x v="491"/>
    <x v="0"/>
  </r>
  <r>
    <x v="37"/>
    <x v="137"/>
    <s v="Lubricantes"/>
    <s v="Total"/>
    <x v="2"/>
    <x v="0"/>
    <x v="2"/>
    <x v="0"/>
    <n v="53626.3"/>
    <n v="53626.3"/>
    <n v="34.375833333333333"/>
    <m/>
    <m/>
    <s v="29"/>
    <x v="491"/>
    <x v="0"/>
  </r>
  <r>
    <x v="37"/>
    <x v="137"/>
    <s v="Lubricantes"/>
    <s v="Total"/>
    <x v="1"/>
    <x v="0"/>
    <x v="1"/>
    <x v="0"/>
    <n v="23392.5"/>
    <n v="23392.5"/>
    <n v="14.995192307692308"/>
    <s v="Retenciones"/>
    <m/>
    <s v="29"/>
    <x v="491"/>
    <x v="0"/>
  </r>
  <r>
    <x v="3"/>
    <x v="121"/>
    <s v="Pulpeado Nueces "/>
    <s v="Total"/>
    <x v="2"/>
    <x v="1"/>
    <x v="2"/>
    <x v="0"/>
    <n v="0"/>
    <n v="0"/>
    <n v="0"/>
    <m/>
    <m/>
    <s v="44"/>
    <x v="0"/>
    <x v="1"/>
  </r>
  <r>
    <x v="3"/>
    <x v="131"/>
    <s v="Cuotas tractores"/>
    <s v="Total"/>
    <x v="0"/>
    <x v="0"/>
    <x v="1"/>
    <x v="2"/>
    <n v="79085.14"/>
    <n v="140771549.19999999"/>
    <n v="90238.172564102555"/>
    <n v="79085.14"/>
    <m/>
    <s v="44"/>
    <x v="0"/>
    <x v="1"/>
  </r>
  <r>
    <x v="30"/>
    <x v="138"/>
    <m/>
    <s v="Total"/>
    <x v="3"/>
    <x v="0"/>
    <x v="0"/>
    <x v="0"/>
    <n v="546848.41"/>
    <n v="546848.41"/>
    <n v="350.54385256410256"/>
    <m/>
    <m/>
    <s v="43"/>
    <x v="288"/>
    <x v="0"/>
  </r>
  <r>
    <x v="7"/>
    <x v="138"/>
    <m/>
    <s v="Total"/>
    <x v="3"/>
    <x v="0"/>
    <x v="0"/>
    <x v="0"/>
    <n v="47869.05"/>
    <n v="47869.05"/>
    <n v="30.685288461538462"/>
    <m/>
    <m/>
    <s v="46"/>
    <x v="492"/>
    <x v="0"/>
  </r>
  <r>
    <x v="20"/>
    <x v="138"/>
    <s v="Seguro"/>
    <s v="Total"/>
    <x v="3"/>
    <x v="0"/>
    <x v="0"/>
    <x v="0"/>
    <n v="394490.11"/>
    <n v="394490.11"/>
    <n v="252.87827564102562"/>
    <m/>
    <m/>
    <s v="15"/>
    <x v="493"/>
    <x v="0"/>
  </r>
  <r>
    <x v="20"/>
    <x v="138"/>
    <s v="Seguro"/>
    <s v="Total"/>
    <x v="3"/>
    <x v="0"/>
    <x v="0"/>
    <x v="0"/>
    <n v="5289.41"/>
    <n v="5289.41"/>
    <n v="3.3906474358974359"/>
    <s v="Retenciones"/>
    <m/>
    <s v="15"/>
    <x v="493"/>
    <x v="0"/>
  </r>
  <r>
    <x v="3"/>
    <x v="137"/>
    <s v="Combustrtibles y lubricantes"/>
    <s v="Total"/>
    <x v="0"/>
    <x v="0"/>
    <x v="1"/>
    <x v="0"/>
    <n v="500000"/>
    <n v="500000"/>
    <n v="320.5128205128205"/>
    <m/>
    <m/>
    <s v="44"/>
    <x v="0"/>
    <x v="1"/>
  </r>
  <r>
    <x v="57"/>
    <x v="139"/>
    <s v="Certificación de Balance 2025"/>
    <s v="Total"/>
    <x v="1"/>
    <x v="0"/>
    <x v="0"/>
    <x v="0"/>
    <n v="3032500"/>
    <n v="3032500"/>
    <n v="1943.9102564102564"/>
    <m/>
    <m/>
    <s v="16"/>
    <x v="494"/>
    <x v="0"/>
  </r>
  <r>
    <x v="15"/>
    <x v="140"/>
    <s v="Pedido planta - bodega"/>
    <s v="Total"/>
    <x v="2"/>
    <x v="0"/>
    <x v="2"/>
    <x v="0"/>
    <n v="95747.3"/>
    <n v="95747.3"/>
    <n v="61.376474358974363"/>
    <m/>
    <m/>
    <s v="49"/>
    <x v="495"/>
    <x v="0"/>
  </r>
  <r>
    <x v="74"/>
    <x v="140"/>
    <s v="Repuestos mochila baño administración"/>
    <s v="Total"/>
    <x v="2"/>
    <x v="0"/>
    <x v="2"/>
    <x v="0"/>
    <n v="13600"/>
    <n v="13600"/>
    <n v="8.7179487179487172"/>
    <m/>
    <m/>
    <s v="03"/>
    <x v="496"/>
    <x v="0"/>
  </r>
  <r>
    <x v="74"/>
    <x v="140"/>
    <s v="Rollos de polietileno 200mic. - Planta"/>
    <s v="Total"/>
    <x v="1"/>
    <x v="0"/>
    <x v="0"/>
    <x v="0"/>
    <n v="292053.24"/>
    <n v="292053.24"/>
    <n v="187.21361538461537"/>
    <m/>
    <m/>
    <s v="03"/>
    <x v="497"/>
    <x v="0"/>
  </r>
  <r>
    <x v="9"/>
    <x v="140"/>
    <s v="Tela media sombra - Campo "/>
    <s v="Total"/>
    <x v="1"/>
    <x v="0"/>
    <x v="1"/>
    <x v="0"/>
    <n v="465116.44"/>
    <n v="465116.44"/>
    <n v="298.15156410256412"/>
    <m/>
    <d v="2026-02-26T00:00:00"/>
    <n v="9"/>
    <x v="498"/>
    <x v="0"/>
  </r>
  <r>
    <x v="9"/>
    <x v="140"/>
    <s v="Pedido de bodega"/>
    <s v="Total"/>
    <x v="2"/>
    <x v="0"/>
    <x v="2"/>
    <x v="0"/>
    <n v="39764"/>
    <n v="39764"/>
    <n v="25.48974358974359"/>
    <m/>
    <m/>
    <s v="05"/>
    <x v="499"/>
    <x v="0"/>
  </r>
  <r>
    <x v="8"/>
    <x v="140"/>
    <s v="Pedido materiales Cava - Membranas"/>
    <s v="Total"/>
    <x v="1"/>
    <x v="0"/>
    <x v="1"/>
    <x v="0"/>
    <n v="3693682"/>
    <n v="3693682"/>
    <n v="2367.7448717948719"/>
    <m/>
    <d v="2025-09-12T00:00:00"/>
    <n v="37"/>
    <x v="500"/>
    <x v="0"/>
  </r>
  <r>
    <x v="52"/>
    <x v="140"/>
    <s v="Pedido Cava"/>
    <s v="Total"/>
    <x v="2"/>
    <x v="0"/>
    <x v="2"/>
    <x v="0"/>
    <n v="214508"/>
    <n v="214508"/>
    <n v="137.50512820512822"/>
    <m/>
    <m/>
    <s v="38"/>
    <x v="34"/>
    <x v="0"/>
  </r>
  <r>
    <x v="52"/>
    <x v="140"/>
    <s v="Pedido Cava"/>
    <s v="Total"/>
    <x v="2"/>
    <x v="0"/>
    <x v="2"/>
    <x v="0"/>
    <n v="350000"/>
    <n v="350000"/>
    <n v="224.35897435897436"/>
    <m/>
    <m/>
    <s v="38"/>
    <x v="501"/>
    <x v="0"/>
  </r>
  <r>
    <x v="18"/>
    <x v="140"/>
    <s v="Mareriales plomeria casa Luciano"/>
    <s v="Total"/>
    <x v="1"/>
    <x v="0"/>
    <x v="2"/>
    <x v="0"/>
    <n v="173011"/>
    <n v="173011"/>
    <n v="110.90448717948718"/>
    <m/>
    <m/>
    <s v="39"/>
    <x v="502"/>
    <x v="0"/>
  </r>
  <r>
    <x v="18"/>
    <x v="140"/>
    <s v="Pedido planta de aceite"/>
    <s v="Total"/>
    <x v="1"/>
    <x v="0"/>
    <x v="2"/>
    <x v="0"/>
    <n v="147123"/>
    <n v="147123"/>
    <n v="94.309615384615384"/>
    <m/>
    <m/>
    <s v="39"/>
    <x v="502"/>
    <x v="0"/>
  </r>
  <r>
    <x v="28"/>
    <x v="140"/>
    <s v="Materiales reparación Casa Luciano H"/>
    <s v="Total"/>
    <x v="2"/>
    <x v="0"/>
    <x v="2"/>
    <x v="0"/>
    <n v="34000"/>
    <n v="34000"/>
    <n v="21.794871794871796"/>
    <m/>
    <m/>
    <s v="40"/>
    <x v="503"/>
    <x v="0"/>
  </r>
  <r>
    <x v="14"/>
    <x v="140"/>
    <s v="2 rollos polietileno 200 mic. X 50 mts x 4mts"/>
    <s v="Total"/>
    <x v="1"/>
    <x v="0"/>
    <x v="0"/>
    <x v="0"/>
    <n v="177216"/>
    <n v="177216"/>
    <n v="113.6"/>
    <m/>
    <m/>
    <s v="47"/>
    <x v="504"/>
    <x v="0"/>
  </r>
  <r>
    <x v="75"/>
    <x v="140"/>
    <s v="Flotante para pastilla de coloro + focos 75w - bodega"/>
    <s v="Total"/>
    <x v="2"/>
    <x v="0"/>
    <x v="2"/>
    <x v="0"/>
    <n v="10500"/>
    <n v="10500"/>
    <n v="6.7307692307692308"/>
    <m/>
    <m/>
    <s v="52"/>
    <x v="505"/>
    <x v="0"/>
  </r>
  <r>
    <x v="73"/>
    <x v="140"/>
    <s v="Pedido de bodega - materiales varios"/>
    <s v="Total"/>
    <x v="1"/>
    <x v="0"/>
    <x v="1"/>
    <x v="0"/>
    <n v="117097"/>
    <n v="117097"/>
    <n v="75.062179487179492"/>
    <m/>
    <d v="2026-04-04T00:00:00"/>
    <n v="14"/>
    <x v="506"/>
    <x v="0"/>
  </r>
  <r>
    <x v="57"/>
    <x v="140"/>
    <s v="Pedidos Bodega/cava - Planta"/>
    <s v="Total"/>
    <x v="1"/>
    <x v="0"/>
    <x v="1"/>
    <x v="0"/>
    <n v="505963.29"/>
    <n v="505963.29"/>
    <n v="324.33544230769229"/>
    <m/>
    <d v="2026-05-14T00:00:00"/>
    <n v="20"/>
    <x v="507"/>
    <x v="0"/>
  </r>
  <r>
    <x v="57"/>
    <x v="140"/>
    <s v="Pedidos Bodega/cava - Planta"/>
    <s v="Total"/>
    <x v="1"/>
    <x v="0"/>
    <x v="1"/>
    <x v="0"/>
    <n v="3946.61"/>
    <n v="3946.61"/>
    <n v="2.5298782051282052"/>
    <s v="Retenciones"/>
    <m/>
    <s v="16"/>
    <x v="507"/>
    <x v="0"/>
  </r>
  <r>
    <x v="47"/>
    <x v="140"/>
    <s v="Pedido planta - Tiner pinceles "/>
    <s v="Total"/>
    <x v="1"/>
    <x v="0"/>
    <x v="1"/>
    <x v="0"/>
    <n v="200000"/>
    <n v="200000"/>
    <n v="128.2051282051282"/>
    <m/>
    <d v="2026-06-07T00:00:00"/>
    <n v="24"/>
    <x v="508"/>
    <x v="0"/>
  </r>
  <r>
    <x v="45"/>
    <x v="141"/>
    <s v="Combustible - Combi Kia"/>
    <s v="Total"/>
    <x v="2"/>
    <x v="0"/>
    <x v="2"/>
    <x v="0"/>
    <n v="49999.98"/>
    <n v="49999.98"/>
    <n v="32.051269230769236"/>
    <m/>
    <m/>
    <s v="25"/>
    <x v="509"/>
    <x v="0"/>
  </r>
  <r>
    <x v="74"/>
    <x v="142"/>
    <s v="Servicio Aire casa LH"/>
    <s v="Total"/>
    <x v="1"/>
    <x v="0"/>
    <x v="0"/>
    <x v="0"/>
    <n v="273000"/>
    <n v="273000"/>
    <n v="175"/>
    <m/>
    <m/>
    <s v="03"/>
    <x v="510"/>
    <x v="0"/>
  </r>
  <r>
    <x v="34"/>
    <x v="143"/>
    <s v="Servicio"/>
    <s v="Total"/>
    <x v="1"/>
    <x v="0"/>
    <x v="1"/>
    <x v="0"/>
    <n v="549000"/>
    <n v="549000"/>
    <n v="351.92307692307691"/>
    <m/>
    <d v="2026-05-29T00:00:00"/>
    <n v="22"/>
    <x v="511"/>
    <x v="0"/>
  </r>
  <r>
    <x v="11"/>
    <x v="144"/>
    <s v="Cheque rechazado 838"/>
    <s v="Total"/>
    <x v="0"/>
    <x v="0"/>
    <x v="0"/>
    <x v="0"/>
    <n v="328200"/>
    <n v="328200"/>
    <n v="210.38461538461539"/>
    <m/>
    <m/>
    <s v="37"/>
    <x v="512"/>
    <x v="0"/>
  </r>
  <r>
    <x v="76"/>
    <x v="145"/>
    <s v="Pago saldo fruta"/>
    <s v="Total"/>
    <x v="1"/>
    <x v="1"/>
    <x v="2"/>
    <x v="0"/>
    <n v="295000"/>
    <n v="295000"/>
    <n v="189.10256410256412"/>
    <m/>
    <m/>
    <s v="12"/>
    <x v="0"/>
    <x v="0"/>
  </r>
  <r>
    <x v="0"/>
    <x v="145"/>
    <s v="Fruta fresca"/>
    <s v="Parcial"/>
    <x v="4"/>
    <x v="1"/>
    <x v="2"/>
    <x v="0"/>
    <n v="800000"/>
    <n v="800000"/>
    <n v="512.82051282051282"/>
    <m/>
    <m/>
    <s v="22"/>
    <x v="513"/>
    <x v="0"/>
  </r>
  <r>
    <x v="68"/>
    <x v="145"/>
    <s v="Fruta fresca"/>
    <s v="Parcial"/>
    <x v="4"/>
    <x v="1"/>
    <x v="2"/>
    <x v="0"/>
    <n v="1000000"/>
    <n v="1000000"/>
    <n v="641.02564102564099"/>
    <m/>
    <m/>
    <s v="23"/>
    <x v="514"/>
    <x v="0"/>
  </r>
  <r>
    <x v="17"/>
    <x v="145"/>
    <s v="Fruta fresca"/>
    <s v="Parcial"/>
    <x v="4"/>
    <x v="1"/>
    <x v="2"/>
    <x v="0"/>
    <n v="500000"/>
    <n v="500000"/>
    <n v="320.5128205128205"/>
    <m/>
    <m/>
    <s v="26"/>
    <x v="515"/>
    <x v="0"/>
  </r>
  <r>
    <x v="2"/>
    <x v="145"/>
    <s v="Fruta Frersca campaña 2025"/>
    <s v="Total"/>
    <x v="4"/>
    <x v="1"/>
    <x v="2"/>
    <x v="0"/>
    <n v="1985594.85"/>
    <n v="1985594.85"/>
    <n v="1272.8172115384616"/>
    <m/>
    <m/>
    <s v="32"/>
    <x v="516"/>
    <x v="0"/>
  </r>
  <r>
    <x v="2"/>
    <x v="145"/>
    <s v="Fruta Frersca campaña 2025"/>
    <s v="Total"/>
    <x v="4"/>
    <x v="1"/>
    <x v="2"/>
    <x v="0"/>
    <n v="1730000"/>
    <n v="1730000"/>
    <n v="1108.9743589743589"/>
    <m/>
    <m/>
    <s v="32"/>
    <x v="517"/>
    <x v="0"/>
  </r>
  <r>
    <x v="68"/>
    <x v="146"/>
    <s v="Honorarios profesionales"/>
    <s v="Total"/>
    <x v="3"/>
    <x v="0"/>
    <x v="0"/>
    <x v="0"/>
    <n v="78584"/>
    <n v="78584"/>
    <n v="50.374358974358977"/>
    <m/>
    <m/>
    <s v="23"/>
    <x v="518"/>
    <x v="0"/>
  </r>
  <r>
    <x v="3"/>
    <x v="147"/>
    <s v="Febrero"/>
    <s v="Total"/>
    <x v="3"/>
    <x v="0"/>
    <x v="0"/>
    <x v="0"/>
    <n v="399779.52"/>
    <n v="399779.52"/>
    <n v="256.2689230769231"/>
    <m/>
    <m/>
    <s v="44"/>
    <x v="0"/>
    <x v="1"/>
  </r>
  <r>
    <x v="16"/>
    <x v="146"/>
    <s v="Honorarios"/>
    <s v="Total"/>
    <x v="0"/>
    <x v="0"/>
    <x v="0"/>
    <x v="0"/>
    <n v="75985.86"/>
    <n v="75985.86"/>
    <n v="48.708884615384619"/>
    <m/>
    <m/>
    <s v="43"/>
    <x v="519"/>
    <x v="0"/>
  </r>
  <r>
    <x v="22"/>
    <x v="148"/>
    <s v="Envio de pago Pagano y Copaitich"/>
    <s v="Total"/>
    <x v="2"/>
    <x v="0"/>
    <x v="2"/>
    <x v="0"/>
    <n v="29400"/>
    <n v="29400"/>
    <n v="18.846153846153847"/>
    <m/>
    <m/>
    <s v="23"/>
    <x v="520"/>
    <x v="0"/>
  </r>
  <r>
    <x v="22"/>
    <x v="148"/>
    <s v="Envio de pago Pagano y Copaitich"/>
    <s v="Total"/>
    <x v="2"/>
    <x v="0"/>
    <x v="2"/>
    <x v="0"/>
    <n v="18750"/>
    <n v="18750"/>
    <n v="12.01923076923077"/>
    <m/>
    <m/>
    <s v="23"/>
    <x v="521"/>
    <x v="0"/>
  </r>
  <r>
    <x v="42"/>
    <x v="148"/>
    <s v="Envios mar del Plata / Puerto Madero +  carta documento"/>
    <s v="Total"/>
    <x v="2"/>
    <x v="0"/>
    <x v="2"/>
    <x v="0"/>
    <n v="139400"/>
    <n v="139400"/>
    <n v="89.358974358974365"/>
    <m/>
    <m/>
    <s v="24"/>
    <x v="522"/>
    <x v="0"/>
  </r>
  <r>
    <x v="12"/>
    <x v="148"/>
    <s v="Envio de pago VipLabel"/>
    <s v="Total"/>
    <x v="2"/>
    <x v="0"/>
    <x v="2"/>
    <x v="0"/>
    <n v="19900"/>
    <n v="19900"/>
    <n v="12.756410256410257"/>
    <m/>
    <m/>
    <s v="33"/>
    <x v="523"/>
    <x v="0"/>
  </r>
  <r>
    <x v="77"/>
    <x v="148"/>
    <s v="Envio muestra de vinos a mar del plata - "/>
    <s v="Total"/>
    <x v="2"/>
    <x v="0"/>
    <x v="2"/>
    <x v="0"/>
    <n v="62100"/>
    <n v="62100"/>
    <n v="39.807692307692307"/>
    <m/>
    <m/>
    <s v="35"/>
    <x v="524"/>
    <x v="0"/>
  </r>
  <r>
    <x v="11"/>
    <x v="148"/>
    <s v="Encio Bs. As. Muestra de vino - Bodega"/>
    <s v="Total"/>
    <x v="2"/>
    <x v="0"/>
    <x v="2"/>
    <x v="0"/>
    <n v="45200"/>
    <n v="45200"/>
    <n v="28.974358974358974"/>
    <m/>
    <m/>
    <s v="37"/>
    <x v="525"/>
    <x v="0"/>
  </r>
  <r>
    <x v="72"/>
    <x v="148"/>
    <s v="Envio de encomienda ME000215125AR"/>
    <s v="Total"/>
    <x v="2"/>
    <x v="0"/>
    <x v="2"/>
    <x v="0"/>
    <n v="38900"/>
    <n v="38900"/>
    <n v="24.935897435897434"/>
    <m/>
    <m/>
    <s v="39"/>
    <x v="526"/>
    <x v="0"/>
  </r>
  <r>
    <x v="16"/>
    <x v="149"/>
    <s v="Envio Bs As - Etiquetas bodega"/>
    <s v="Total"/>
    <x v="2"/>
    <x v="0"/>
    <x v="2"/>
    <x v="0"/>
    <n v="26400"/>
    <n v="26400"/>
    <n v="16.923076923076923"/>
    <m/>
    <m/>
    <s v="43"/>
    <x v="527"/>
    <x v="0"/>
  </r>
  <r>
    <x v="34"/>
    <x v="150"/>
    <s v="Cajas  "/>
    <s v="Total"/>
    <x v="1"/>
    <x v="0"/>
    <x v="1"/>
    <x v="0"/>
    <n v="757000"/>
    <n v="757000"/>
    <n v="485.25641025641028"/>
    <m/>
    <d v="2026-06-14T00:00:00"/>
    <n v="25"/>
    <x v="528"/>
    <x v="0"/>
  </r>
  <r>
    <x v="34"/>
    <x v="150"/>
    <s v="Cajas  "/>
    <s v="Total"/>
    <x v="1"/>
    <x v="0"/>
    <x v="1"/>
    <x v="0"/>
    <n v="15230.34"/>
    <n v="15230.34"/>
    <n v="9.7630384615384624"/>
    <m/>
    <m/>
    <s v="21"/>
    <x v="528"/>
    <x v="0"/>
  </r>
  <r>
    <x v="53"/>
    <x v="151"/>
    <s v="Pedido planta - tomas multiples (4)"/>
    <s v="Total"/>
    <x v="2"/>
    <x v="0"/>
    <x v="2"/>
    <x v="0"/>
    <n v="62856"/>
    <n v="62856"/>
    <n v="40.292307692307695"/>
    <m/>
    <m/>
    <s v="17"/>
    <x v="529"/>
    <x v="0"/>
  </r>
  <r>
    <x v="45"/>
    <x v="151"/>
    <s v="Tomas corrioente + prolongadores - planta de aceite"/>
    <s v="Total"/>
    <x v="1"/>
    <x v="0"/>
    <x v="2"/>
    <x v="0"/>
    <n v="59334"/>
    <n v="59334"/>
    <n v="38.034615384615385"/>
    <m/>
    <m/>
    <s v="25"/>
    <x v="530"/>
    <x v="0"/>
  </r>
  <r>
    <x v="43"/>
    <x v="151"/>
    <s v="Tomas corrioente + prolongadores - planta de aceite"/>
    <s v="Total"/>
    <x v="2"/>
    <x v="0"/>
    <x v="2"/>
    <x v="0"/>
    <n v="4796"/>
    <n v="4796"/>
    <n v="3.0743589743589745"/>
    <m/>
    <m/>
    <s v="26"/>
    <x v="531"/>
    <x v="0"/>
  </r>
  <r>
    <x v="43"/>
    <x v="151"/>
    <s v="Pila LR44 - pedido bodega"/>
    <s v="Total"/>
    <x v="2"/>
    <x v="0"/>
    <x v="2"/>
    <x v="0"/>
    <n v="1620"/>
    <n v="1620"/>
    <n v="1.0384615384615385"/>
    <m/>
    <m/>
    <s v="26"/>
    <x v="532"/>
    <x v="0"/>
  </r>
  <r>
    <x v="44"/>
    <x v="151"/>
    <s v="Rele trifsico - Pedido campo"/>
    <s v="Total"/>
    <x v="2"/>
    <x v="0"/>
    <x v="2"/>
    <x v="0"/>
    <n v="158565"/>
    <n v="158565"/>
    <n v="101.64423076923077"/>
    <m/>
    <m/>
    <s v="31"/>
    <x v="533"/>
    <x v="0"/>
  </r>
  <r>
    <x v="12"/>
    <x v="151"/>
    <s v="3 pilas 2032"/>
    <s v="Total"/>
    <x v="2"/>
    <x v="0"/>
    <x v="2"/>
    <x v="0"/>
    <n v="1605"/>
    <n v="1605"/>
    <n v="1.0288461538461537"/>
    <m/>
    <m/>
    <s v="33"/>
    <x v="534"/>
    <x v="0"/>
  </r>
  <r>
    <x v="71"/>
    <x v="151"/>
    <s v="Materiales electricos pozo 4"/>
    <s v="Total"/>
    <x v="1"/>
    <x v="0"/>
    <x v="0"/>
    <x v="0"/>
    <n v="105550"/>
    <n v="105550"/>
    <n v="67.660256410256409"/>
    <m/>
    <m/>
    <s v="36"/>
    <x v="535"/>
    <x v="0"/>
  </r>
  <r>
    <x v="11"/>
    <x v="151"/>
    <s v="Pedido Planta - 2 velas de estufa"/>
    <s v="Total"/>
    <x v="2"/>
    <x v="0"/>
    <x v="2"/>
    <x v="0"/>
    <n v="15200"/>
    <n v="15200"/>
    <n v="9.7435897435897427"/>
    <m/>
    <m/>
    <s v="37"/>
    <x v="536"/>
    <x v="0"/>
  </r>
  <r>
    <x v="5"/>
    <x v="152"/>
    <s v="Toma corriente"/>
    <s v="Total"/>
    <x v="2"/>
    <x v="0"/>
    <x v="2"/>
    <x v="0"/>
    <n v="2918"/>
    <n v="2918"/>
    <n v="1.8705128205128205"/>
    <m/>
    <m/>
    <s v="34"/>
    <x v="0"/>
    <x v="0"/>
  </r>
  <r>
    <x v="27"/>
    <x v="152"/>
    <s v="Materiales Pozo N°15"/>
    <s v="Total"/>
    <x v="1"/>
    <x v="0"/>
    <x v="0"/>
    <x v="0"/>
    <n v="243577.18"/>
    <n v="243577.18"/>
    <n v="156.13921794871794"/>
    <m/>
    <m/>
    <s v="35"/>
    <x v="0"/>
    <x v="0"/>
  </r>
  <r>
    <x v="16"/>
    <x v="152"/>
    <s v="Lamparas - Bodega"/>
    <s v="Total"/>
    <x v="2"/>
    <x v="0"/>
    <x v="2"/>
    <x v="0"/>
    <n v="27747"/>
    <n v="27747"/>
    <n v="17.786538461538463"/>
    <m/>
    <m/>
    <s v="43"/>
    <x v="537"/>
    <x v="0"/>
  </r>
  <r>
    <x v="19"/>
    <x v="153"/>
    <s v="Estabilizador TRV - planta"/>
    <s v="Total"/>
    <x v="1"/>
    <x v="0"/>
    <x v="0"/>
    <x v="0"/>
    <n v="86600"/>
    <n v="86600"/>
    <n v="55.512820512820511"/>
    <m/>
    <m/>
    <s v="50"/>
    <x v="538"/>
    <x v="0"/>
  </r>
  <r>
    <x v="36"/>
    <x v="153"/>
    <s v="USB HUB / Toner samsun 2020"/>
    <s v="Total"/>
    <x v="2"/>
    <x v="0"/>
    <x v="2"/>
    <x v="0"/>
    <n v="35500.01"/>
    <n v="35500.01"/>
    <n v="22.756416666666667"/>
    <m/>
    <m/>
    <s v="28"/>
    <x v="539"/>
    <x v="0"/>
  </r>
  <r>
    <x v="4"/>
    <x v="154"/>
    <s v="Materiales iluminacion provisoria cava"/>
    <s v="Total"/>
    <x v="2"/>
    <x v="0"/>
    <x v="2"/>
    <x v="0"/>
    <n v="96870"/>
    <n v="96870"/>
    <n v="62.096153846153847"/>
    <m/>
    <m/>
    <s v="51"/>
    <x v="540"/>
    <x v="0"/>
  </r>
  <r>
    <x v="2"/>
    <x v="155"/>
    <s v="Computadora + impresora salon de ventas"/>
    <s v="Total"/>
    <x v="1"/>
    <x v="0"/>
    <x v="0"/>
    <x v="0"/>
    <n v="21913.57"/>
    <n v="21913.57"/>
    <n v="14.047160256410256"/>
    <m/>
    <m/>
    <s v="32"/>
    <x v="541"/>
    <x v="0"/>
  </r>
  <r>
    <x v="2"/>
    <x v="155"/>
    <s v="Computadora + impresora salon de ventas"/>
    <s v="Total"/>
    <x v="1"/>
    <x v="0"/>
    <x v="1"/>
    <x v="0"/>
    <n v="758756.25"/>
    <n v="758756.25"/>
    <n v="486.38221153846155"/>
    <m/>
    <d v="2025-08-06T00:00:00"/>
    <n v="32"/>
    <x v="541"/>
    <x v="0"/>
  </r>
  <r>
    <x v="52"/>
    <x v="155"/>
    <s v="CPU oficina planta"/>
    <s v="Total"/>
    <x v="1"/>
    <x v="0"/>
    <x v="1"/>
    <x v="0"/>
    <n v="416878.19"/>
    <n v="416878.19"/>
    <n v="267.229608974359"/>
    <m/>
    <d v="2025-10-18T00:00:00"/>
    <n v="42"/>
    <x v="542"/>
    <x v="0"/>
  </r>
  <r>
    <x v="45"/>
    <x v="156"/>
    <s v="Flete baldes - Rosario"/>
    <s v="Total"/>
    <x v="1"/>
    <x v="0"/>
    <x v="1"/>
    <x v="0"/>
    <n v="1000000"/>
    <n v="1000000"/>
    <n v="641.02564102564099"/>
    <m/>
    <m/>
    <s v="25"/>
    <x v="543"/>
    <x v="0"/>
  </r>
  <r>
    <x v="45"/>
    <x v="156"/>
    <s v="Flete baldes - Rosario"/>
    <s v="Total"/>
    <x v="1"/>
    <x v="0"/>
    <x v="1"/>
    <x v="0"/>
    <n v="1143343.3999999999"/>
    <n v="1143343.3999999999"/>
    <n v="732.91243589743578"/>
    <m/>
    <m/>
    <s v="25"/>
    <x v="543"/>
    <x v="0"/>
  </r>
  <r>
    <x v="45"/>
    <x v="156"/>
    <s v="Flete baldes - Rosario"/>
    <s v="Total"/>
    <x v="1"/>
    <x v="0"/>
    <x v="1"/>
    <x v="0"/>
    <n v="34656.6"/>
    <n v="34656.6"/>
    <n v="22.215769230769229"/>
    <s v="Retenciones"/>
    <m/>
    <s v="25"/>
    <x v="543"/>
    <x v="0"/>
  </r>
  <r>
    <x v="3"/>
    <x v="157"/>
    <s v="Indumentaria -  1 entrega 2026"/>
    <s v="Total"/>
    <x v="1"/>
    <x v="0"/>
    <x v="1"/>
    <x v="0"/>
    <n v="7392155"/>
    <n v="7392155"/>
    <n v="4738.5608974358975"/>
    <m/>
    <m/>
    <s v="44"/>
    <x v="0"/>
    <x v="1"/>
  </r>
  <r>
    <x v="21"/>
    <x v="158"/>
    <s v="Malla Job 25x25 (salon de ventas)"/>
    <s v="Total"/>
    <x v="1"/>
    <x v="0"/>
    <x v="2"/>
    <x v="0"/>
    <n v="47600"/>
    <n v="47600"/>
    <n v="30.512820512820515"/>
    <m/>
    <m/>
    <s v="28"/>
    <x v="544"/>
    <x v="0"/>
  </r>
  <r>
    <x v="27"/>
    <x v="158"/>
    <s v="Pedido Cava - Clavos punta paris 2 1/2 - 10KG"/>
    <s v="Total"/>
    <x v="2"/>
    <x v="0"/>
    <x v="2"/>
    <x v="0"/>
    <n v="50000"/>
    <n v="50000"/>
    <n v="32.051282051282051"/>
    <m/>
    <m/>
    <s v="35"/>
    <x v="0"/>
    <x v="0"/>
  </r>
  <r>
    <x v="49"/>
    <x v="159"/>
    <s v="Saldo factura 3097"/>
    <s v="Total"/>
    <x v="1"/>
    <x v="0"/>
    <x v="0"/>
    <x v="0"/>
    <n v="161140.16"/>
    <n v="161140.16"/>
    <n v="103.29497435897436"/>
    <m/>
    <m/>
    <s v="25"/>
    <x v="545"/>
    <x v="0"/>
  </r>
  <r>
    <x v="60"/>
    <x v="159"/>
    <s v="Repuesto Tractor "/>
    <s v="Total"/>
    <x v="1"/>
    <x v="0"/>
    <x v="0"/>
    <x v="0"/>
    <n v="154074.14000000001"/>
    <n v="154074.14000000001"/>
    <n v="98.765474358974373"/>
    <m/>
    <m/>
    <s v="37"/>
    <x v="34"/>
    <x v="0"/>
  </r>
  <r>
    <x v="3"/>
    <x v="146"/>
    <s v="Honorarios"/>
    <s v="Total"/>
    <x v="3"/>
    <x v="0"/>
    <x v="0"/>
    <x v="0"/>
    <n v="228237.97"/>
    <n v="228237.97"/>
    <n v="146.30639102564103"/>
    <m/>
    <m/>
    <s v="44"/>
    <x v="0"/>
    <x v="2"/>
  </r>
  <r>
    <x v="78"/>
    <x v="160"/>
    <s v="Combustible"/>
    <s v="Total"/>
    <x v="1"/>
    <x v="1"/>
    <x v="2"/>
    <x v="0"/>
    <n v="108021.05"/>
    <n v="108021.05"/>
    <n v="69.244262820512816"/>
    <m/>
    <m/>
    <s v="13"/>
    <x v="0"/>
    <x v="0"/>
  </r>
  <r>
    <x v="80"/>
    <x v="160"/>
    <s v="Combustible"/>
    <s v="Total"/>
    <x v="1"/>
    <x v="0"/>
    <x v="2"/>
    <x v="0"/>
    <n v="103003.58"/>
    <n v="103003.58"/>
    <n v="66.027935897435896"/>
    <m/>
    <m/>
    <s v="20"/>
    <x v="546"/>
    <x v="0"/>
  </r>
  <r>
    <x v="3"/>
    <x v="161"/>
    <s v="Servicio - INV: P70003 "/>
    <s v="Total"/>
    <x v="3"/>
    <x v="0"/>
    <x v="0"/>
    <x v="0"/>
    <n v="228237.97"/>
    <n v="228237.97"/>
    <n v="146.30639102564103"/>
    <m/>
    <m/>
    <s v="44"/>
    <x v="0"/>
    <x v="1"/>
  </r>
  <r>
    <x v="38"/>
    <x v="162"/>
    <s v="Enebro - pedido de bodega - 2kg"/>
    <s v="Total"/>
    <x v="2"/>
    <x v="0"/>
    <x v="2"/>
    <x v="0"/>
    <n v="22167.200000000001"/>
    <n v="22167.200000000001"/>
    <n v="14.20974358974359"/>
    <m/>
    <m/>
    <s v="32"/>
    <x v="547"/>
    <x v="0"/>
  </r>
  <r>
    <x v="54"/>
    <x v="162"/>
    <s v="Productos de eroboristeria - Bodega"/>
    <s v="Total"/>
    <x v="1"/>
    <x v="0"/>
    <x v="0"/>
    <x v="0"/>
    <n v="270985.55"/>
    <n v="270985.55"/>
    <n v="173.70868589743588"/>
    <m/>
    <m/>
    <s v="41"/>
    <x v="548"/>
    <x v="0"/>
  </r>
  <r>
    <x v="76"/>
    <x v="163"/>
    <s v="Obra deposito bodega"/>
    <s v="Total"/>
    <x v="1"/>
    <x v="1"/>
    <x v="2"/>
    <x v="0"/>
    <n v="1325000"/>
    <n v="1325000"/>
    <n v="849.35897435897436"/>
    <m/>
    <m/>
    <s v="12"/>
    <x v="0"/>
    <x v="0"/>
  </r>
  <r>
    <x v="67"/>
    <x v="163"/>
    <s v="Trabajo en Bodega - solicita y Autoriza Dr. Beder Herrera"/>
    <s v="Total"/>
    <x v="1"/>
    <x v="1"/>
    <x v="2"/>
    <x v="0"/>
    <n v="457400"/>
    <n v="457400"/>
    <n v="293.20512820512823"/>
    <m/>
    <m/>
    <s v="24"/>
    <x v="549"/>
    <x v="0"/>
  </r>
  <r>
    <x v="69"/>
    <x v="163"/>
    <s v="Pozo negro / camara septica Bodega"/>
    <s v="Total"/>
    <x v="1"/>
    <x v="1"/>
    <x v="2"/>
    <x v="0"/>
    <n v="84498.92"/>
    <n v="84498.92"/>
    <n v="54.16597435897436"/>
    <m/>
    <m/>
    <s v="31"/>
    <x v="550"/>
    <x v="0"/>
  </r>
  <r>
    <x v="69"/>
    <x v="163"/>
    <s v="Pozo negro / camara septica Bodega"/>
    <s v="Total"/>
    <x v="1"/>
    <x v="1"/>
    <x v="1"/>
    <x v="0"/>
    <n v="203700"/>
    <n v="203700"/>
    <n v="130.57692307692307"/>
    <m/>
    <m/>
    <s v="31"/>
    <x v="550"/>
    <x v="0"/>
  </r>
  <r>
    <x v="69"/>
    <x v="163"/>
    <s v="Pozo negro / camara septica Bodega"/>
    <s v="Total"/>
    <x v="1"/>
    <x v="1"/>
    <x v="1"/>
    <x v="0"/>
    <n v="242801"/>
    <n v="242801"/>
    <n v="155.64166666666668"/>
    <m/>
    <m/>
    <s v="31"/>
    <x v="550"/>
    <x v="0"/>
  </r>
  <r>
    <x v="69"/>
    <x v="163"/>
    <s v="Pozo negro / camara septica Bodega"/>
    <s v="Total"/>
    <x v="1"/>
    <x v="1"/>
    <x v="1"/>
    <x v="0"/>
    <n v="669000"/>
    <n v="669000"/>
    <n v="428.84615384615387"/>
    <m/>
    <m/>
    <s v="31"/>
    <x v="550"/>
    <x v="0"/>
  </r>
  <r>
    <x v="42"/>
    <x v="164"/>
    <m/>
    <s v="Total"/>
    <x v="1"/>
    <x v="0"/>
    <x v="0"/>
    <x v="0"/>
    <n v="80000"/>
    <n v="80000"/>
    <n v="51.282051282051285"/>
    <m/>
    <m/>
    <s v="24"/>
    <x v="551"/>
    <x v="0"/>
  </r>
  <r>
    <x v="57"/>
    <x v="164"/>
    <s v="Diseño caja de pasas"/>
    <s v="Total"/>
    <x v="1"/>
    <x v="0"/>
    <x v="0"/>
    <x v="0"/>
    <n v="80000"/>
    <n v="80000"/>
    <n v="51.282051282051285"/>
    <m/>
    <m/>
    <s v="16"/>
    <x v="552"/>
    <x v="0"/>
  </r>
  <r>
    <x v="37"/>
    <x v="165"/>
    <s v="Repuesto Jeep - homocinetica"/>
    <s v="Total"/>
    <x v="2"/>
    <x v="0"/>
    <x v="2"/>
    <x v="0"/>
    <n v="100700"/>
    <n v="100700"/>
    <n v="64.551282051282058"/>
    <m/>
    <m/>
    <s v="29"/>
    <x v="553"/>
    <x v="0"/>
  </r>
  <r>
    <x v="38"/>
    <x v="165"/>
    <s v="Ruleman + retenes - Jeep Julio"/>
    <s v="Total"/>
    <x v="2"/>
    <x v="0"/>
    <x v="2"/>
    <x v="0"/>
    <n v="67001.820000000007"/>
    <n v="67001.820000000007"/>
    <n v="42.949884615384619"/>
    <m/>
    <m/>
    <s v="32"/>
    <x v="554"/>
    <x v="0"/>
  </r>
  <r>
    <x v="66"/>
    <x v="165"/>
    <s v="Repuestos Toyota Bordo - Placa y disco"/>
    <s v="Total"/>
    <x v="1"/>
    <x v="0"/>
    <x v="1"/>
    <x v="0"/>
    <n v="309700"/>
    <n v="309700"/>
    <n v="198.52564102564102"/>
    <m/>
    <d v="2026-09-12T00:00:00"/>
    <n v="37"/>
    <x v="555"/>
    <x v="0"/>
  </r>
  <r>
    <x v="66"/>
    <x v="165"/>
    <s v="Repuestos Toyota Bordo - Placa y disco"/>
    <s v="Total"/>
    <x v="1"/>
    <x v="0"/>
    <x v="1"/>
    <x v="0"/>
    <n v="1746.48"/>
    <n v="1746.48"/>
    <n v="1.1195384615384616"/>
    <s v="Retenciones"/>
    <m/>
    <s v="34"/>
    <x v="555"/>
    <x v="0"/>
  </r>
  <r>
    <x v="77"/>
    <x v="165"/>
    <s v="Repuestos Toyota Bordo - Placa y disco"/>
    <s v="Total"/>
    <x v="1"/>
    <x v="0"/>
    <x v="1"/>
    <x v="0"/>
    <n v="300000"/>
    <n v="300000"/>
    <n v="192.30769230769232"/>
    <m/>
    <d v="2026-08-30T00:00:00"/>
    <n v="36"/>
    <x v="556"/>
    <x v="0"/>
  </r>
  <r>
    <x v="77"/>
    <x v="165"/>
    <s v="Repuestos Toyota Bordo - Placa y disco"/>
    <s v="Total"/>
    <x v="1"/>
    <x v="0"/>
    <x v="1"/>
    <x v="0"/>
    <n v="6028.86"/>
    <n v="6028.86"/>
    <n v="3.8646538461538458"/>
    <s v="Retenciones"/>
    <m/>
    <s v="35"/>
    <x v="556"/>
    <x v="0"/>
  </r>
  <r>
    <x v="3"/>
    <x v="166"/>
    <s v="Reparación de bomba de profundidad Grundfos"/>
    <s v="Total"/>
    <x v="1"/>
    <x v="0"/>
    <x v="1"/>
    <x v="1"/>
    <n v="8743.4599999999991"/>
    <n v="13639797.599999998"/>
    <n v="8743.4599999999991"/>
    <m/>
    <m/>
    <s v="44"/>
    <x v="0"/>
    <x v="1"/>
  </r>
  <r>
    <x v="49"/>
    <x v="167"/>
    <s v="Fruta Fresca"/>
    <s v="Total"/>
    <x v="4"/>
    <x v="0"/>
    <x v="0"/>
    <x v="0"/>
    <n v="30000000"/>
    <n v="30000000"/>
    <n v="19230.76923076923"/>
    <m/>
    <m/>
    <s v="25"/>
    <x v="557"/>
    <x v="0"/>
  </r>
  <r>
    <x v="0"/>
    <x v="167"/>
    <s v="Fruta fresca campaña 2025"/>
    <s v="Fijo"/>
    <x v="4"/>
    <x v="0"/>
    <x v="0"/>
    <x v="0"/>
    <n v="20000000"/>
    <n v="20000000"/>
    <n v="12820.51282051282"/>
    <m/>
    <m/>
    <s v="22"/>
    <x v="558"/>
    <x v="0"/>
  </r>
  <r>
    <x v="0"/>
    <x v="167"/>
    <s v="Fruta fresca campaña 2025"/>
    <s v="Fijo"/>
    <x v="4"/>
    <x v="0"/>
    <x v="0"/>
    <x v="0"/>
    <n v="40000000"/>
    <n v="40000000"/>
    <n v="25641.025641025641"/>
    <m/>
    <m/>
    <s v="22"/>
    <x v="559"/>
    <x v="0"/>
  </r>
  <r>
    <x v="68"/>
    <x v="167"/>
    <s v="Fruta fresca campaña 2025"/>
    <s v="Total"/>
    <x v="4"/>
    <x v="0"/>
    <x v="0"/>
    <x v="0"/>
    <n v="60000000"/>
    <n v="60000000"/>
    <n v="38461.538461538461"/>
    <n v="30000000"/>
    <m/>
    <s v="23"/>
    <x v="560"/>
    <x v="0"/>
  </r>
  <r>
    <x v="17"/>
    <x v="167"/>
    <s v="Fruta Fresca"/>
    <s v="Total"/>
    <x v="4"/>
    <x v="0"/>
    <x v="0"/>
    <x v="0"/>
    <n v="30000000"/>
    <n v="30000000"/>
    <n v="19230.76923076923"/>
    <m/>
    <m/>
    <s v="26"/>
    <x v="561"/>
    <x v="0"/>
  </r>
  <r>
    <x v="25"/>
    <x v="167"/>
    <s v="Fruta fresca  "/>
    <s v="Total"/>
    <x v="4"/>
    <x v="0"/>
    <x v="0"/>
    <x v="0"/>
    <n v="20000000"/>
    <n v="20000000"/>
    <n v="12820.51282051282"/>
    <m/>
    <m/>
    <s v="27"/>
    <x v="562"/>
    <x v="0"/>
  </r>
  <r>
    <x v="25"/>
    <x v="167"/>
    <s v="Fruta fresca  "/>
    <s v="Total"/>
    <x v="4"/>
    <x v="0"/>
    <x v="0"/>
    <x v="0"/>
    <n v="20000000"/>
    <n v="20000000"/>
    <n v="12820.51282051282"/>
    <m/>
    <m/>
    <s v="27"/>
    <x v="563"/>
    <x v="0"/>
  </r>
  <r>
    <x v="21"/>
    <x v="167"/>
    <s v="Fruta Fresca"/>
    <s v="Total"/>
    <x v="4"/>
    <x v="0"/>
    <x v="0"/>
    <x v="0"/>
    <n v="20000000"/>
    <n v="20000000"/>
    <n v="12820.51282051282"/>
    <m/>
    <m/>
    <s v="28"/>
    <x v="564"/>
    <x v="0"/>
  </r>
  <r>
    <x v="21"/>
    <x v="167"/>
    <s v="Fruta Fresca"/>
    <s v="Total"/>
    <x v="4"/>
    <x v="0"/>
    <x v="0"/>
    <x v="0"/>
    <n v="10000000"/>
    <n v="10000000"/>
    <n v="6410.2564102564102"/>
    <m/>
    <m/>
    <s v="28"/>
    <x v="565"/>
    <x v="0"/>
  </r>
  <r>
    <x v="21"/>
    <x v="167"/>
    <s v="Fruta Fresca"/>
    <s v="Total"/>
    <x v="4"/>
    <x v="0"/>
    <x v="0"/>
    <x v="0"/>
    <n v="10000000"/>
    <n v="10000000"/>
    <n v="6410.2564102564102"/>
    <m/>
    <m/>
    <s v="28"/>
    <x v="566"/>
    <x v="0"/>
  </r>
  <r>
    <x v="26"/>
    <x v="167"/>
    <s v="Fruta Fresca"/>
    <s v="Total"/>
    <x v="4"/>
    <x v="0"/>
    <x v="0"/>
    <x v="0"/>
    <n v="15000000"/>
    <n v="15000000"/>
    <n v="9615.3846153846152"/>
    <m/>
    <m/>
    <s v="29"/>
    <x v="567"/>
    <x v="0"/>
  </r>
  <r>
    <x v="26"/>
    <x v="167"/>
    <s v="Fruta Fresca"/>
    <s v="Total"/>
    <x v="4"/>
    <x v="0"/>
    <x v="0"/>
    <x v="0"/>
    <n v="25000000"/>
    <n v="25000000"/>
    <n v="16025.641025641025"/>
    <m/>
    <m/>
    <s v="29"/>
    <x v="568"/>
    <x v="0"/>
  </r>
  <r>
    <x v="61"/>
    <x v="167"/>
    <s v="Fruta Fresca"/>
    <s v="Total"/>
    <x v="4"/>
    <x v="0"/>
    <x v="0"/>
    <x v="0"/>
    <n v="19600000"/>
    <n v="19600000"/>
    <n v="12564.102564102564"/>
    <m/>
    <m/>
    <s v="30"/>
    <x v="569"/>
    <x v="0"/>
  </r>
  <r>
    <x v="61"/>
    <x v="167"/>
    <s v="Fruta Fresca"/>
    <s v="Total"/>
    <x v="4"/>
    <x v="0"/>
    <x v="0"/>
    <x v="0"/>
    <n v="9800000"/>
    <n v="9800000"/>
    <n v="6282.0512820512822"/>
    <m/>
    <m/>
    <s v="29"/>
    <x v="570"/>
    <x v="0"/>
  </r>
  <r>
    <x v="69"/>
    <x v="167"/>
    <s v="Fruta Fresca"/>
    <s v="Total"/>
    <x v="4"/>
    <x v="0"/>
    <x v="0"/>
    <x v="0"/>
    <n v="15000000"/>
    <n v="15000000"/>
    <n v="9615.3846153846152"/>
    <m/>
    <m/>
    <s v="31"/>
    <x v="571"/>
    <x v="0"/>
  </r>
  <r>
    <x v="8"/>
    <x v="167"/>
    <s v="Fruta Fresca"/>
    <s v="Total"/>
    <x v="4"/>
    <x v="0"/>
    <x v="0"/>
    <x v="0"/>
    <n v="14700000"/>
    <n v="14700000"/>
    <n v="9423.0769230769238"/>
    <m/>
    <m/>
    <s v="33"/>
    <x v="572"/>
    <x v="0"/>
  </r>
  <r>
    <x v="8"/>
    <x v="167"/>
    <s v="Fruta Fresca"/>
    <s v="Total"/>
    <x v="4"/>
    <x v="0"/>
    <x v="0"/>
    <x v="0"/>
    <n v="14700000"/>
    <n v="14700000"/>
    <n v="9423.0769230769238"/>
    <m/>
    <m/>
    <s v="33"/>
    <x v="573"/>
    <x v="0"/>
  </r>
  <r>
    <x v="5"/>
    <x v="167"/>
    <s v="Fruta Fresca campaña 2025"/>
    <s v="Total"/>
    <x v="1"/>
    <x v="0"/>
    <x v="0"/>
    <x v="0"/>
    <n v="14700000"/>
    <n v="14700000"/>
    <n v="9423.0769230769238"/>
    <m/>
    <m/>
    <s v="34"/>
    <x v="34"/>
    <x v="0"/>
  </r>
  <r>
    <x v="5"/>
    <x v="167"/>
    <s v="Fruta Fresca campaña 2025"/>
    <s v="Total"/>
    <x v="1"/>
    <x v="0"/>
    <x v="0"/>
    <x v="0"/>
    <n v="14700000"/>
    <n v="14700000"/>
    <n v="9423.0769230769238"/>
    <m/>
    <m/>
    <s v="34"/>
    <x v="34"/>
    <x v="0"/>
  </r>
  <r>
    <x v="27"/>
    <x v="167"/>
    <s v="Fruta Fresca campaña 2025"/>
    <s v="Total"/>
    <x v="1"/>
    <x v="0"/>
    <x v="0"/>
    <x v="0"/>
    <n v="14700000"/>
    <n v="14700000"/>
    <n v="9423.0769230769238"/>
    <m/>
    <m/>
    <s v="35"/>
    <x v="34"/>
    <x v="0"/>
  </r>
  <r>
    <x v="27"/>
    <x v="167"/>
    <s v="Fruta Fresca campaña 2025"/>
    <s v="Total"/>
    <x v="1"/>
    <x v="0"/>
    <x v="0"/>
    <x v="0"/>
    <n v="10309954.699999999"/>
    <n v="10309954.699999999"/>
    <n v="6608.9453205128202"/>
    <m/>
    <m/>
    <s v="35"/>
    <x v="0"/>
    <x v="0"/>
  </r>
  <r>
    <x v="70"/>
    <x v="167"/>
    <s v="Fruta Fresca campaña 2025"/>
    <s v="Total"/>
    <x v="1"/>
    <x v="0"/>
    <x v="0"/>
    <x v="0"/>
    <n v="9804480"/>
    <n v="9804480"/>
    <n v="6284.9230769230771"/>
    <m/>
    <m/>
    <s v="36"/>
    <x v="34"/>
    <x v="0"/>
  </r>
  <r>
    <x v="60"/>
    <x v="167"/>
    <s v="Fruta Fresca campaña 2025"/>
    <s v="Total"/>
    <x v="1"/>
    <x v="0"/>
    <x v="0"/>
    <x v="0"/>
    <n v="23520000"/>
    <n v="23520000"/>
    <n v="15076.923076923076"/>
    <m/>
    <m/>
    <s v="37"/>
    <x v="34"/>
    <x v="0"/>
  </r>
  <r>
    <x v="60"/>
    <x v="167"/>
    <s v="Fruta Fresca campaña 2025"/>
    <s v="Total"/>
    <x v="1"/>
    <x v="0"/>
    <x v="0"/>
    <x v="0"/>
    <n v="11160000"/>
    <n v="11160000"/>
    <n v="7153.8461538461543"/>
    <m/>
    <m/>
    <s v="37"/>
    <x v="34"/>
    <x v="0"/>
  </r>
  <r>
    <x v="52"/>
    <x v="167"/>
    <s v="Fruta Fresca campaña 2025"/>
    <s v="Total"/>
    <x v="1"/>
    <x v="0"/>
    <x v="0"/>
    <x v="0"/>
    <n v="14700000"/>
    <n v="14700000"/>
    <n v="9423.0769230769238"/>
    <m/>
    <m/>
    <s v="38"/>
    <x v="574"/>
    <x v="0"/>
  </r>
  <r>
    <x v="52"/>
    <x v="167"/>
    <s v="Fruta Fresca campaña 2025"/>
    <s v="Total"/>
    <x v="1"/>
    <x v="0"/>
    <x v="0"/>
    <x v="0"/>
    <n v="14700000"/>
    <n v="14700000"/>
    <n v="9423.0769230769238"/>
    <m/>
    <m/>
    <s v="38"/>
    <x v="575"/>
    <x v="0"/>
  </r>
  <r>
    <x v="18"/>
    <x v="167"/>
    <s v="Fruta Fresca campaña 2025"/>
    <s v="Total"/>
    <x v="1"/>
    <x v="0"/>
    <x v="0"/>
    <x v="0"/>
    <n v="29400000"/>
    <n v="29400000"/>
    <n v="18846.153846153848"/>
    <m/>
    <m/>
    <s v="39"/>
    <x v="576"/>
    <x v="0"/>
  </r>
  <r>
    <x v="18"/>
    <x v="167"/>
    <s v="Campaña 2025"/>
    <s v="Total"/>
    <x v="4"/>
    <x v="0"/>
    <x v="1"/>
    <x v="0"/>
    <n v="5000000"/>
    <n v="5000000"/>
    <n v="3205.1282051282051"/>
    <m/>
    <d v="2025-11-13T00:00:00"/>
    <n v="46"/>
    <x v="577"/>
    <x v="0"/>
  </r>
  <r>
    <x v="18"/>
    <x v="167"/>
    <s v="Campaña 2025"/>
    <s v="Total"/>
    <x v="4"/>
    <x v="0"/>
    <x v="1"/>
    <x v="0"/>
    <n v="5000000"/>
    <n v="5000000"/>
    <n v="3205.1282051282051"/>
    <m/>
    <d v="2025-11-06T00:00:00"/>
    <n v="45"/>
    <x v="577"/>
    <x v="0"/>
  </r>
  <r>
    <x v="18"/>
    <x v="167"/>
    <s v="Campaña 2025"/>
    <s v="Total"/>
    <x v="4"/>
    <x v="0"/>
    <x v="1"/>
    <x v="0"/>
    <n v="5000000"/>
    <n v="5000000"/>
    <n v="3205.1282051282051"/>
    <m/>
    <d v="2025-11-14T00:00:00"/>
    <n v="46"/>
    <x v="577"/>
    <x v="0"/>
  </r>
  <r>
    <x v="18"/>
    <x v="167"/>
    <s v="Campaña 2025"/>
    <s v="Total"/>
    <x v="4"/>
    <x v="0"/>
    <x v="1"/>
    <x v="0"/>
    <n v="5000000"/>
    <n v="5000000"/>
    <n v="3205.1282051282051"/>
    <m/>
    <d v="2025-11-07T00:00:00"/>
    <n v="45"/>
    <x v="577"/>
    <x v="0"/>
  </r>
  <r>
    <x v="18"/>
    <x v="167"/>
    <s v="Campaña 2025"/>
    <s v="Total"/>
    <x v="4"/>
    <x v="0"/>
    <x v="1"/>
    <x v="0"/>
    <n v="5000000"/>
    <n v="5000000"/>
    <n v="3205.1282051282051"/>
    <m/>
    <d v="2025-11-12T00:00:00"/>
    <n v="46"/>
    <x v="577"/>
    <x v="0"/>
  </r>
  <r>
    <x v="18"/>
    <x v="167"/>
    <s v="Campaña 2025"/>
    <s v="Total"/>
    <x v="4"/>
    <x v="0"/>
    <x v="1"/>
    <x v="0"/>
    <n v="5000000"/>
    <n v="5000000"/>
    <n v="3205.1282051282051"/>
    <m/>
    <d v="2025-11-19T00:00:00"/>
    <n v="47"/>
    <x v="577"/>
    <x v="0"/>
  </r>
  <r>
    <x v="28"/>
    <x v="167"/>
    <s v="Fruta Fresca campaña 2025"/>
    <s v="Total"/>
    <x v="1"/>
    <x v="0"/>
    <x v="0"/>
    <x v="0"/>
    <n v="19604480"/>
    <n v="19604480"/>
    <n v="12566.974358974359"/>
    <m/>
    <m/>
    <s v="40"/>
    <x v="578"/>
    <x v="0"/>
  </r>
  <r>
    <x v="28"/>
    <x v="167"/>
    <s v="Fruta Fresca campaña 2025"/>
    <s v="Total"/>
    <x v="1"/>
    <x v="0"/>
    <x v="0"/>
    <x v="0"/>
    <n v="34366515.840000004"/>
    <n v="34366515.840000004"/>
    <n v="22029.817846153848"/>
    <m/>
    <m/>
    <s v="40"/>
    <x v="579"/>
    <x v="0"/>
  </r>
  <r>
    <x v="28"/>
    <x v="167"/>
    <s v="Fruta Fresca campaña 2025"/>
    <s v="Total"/>
    <x v="1"/>
    <x v="0"/>
    <x v="0"/>
    <x v="0"/>
    <n v="24547511.309999999"/>
    <n v="24547511.309999999"/>
    <n v="15735.584173076923"/>
    <m/>
    <m/>
    <s v="40"/>
    <x v="580"/>
    <x v="0"/>
  </r>
  <r>
    <x v="28"/>
    <x v="167"/>
    <s v="Fruta Fresca campaña 2025"/>
    <s v="Total"/>
    <x v="1"/>
    <x v="0"/>
    <x v="0"/>
    <x v="0"/>
    <n v="25529411.760000002"/>
    <n v="25529411.760000002"/>
    <n v="16365.007538461539"/>
    <m/>
    <m/>
    <s v="40"/>
    <x v="581"/>
    <x v="0"/>
  </r>
  <r>
    <x v="6"/>
    <x v="167"/>
    <s v="Campaña 2025"/>
    <s v="Total"/>
    <x v="4"/>
    <x v="0"/>
    <x v="0"/>
    <x v="0"/>
    <n v="24500000"/>
    <n v="24500000"/>
    <n v="15705.128205128205"/>
    <m/>
    <m/>
    <s v="41"/>
    <x v="582"/>
    <x v="0"/>
  </r>
  <r>
    <x v="63"/>
    <x v="167"/>
    <s v="Campaña 2025"/>
    <s v="Total"/>
    <x v="4"/>
    <x v="0"/>
    <x v="0"/>
    <x v="0"/>
    <n v="29400000"/>
    <n v="29400000"/>
    <n v="18846.153846153848"/>
    <m/>
    <m/>
    <s v="44"/>
    <x v="583"/>
    <x v="0"/>
  </r>
  <r>
    <x v="30"/>
    <x v="167"/>
    <s v="Campaña 2025"/>
    <s v="Total"/>
    <x v="4"/>
    <x v="0"/>
    <x v="0"/>
    <x v="0"/>
    <n v="6400000"/>
    <n v="6400000"/>
    <n v="4102.5641025641025"/>
    <m/>
    <m/>
    <s v="43"/>
    <x v="584"/>
    <x v="0"/>
  </r>
  <r>
    <x v="7"/>
    <x v="167"/>
    <s v="Campaña 2025"/>
    <s v="Total"/>
    <x v="4"/>
    <x v="0"/>
    <x v="0"/>
    <x v="0"/>
    <n v="120000000"/>
    <n v="120000000"/>
    <n v="76923.076923076922"/>
    <m/>
    <m/>
    <s v="46"/>
    <x v="585"/>
    <x v="0"/>
  </r>
  <r>
    <x v="31"/>
    <x v="167"/>
    <s v="Campaña 2025"/>
    <s v="Total"/>
    <x v="4"/>
    <x v="0"/>
    <x v="0"/>
    <x v="0"/>
    <n v="120000000"/>
    <n v="120000000"/>
    <n v="76923.076923076922"/>
    <m/>
    <m/>
    <s v="45"/>
    <x v="586"/>
    <x v="0"/>
  </r>
  <r>
    <x v="14"/>
    <x v="167"/>
    <s v="Campaña 2025"/>
    <s v="Total"/>
    <x v="4"/>
    <x v="0"/>
    <x v="0"/>
    <x v="0"/>
    <n v="30000000"/>
    <n v="30000000"/>
    <n v="19230.76923076923"/>
    <m/>
    <m/>
    <s v="47"/>
    <x v="587"/>
    <x v="0"/>
  </r>
  <r>
    <x v="14"/>
    <x v="167"/>
    <s v="Campaña 2025"/>
    <s v="Total"/>
    <x v="4"/>
    <x v="0"/>
    <x v="0"/>
    <x v="0"/>
    <n v="120000000"/>
    <n v="120000000"/>
    <n v="76923.076923076922"/>
    <m/>
    <m/>
    <s v="47"/>
    <x v="588"/>
    <x v="0"/>
  </r>
  <r>
    <x v="10"/>
    <x v="167"/>
    <s v="Campaña 2025"/>
    <s v="Total"/>
    <x v="4"/>
    <x v="0"/>
    <x v="0"/>
    <x v="0"/>
    <n v="84876258.659999996"/>
    <n v="84876258.659999996"/>
    <n v="54407.85811538461"/>
    <m/>
    <m/>
    <s v="48"/>
    <x v="589"/>
    <x v="0"/>
  </r>
  <r>
    <x v="10"/>
    <x v="167"/>
    <s v="Campaña 2025"/>
    <s v="Total"/>
    <x v="4"/>
    <x v="0"/>
    <x v="0"/>
    <x v="0"/>
    <n v="95123741.340000004"/>
    <n v="95123741.340000004"/>
    <n v="60976.757269230773"/>
    <m/>
    <m/>
    <s v="48"/>
    <x v="590"/>
    <x v="0"/>
  </r>
  <r>
    <x v="10"/>
    <x v="167"/>
    <s v="Campaña 2025"/>
    <s v="Total"/>
    <x v="4"/>
    <x v="0"/>
    <x v="0"/>
    <x v="0"/>
    <n v="200000000"/>
    <n v="200000000"/>
    <n v="128205.1282051282"/>
    <m/>
    <m/>
    <s v="48"/>
    <x v="591"/>
    <x v="0"/>
  </r>
  <r>
    <x v="4"/>
    <x v="167"/>
    <s v="Campaña 2025"/>
    <s v="Total"/>
    <x v="4"/>
    <x v="0"/>
    <x v="0"/>
    <x v="0"/>
    <n v="38089671"/>
    <n v="38089671"/>
    <n v="24416.455769230768"/>
    <m/>
    <m/>
    <s v="51"/>
    <x v="592"/>
    <x v="0"/>
  </r>
  <r>
    <x v="4"/>
    <x v="167"/>
    <s v="Campaña 2025"/>
    <s v="Total"/>
    <x v="4"/>
    <x v="0"/>
    <x v="0"/>
    <x v="0"/>
    <n v="1883044.5"/>
    <n v="1883044.5"/>
    <n v="1207.0798076923077"/>
    <m/>
    <m/>
    <s v="51"/>
    <x v="593"/>
    <x v="0"/>
  </r>
  <r>
    <x v="8"/>
    <x v="168"/>
    <s v="Repuesto de planta"/>
    <s v="Total"/>
    <x v="1"/>
    <x v="0"/>
    <x v="1"/>
    <x v="0"/>
    <n v="343630"/>
    <n v="343630"/>
    <n v="220.27564102564102"/>
    <m/>
    <d v="2025-09-15T00:00:00"/>
    <n v="38"/>
    <x v="594"/>
    <x v="0"/>
  </r>
  <r>
    <x v="16"/>
    <x v="169"/>
    <s v="Honorarios"/>
    <s v="Total"/>
    <x v="0"/>
    <x v="0"/>
    <x v="0"/>
    <x v="0"/>
    <n v="1108043.3999999999"/>
    <n v="1108043.3999999999"/>
    <n v="710.2842307692307"/>
    <m/>
    <m/>
    <s v="43"/>
    <x v="595"/>
    <x v="0"/>
  </r>
  <r>
    <x v="16"/>
    <x v="169"/>
    <s v="Honorarios"/>
    <s v="Total"/>
    <x v="0"/>
    <x v="0"/>
    <x v="0"/>
    <x v="0"/>
    <n v="17256.599999999999"/>
    <n v="17256.599999999999"/>
    <n v="11.061923076923076"/>
    <s v="Retenciones"/>
    <m/>
    <s v="43"/>
    <x v="595"/>
    <x v="0"/>
  </r>
  <r>
    <x v="81"/>
    <x v="170"/>
    <s v="Insumos gomeria - pedido de Campo"/>
    <s v="Total"/>
    <x v="1"/>
    <x v="0"/>
    <x v="0"/>
    <x v="0"/>
    <n v="108800"/>
    <n v="108800"/>
    <n v="69.743589743589737"/>
    <m/>
    <m/>
    <s v="23"/>
    <x v="596"/>
    <x v="0"/>
  </r>
  <r>
    <x v="36"/>
    <x v="171"/>
    <s v="Pedido de bodega"/>
    <s v="Total"/>
    <x v="1"/>
    <x v="0"/>
    <x v="0"/>
    <x v="0"/>
    <n v="275535.15000000002"/>
    <n v="275535.15000000002"/>
    <n v="176.62509615384616"/>
    <m/>
    <m/>
    <s v="28"/>
    <x v="597"/>
    <x v="0"/>
  </r>
  <r>
    <x v="14"/>
    <x v="172"/>
    <s v="Cajan Navideñas"/>
    <s v="Total"/>
    <x v="1"/>
    <x v="0"/>
    <x v="1"/>
    <x v="0"/>
    <n v="4840669.95"/>
    <n v="4840669.95"/>
    <n v="3102.9935576923076"/>
    <m/>
    <d v="2025-12-17T00:00:00"/>
    <n v="51"/>
    <x v="598"/>
    <x v="0"/>
  </r>
  <r>
    <x v="14"/>
    <x v="173"/>
    <s v="Combustible Combi Kia"/>
    <s v="Total"/>
    <x v="2"/>
    <x v="0"/>
    <x v="2"/>
    <x v="0"/>
    <n v="29999.439999999999"/>
    <n v="29999.439999999999"/>
    <n v="19.230410256410256"/>
    <m/>
    <m/>
    <s v="47"/>
    <x v="599"/>
    <x v="0"/>
  </r>
  <r>
    <x v="40"/>
    <x v="173"/>
    <s v="Combustible taller"/>
    <s v="Total"/>
    <x v="2"/>
    <x v="0"/>
    <x v="2"/>
    <x v="0"/>
    <n v="200000.55"/>
    <n v="200000.55"/>
    <n v="128.20548076923077"/>
    <m/>
    <m/>
    <s v="40"/>
    <x v="600"/>
    <x v="0"/>
  </r>
  <r>
    <x v="50"/>
    <x v="174"/>
    <s v="Amplificador de conmutación - planta"/>
    <s v="Total"/>
    <x v="1"/>
    <x v="0"/>
    <x v="0"/>
    <x v="0"/>
    <n v="240000"/>
    <n v="240000"/>
    <n v="153.84615384615384"/>
    <m/>
    <m/>
    <s v="04"/>
    <x v="601"/>
    <x v="0"/>
  </r>
  <r>
    <x v="9"/>
    <x v="175"/>
    <s v="Articulos riego - Ruiz Santiago"/>
    <s v="Total"/>
    <x v="0"/>
    <x v="0"/>
    <x v="1"/>
    <x v="0"/>
    <n v="718959.43"/>
    <n v="718959.43"/>
    <n v="460.87142948717951"/>
    <m/>
    <d v="2026-02-26T00:00:00"/>
    <n v="9"/>
    <x v="602"/>
    <x v="0"/>
  </r>
  <r>
    <x v="20"/>
    <x v="175"/>
    <s v="Compra realizada en La Rioja (Zelaya) - Santiago Ruiz"/>
    <s v="Total"/>
    <x v="0"/>
    <x v="0"/>
    <x v="1"/>
    <x v="0"/>
    <n v="222200.06"/>
    <n v="222200.06"/>
    <n v="142.43593589743588"/>
    <m/>
    <m/>
    <s v="15"/>
    <x v="603"/>
    <x v="0"/>
  </r>
  <r>
    <x v="64"/>
    <x v="175"/>
    <s v="Compra materiales - La Rioja"/>
    <s v="Total"/>
    <x v="0"/>
    <x v="0"/>
    <x v="1"/>
    <x v="0"/>
    <n v="120000"/>
    <n v="120000"/>
    <n v="76.92307692307692"/>
    <m/>
    <m/>
    <s v="22"/>
    <x v="604"/>
    <x v="0"/>
  </r>
  <r>
    <x v="1"/>
    <x v="176"/>
    <s v="Cloruro de calcio "/>
    <s v="Total"/>
    <x v="1"/>
    <x v="0"/>
    <x v="1"/>
    <x v="0"/>
    <n v="2804780"/>
    <n v="2804780"/>
    <n v="1797.9358974358975"/>
    <s v="Al Día"/>
    <m/>
    <s v="21"/>
    <x v="0"/>
    <x v="0"/>
  </r>
  <r>
    <x v="14"/>
    <x v="176"/>
    <s v="Factura A-21-3832"/>
    <s v="Total"/>
    <x v="0"/>
    <x v="0"/>
    <x v="1"/>
    <x v="0"/>
    <n v="2262900"/>
    <n v="2262900"/>
    <n v="1450.5769230769231"/>
    <m/>
    <d v="2025-12-06T00:00:00"/>
    <n v="49"/>
    <x v="605"/>
    <x v="0"/>
  </r>
  <r>
    <x v="14"/>
    <x v="176"/>
    <s v="Factura A-21-3832"/>
    <s v="Total"/>
    <x v="0"/>
    <x v="0"/>
    <x v="0"/>
    <x v="0"/>
    <n v="500000"/>
    <n v="500000"/>
    <n v="320.5128205128205"/>
    <m/>
    <m/>
    <s v="47"/>
    <x v="605"/>
    <x v="0"/>
  </r>
  <r>
    <x v="14"/>
    <x v="176"/>
    <s v="Factura A-21-3832"/>
    <s v="Total"/>
    <x v="0"/>
    <x v="0"/>
    <x v="1"/>
    <x v="0"/>
    <n v="524510"/>
    <n v="524510"/>
    <n v="336.22435897435895"/>
    <m/>
    <d v="2025-12-16T00:00:00"/>
    <n v="51"/>
    <x v="606"/>
    <x v="0"/>
  </r>
  <r>
    <x v="13"/>
    <x v="177"/>
    <s v="Pickles - pedido de ventas"/>
    <s v="Total"/>
    <x v="1"/>
    <x v="0"/>
    <x v="0"/>
    <x v="0"/>
    <n v="399795.20000000001"/>
    <n v="399795.20000000001"/>
    <n v="256.27897435897438"/>
    <m/>
    <m/>
    <s v="07"/>
    <x v="607"/>
    <x v="0"/>
  </r>
  <r>
    <x v="13"/>
    <x v="177"/>
    <s v="Pickles - pedido de ventas"/>
    <s v="Total"/>
    <x v="1"/>
    <x v="0"/>
    <x v="1"/>
    <x v="0"/>
    <n v="399795.20000000001"/>
    <n v="399795.20000000001"/>
    <n v="256.27897435897438"/>
    <m/>
    <d v="2026-02-26T00:00:00"/>
    <n v="9"/>
    <x v="607"/>
    <x v="0"/>
  </r>
  <r>
    <x v="2"/>
    <x v="178"/>
    <s v="Insumos Bodega"/>
    <s v="Parcial"/>
    <x v="1"/>
    <x v="0"/>
    <x v="1"/>
    <x v="0"/>
    <n v="758756.25"/>
    <n v="758756.25"/>
    <n v="486.38221153846155"/>
    <s v="CH 20/30 días"/>
    <d v="2025-09-05T00:00:00"/>
    <n v="36"/>
    <x v="608"/>
    <x v="0"/>
  </r>
  <r>
    <x v="2"/>
    <x v="178"/>
    <s v="Insumos Bodega"/>
    <s v="Parcial"/>
    <x v="1"/>
    <x v="0"/>
    <x v="1"/>
    <x v="0"/>
    <n v="1095894.8600000001"/>
    <n v="1095894.8600000001"/>
    <n v="702.49670512820524"/>
    <s v="CH 20/30 días"/>
    <d v="2025-08-02T00:00:00"/>
    <n v="31"/>
    <x v="608"/>
    <x v="0"/>
  </r>
  <r>
    <x v="2"/>
    <x v="178"/>
    <s v="Insumos Bodega"/>
    <s v="Parcial"/>
    <x v="1"/>
    <x v="0"/>
    <x v="1"/>
    <x v="0"/>
    <n v="691502"/>
    <n v="691502"/>
    <n v="443.27051282051281"/>
    <s v="CH 20/30 días"/>
    <d v="2025-07-24T00:00:00"/>
    <n v="30"/>
    <x v="608"/>
    <x v="0"/>
  </r>
  <r>
    <x v="73"/>
    <x v="178"/>
    <s v="Insumos Bodega"/>
    <s v="Parcial"/>
    <x v="0"/>
    <x v="0"/>
    <x v="1"/>
    <x v="0"/>
    <n v="1542396.88"/>
    <n v="1542396.88"/>
    <n v="988.71594871794866"/>
    <m/>
    <d v="2026-05-01T00:00:00"/>
    <n v="18"/>
    <x v="609"/>
    <x v="0"/>
  </r>
  <r>
    <x v="73"/>
    <x v="178"/>
    <s v="Insumos Bodega"/>
    <s v="Parcial"/>
    <x v="0"/>
    <x v="0"/>
    <x v="1"/>
    <x v="0"/>
    <n v="1542396.88"/>
    <n v="1542396.88"/>
    <n v="988.71594871794866"/>
    <m/>
    <d v="2026-05-31T00:00:00"/>
    <n v="23"/>
    <x v="609"/>
    <x v="0"/>
  </r>
  <r>
    <x v="73"/>
    <x v="178"/>
    <s v="Insumos Bodega"/>
    <s v="Parcial"/>
    <x v="0"/>
    <x v="0"/>
    <x v="1"/>
    <x v="0"/>
    <n v="1542396.87"/>
    <n v="1542396.87"/>
    <n v="988.71594230769233"/>
    <m/>
    <d v="2026-06-30T00:00:00"/>
    <n v="27"/>
    <x v="609"/>
    <x v="0"/>
  </r>
  <r>
    <x v="38"/>
    <x v="178"/>
    <s v="Insumo de Bodega - CMC"/>
    <s v="Total"/>
    <x v="1"/>
    <x v="0"/>
    <x v="0"/>
    <x v="0"/>
    <n v="144643.20000000001"/>
    <n v="144643.20000000001"/>
    <n v="92.720000000000013"/>
    <m/>
    <m/>
    <s v="32"/>
    <x v="610"/>
    <x v="0"/>
  </r>
  <r>
    <x v="38"/>
    <x v="178"/>
    <s v="Insumo de Bodega - Bentonita"/>
    <s v="Total"/>
    <x v="1"/>
    <x v="0"/>
    <x v="0"/>
    <x v="0"/>
    <n v="258425.44"/>
    <n v="258425.44"/>
    <n v="165.65733333333333"/>
    <m/>
    <m/>
    <s v="32"/>
    <x v="611"/>
    <x v="0"/>
  </r>
  <r>
    <x v="38"/>
    <x v="178"/>
    <s v="Insumo de Bodega - Bentonita"/>
    <s v="Total"/>
    <x v="1"/>
    <x v="0"/>
    <x v="0"/>
    <x v="0"/>
    <n v="702.56"/>
    <n v="702.56"/>
    <n v="0.45035897435897432"/>
    <m/>
    <m/>
    <s v="32"/>
    <x v="611"/>
    <x v="0"/>
  </r>
  <r>
    <x v="36"/>
    <x v="179"/>
    <s v="Insumos planta"/>
    <s v="Total"/>
    <x v="0"/>
    <x v="0"/>
    <x v="1"/>
    <x v="0"/>
    <n v="2618473"/>
    <n v="2618473"/>
    <n v="1678.5083333333334"/>
    <m/>
    <d v="2026-08-05T00:00:00"/>
    <n v="32"/>
    <x v="612"/>
    <x v="0"/>
  </r>
  <r>
    <x v="36"/>
    <x v="179"/>
    <s v="Insumos planta"/>
    <s v="Total"/>
    <x v="0"/>
    <x v="0"/>
    <x v="1"/>
    <x v="0"/>
    <n v="38798.89"/>
    <n v="38798.89"/>
    <n v="24.871083333333331"/>
    <s v="Retenciones"/>
    <m/>
    <s v="28"/>
    <x v="612"/>
    <x v="0"/>
  </r>
  <r>
    <x v="77"/>
    <x v="179"/>
    <s v="Insumos planta"/>
    <s v="Total"/>
    <x v="0"/>
    <x v="0"/>
    <x v="1"/>
    <x v="0"/>
    <n v="11133936"/>
    <n v="11133936"/>
    <n v="7137.1384615384613"/>
    <m/>
    <d v="2026-09-28T00:00:00"/>
    <n v="40"/>
    <x v="613"/>
    <x v="0"/>
  </r>
  <r>
    <x v="77"/>
    <x v="179"/>
    <s v="Insumos planta"/>
    <s v="Total"/>
    <x v="0"/>
    <x v="0"/>
    <x v="1"/>
    <x v="0"/>
    <n v="179552"/>
    <n v="179552"/>
    <n v="115.0974358974359"/>
    <s v="Retenciones"/>
    <m/>
    <s v="35"/>
    <x v="613"/>
    <x v="0"/>
  </r>
  <r>
    <x v="39"/>
    <x v="179"/>
    <s v="Insumos planta"/>
    <s v="Total"/>
    <x v="0"/>
    <x v="0"/>
    <x v="1"/>
    <x v="0"/>
    <n v="4452190.79"/>
    <n v="4452190.79"/>
    <n v="2853.9684551282053"/>
    <m/>
    <d v="2026-10-22T00:00:00"/>
    <n v="43"/>
    <x v="614"/>
    <x v="0"/>
  </r>
  <r>
    <x v="39"/>
    <x v="179"/>
    <s v="Insumos planta"/>
    <s v="Total"/>
    <x v="0"/>
    <x v="0"/>
    <x v="1"/>
    <x v="0"/>
    <n v="69109.929999999993"/>
    <n v="69109.929999999993"/>
    <n v="44.301237179487174"/>
    <s v="Retenciones"/>
    <m/>
    <s v="38"/>
    <x v="614"/>
    <x v="0"/>
  </r>
  <r>
    <x v="46"/>
    <x v="179"/>
    <s v="Insumos planta"/>
    <s v="Total"/>
    <x v="0"/>
    <x v="0"/>
    <x v="1"/>
    <x v="0"/>
    <n v="4022163.55"/>
    <n v="4022163.55"/>
    <n v="2578.3099679487177"/>
    <m/>
    <d v="2026-11-12T00:00:00"/>
    <n v="46"/>
    <x v="615"/>
    <x v="0"/>
  </r>
  <r>
    <x v="46"/>
    <x v="179"/>
    <s v="Insumos planta"/>
    <s v="Total"/>
    <x v="0"/>
    <x v="0"/>
    <x v="1"/>
    <x v="0"/>
    <n v="62002.04"/>
    <n v="62002.04"/>
    <n v="39.744897435897435"/>
    <s v="Retenciones"/>
    <m/>
    <s v="42"/>
    <x v="615"/>
    <x v="0"/>
  </r>
  <r>
    <x v="3"/>
    <x v="180"/>
    <s v="Indumentaria -  1 entrega 2026"/>
    <s v="Total"/>
    <x v="1"/>
    <x v="0"/>
    <x v="1"/>
    <x v="0"/>
    <n v="630000"/>
    <n v="630000"/>
    <n v="403.84615384615387"/>
    <m/>
    <m/>
    <s v="44"/>
    <x v="0"/>
    <x v="1"/>
  </r>
  <r>
    <x v="3"/>
    <x v="165"/>
    <s v="Repuestos Toyota Bordo - Placa y disco"/>
    <s v="Total"/>
    <x v="1"/>
    <x v="0"/>
    <x v="1"/>
    <x v="0"/>
    <n v="0"/>
    <n v="0"/>
    <n v="0"/>
    <s v="Saldo Favor "/>
    <m/>
    <s v="44"/>
    <x v="0"/>
    <x v="1"/>
  </r>
  <r>
    <x v="55"/>
    <x v="181"/>
    <s v="Pago mes de marzo"/>
    <s v="Total"/>
    <x v="1"/>
    <x v="0"/>
    <x v="2"/>
    <x v="0"/>
    <n v="1360500"/>
    <n v="1360500"/>
    <n v="872.11538461538464"/>
    <m/>
    <m/>
    <s v="19"/>
    <x v="616"/>
    <x v="0"/>
  </r>
  <r>
    <x v="67"/>
    <x v="181"/>
    <s v="Energia "/>
    <s v="Parcial"/>
    <x v="3"/>
    <x v="0"/>
    <x v="1"/>
    <x v="0"/>
    <n v="10291025.84"/>
    <n v="10291025.84"/>
    <n v="6596.8114358974362"/>
    <s v="CH 30/60/90 Días 40%"/>
    <d v="2025-07-03T00:00:00"/>
    <n v="27"/>
    <x v="617"/>
    <x v="0"/>
  </r>
  <r>
    <x v="67"/>
    <x v="181"/>
    <s v="Energia "/>
    <s v="Fijo"/>
    <x v="3"/>
    <x v="0"/>
    <x v="0"/>
    <x v="0"/>
    <n v="10291025.84"/>
    <n v="10291025.84"/>
    <n v="6596.8114358974362"/>
    <s v="25% transferencia "/>
    <m/>
    <s v="24"/>
    <x v="617"/>
    <x v="0"/>
  </r>
  <r>
    <x v="67"/>
    <x v="181"/>
    <s v="Energia "/>
    <s v="Parcial"/>
    <x v="3"/>
    <x v="0"/>
    <x v="1"/>
    <x v="0"/>
    <n v="10291025.84"/>
    <n v="10291025.84"/>
    <n v="6596.8114358974362"/>
    <s v="CH 30/60/90 Días 40%"/>
    <d v="2025-08-02T00:00:00"/>
    <n v="31"/>
    <x v="617"/>
    <x v="0"/>
  </r>
  <r>
    <x v="67"/>
    <x v="181"/>
    <s v="Energia "/>
    <s v="Parcial"/>
    <x v="3"/>
    <x v="0"/>
    <x v="1"/>
    <x v="0"/>
    <n v="10291025.84"/>
    <n v="10291025.84"/>
    <n v="6596.8114358974362"/>
    <s v="CH 30/60/90 Días 40%"/>
    <d v="2025-09-01T00:00:00"/>
    <n v="36"/>
    <x v="617"/>
    <x v="0"/>
  </r>
  <r>
    <x v="25"/>
    <x v="181"/>
    <s v="Suministro electrico"/>
    <s v="Total"/>
    <x v="3"/>
    <x v="1"/>
    <x v="1"/>
    <x v="0"/>
    <n v="240000"/>
    <n v="240000"/>
    <n v="153.84615384615384"/>
    <m/>
    <s v="20/07/2025"/>
    <n v="30"/>
    <x v="0"/>
    <x v="0"/>
  </r>
  <r>
    <x v="25"/>
    <x v="181"/>
    <s v="Suministro electrico"/>
    <s v="Total"/>
    <x v="3"/>
    <x v="1"/>
    <x v="1"/>
    <x v="0"/>
    <n v="660000"/>
    <n v="660000"/>
    <n v="423.07692307692309"/>
    <m/>
    <s v="29/07/2025"/>
    <n v="31"/>
    <x v="0"/>
    <x v="0"/>
  </r>
  <r>
    <x v="25"/>
    <x v="181"/>
    <s v="Suministro electrico"/>
    <s v="Total"/>
    <x v="3"/>
    <x v="1"/>
    <x v="1"/>
    <x v="0"/>
    <n v="660000"/>
    <n v="660000"/>
    <n v="423.07692307692309"/>
    <m/>
    <s v="31/07/2025"/>
    <n v="31"/>
    <x v="0"/>
    <x v="0"/>
  </r>
  <r>
    <x v="27"/>
    <x v="181"/>
    <s v="Servicio de energia"/>
    <s v="Total"/>
    <x v="3"/>
    <x v="0"/>
    <x v="1"/>
    <x v="0"/>
    <n v="2254354.27"/>
    <n v="2254354.27"/>
    <n v="1445.098891025641"/>
    <m/>
    <d v="2025-09-25T00:00:00"/>
    <n v="39"/>
    <x v="618"/>
    <x v="0"/>
  </r>
  <r>
    <x v="27"/>
    <x v="181"/>
    <s v="Servicio de energia"/>
    <s v="Total"/>
    <x v="3"/>
    <x v="0"/>
    <x v="1"/>
    <x v="0"/>
    <n v="2478836.59"/>
    <n v="2478836.59"/>
    <n v="1588.997814102564"/>
    <m/>
    <d v="2025-09-18T00:00:00"/>
    <n v="38"/>
    <x v="618"/>
    <x v="0"/>
  </r>
  <r>
    <x v="27"/>
    <x v="181"/>
    <s v="Servicio de energia"/>
    <s v="Total"/>
    <x v="3"/>
    <x v="0"/>
    <x v="1"/>
    <x v="0"/>
    <n v="11399471.74"/>
    <n v="11399471.74"/>
    <n v="7307.3536794871798"/>
    <m/>
    <d v="2025-09-11T00:00:00"/>
    <n v="37"/>
    <x v="618"/>
    <x v="0"/>
  </r>
  <r>
    <x v="27"/>
    <x v="181"/>
    <s v="Servicio de energia"/>
    <s v="Total"/>
    <x v="3"/>
    <x v="0"/>
    <x v="1"/>
    <x v="0"/>
    <n v="20000000"/>
    <n v="20000000"/>
    <n v="12820.51282051282"/>
    <m/>
    <d v="2025-10-26T00:00:00"/>
    <n v="44"/>
    <x v="618"/>
    <x v="0"/>
  </r>
  <r>
    <x v="27"/>
    <x v="181"/>
    <s v="Servicio de energia"/>
    <s v="Total"/>
    <x v="3"/>
    <x v="0"/>
    <x v="1"/>
    <x v="0"/>
    <n v="20000000"/>
    <n v="20000000"/>
    <n v="12820.51282051282"/>
    <m/>
    <d v="2025-09-26T00:00:00"/>
    <n v="39"/>
    <x v="618"/>
    <x v="0"/>
  </r>
  <r>
    <x v="27"/>
    <x v="181"/>
    <s v="Servicio de energia"/>
    <s v="Total"/>
    <x v="3"/>
    <x v="0"/>
    <x v="0"/>
    <x v="0"/>
    <n v="14377237.4"/>
    <n v="14377237.4"/>
    <n v="9216.1778205128212"/>
    <m/>
    <d v="2025-08-25T00:00:00"/>
    <n v="35"/>
    <x v="618"/>
    <x v="0"/>
  </r>
  <r>
    <x v="27"/>
    <x v="181"/>
    <s v="Servicio de energia"/>
    <s v="Total"/>
    <x v="3"/>
    <x v="1"/>
    <x v="1"/>
    <x v="0"/>
    <n v="139000"/>
    <n v="139000"/>
    <n v="89.102564102564102"/>
    <m/>
    <d v="2025-08-28T00:00:00"/>
    <n v="35"/>
    <x v="619"/>
    <x v="0"/>
  </r>
  <r>
    <x v="27"/>
    <x v="181"/>
    <s v="Servicio de energia"/>
    <s v="Total"/>
    <x v="3"/>
    <x v="1"/>
    <x v="1"/>
    <x v="0"/>
    <n v="500000"/>
    <n v="500000"/>
    <n v="320.5128205128205"/>
    <m/>
    <d v="2025-08-25T00:00:00"/>
    <n v="35"/>
    <x v="619"/>
    <x v="0"/>
  </r>
  <r>
    <x v="27"/>
    <x v="181"/>
    <s v="Servicio de energia"/>
    <s v="Total"/>
    <x v="3"/>
    <x v="1"/>
    <x v="1"/>
    <x v="0"/>
    <n v="500000"/>
    <n v="500000"/>
    <n v="320.5128205128205"/>
    <m/>
    <d v="2025-08-25T00:00:00"/>
    <n v="35"/>
    <x v="619"/>
    <x v="0"/>
  </r>
  <r>
    <x v="27"/>
    <x v="181"/>
    <s v="Servicio de energia"/>
    <s v="Total"/>
    <x v="3"/>
    <x v="1"/>
    <x v="1"/>
    <x v="0"/>
    <n v="1000000"/>
    <n v="1000000"/>
    <n v="641.02564102564099"/>
    <m/>
    <d v="2025-08-24T00:00:00"/>
    <n v="35"/>
    <x v="619"/>
    <x v="0"/>
  </r>
  <r>
    <x v="27"/>
    <x v="181"/>
    <s v="Servicio de energia"/>
    <s v="Total"/>
    <x v="2"/>
    <x v="1"/>
    <x v="2"/>
    <x v="0"/>
    <n v="800"/>
    <n v="800"/>
    <n v="0.51282051282051277"/>
    <m/>
    <m/>
    <s v="35"/>
    <x v="619"/>
    <x v="0"/>
  </r>
  <r>
    <x v="29"/>
    <x v="181"/>
    <s v="Servicio de energia Periodo 7 -8"/>
    <s v="Total"/>
    <x v="3"/>
    <x v="1"/>
    <x v="1"/>
    <x v="0"/>
    <n v="22055620"/>
    <n v="22055620"/>
    <n v="14138.217948717949"/>
    <m/>
    <d v="2025-10-24T00:00:00"/>
    <n v="43"/>
    <x v="620"/>
    <x v="0"/>
  </r>
  <r>
    <x v="29"/>
    <x v="181"/>
    <s v="Servicio de energia Periodo 7 -8"/>
    <s v="Total"/>
    <x v="3"/>
    <x v="1"/>
    <x v="1"/>
    <x v="0"/>
    <n v="22055620"/>
    <n v="22055620"/>
    <n v="14138.217948717949"/>
    <m/>
    <d v="2025-10-31T00:00:00"/>
    <n v="44"/>
    <x v="620"/>
    <x v="0"/>
  </r>
  <r>
    <x v="29"/>
    <x v="181"/>
    <s v="Servicio de energia Periodo 7 -8"/>
    <s v="Total"/>
    <x v="3"/>
    <x v="1"/>
    <x v="1"/>
    <x v="0"/>
    <n v="8136580"/>
    <n v="8136580"/>
    <n v="5215.7564102564102"/>
    <m/>
    <d v="2025-11-07T00:00:00"/>
    <n v="45"/>
    <x v="620"/>
    <x v="0"/>
  </r>
  <r>
    <x v="29"/>
    <x v="181"/>
    <s v="Servicio de energia Periodo 7 -8"/>
    <s v="Total"/>
    <x v="3"/>
    <x v="1"/>
    <x v="1"/>
    <x v="0"/>
    <n v="22055620"/>
    <n v="22055620"/>
    <n v="14138.217948717949"/>
    <m/>
    <d v="2025-11-21T00:00:00"/>
    <n v="47"/>
    <x v="620"/>
    <x v="0"/>
  </r>
  <r>
    <x v="29"/>
    <x v="181"/>
    <s v="Servicio de energia Periodo 7 -8"/>
    <s v="Total"/>
    <x v="3"/>
    <x v="1"/>
    <x v="1"/>
    <x v="0"/>
    <n v="22055620"/>
    <n v="22055620"/>
    <n v="14138.217948717949"/>
    <m/>
    <d v="2025-12-05T00:00:00"/>
    <n v="49"/>
    <x v="620"/>
    <x v="0"/>
  </r>
  <r>
    <x v="29"/>
    <x v="181"/>
    <s v="Servicio de energia Periodo 7 -8"/>
    <s v="Total"/>
    <x v="3"/>
    <x v="1"/>
    <x v="1"/>
    <x v="0"/>
    <n v="13919040"/>
    <n v="13919040"/>
    <n v="8922.461538461539"/>
    <m/>
    <d v="2025-12-19T00:00:00"/>
    <n v="51"/>
    <x v="620"/>
    <x v="0"/>
  </r>
  <r>
    <x v="4"/>
    <x v="181"/>
    <s v="Servicio electricidad Periodo 9"/>
    <s v="Total"/>
    <x v="3"/>
    <x v="0"/>
    <x v="0"/>
    <x v="0"/>
    <n v="30000000"/>
    <n v="30000000"/>
    <n v="19230.76923076923"/>
    <m/>
    <m/>
    <s v="51"/>
    <x v="621"/>
    <x v="0"/>
  </r>
  <r>
    <x v="4"/>
    <x v="181"/>
    <s v="Servicio electricidad Periodo 9"/>
    <s v="Total"/>
    <x v="3"/>
    <x v="0"/>
    <x v="1"/>
    <x v="0"/>
    <n v="2000000"/>
    <n v="2000000"/>
    <n v="1282.051282051282"/>
    <m/>
    <d v="2026-01-30T00:00:00"/>
    <n v="5"/>
    <x v="621"/>
    <x v="0"/>
  </r>
  <r>
    <x v="4"/>
    <x v="181"/>
    <s v="Servicio electricidad Periodo 9"/>
    <s v="Total"/>
    <x v="3"/>
    <x v="0"/>
    <x v="1"/>
    <x v="0"/>
    <n v="2989464"/>
    <n v="2989464"/>
    <n v="1916.323076923077"/>
    <m/>
    <d v="2016-02-01T00:00:00"/>
    <n v="6"/>
    <x v="621"/>
    <x v="0"/>
  </r>
  <r>
    <x v="4"/>
    <x v="181"/>
    <s v="Servicio electricidad Periodo 9"/>
    <s v="Total"/>
    <x v="3"/>
    <x v="0"/>
    <x v="1"/>
    <x v="0"/>
    <n v="3000000"/>
    <n v="3000000"/>
    <n v="1923.0769230769231"/>
    <m/>
    <d v="2026-01-31T00:00:00"/>
    <n v="5"/>
    <x v="621"/>
    <x v="0"/>
  </r>
  <r>
    <x v="4"/>
    <x v="181"/>
    <s v="Servicio electricidad Periodo 9"/>
    <s v="Total"/>
    <x v="3"/>
    <x v="0"/>
    <x v="1"/>
    <x v="0"/>
    <n v="4860000"/>
    <n v="4860000"/>
    <n v="3115.3846153846152"/>
    <m/>
    <d v="2026-01-31T00:00:00"/>
    <n v="5"/>
    <x v="621"/>
    <x v="0"/>
  </r>
  <r>
    <x v="4"/>
    <x v="181"/>
    <s v="Servicio electricidad Periodo 9"/>
    <s v="Total"/>
    <x v="3"/>
    <x v="0"/>
    <x v="1"/>
    <x v="0"/>
    <n v="6250000"/>
    <n v="6250000"/>
    <n v="4006.4102564102564"/>
    <m/>
    <d v="2026-01-31T00:00:00"/>
    <n v="5"/>
    <x v="621"/>
    <x v="0"/>
  </r>
  <r>
    <x v="4"/>
    <x v="181"/>
    <s v="Servicio electricidad Periodo 9"/>
    <s v="Total"/>
    <x v="3"/>
    <x v="0"/>
    <x v="1"/>
    <x v="0"/>
    <n v="6250000"/>
    <n v="6250000"/>
    <n v="4006.4102564102564"/>
    <m/>
    <d v="2026-01-30T00:00:00"/>
    <n v="5"/>
    <x v="621"/>
    <x v="0"/>
  </r>
  <r>
    <x v="4"/>
    <x v="181"/>
    <s v="Servicio electricidad Periodo 9"/>
    <s v="Total"/>
    <x v="3"/>
    <x v="0"/>
    <x v="1"/>
    <x v="0"/>
    <n v="8852306"/>
    <n v="8852306"/>
    <n v="5674.5551282051283"/>
    <m/>
    <d v="2026-03-20T00:00:00"/>
    <n v="12"/>
    <x v="621"/>
    <x v="0"/>
  </r>
  <r>
    <x v="4"/>
    <x v="181"/>
    <s v="Servicio electricidad Periodo 9"/>
    <s v="Total"/>
    <x v="3"/>
    <x v="0"/>
    <x v="1"/>
    <x v="0"/>
    <n v="8852306"/>
    <n v="8852306"/>
    <n v="5674.5551282051283"/>
    <m/>
    <d v="2026-02-20T00:00:00"/>
    <n v="8"/>
    <x v="621"/>
    <x v="0"/>
  </r>
  <r>
    <x v="4"/>
    <x v="181"/>
    <s v="Servicio electricidad Periodo 9"/>
    <s v="Total"/>
    <x v="3"/>
    <x v="0"/>
    <x v="1"/>
    <x v="0"/>
    <n v="8852306"/>
    <n v="8852306"/>
    <n v="5674.5551282051283"/>
    <m/>
    <d v="2026-03-27T00:00:00"/>
    <n v="13"/>
    <x v="621"/>
    <x v="0"/>
  </r>
  <r>
    <x v="4"/>
    <x v="181"/>
    <s v="Servicio electricidad Periodo 9"/>
    <s v="Total"/>
    <x v="3"/>
    <x v="0"/>
    <x v="1"/>
    <x v="0"/>
    <n v="8852306"/>
    <n v="8852306"/>
    <n v="5674.5551282051283"/>
    <m/>
    <d v="2026-02-27T00:00:00"/>
    <n v="9"/>
    <x v="621"/>
    <x v="0"/>
  </r>
  <r>
    <x v="4"/>
    <x v="181"/>
    <s v="Servicio electricidad Periodo 9"/>
    <s v="Total"/>
    <x v="3"/>
    <x v="0"/>
    <x v="1"/>
    <x v="0"/>
    <n v="8852306"/>
    <n v="8852306"/>
    <n v="5674.5551282051283"/>
    <m/>
    <d v="2026-02-13T00:00:00"/>
    <n v="7"/>
    <x v="621"/>
    <x v="0"/>
  </r>
  <r>
    <x v="4"/>
    <x v="181"/>
    <s v="Servicio electricidad Periodo 9"/>
    <s v="Total"/>
    <x v="3"/>
    <x v="0"/>
    <x v="1"/>
    <x v="0"/>
    <n v="8852306"/>
    <n v="8852306"/>
    <n v="5674.5551282051283"/>
    <m/>
    <d v="2002-03-13T00:00:00"/>
    <n v="11"/>
    <x v="621"/>
    <x v="0"/>
  </r>
  <r>
    <x v="4"/>
    <x v="181"/>
    <s v="Servicio electricidad Periodo 9"/>
    <s v="Total"/>
    <x v="3"/>
    <x v="0"/>
    <x v="1"/>
    <x v="0"/>
    <n v="154031"/>
    <n v="154031"/>
    <n v="98.73782051282052"/>
    <m/>
    <d v="2025-12-23T00:00:00"/>
    <n v="52"/>
    <x v="622"/>
    <x v="0"/>
  </r>
  <r>
    <x v="4"/>
    <x v="181"/>
    <s v="Servicio electricidad Periodo 9"/>
    <s v="Total"/>
    <x v="3"/>
    <x v="0"/>
    <x v="1"/>
    <x v="0"/>
    <n v="154031"/>
    <n v="154031"/>
    <n v="98.73782051282052"/>
    <m/>
    <d v="2025-12-15T00:00:00"/>
    <n v="51"/>
    <x v="622"/>
    <x v="0"/>
  </r>
  <r>
    <x v="4"/>
    <x v="181"/>
    <s v="Servicio electricidad Periodo 9"/>
    <s v="Total"/>
    <x v="3"/>
    <x v="0"/>
    <x v="1"/>
    <x v="0"/>
    <n v="278690"/>
    <n v="278690"/>
    <n v="178.64743589743588"/>
    <m/>
    <d v="2025-12-18T00:00:00"/>
    <n v="51"/>
    <x v="622"/>
    <x v="0"/>
  </r>
  <r>
    <x v="4"/>
    <x v="181"/>
    <s v="Servicio electricidad Periodo 9"/>
    <s v="Total"/>
    <x v="3"/>
    <x v="0"/>
    <x v="1"/>
    <x v="0"/>
    <n v="326000"/>
    <n v="326000"/>
    <n v="208.97435897435898"/>
    <m/>
    <d v="2025-12-15T00:00:00"/>
    <n v="51"/>
    <x v="622"/>
    <x v="0"/>
  </r>
  <r>
    <x v="4"/>
    <x v="181"/>
    <s v="Servicio electricidad Periodo 9"/>
    <s v="Total"/>
    <x v="3"/>
    <x v="0"/>
    <x v="1"/>
    <x v="0"/>
    <n v="500000"/>
    <n v="500000"/>
    <n v="320.5128205128205"/>
    <m/>
    <d v="2025-12-14T00:00:00"/>
    <n v="51"/>
    <x v="622"/>
    <x v="0"/>
  </r>
  <r>
    <x v="4"/>
    <x v="181"/>
    <s v="Servicio electricidad Periodo 9"/>
    <s v="Total"/>
    <x v="3"/>
    <x v="0"/>
    <x v="1"/>
    <x v="0"/>
    <n v="600000"/>
    <n v="600000"/>
    <n v="384.61538461538464"/>
    <m/>
    <d v="2025-12-16T00:00:00"/>
    <n v="51"/>
    <x v="622"/>
    <x v="0"/>
  </r>
  <r>
    <x v="4"/>
    <x v="181"/>
    <s v="Servicio electricidad Periodo 9"/>
    <s v="Total"/>
    <x v="3"/>
    <x v="0"/>
    <x v="1"/>
    <x v="0"/>
    <n v="600000"/>
    <n v="600000"/>
    <n v="384.61538461538464"/>
    <m/>
    <d v="2025-12-11T00:00:00"/>
    <n v="50"/>
    <x v="622"/>
    <x v="0"/>
  </r>
  <r>
    <x v="4"/>
    <x v="181"/>
    <s v="Servicio electricidad Periodo 9"/>
    <s v="Total"/>
    <x v="3"/>
    <x v="0"/>
    <x v="1"/>
    <x v="0"/>
    <n v="522750"/>
    <n v="522750"/>
    <n v="335.09615384615387"/>
    <m/>
    <d v="2025-12-09T00:00:00"/>
    <n v="50"/>
    <x v="622"/>
    <x v="0"/>
  </r>
  <r>
    <x v="4"/>
    <x v="181"/>
    <s v="Servicio electricidad Periodo 9"/>
    <s v="Total"/>
    <x v="3"/>
    <x v="0"/>
    <x v="1"/>
    <x v="0"/>
    <n v="542000.03"/>
    <n v="542000.03"/>
    <n v="347.43591666666669"/>
    <m/>
    <d v="2025-12-06T00:00:00"/>
    <n v="49"/>
    <x v="622"/>
    <x v="0"/>
  </r>
  <r>
    <x v="4"/>
    <x v="181"/>
    <s v="Servicio electricidad Periodo 9"/>
    <s v="Total"/>
    <x v="3"/>
    <x v="0"/>
    <x v="1"/>
    <x v="0"/>
    <n v="553326"/>
    <n v="553326"/>
    <n v="354.69615384615383"/>
    <m/>
    <d v="2025-12-13T00:00:00"/>
    <n v="50"/>
    <x v="622"/>
    <x v="0"/>
  </r>
  <r>
    <x v="4"/>
    <x v="181"/>
    <s v="Servicio electricidad Periodo 9"/>
    <s v="Total"/>
    <x v="3"/>
    <x v="0"/>
    <x v="1"/>
    <x v="0"/>
    <n v="64555.97"/>
    <n v="64555.97"/>
    <n v="41.382032051282053"/>
    <m/>
    <d v="2025-12-19T00:00:00"/>
    <n v="51"/>
    <x v="622"/>
    <x v="0"/>
  </r>
  <r>
    <x v="74"/>
    <x v="181"/>
    <s v="Servicio energia"/>
    <s v="Total"/>
    <x v="3"/>
    <x v="0"/>
    <x v="1"/>
    <x v="0"/>
    <n v="5000000"/>
    <n v="5000000"/>
    <n v="3205.1282051282051"/>
    <m/>
    <d v="2026-02-06T00:00:00"/>
    <n v="6"/>
    <x v="623"/>
    <x v="0"/>
  </r>
  <r>
    <x v="74"/>
    <x v="181"/>
    <s v="Servicio energia"/>
    <s v="Total"/>
    <x v="3"/>
    <x v="0"/>
    <x v="1"/>
    <x v="0"/>
    <n v="5000000"/>
    <n v="5000000"/>
    <n v="3205.1282051282051"/>
    <m/>
    <d v="2026-02-20T00:00:00"/>
    <n v="8"/>
    <x v="623"/>
    <x v="0"/>
  </r>
  <r>
    <x v="74"/>
    <x v="181"/>
    <s v="Servicio energia"/>
    <s v="Total"/>
    <x v="3"/>
    <x v="0"/>
    <x v="1"/>
    <x v="0"/>
    <n v="5000000"/>
    <n v="5000000"/>
    <n v="3205.1282051282051"/>
    <m/>
    <d v="2026-03-06T00:00:00"/>
    <n v="10"/>
    <x v="623"/>
    <x v="0"/>
  </r>
  <r>
    <x v="9"/>
    <x v="181"/>
    <s v="Servicio Electrico diciembre 2025"/>
    <s v="Total"/>
    <x v="3"/>
    <x v="0"/>
    <x v="0"/>
    <x v="0"/>
    <n v="20000000"/>
    <n v="20000000"/>
    <n v="12820.51282051282"/>
    <m/>
    <m/>
    <s v="05"/>
    <x v="624"/>
    <x v="0"/>
  </r>
  <r>
    <x v="9"/>
    <x v="181"/>
    <s v="Servicio Electrico diciembre 2025"/>
    <s v="Total"/>
    <x v="3"/>
    <x v="0"/>
    <x v="1"/>
    <x v="0"/>
    <n v="9166500"/>
    <n v="9166500"/>
    <n v="5875.9615384615381"/>
    <m/>
    <d v="2026-02-28T00:00:00"/>
    <n v="9"/>
    <x v="624"/>
    <x v="0"/>
  </r>
  <r>
    <x v="9"/>
    <x v="181"/>
    <s v="Servicio Electrico diciembre 2025"/>
    <s v="Total"/>
    <x v="3"/>
    <x v="0"/>
    <x v="1"/>
    <x v="0"/>
    <n v="2500000"/>
    <n v="2500000"/>
    <n v="1602.5641025641025"/>
    <m/>
    <d v="2026-03-17T00:00:00"/>
    <n v="12"/>
    <x v="624"/>
    <x v="0"/>
  </r>
  <r>
    <x v="9"/>
    <x v="181"/>
    <s v="Servicio Electrico diciembre 2025"/>
    <s v="Total"/>
    <x v="3"/>
    <x v="0"/>
    <x v="1"/>
    <x v="0"/>
    <n v="2500000"/>
    <n v="2500000"/>
    <n v="1602.5641025641025"/>
    <m/>
    <d v="2026-03-18T00:00:00"/>
    <n v="12"/>
    <x v="624"/>
    <x v="0"/>
  </r>
  <r>
    <x v="9"/>
    <x v="181"/>
    <s v="Servicio Electrico diciembre 2025"/>
    <s v="Total"/>
    <x v="3"/>
    <x v="0"/>
    <x v="1"/>
    <x v="0"/>
    <n v="2500000"/>
    <n v="2500000"/>
    <n v="1602.5641025641025"/>
    <m/>
    <d v="2026-03-19T00:00:00"/>
    <n v="12"/>
    <x v="624"/>
    <x v="0"/>
  </r>
  <r>
    <x v="9"/>
    <x v="181"/>
    <s v="Servicio Electrico diciembre 2025"/>
    <s v="Total"/>
    <x v="3"/>
    <x v="0"/>
    <x v="1"/>
    <x v="0"/>
    <n v="9166500"/>
    <n v="9166500"/>
    <n v="5875.9615384615381"/>
    <m/>
    <d v="2026-03-07T00:00:00"/>
    <n v="10"/>
    <x v="624"/>
    <x v="0"/>
  </r>
  <r>
    <x v="9"/>
    <x v="181"/>
    <s v="Servicio Electrico diciembre 2025"/>
    <s v="Total"/>
    <x v="3"/>
    <x v="0"/>
    <x v="1"/>
    <x v="0"/>
    <n v="9166500"/>
    <n v="9166500"/>
    <n v="5875.9615384615381"/>
    <m/>
    <d v="2026-03-20T00:00:00"/>
    <n v="12"/>
    <x v="624"/>
    <x v="0"/>
  </r>
  <r>
    <x v="9"/>
    <x v="181"/>
    <s v="Servicio Electrico diciembre 2025"/>
    <s v="Total"/>
    <x v="3"/>
    <x v="0"/>
    <x v="1"/>
    <x v="0"/>
    <n v="9166500"/>
    <n v="9166500"/>
    <n v="5875.9615384615381"/>
    <m/>
    <d v="2026-04-03T00:00:00"/>
    <n v="14"/>
    <x v="624"/>
    <x v="0"/>
  </r>
  <r>
    <x v="9"/>
    <x v="181"/>
    <s v="Servicio Electrico diciembre 2025"/>
    <s v="Total"/>
    <x v="3"/>
    <x v="0"/>
    <x v="1"/>
    <x v="0"/>
    <n v="9166500"/>
    <n v="9166500"/>
    <n v="5875.9615384615381"/>
    <m/>
    <d v="2026-04-10T00:00:00"/>
    <n v="15"/>
    <x v="624"/>
    <x v="0"/>
  </r>
  <r>
    <x v="9"/>
    <x v="181"/>
    <s v="Servicio Electrico diciembre 2025"/>
    <s v="Total"/>
    <x v="3"/>
    <x v="0"/>
    <x v="1"/>
    <x v="0"/>
    <n v="9166500"/>
    <n v="9166500"/>
    <n v="5875.9615384615381"/>
    <m/>
    <d v="2026-04-24T00:00:00"/>
    <n v="17"/>
    <x v="624"/>
    <x v="0"/>
  </r>
  <r>
    <x v="9"/>
    <x v="181"/>
    <s v="Servicio Electrico diciembre 2025"/>
    <s v="Total"/>
    <x v="3"/>
    <x v="0"/>
    <x v="1"/>
    <x v="0"/>
    <n v="10833000"/>
    <n v="10833000"/>
    <n v="6944.2307692307695"/>
    <m/>
    <d v="2026-04-27T00:00:00"/>
    <n v="18"/>
    <x v="624"/>
    <x v="0"/>
  </r>
  <r>
    <x v="13"/>
    <x v="181"/>
    <s v="Finca 2 Nis 1090249 - Periodo 12/25"/>
    <s v="Total"/>
    <x v="3"/>
    <x v="1"/>
    <x v="1"/>
    <x v="0"/>
    <n v="250000"/>
    <n v="250000"/>
    <n v="160.25641025641025"/>
    <m/>
    <d v="2026-03-04T00:00:00"/>
    <n v="10"/>
    <x v="625"/>
    <x v="0"/>
  </r>
  <r>
    <x v="13"/>
    <x v="181"/>
    <s v="Finca 2 Nis 1090249 - Periodo 12/25"/>
    <s v="Total"/>
    <x v="3"/>
    <x v="1"/>
    <x v="1"/>
    <x v="0"/>
    <n v="1500000"/>
    <n v="1500000"/>
    <n v="961.53846153846155"/>
    <m/>
    <d v="2026-02-28T00:00:00"/>
    <n v="9"/>
    <x v="625"/>
    <x v="0"/>
  </r>
  <r>
    <x v="13"/>
    <x v="181"/>
    <s v="Finca 2 Nis 1090249 - Periodo 12/25"/>
    <s v="Total"/>
    <x v="3"/>
    <x v="1"/>
    <x v="1"/>
    <x v="0"/>
    <n v="1500000"/>
    <n v="1500000"/>
    <n v="961.53846153846155"/>
    <m/>
    <d v="2026-02-28T00:00:00"/>
    <n v="9"/>
    <x v="625"/>
    <x v="0"/>
  </r>
  <r>
    <x v="13"/>
    <x v="181"/>
    <s v="Finca 2 Nis 1090249 - Periodo 12/25"/>
    <s v="Total"/>
    <x v="2"/>
    <x v="1"/>
    <x v="2"/>
    <x v="0"/>
    <n v="1000"/>
    <n v="1000"/>
    <n v="0.64102564102564108"/>
    <m/>
    <m/>
    <s v="07"/>
    <x v="625"/>
    <x v="0"/>
  </r>
  <r>
    <x v="24"/>
    <x v="181"/>
    <s v="Servicio energia - Enero 2026"/>
    <s v="Total"/>
    <x v="0"/>
    <x v="0"/>
    <x v="1"/>
    <x v="0"/>
    <n v="301296"/>
    <n v="301296"/>
    <n v="193.13846153846154"/>
    <m/>
    <d v="2026-04-04T00:00:00"/>
    <n v="14"/>
    <x v="626"/>
    <x v="0"/>
  </r>
  <r>
    <x v="24"/>
    <x v="181"/>
    <s v="Servicio energia - Enero 2026"/>
    <s v="Total"/>
    <x v="0"/>
    <x v="0"/>
    <x v="1"/>
    <x v="0"/>
    <n v="578259"/>
    <n v="578259"/>
    <n v="370.67884615384617"/>
    <m/>
    <d v="2026-04-07T00:00:00"/>
    <n v="15"/>
    <x v="626"/>
    <x v="0"/>
  </r>
  <r>
    <x v="24"/>
    <x v="181"/>
    <s v="Servicio energia - Enero 2026"/>
    <s v="Total"/>
    <x v="0"/>
    <x v="0"/>
    <x v="1"/>
    <x v="0"/>
    <n v="1058608.6000000001"/>
    <n v="1058608.6000000001"/>
    <n v="678.59525641025652"/>
    <m/>
    <d v="2026-03-16T00:00:00"/>
    <n v="12"/>
    <x v="626"/>
    <x v="0"/>
  </r>
  <r>
    <x v="24"/>
    <x v="181"/>
    <s v="Servicio energia - Enero 2026"/>
    <s v="Total"/>
    <x v="0"/>
    <x v="0"/>
    <x v="1"/>
    <x v="0"/>
    <n v="11560834.550000001"/>
    <n v="11560834.550000001"/>
    <n v="7410.7913782051282"/>
    <m/>
    <d v="2026-04-10T00:00:00"/>
    <n v="15"/>
    <x v="626"/>
    <x v="0"/>
  </r>
  <r>
    <x v="24"/>
    <x v="181"/>
    <s v="Servicio energia - Enero 2026"/>
    <s v="Total"/>
    <x v="0"/>
    <x v="0"/>
    <x v="1"/>
    <x v="0"/>
    <n v="11560834.550000001"/>
    <n v="11560834.550000001"/>
    <n v="7410.7913782051282"/>
    <m/>
    <d v="2026-04-17T00:00:00"/>
    <n v="16"/>
    <x v="626"/>
    <x v="0"/>
  </r>
  <r>
    <x v="24"/>
    <x v="181"/>
    <s v="Servicio energia - Enero 2026"/>
    <s v="Total"/>
    <x v="0"/>
    <x v="0"/>
    <x v="1"/>
    <x v="0"/>
    <n v="11560834.550000001"/>
    <n v="11560834.550000001"/>
    <n v="7410.7913782051282"/>
    <m/>
    <d v="2026-04-24T00:00:00"/>
    <n v="17"/>
    <x v="626"/>
    <x v="0"/>
  </r>
  <r>
    <x v="24"/>
    <x v="181"/>
    <s v="Servicio energia - Enero 2026"/>
    <s v="Total"/>
    <x v="0"/>
    <x v="0"/>
    <x v="1"/>
    <x v="0"/>
    <n v="11560834.550000001"/>
    <n v="11560834.550000001"/>
    <n v="7410.7913782051282"/>
    <m/>
    <d v="2026-05-08T00:00:00"/>
    <n v="19"/>
    <x v="626"/>
    <x v="0"/>
  </r>
  <r>
    <x v="24"/>
    <x v="181"/>
    <s v="Servicio energia - Enero 2026"/>
    <s v="Total"/>
    <x v="0"/>
    <x v="0"/>
    <x v="1"/>
    <x v="0"/>
    <n v="11560834.550000001"/>
    <n v="11560834.550000001"/>
    <n v="7410.7913782051282"/>
    <m/>
    <d v="2026-05-15T00:00:00"/>
    <n v="20"/>
    <x v="626"/>
    <x v="0"/>
  </r>
  <r>
    <x v="24"/>
    <x v="181"/>
    <s v="Servicio energia - Enero 2026"/>
    <s v="Total"/>
    <x v="0"/>
    <x v="0"/>
    <x v="1"/>
    <x v="0"/>
    <n v="11560834.550000001"/>
    <n v="11560834.550000001"/>
    <n v="7410.7913782051282"/>
    <m/>
    <d v="2026-05-22T00:00:00"/>
    <n v="21"/>
    <x v="626"/>
    <x v="0"/>
  </r>
  <r>
    <x v="24"/>
    <x v="181"/>
    <s v="Servicio energia - Enero 2026"/>
    <s v="Total"/>
    <x v="0"/>
    <x v="0"/>
    <x v="1"/>
    <x v="0"/>
    <n v="11560841.6"/>
    <n v="11560841.6"/>
    <n v="7410.7958974358971"/>
    <m/>
    <d v="2026-05-29T00:00:00"/>
    <n v="22"/>
    <x v="626"/>
    <x v="0"/>
  </r>
  <r>
    <x v="24"/>
    <x v="181"/>
    <s v="Servicio energia - Enero 2026"/>
    <s v="Total"/>
    <x v="0"/>
    <x v="0"/>
    <x v="1"/>
    <x v="0"/>
    <n v="318740"/>
    <n v="318740"/>
    <n v="204.32051282051282"/>
    <m/>
    <d v="2026-03-28T00:00:00"/>
    <n v="13"/>
    <x v="626"/>
    <x v="0"/>
  </r>
  <r>
    <x v="24"/>
    <x v="181"/>
    <s v="Servicio energia - Enero 2026"/>
    <s v="Total"/>
    <x v="0"/>
    <x v="0"/>
    <x v="1"/>
    <x v="0"/>
    <n v="336000"/>
    <n v="336000"/>
    <n v="215.38461538461539"/>
    <m/>
    <d v="2026-03-27T00:00:00"/>
    <n v="13"/>
    <x v="626"/>
    <x v="0"/>
  </r>
  <r>
    <x v="24"/>
    <x v="181"/>
    <s v="Servicio energia - Enero 2026"/>
    <s v="Total"/>
    <x v="0"/>
    <x v="0"/>
    <x v="1"/>
    <x v="0"/>
    <n v="424000"/>
    <n v="424000"/>
    <n v="271.79487179487177"/>
    <m/>
    <d v="2026-03-17T00:00:00"/>
    <n v="12"/>
    <x v="626"/>
    <x v="0"/>
  </r>
  <r>
    <x v="24"/>
    <x v="181"/>
    <s v="Servicio energia - Enero 2026"/>
    <s v="Total"/>
    <x v="0"/>
    <x v="0"/>
    <x v="1"/>
    <x v="0"/>
    <n v="600000"/>
    <n v="600000"/>
    <n v="384.61538461538464"/>
    <m/>
    <d v="2026-03-25T00:00:00"/>
    <n v="13"/>
    <x v="626"/>
    <x v="0"/>
  </r>
  <r>
    <x v="24"/>
    <x v="181"/>
    <s v="Servicio energia - Enero 2026"/>
    <s v="Total"/>
    <x v="0"/>
    <x v="0"/>
    <x v="1"/>
    <x v="0"/>
    <n v="716019.5"/>
    <n v="716019.5"/>
    <n v="458.986858974359"/>
    <m/>
    <d v="2026-03-31T00:00:00"/>
    <n v="14"/>
    <x v="626"/>
    <x v="0"/>
  </r>
  <r>
    <x v="24"/>
    <x v="181"/>
    <s v="Servicio energia - Enero 2026"/>
    <s v="Total"/>
    <x v="0"/>
    <x v="0"/>
    <x v="1"/>
    <x v="0"/>
    <n v="1235694"/>
    <n v="1235694"/>
    <n v="792.11153846153843"/>
    <m/>
    <d v="2026-03-14T00:00:00"/>
    <n v="11"/>
    <x v="626"/>
    <x v="0"/>
  </r>
  <r>
    <x v="24"/>
    <x v="181"/>
    <s v="Servicio energia - Enero 2026"/>
    <s v="Total"/>
    <x v="0"/>
    <x v="0"/>
    <x v="1"/>
    <x v="0"/>
    <n v="1235694"/>
    <n v="1235694"/>
    <n v="792.11153846153843"/>
    <m/>
    <d v="2026-03-25T00:00:00"/>
    <n v="13"/>
    <x v="626"/>
    <x v="0"/>
  </r>
  <r>
    <x v="24"/>
    <x v="181"/>
    <s v="Servicio energia - Enero 2026"/>
    <s v="Total"/>
    <x v="0"/>
    <x v="0"/>
    <x v="1"/>
    <x v="0"/>
    <n v="1911840"/>
    <n v="1911840"/>
    <n v="1225.5384615384614"/>
    <m/>
    <d v="2026-03-27T00:00:00"/>
    <n v="13"/>
    <x v="626"/>
    <x v="0"/>
  </r>
  <r>
    <x v="33"/>
    <x v="181"/>
    <s v="Servicio energia - Finca 2 - NIS 1090249"/>
    <s v="Total"/>
    <x v="0"/>
    <x v="1"/>
    <x v="1"/>
    <x v="0"/>
    <n v="811500"/>
    <n v="811500"/>
    <n v="520.19230769230774"/>
    <m/>
    <d v="2026-04-20T00:00:00"/>
    <n v="17"/>
    <x v="627"/>
    <x v="0"/>
  </r>
  <r>
    <x v="33"/>
    <x v="181"/>
    <s v="Servicio energia - Finca 2 - NIS 1090249"/>
    <s v="Total"/>
    <x v="0"/>
    <x v="1"/>
    <x v="1"/>
    <x v="0"/>
    <n v="817000"/>
    <n v="817000"/>
    <n v="523.71794871794873"/>
    <m/>
    <d v="2026-04-25T00:00:00"/>
    <n v="17"/>
    <x v="627"/>
    <x v="0"/>
  </r>
  <r>
    <x v="33"/>
    <x v="181"/>
    <s v="Servicio energia - Finca 2 - NIS 1090249"/>
    <s v="Total"/>
    <x v="0"/>
    <x v="1"/>
    <x v="1"/>
    <x v="0"/>
    <n v="883000"/>
    <n v="883000"/>
    <n v="566.02564102564099"/>
    <m/>
    <d v="2026-04-30T00:00:00"/>
    <n v="18"/>
    <x v="627"/>
    <x v="0"/>
  </r>
  <r>
    <x v="33"/>
    <x v="181"/>
    <s v="Servicio energia - Finca 2 - NIS 1090249"/>
    <s v="Total"/>
    <x v="2"/>
    <x v="1"/>
    <x v="2"/>
    <x v="0"/>
    <n v="1150500"/>
    <n v="1150500"/>
    <n v="737.5"/>
    <m/>
    <m/>
    <s v="12"/>
    <x v="627"/>
    <x v="0"/>
  </r>
  <r>
    <x v="24"/>
    <x v="181"/>
    <s v="Servicio energia - Enero 2026"/>
    <s v="Total"/>
    <x v="0"/>
    <x v="0"/>
    <x v="1"/>
    <x v="0"/>
    <n v="2000000"/>
    <n v="2000000"/>
    <n v="1282.051282051282"/>
    <m/>
    <d v="2026-03-28T00:00:00"/>
    <n v="13"/>
    <x v="626"/>
    <x v="0"/>
  </r>
  <r>
    <x v="24"/>
    <x v="181"/>
    <s v="Servicio energia - Enero 2026"/>
    <s v="Total"/>
    <x v="0"/>
    <x v="0"/>
    <x v="1"/>
    <x v="0"/>
    <n v="2000000"/>
    <n v="2000000"/>
    <n v="1282.051282051282"/>
    <m/>
    <d v="2026-03-31T00:00:00"/>
    <n v="14"/>
    <x v="626"/>
    <x v="0"/>
  </r>
  <r>
    <x v="24"/>
    <x v="181"/>
    <s v="Servicio energia - Enero 2026"/>
    <s v="Total"/>
    <x v="0"/>
    <x v="0"/>
    <x v="1"/>
    <x v="0"/>
    <n v="5000000"/>
    <n v="5000000"/>
    <n v="3205.1282051282051"/>
    <m/>
    <d v="2026-03-26T00:00:00"/>
    <n v="13"/>
    <x v="626"/>
    <x v="0"/>
  </r>
  <r>
    <x v="24"/>
    <x v="181"/>
    <s v="Servicio energia - Febrero 2026"/>
    <s v="Total"/>
    <x v="0"/>
    <x v="0"/>
    <x v="1"/>
    <x v="0"/>
    <n v="11488112.640000001"/>
    <n v="11488112.640000001"/>
    <n v="7364.1747692307699"/>
    <m/>
    <d v="2026-06-08T00:00:00"/>
    <n v="24"/>
    <x v="628"/>
    <x v="0"/>
  </r>
  <r>
    <x v="24"/>
    <x v="181"/>
    <s v="Servicio energia - Febrero 2026"/>
    <s v="Total"/>
    <x v="0"/>
    <x v="0"/>
    <x v="1"/>
    <x v="0"/>
    <n v="11488112.640000001"/>
    <n v="11488112.640000001"/>
    <n v="7364.1747692307699"/>
    <m/>
    <d v="2026-06-15T00:00:00"/>
    <n v="25"/>
    <x v="628"/>
    <x v="0"/>
  </r>
  <r>
    <x v="24"/>
    <x v="181"/>
    <s v="Servicio energia - Febrero 2026"/>
    <s v="Total"/>
    <x v="0"/>
    <x v="0"/>
    <x v="1"/>
    <x v="0"/>
    <n v="11488112.640000001"/>
    <n v="11488112.640000001"/>
    <n v="7364.1747692307699"/>
    <m/>
    <d v="2026-06-22T00:00:00"/>
    <n v="26"/>
    <x v="628"/>
    <x v="0"/>
  </r>
  <r>
    <x v="24"/>
    <x v="181"/>
    <s v="Servicio energia - Febrero 2026"/>
    <s v="Total"/>
    <x v="0"/>
    <x v="0"/>
    <x v="1"/>
    <x v="0"/>
    <n v="11488112.640000001"/>
    <n v="11488112.640000001"/>
    <n v="7364.1747692307699"/>
    <m/>
    <d v="2026-06-29T00:00:00"/>
    <n v="27"/>
    <x v="628"/>
    <x v="0"/>
  </r>
  <r>
    <x v="24"/>
    <x v="181"/>
    <s v="Servicio energia - Febrero 2026"/>
    <s v="Total"/>
    <x v="0"/>
    <x v="0"/>
    <x v="1"/>
    <x v="0"/>
    <n v="187326"/>
    <n v="187326"/>
    <n v="120.08076923076923"/>
    <m/>
    <d v="2026-04-03T00:00:00"/>
    <n v="14"/>
    <x v="628"/>
    <x v="0"/>
  </r>
  <r>
    <x v="24"/>
    <x v="181"/>
    <s v="Servicio energia - Febrero 2026"/>
    <s v="Total"/>
    <x v="0"/>
    <x v="0"/>
    <x v="1"/>
    <x v="0"/>
    <n v="187326"/>
    <n v="187326"/>
    <n v="120.08076923076923"/>
    <m/>
    <d v="2026-04-04T00:00:00"/>
    <n v="14"/>
    <x v="628"/>
    <x v="0"/>
  </r>
  <r>
    <x v="24"/>
    <x v="181"/>
    <s v="Servicio energia - Febrero 2026"/>
    <s v="Total"/>
    <x v="0"/>
    <x v="0"/>
    <x v="1"/>
    <x v="0"/>
    <n v="187326"/>
    <n v="187326"/>
    <n v="120.08076923076923"/>
    <m/>
    <d v="2026-04-02T00:00:00"/>
    <n v="14"/>
    <x v="628"/>
    <x v="0"/>
  </r>
  <r>
    <x v="24"/>
    <x v="181"/>
    <s v="Servicio energia - Febrero 2026"/>
    <s v="Total"/>
    <x v="0"/>
    <x v="0"/>
    <x v="1"/>
    <x v="0"/>
    <n v="706000"/>
    <n v="706000"/>
    <n v="452.56410256410254"/>
    <m/>
    <d v="2026-04-03T00:00:00"/>
    <n v="14"/>
    <x v="628"/>
    <x v="0"/>
  </r>
  <r>
    <x v="24"/>
    <x v="181"/>
    <s v="Servicio energia - Febrero 2026"/>
    <s v="Total"/>
    <x v="0"/>
    <x v="0"/>
    <x v="1"/>
    <x v="0"/>
    <n v="706000"/>
    <n v="706000"/>
    <n v="452.56410256410254"/>
    <m/>
    <d v="2026-04-06T00:00:00"/>
    <n v="15"/>
    <x v="628"/>
    <x v="0"/>
  </r>
  <r>
    <x v="24"/>
    <x v="181"/>
    <s v="Servicio energia - Febrero 2026"/>
    <s v="Total"/>
    <x v="0"/>
    <x v="0"/>
    <x v="1"/>
    <x v="0"/>
    <n v="706000"/>
    <n v="706000"/>
    <n v="452.56410256410254"/>
    <m/>
    <d v="2026-04-01T00:00:00"/>
    <n v="14"/>
    <x v="628"/>
    <x v="0"/>
  </r>
  <r>
    <x v="24"/>
    <x v="181"/>
    <s v="Servicio energia - Febrero 2026"/>
    <s v="Total"/>
    <x v="0"/>
    <x v="0"/>
    <x v="1"/>
    <x v="0"/>
    <n v="750000"/>
    <n v="750000"/>
    <n v="480.76923076923077"/>
    <m/>
    <d v="2026-04-03T00:00:00"/>
    <n v="14"/>
    <x v="628"/>
    <x v="0"/>
  </r>
  <r>
    <x v="24"/>
    <x v="181"/>
    <s v="Servicio energia - Febrero 2026"/>
    <s v="Total"/>
    <x v="0"/>
    <x v="0"/>
    <x v="1"/>
    <x v="0"/>
    <n v="770000"/>
    <n v="770000"/>
    <n v="493.58974358974359"/>
    <m/>
    <d v="2026-04-06T00:00:00"/>
    <n v="15"/>
    <x v="628"/>
    <x v="0"/>
  </r>
  <r>
    <x v="24"/>
    <x v="181"/>
    <s v="Servicio energia - Febrero 2026"/>
    <s v="Total"/>
    <x v="0"/>
    <x v="0"/>
    <x v="1"/>
    <x v="0"/>
    <n v="887500"/>
    <n v="887500"/>
    <n v="568.91025641025647"/>
    <m/>
    <d v="2026-03-31T00:00:00"/>
    <n v="14"/>
    <x v="628"/>
    <x v="0"/>
  </r>
  <r>
    <x v="24"/>
    <x v="181"/>
    <s v="Servicio energia - Febrero 2026"/>
    <s v="Total"/>
    <x v="0"/>
    <x v="0"/>
    <x v="1"/>
    <x v="0"/>
    <n v="4300000"/>
    <n v="4300000"/>
    <n v="2756.4102564102564"/>
    <m/>
    <d v="2026-04-02T00:00:00"/>
    <n v="14"/>
    <x v="628"/>
    <x v="0"/>
  </r>
  <r>
    <x v="24"/>
    <x v="181"/>
    <s v="Servicio energia - Febrero 2026"/>
    <s v="Total"/>
    <x v="0"/>
    <x v="0"/>
    <x v="1"/>
    <x v="0"/>
    <n v="5955174.4000000004"/>
    <n v="5955174.4000000004"/>
    <n v="3817.4194871794875"/>
    <m/>
    <d v="2026-05-30T00:00:00"/>
    <n v="22"/>
    <x v="628"/>
    <x v="0"/>
  </r>
  <r>
    <x v="24"/>
    <x v="181"/>
    <s v="Servicio energia - Febrero 2026"/>
    <s v="Total"/>
    <x v="0"/>
    <x v="0"/>
    <x v="1"/>
    <x v="0"/>
    <n v="44042897.039999999"/>
    <n v="44042897.039999999"/>
    <n v="28232.626307692306"/>
    <m/>
    <d v="2026-06-24T00:00:00"/>
    <n v="26"/>
    <x v="628"/>
    <x v="0"/>
  </r>
  <r>
    <x v="24"/>
    <x v="181"/>
    <s v="Servicio energia - cheques rechazados"/>
    <s v="Total"/>
    <x v="0"/>
    <x v="0"/>
    <x v="0"/>
    <x v="0"/>
    <n v="5000000"/>
    <n v="5000000"/>
    <n v="3205.1282051282051"/>
    <m/>
    <m/>
    <s v="14"/>
    <x v="629"/>
    <x v="0"/>
  </r>
  <r>
    <x v="23"/>
    <x v="181"/>
    <s v="Marzo"/>
    <s v="Total"/>
    <x v="3"/>
    <x v="0"/>
    <x v="1"/>
    <x v="0"/>
    <n v="15000000"/>
    <n v="15000000"/>
    <n v="9615.3846153846152"/>
    <m/>
    <d v="2026-05-08T00:00:00"/>
    <n v="19"/>
    <x v="630"/>
    <x v="0"/>
  </r>
  <r>
    <x v="23"/>
    <x v="181"/>
    <s v="Marzo"/>
    <s v="Total"/>
    <x v="3"/>
    <x v="0"/>
    <x v="1"/>
    <x v="0"/>
    <n v="15000000"/>
    <n v="15000000"/>
    <n v="9615.3846153846152"/>
    <m/>
    <d v="2026-05-15T00:00:00"/>
    <n v="20"/>
    <x v="630"/>
    <x v="0"/>
  </r>
  <r>
    <x v="23"/>
    <x v="181"/>
    <s v="Marzo"/>
    <s v="Total"/>
    <x v="3"/>
    <x v="0"/>
    <x v="1"/>
    <x v="0"/>
    <n v="26855780.420000002"/>
    <n v="26855780.420000002"/>
    <n v="17215.243858974362"/>
    <m/>
    <d v="2026-06-19T00:00:00"/>
    <n v="25"/>
    <x v="630"/>
    <x v="0"/>
  </r>
  <r>
    <x v="23"/>
    <x v="181"/>
    <s v="Marzo"/>
    <s v="Total"/>
    <x v="3"/>
    <x v="0"/>
    <x v="1"/>
    <x v="0"/>
    <n v="52612219.579999998"/>
    <n v="52612219.579999998"/>
    <n v="33725.781782051279"/>
    <m/>
    <d v="2026-07-14T00:00:00"/>
    <n v="29"/>
    <x v="630"/>
    <x v="0"/>
  </r>
  <r>
    <x v="22"/>
    <x v="181"/>
    <s v="Servicio de energia"/>
    <s v="Total"/>
    <x v="3"/>
    <x v="0"/>
    <x v="1"/>
    <x v="0"/>
    <n v="11683166.67"/>
    <n v="11683166.67"/>
    <n v="7489.2094038461537"/>
    <m/>
    <d v="2026-06-20T00:00:00"/>
    <n v="25"/>
    <x v="631"/>
    <x v="0"/>
  </r>
  <r>
    <x v="22"/>
    <x v="181"/>
    <s v="Servicio de energia"/>
    <s v="Total"/>
    <x v="3"/>
    <x v="0"/>
    <x v="1"/>
    <x v="0"/>
    <n v="11683166.67"/>
    <n v="11683166.67"/>
    <n v="7489.2094038461537"/>
    <m/>
    <d v="2026-07-13T00:00:00"/>
    <n v="29"/>
    <x v="631"/>
    <x v="0"/>
  </r>
  <r>
    <x v="22"/>
    <x v="181"/>
    <s v="Servicio de energia"/>
    <s v="Total"/>
    <x v="3"/>
    <x v="0"/>
    <x v="1"/>
    <x v="0"/>
    <n v="11683166.67"/>
    <n v="11683166.67"/>
    <n v="7489.2094038461537"/>
    <m/>
    <d v="2026-07-21T00:00:00"/>
    <n v="30"/>
    <x v="631"/>
    <x v="0"/>
  </r>
  <r>
    <x v="22"/>
    <x v="181"/>
    <s v="Servicio de energia"/>
    <s v="Total"/>
    <x v="3"/>
    <x v="0"/>
    <x v="1"/>
    <x v="0"/>
    <n v="11683166.67"/>
    <n v="11683166.67"/>
    <n v="7489.2094038461537"/>
    <m/>
    <d v="2026-07-31T00:00:00"/>
    <n v="31"/>
    <x v="631"/>
    <x v="0"/>
  </r>
  <r>
    <x v="22"/>
    <x v="181"/>
    <s v="Servicio de energia"/>
    <s v="Total"/>
    <x v="3"/>
    <x v="0"/>
    <x v="1"/>
    <x v="0"/>
    <n v="11683166.67"/>
    <n v="11683166.67"/>
    <n v="7489.2094038461537"/>
    <m/>
    <d v="2026-08-07T00:00:00"/>
    <n v="32"/>
    <x v="631"/>
    <x v="0"/>
  </r>
  <r>
    <x v="22"/>
    <x v="181"/>
    <s v="Servicio de energia"/>
    <s v="Total"/>
    <x v="3"/>
    <x v="0"/>
    <x v="1"/>
    <x v="0"/>
    <n v="11683166.65"/>
    <n v="11683166.65"/>
    <n v="7489.2093910256417"/>
    <m/>
    <d v="2026-08-17T00:00:00"/>
    <n v="34"/>
    <x v="631"/>
    <x v="0"/>
  </r>
  <r>
    <x v="35"/>
    <x v="182"/>
    <s v="Periodo 5/2026"/>
    <s v="Total"/>
    <x v="3"/>
    <x v="0"/>
    <x v="1"/>
    <x v="0"/>
    <n v="3212624.89"/>
    <n v="3212624.89"/>
    <n v="2059.3749294871795"/>
    <m/>
    <d v="2026-06-23T00:00:00"/>
    <n v="26"/>
    <x v="632"/>
    <x v="0"/>
  </r>
  <r>
    <x v="35"/>
    <x v="182"/>
    <s v="Periodo 5/2026"/>
    <s v="Total"/>
    <x v="3"/>
    <x v="0"/>
    <x v="1"/>
    <x v="0"/>
    <n v="4000000"/>
    <n v="4000000"/>
    <n v="2564.102564102564"/>
    <m/>
    <d v="2026-06-23T00:00:00"/>
    <n v="26"/>
    <x v="632"/>
    <x v="0"/>
  </r>
  <r>
    <x v="35"/>
    <x v="182"/>
    <s v="Periodo 5/2026"/>
    <s v="Total"/>
    <x v="3"/>
    <x v="0"/>
    <x v="1"/>
    <x v="0"/>
    <n v="11097043.460000001"/>
    <n v="11097043.460000001"/>
    <n v="7113.4893974358984"/>
    <m/>
    <d v="2026-08-15T00:00:00"/>
    <n v="33"/>
    <x v="632"/>
    <x v="0"/>
  </r>
  <r>
    <x v="35"/>
    <x v="182"/>
    <s v="Periodo 5/2026"/>
    <s v="Total"/>
    <x v="3"/>
    <x v="0"/>
    <x v="1"/>
    <x v="0"/>
    <n v="11097043.460000001"/>
    <n v="11097043.460000001"/>
    <n v="7113.4893974358984"/>
    <m/>
    <d v="2026-08-20T00:00:00"/>
    <n v="34"/>
    <x v="632"/>
    <x v="0"/>
  </r>
  <r>
    <x v="35"/>
    <x v="182"/>
    <s v="Periodo 5/2026"/>
    <s v="Total"/>
    <x v="3"/>
    <x v="0"/>
    <x v="1"/>
    <x v="0"/>
    <n v="11097043.460000001"/>
    <n v="11097043.460000001"/>
    <n v="7113.4893974358984"/>
    <m/>
    <d v="2026-08-30T00:00:00"/>
    <n v="36"/>
    <x v="632"/>
    <x v="0"/>
  </r>
  <r>
    <x v="35"/>
    <x v="182"/>
    <s v="Periodo 5/2026"/>
    <s v="Total"/>
    <x v="3"/>
    <x v="0"/>
    <x v="1"/>
    <x v="0"/>
    <n v="11097043.460000001"/>
    <n v="11097043.460000001"/>
    <n v="7113.4893974358984"/>
    <m/>
    <d v="2026-09-09T00:00:00"/>
    <n v="37"/>
    <x v="632"/>
    <x v="0"/>
  </r>
  <r>
    <x v="35"/>
    <x v="182"/>
    <s v="Periodo 5/2026"/>
    <s v="Total"/>
    <x v="3"/>
    <x v="0"/>
    <x v="1"/>
    <x v="0"/>
    <n v="11097043.460000001"/>
    <n v="11097043.460000001"/>
    <n v="7113.4893974358984"/>
    <m/>
    <d v="2026-09-19T00:00:00"/>
    <n v="38"/>
    <x v="632"/>
    <x v="0"/>
  </r>
  <r>
    <x v="57"/>
    <x v="182"/>
    <s v="Finca Lolita - NIS 503745 - Periodo 2 - 3 - 4 - 5"/>
    <s v="Total"/>
    <x v="0"/>
    <x v="0"/>
    <x v="1"/>
    <x v="0"/>
    <n v="2000000"/>
    <n v="2000000"/>
    <n v="1282.051282051282"/>
    <m/>
    <d v="2026-06-06T00:00:00"/>
    <n v="23"/>
    <x v="633"/>
    <x v="0"/>
  </r>
  <r>
    <x v="57"/>
    <x v="182"/>
    <s v="Finca Lolita - NIS 503745 - Periodo 2 - 3 - 4 - 5"/>
    <s v="Total"/>
    <x v="0"/>
    <x v="0"/>
    <x v="1"/>
    <x v="0"/>
    <n v="2000000"/>
    <n v="2000000"/>
    <n v="1282.051282051282"/>
    <m/>
    <d v="2026-06-13T00:00:00"/>
    <n v="24"/>
    <x v="633"/>
    <x v="0"/>
  </r>
  <r>
    <x v="57"/>
    <x v="182"/>
    <s v="Finca Lolita - NIS 503745 - Periodo 2 - 3 - 4 - 5"/>
    <s v="Total"/>
    <x v="0"/>
    <x v="0"/>
    <x v="1"/>
    <x v="0"/>
    <n v="2000000"/>
    <n v="2000000"/>
    <n v="1282.051282051282"/>
    <m/>
    <d v="2026-06-20T00:00:00"/>
    <n v="25"/>
    <x v="633"/>
    <x v="0"/>
  </r>
  <r>
    <x v="57"/>
    <x v="182"/>
    <s v="Finca Lolita - NIS 503745 - Periodo 2 - 3 - 4 - 5"/>
    <s v="Total"/>
    <x v="0"/>
    <x v="0"/>
    <x v="1"/>
    <x v="0"/>
    <n v="1908354"/>
    <n v="1908354"/>
    <n v="1223.3038461538461"/>
    <m/>
    <d v="2026-06-27T00:00:00"/>
    <n v="26"/>
    <x v="633"/>
    <x v="0"/>
  </r>
  <r>
    <x v="57"/>
    <x v="182"/>
    <s v="Finca Lolita - NIS 503745 - Periodo 2 - 3 - 4 - 5"/>
    <s v="Total"/>
    <x v="0"/>
    <x v="0"/>
    <x v="1"/>
    <x v="0"/>
    <n v="1683449"/>
    <n v="1683449"/>
    <n v="1079.1339743589745"/>
    <m/>
    <d v="2026-07-04T00:00:00"/>
    <n v="27"/>
    <x v="633"/>
    <x v="0"/>
  </r>
  <r>
    <x v="57"/>
    <x v="182"/>
    <s v="Finca Lolita - NIS 503745 - Periodo 2 - 3 - 4 - 5"/>
    <s v="Total"/>
    <x v="0"/>
    <x v="0"/>
    <x v="1"/>
    <x v="0"/>
    <n v="800000"/>
    <n v="800000"/>
    <n v="512.82051282051282"/>
    <m/>
    <d v="2026-07-14T00:00:00"/>
    <n v="29"/>
    <x v="633"/>
    <x v="0"/>
  </r>
  <r>
    <x v="57"/>
    <x v="182"/>
    <s v="Finca Lolita - NIS 503745 - Periodo 2 - 3 - 4 - 5"/>
    <s v="Total"/>
    <x v="0"/>
    <x v="0"/>
    <x v="1"/>
    <x v="0"/>
    <n v="1010000"/>
    <n v="1010000"/>
    <n v="647.43589743589746"/>
    <m/>
    <d v="2026-07-15T00:00:00"/>
    <n v="29"/>
    <x v="633"/>
    <x v="0"/>
  </r>
  <r>
    <x v="57"/>
    <x v="182"/>
    <s v="Finca Lolita - NIS 503745 - Periodo 2 - 3 - 4 - 5"/>
    <s v="Total"/>
    <x v="0"/>
    <x v="0"/>
    <x v="1"/>
    <x v="0"/>
    <n v="1463700"/>
    <n v="1463700"/>
    <n v="938.26923076923072"/>
    <m/>
    <d v="2026-07-16T00:00:00"/>
    <n v="29"/>
    <x v="633"/>
    <x v="0"/>
  </r>
  <r>
    <x v="57"/>
    <x v="182"/>
    <s v="Finca Lolita - NIS 503745 - Periodo 2 - 3 - 4 - 5"/>
    <s v="Total"/>
    <x v="0"/>
    <x v="0"/>
    <x v="1"/>
    <x v="0"/>
    <n v="200000"/>
    <n v="200000"/>
    <n v="128.2051282051282"/>
    <m/>
    <d v="2026-07-20T00:00:00"/>
    <n v="30"/>
    <x v="633"/>
    <x v="0"/>
  </r>
  <r>
    <x v="57"/>
    <x v="182"/>
    <s v="Finca Lolita - NIS 503745 - Periodo 2 - 3 - 4 - 5"/>
    <s v="Total"/>
    <x v="0"/>
    <x v="0"/>
    <x v="1"/>
    <x v="0"/>
    <n v="800000"/>
    <n v="800000"/>
    <n v="512.82051282051282"/>
    <m/>
    <d v="2026-07-20T00:00:00"/>
    <n v="30"/>
    <x v="633"/>
    <x v="0"/>
  </r>
  <r>
    <x v="57"/>
    <x v="182"/>
    <s v="Finca Lolita - NIS 503745 - Periodo 2 - 3 - 4 - 5"/>
    <s v="Total"/>
    <x v="0"/>
    <x v="0"/>
    <x v="1"/>
    <x v="0"/>
    <n v="411360"/>
    <n v="411360"/>
    <n v="263.69230769230768"/>
    <m/>
    <d v="2026-07-20T00:00:00"/>
    <n v="30"/>
    <x v="633"/>
    <x v="0"/>
  </r>
  <r>
    <x v="57"/>
    <x v="182"/>
    <s v="Finca Lolita - NIS 503745 - Periodo 2 - 3 - 4 - 5"/>
    <s v="Total"/>
    <x v="0"/>
    <x v="0"/>
    <x v="1"/>
    <x v="0"/>
    <n v="3210000"/>
    <n v="3210000"/>
    <n v="2057.6923076923076"/>
    <m/>
    <d v="2026-07-21T00:00:00"/>
    <n v="30"/>
    <x v="633"/>
    <x v="0"/>
  </r>
  <r>
    <x v="57"/>
    <x v="182"/>
    <s v="Finca Lolita - NIS 503745 - Periodo 2 - 3 - 4 - 5"/>
    <s v="Total"/>
    <x v="0"/>
    <x v="0"/>
    <x v="1"/>
    <x v="0"/>
    <n v="550000"/>
    <n v="550000"/>
    <n v="352.56410256410254"/>
    <m/>
    <d v="2026-07-21T00:00:00"/>
    <n v="30"/>
    <x v="633"/>
    <x v="0"/>
  </r>
  <r>
    <x v="57"/>
    <x v="182"/>
    <s v="Finca Lolita - NIS 503745 - Periodo 2 - 3 - 4 - 5"/>
    <s v="Total"/>
    <x v="0"/>
    <x v="0"/>
    <x v="1"/>
    <x v="0"/>
    <n v="1550000"/>
    <n v="1550000"/>
    <n v="993.58974358974353"/>
    <m/>
    <d v="2026-07-21T00:00:00"/>
    <n v="30"/>
    <x v="633"/>
    <x v="0"/>
  </r>
  <r>
    <x v="57"/>
    <x v="182"/>
    <s v="Finca Lolita - NIS 503745 - Periodo 2 - 3 - 4 - 5"/>
    <s v="Total"/>
    <x v="0"/>
    <x v="0"/>
    <x v="1"/>
    <x v="0"/>
    <n v="7000000"/>
    <n v="7000000"/>
    <n v="4487.1794871794873"/>
    <m/>
    <d v="2026-07-22T00:00:00"/>
    <n v="30"/>
    <x v="633"/>
    <x v="0"/>
  </r>
  <r>
    <x v="57"/>
    <x v="182"/>
    <s v="Finca Lolita - NIS 503745 - Periodo 2 - 3 - 4 - 5"/>
    <s v="Total"/>
    <x v="0"/>
    <x v="0"/>
    <x v="1"/>
    <x v="0"/>
    <n v="5043137"/>
    <n v="5043137"/>
    <n v="3232.7801282051282"/>
    <m/>
    <d v="2026-06-30T00:00:00"/>
    <n v="27"/>
    <x v="633"/>
    <x v="0"/>
  </r>
  <r>
    <x v="11"/>
    <x v="182"/>
    <s v="Cheque rechazado"/>
    <s v="Total"/>
    <x v="3"/>
    <x v="0"/>
    <x v="0"/>
    <x v="0"/>
    <n v="11097043.460000001"/>
    <n v="11097043.460000001"/>
    <n v="7113.4893974358984"/>
    <m/>
    <m/>
    <s v="37"/>
    <x v="634"/>
    <x v="0"/>
  </r>
  <r>
    <x v="11"/>
    <x v="182"/>
    <s v="Cheque rechazado 805"/>
    <s v="Total"/>
    <x v="3"/>
    <x v="0"/>
    <x v="0"/>
    <x v="0"/>
    <n v="11097043.460000001"/>
    <n v="11097043.460000001"/>
    <n v="7113.4893974358984"/>
    <m/>
    <m/>
    <s v="37"/>
    <x v="635"/>
    <x v="0"/>
  </r>
  <r>
    <x v="11"/>
    <x v="182"/>
    <s v="Cheque rechazado 806"/>
    <s v="Total"/>
    <x v="3"/>
    <x v="0"/>
    <x v="0"/>
    <x v="0"/>
    <n v="11097043.460000001"/>
    <n v="11097043.460000001"/>
    <n v="7113.4893974358984"/>
    <m/>
    <m/>
    <s v="37"/>
    <x v="634"/>
    <x v="0"/>
  </r>
  <r>
    <x v="3"/>
    <x v="179"/>
    <s v="Insumos planta"/>
    <s v="Total"/>
    <x v="0"/>
    <x v="0"/>
    <x v="1"/>
    <x v="1"/>
    <n v="3292.6"/>
    <n v="5136456"/>
    <n v="3292.6"/>
    <m/>
    <m/>
    <s v="44"/>
    <x v="0"/>
    <x v="1"/>
  </r>
  <r>
    <x v="3"/>
    <x v="179"/>
    <s v="Cheque rechazado"/>
    <s v="Total"/>
    <x v="0"/>
    <x v="0"/>
    <x v="1"/>
    <x v="0"/>
    <n v="11313488"/>
    <n v="11313488"/>
    <n v="7252.2358974358976"/>
    <m/>
    <m/>
    <s v="44"/>
    <x v="0"/>
    <x v="2"/>
  </r>
  <r>
    <x v="3"/>
    <x v="182"/>
    <s v="Servicio de energia Periodo 7 -8"/>
    <s v="Total"/>
    <x v="0"/>
    <x v="0"/>
    <x v="1"/>
    <x v="0"/>
    <n v="39600000"/>
    <n v="39600000"/>
    <n v="25384.615384615383"/>
    <m/>
    <m/>
    <s v="44"/>
    <x v="0"/>
    <x v="2"/>
  </r>
  <r>
    <x v="3"/>
    <x v="182"/>
    <s v="Servicio de energia Periodo 9"/>
    <s v="Total"/>
    <x v="0"/>
    <x v="0"/>
    <x v="1"/>
    <x v="0"/>
    <n v="76707000"/>
    <n v="76707000"/>
    <n v="49171.153846153844"/>
    <m/>
    <m/>
    <s v="44"/>
    <x v="0"/>
    <x v="2"/>
  </r>
  <r>
    <x v="3"/>
    <x v="182"/>
    <s v="Servicio de energia Periodo 8"/>
    <s v="Total"/>
    <x v="3"/>
    <x v="0"/>
    <x v="1"/>
    <x v="0"/>
    <n v="72189000"/>
    <n v="72189000"/>
    <n v="46275"/>
    <m/>
    <m/>
    <s v="44"/>
    <x v="0"/>
    <x v="1"/>
  </r>
  <r>
    <x v="77"/>
    <x v="183"/>
    <s v="Servicio de energia"/>
    <s v="Total"/>
    <x v="3"/>
    <x v="0"/>
    <x v="1"/>
    <x v="0"/>
    <n v="940000"/>
    <n v="940000"/>
    <n v="602.56410256410254"/>
    <m/>
    <d v="2026-09-18T00:00:00"/>
    <n v="38"/>
    <x v="636"/>
    <x v="0"/>
  </r>
  <r>
    <x v="77"/>
    <x v="183"/>
    <s v="Servicio de energia"/>
    <s v="Total"/>
    <x v="3"/>
    <x v="0"/>
    <x v="1"/>
    <x v="0"/>
    <n v="2388538"/>
    <n v="2388538"/>
    <n v="1531.1141025641025"/>
    <m/>
    <d v="2026-09-23T00:00:00"/>
    <n v="39"/>
    <x v="636"/>
    <x v="0"/>
  </r>
  <r>
    <x v="77"/>
    <x v="183"/>
    <s v="Servicio de energia"/>
    <s v="Total"/>
    <x v="3"/>
    <x v="0"/>
    <x v="1"/>
    <x v="0"/>
    <n v="3273216.98"/>
    <n v="3273216.98"/>
    <n v="2098.2160128205128"/>
    <m/>
    <d v="2026-09-24T00:00:00"/>
    <n v="39"/>
    <x v="636"/>
    <x v="0"/>
  </r>
  <r>
    <x v="77"/>
    <x v="183"/>
    <s v="Servicio de energia"/>
    <s v="Total"/>
    <x v="3"/>
    <x v="0"/>
    <x v="1"/>
    <x v="0"/>
    <n v="314719.83"/>
    <n v="314719.83"/>
    <n v="201.74348076923079"/>
    <m/>
    <d v="2026-09-03T00:00:00"/>
    <n v="36"/>
    <x v="636"/>
    <x v="0"/>
  </r>
  <r>
    <x v="77"/>
    <x v="183"/>
    <s v="Servicio de energia"/>
    <s v="Total"/>
    <x v="3"/>
    <x v="0"/>
    <x v="2"/>
    <x v="0"/>
    <n v="130000"/>
    <n v="130000"/>
    <n v="83.333333333333329"/>
    <m/>
    <m/>
    <s v="35"/>
    <x v="636"/>
    <x v="0"/>
  </r>
  <r>
    <x v="3"/>
    <x v="182"/>
    <s v="Servicio de energia - Cheque R"/>
    <s v="Total"/>
    <x v="3"/>
    <x v="0"/>
    <x v="1"/>
    <x v="0"/>
    <n v="52000000"/>
    <n v="52000000"/>
    <n v="33333.333333333336"/>
    <m/>
    <m/>
    <s v="44"/>
    <x v="0"/>
    <x v="1"/>
  </r>
  <r>
    <x v="73"/>
    <x v="184"/>
    <s v="Finca Lolita"/>
    <s v="Total"/>
    <x v="2"/>
    <x v="1"/>
    <x v="2"/>
    <x v="0"/>
    <n v="68600"/>
    <n v="68600"/>
    <n v="43.974358974358971"/>
    <m/>
    <m/>
    <s v="10"/>
    <x v="637"/>
    <x v="0"/>
  </r>
  <r>
    <x v="73"/>
    <x v="184"/>
    <s v="Finca Lolita"/>
    <s v="Total"/>
    <x v="3"/>
    <x v="1"/>
    <x v="1"/>
    <x v="0"/>
    <n v="425000"/>
    <n v="425000"/>
    <n v="272.43589743589746"/>
    <m/>
    <m/>
    <s v="10"/>
    <x v="637"/>
    <x v="0"/>
  </r>
  <r>
    <x v="73"/>
    <x v="184"/>
    <s v="Finca Lolita"/>
    <s v="Total"/>
    <x v="3"/>
    <x v="1"/>
    <x v="1"/>
    <x v="0"/>
    <n v="600000"/>
    <n v="600000"/>
    <n v="384.61538461538464"/>
    <m/>
    <m/>
    <s v="10"/>
    <x v="637"/>
    <x v="0"/>
  </r>
  <r>
    <x v="73"/>
    <x v="184"/>
    <s v="Finca Lolita"/>
    <s v="Total"/>
    <x v="3"/>
    <x v="1"/>
    <x v="1"/>
    <x v="0"/>
    <n v="4400000"/>
    <n v="4400000"/>
    <n v="2820.5128205128203"/>
    <m/>
    <m/>
    <s v="10"/>
    <x v="637"/>
    <x v="0"/>
  </r>
  <r>
    <x v="33"/>
    <x v="184"/>
    <s v="Servicio energia - Finca Lolita - NIS 5053745"/>
    <s v="Total"/>
    <x v="0"/>
    <x v="0"/>
    <x v="0"/>
    <x v="0"/>
    <n v="5975000"/>
    <n v="5975000"/>
    <n v="3830.1282051282051"/>
    <m/>
    <m/>
    <s v="12"/>
    <x v="638"/>
    <x v="0"/>
  </r>
  <r>
    <x v="33"/>
    <x v="184"/>
    <s v="Servicio energia - Finca Lolita - NIS 5053745"/>
    <s v="Total"/>
    <x v="0"/>
    <x v="1"/>
    <x v="1"/>
    <x v="0"/>
    <n v="337586.21"/>
    <n v="337586.21"/>
    <n v="216.40141666666668"/>
    <m/>
    <d v="2026-04-11T00:00:00"/>
    <n v="15"/>
    <x v="639"/>
    <x v="0"/>
  </r>
  <r>
    <x v="33"/>
    <x v="184"/>
    <s v="Servicio energia - Finca Lolita - NIS 5053745"/>
    <s v="Total"/>
    <x v="0"/>
    <x v="1"/>
    <x v="1"/>
    <x v="0"/>
    <n v="177544"/>
    <n v="177544"/>
    <n v="113.81025641025641"/>
    <m/>
    <d v="2026-04-14T00:00:00"/>
    <n v="16"/>
    <x v="639"/>
    <x v="0"/>
  </r>
  <r>
    <x v="33"/>
    <x v="184"/>
    <s v="Servicio energia - Finca Lolita - NIS 5053745"/>
    <s v="Total"/>
    <x v="0"/>
    <x v="1"/>
    <x v="1"/>
    <x v="0"/>
    <n v="835694"/>
    <n v="835694"/>
    <n v="535.70128205128208"/>
    <m/>
    <d v="2026-04-11T00:00:00"/>
    <n v="15"/>
    <x v="639"/>
    <x v="0"/>
  </r>
  <r>
    <x v="33"/>
    <x v="184"/>
    <s v="Servicio energia - Finca Lolita - NIS 5053745"/>
    <s v="Total"/>
    <x v="0"/>
    <x v="1"/>
    <x v="1"/>
    <x v="0"/>
    <n v="1000000"/>
    <n v="1000000"/>
    <n v="641.02564102564099"/>
    <m/>
    <d v="2026-04-18T00:00:00"/>
    <n v="16"/>
    <x v="639"/>
    <x v="0"/>
  </r>
  <r>
    <x v="33"/>
    <x v="184"/>
    <s v="Servicio energia - Finca Lolita - NIS 5053745"/>
    <s v="Total"/>
    <x v="0"/>
    <x v="1"/>
    <x v="1"/>
    <x v="0"/>
    <n v="1235694"/>
    <n v="1235694"/>
    <n v="792.11153846153843"/>
    <m/>
    <d v="2026-04-14T00:00:00"/>
    <n v="16"/>
    <x v="639"/>
    <x v="0"/>
  </r>
  <r>
    <x v="33"/>
    <x v="184"/>
    <s v="Servicio energia - Finca Lolita - NIS 5053745"/>
    <s v="Total"/>
    <x v="0"/>
    <x v="1"/>
    <x v="1"/>
    <x v="0"/>
    <n v="1500000"/>
    <n v="1500000"/>
    <n v="961.53846153846155"/>
    <m/>
    <d v="2026-04-04T00:00:00"/>
    <n v="14"/>
    <x v="639"/>
    <x v="0"/>
  </r>
  <r>
    <x v="33"/>
    <x v="184"/>
    <s v="Servicio energia - Finca Lolita - NIS 5053745"/>
    <s v="Total"/>
    <x v="0"/>
    <x v="1"/>
    <x v="1"/>
    <x v="0"/>
    <n v="1500000"/>
    <n v="1500000"/>
    <n v="961.53846153846155"/>
    <m/>
    <d v="2026-04-03T00:00:00"/>
    <n v="14"/>
    <x v="639"/>
    <x v="0"/>
  </r>
  <r>
    <x v="33"/>
    <x v="184"/>
    <s v="Servicio energia - Finca Lolita - NIS 5053745"/>
    <s v="Total"/>
    <x v="2"/>
    <x v="1"/>
    <x v="2"/>
    <x v="0"/>
    <n v="1434481.79"/>
    <n v="1434481.79"/>
    <n v="919.539608974359"/>
    <m/>
    <m/>
    <s v="12"/>
    <x v="639"/>
    <x v="0"/>
  </r>
  <r>
    <x v="20"/>
    <x v="184"/>
    <s v="Febrero"/>
    <s v="Total"/>
    <x v="3"/>
    <x v="1"/>
    <x v="1"/>
    <x v="0"/>
    <n v="1274072.3999999999"/>
    <n v="1274072.3999999999"/>
    <n v="816.71307692307687"/>
    <m/>
    <d v="2026-04-23T00:00:00"/>
    <n v="17"/>
    <x v="640"/>
    <x v="0"/>
  </r>
  <r>
    <x v="20"/>
    <x v="184"/>
    <s v="Febrero"/>
    <s v="Total"/>
    <x v="3"/>
    <x v="1"/>
    <x v="1"/>
    <x v="0"/>
    <n v="1274072.3999999999"/>
    <n v="1274072.3999999999"/>
    <n v="816.71307692307687"/>
    <m/>
    <d v="2026-04-16T00:00:00"/>
    <n v="16"/>
    <x v="640"/>
    <x v="0"/>
  </r>
  <r>
    <x v="20"/>
    <x v="184"/>
    <s v="Febrero"/>
    <s v="Total"/>
    <x v="3"/>
    <x v="1"/>
    <x v="1"/>
    <x v="0"/>
    <n v="5196927.97"/>
    <n v="5196927.97"/>
    <n v="3331.3640833333334"/>
    <m/>
    <d v="2026-05-09T00:00:00"/>
    <n v="19"/>
    <x v="640"/>
    <x v="0"/>
  </r>
  <r>
    <x v="20"/>
    <x v="184"/>
    <s v="Febrero"/>
    <s v="Total"/>
    <x v="3"/>
    <x v="1"/>
    <x v="1"/>
    <x v="0"/>
    <n v="850927.23"/>
    <n v="850927.23"/>
    <n v="545.46617307692304"/>
    <m/>
    <d v="2026-04-09T00:00:00"/>
    <n v="15"/>
    <x v="640"/>
    <x v="0"/>
  </r>
  <r>
    <x v="63"/>
    <x v="185"/>
    <s v="Reposición de cheque"/>
    <s v="Total"/>
    <x v="1"/>
    <x v="0"/>
    <x v="0"/>
    <x v="0"/>
    <n v="1333226"/>
    <n v="1333226"/>
    <n v="854.63205128205129"/>
    <m/>
    <m/>
    <s v="44"/>
    <x v="641"/>
    <x v="0"/>
  </r>
  <r>
    <x v="60"/>
    <x v="186"/>
    <s v="Pedido Librería septiembre 2025"/>
    <s v="Total"/>
    <x v="1"/>
    <x v="0"/>
    <x v="1"/>
    <x v="0"/>
    <n v="336884.43"/>
    <n v="336884.43"/>
    <n v="215.95155769230769"/>
    <m/>
    <d v="2025-10-10T00:00:00"/>
    <n v="41"/>
    <x v="34"/>
    <x v="0"/>
  </r>
  <r>
    <x v="29"/>
    <x v="187"/>
    <s v="Fletes"/>
    <s v="Total"/>
    <x v="1"/>
    <x v="0"/>
    <x v="1"/>
    <x v="0"/>
    <n v="402131.57"/>
    <n v="402131.57"/>
    <n v="257.77664743589742"/>
    <m/>
    <m/>
    <s v="42"/>
    <x v="642"/>
    <x v="0"/>
  </r>
  <r>
    <x v="33"/>
    <x v="187"/>
    <s v="Fletes"/>
    <s v="Total"/>
    <x v="6"/>
    <x v="0"/>
    <x v="1"/>
    <x v="0"/>
    <n v="400000"/>
    <n v="400000"/>
    <n v="256.41025641025641"/>
    <m/>
    <d v="2026-04-13T00:00:00"/>
    <n v="16"/>
    <x v="643"/>
    <x v="0"/>
  </r>
  <r>
    <x v="33"/>
    <x v="187"/>
    <s v="Fletes"/>
    <s v="Total"/>
    <x v="6"/>
    <x v="0"/>
    <x v="1"/>
    <x v="0"/>
    <n v="1014125"/>
    <n v="1014125"/>
    <n v="650.08012820512818"/>
    <m/>
    <d v="2026-04-21T00:00:00"/>
    <n v="17"/>
    <x v="643"/>
    <x v="0"/>
  </r>
  <r>
    <x v="33"/>
    <x v="187"/>
    <s v="Fletes"/>
    <s v="Total"/>
    <x v="6"/>
    <x v="0"/>
    <x v="1"/>
    <x v="0"/>
    <n v="18893.97"/>
    <n v="18893.97"/>
    <n v="12.111519230769231"/>
    <s v="Retenciones"/>
    <m/>
    <s v="12"/>
    <x v="643"/>
    <x v="0"/>
  </r>
  <r>
    <x v="35"/>
    <x v="187"/>
    <s v="Servicio de envios"/>
    <s v="Total"/>
    <x v="6"/>
    <x v="0"/>
    <x v="1"/>
    <x v="0"/>
    <n v="3212624.89"/>
    <n v="3212624.89"/>
    <n v="2059.3749294871795"/>
    <m/>
    <d v="2026-06-23T00:00:00"/>
    <n v="26"/>
    <x v="644"/>
    <x v="0"/>
  </r>
  <r>
    <x v="35"/>
    <x v="187"/>
    <s v="Servicio de envios"/>
    <s v="Total"/>
    <x v="6"/>
    <x v="0"/>
    <x v="1"/>
    <x v="0"/>
    <n v="5772.5"/>
    <n v="5772.5"/>
    <n v="3.7003205128205128"/>
    <s v="Retenciones"/>
    <m/>
    <s v="27"/>
    <x v="644"/>
    <x v="0"/>
  </r>
  <r>
    <x v="3"/>
    <x v="182"/>
    <s v="Servicio de energia - Cheque R"/>
    <s v="Total"/>
    <x v="3"/>
    <x v="0"/>
    <x v="1"/>
    <x v="0"/>
    <n v="22000000"/>
    <n v="22000000"/>
    <n v="14102.564102564103"/>
    <m/>
    <m/>
    <s v="44"/>
    <x v="0"/>
    <x v="1"/>
  </r>
  <r>
    <x v="3"/>
    <x v="188"/>
    <s v="Servicio de energia"/>
    <s v="Total"/>
    <x v="3"/>
    <x v="0"/>
    <x v="1"/>
    <x v="0"/>
    <n v="3000000"/>
    <n v="3000000"/>
    <n v="1923.0769230769231"/>
    <m/>
    <d v="2026-11-17T00:00:00"/>
    <n v="47"/>
    <x v="645"/>
    <x v="0"/>
  </r>
  <r>
    <x v="3"/>
    <x v="188"/>
    <s v="Servicio de energia"/>
    <s v="Total"/>
    <x v="3"/>
    <x v="0"/>
    <x v="1"/>
    <x v="0"/>
    <n v="3000000"/>
    <n v="3000000"/>
    <n v="1923.0769230769231"/>
    <m/>
    <d v="1906-08-07T00:00:00"/>
    <n v="32"/>
    <x v="645"/>
    <x v="0"/>
  </r>
  <r>
    <x v="3"/>
    <x v="188"/>
    <s v="Servicio de energia"/>
    <s v="Total"/>
    <x v="3"/>
    <x v="0"/>
    <x v="0"/>
    <x v="0"/>
    <n v="501000"/>
    <n v="501000"/>
    <n v="321.15384615384613"/>
    <m/>
    <m/>
    <s v="44"/>
    <x v="645"/>
    <x v="0"/>
  </r>
  <r>
    <x v="16"/>
    <x v="189"/>
    <s v="Servicio de paqueteria  "/>
    <s v="Total"/>
    <x v="0"/>
    <x v="0"/>
    <x v="1"/>
    <x v="0"/>
    <n v="956000"/>
    <n v="956000"/>
    <n v="612.82051282051282"/>
    <m/>
    <d v="2026-11-09T00:00:00"/>
    <n v="46"/>
    <x v="646"/>
    <x v="0"/>
  </r>
  <r>
    <x v="16"/>
    <x v="189"/>
    <s v="Servicio de paqueteria  "/>
    <s v="Total"/>
    <x v="0"/>
    <x v="0"/>
    <x v="0"/>
    <x v="0"/>
    <n v="264050.25"/>
    <n v="264050.25"/>
    <n v="169.26298076923078"/>
    <m/>
    <m/>
    <s v="43"/>
    <x v="646"/>
    <x v="0"/>
  </r>
  <r>
    <x v="16"/>
    <x v="189"/>
    <s v="Servicio de paqueteria  "/>
    <s v="Total"/>
    <x v="0"/>
    <x v="0"/>
    <x v="1"/>
    <x v="0"/>
    <n v="15949.75"/>
    <n v="15949.75"/>
    <n v="10.224198717948719"/>
    <s v="Retenciones"/>
    <m/>
    <s v="43"/>
    <x v="646"/>
    <x v="0"/>
  </r>
  <r>
    <x v="78"/>
    <x v="190"/>
    <s v="Planta de aceite - pintura /aguaras"/>
    <s v="Total"/>
    <x v="1"/>
    <x v="0"/>
    <x v="1"/>
    <x v="0"/>
    <n v="265898.84999999998"/>
    <n v="265898.84999999998"/>
    <n v="170.44798076923075"/>
    <m/>
    <m/>
    <s v="13"/>
    <x v="0"/>
    <x v="0"/>
  </r>
  <r>
    <x v="17"/>
    <x v="190"/>
    <s v="Facturas 4336/4569/4617/4665"/>
    <s v="Total"/>
    <x v="1"/>
    <x v="0"/>
    <x v="1"/>
    <x v="0"/>
    <n v="944630"/>
    <n v="944630"/>
    <n v="605.53205128205127"/>
    <s v="CH 30 días"/>
    <d v="2025-07-17T00:00:00"/>
    <n v="29"/>
    <x v="647"/>
    <x v="0"/>
  </r>
  <r>
    <x v="26"/>
    <x v="190"/>
    <s v="Factura 4665"/>
    <s v="Total"/>
    <x v="1"/>
    <x v="0"/>
    <x v="1"/>
    <x v="0"/>
    <n v="218534.58"/>
    <n v="218534.58"/>
    <n v="140.08626923076923"/>
    <s v="CH 20 días"/>
    <d v="2025-07-20T00:00:00"/>
    <n v="30"/>
    <x v="648"/>
    <x v="0"/>
  </r>
  <r>
    <x v="29"/>
    <x v="190"/>
    <s v="Pago Cuenta corriente"/>
    <s v="Total"/>
    <x v="2"/>
    <x v="0"/>
    <x v="2"/>
    <x v="0"/>
    <n v="14046.06"/>
    <n v="14046.06"/>
    <n v="9.0038846153846155"/>
    <m/>
    <m/>
    <s v="42"/>
    <x v="649"/>
    <x v="0"/>
  </r>
  <r>
    <x v="29"/>
    <x v="190"/>
    <s v="Pago Cuenta corriente"/>
    <s v="Total"/>
    <x v="1"/>
    <x v="0"/>
    <x v="1"/>
    <x v="0"/>
    <n v="327809"/>
    <n v="327809"/>
    <n v="210.13397435897437"/>
    <m/>
    <m/>
    <s v="42"/>
    <x v="649"/>
    <x v="0"/>
  </r>
  <r>
    <x v="63"/>
    <x v="190"/>
    <s v="Pago Cuenta corriente"/>
    <s v="Total"/>
    <x v="6"/>
    <x v="0"/>
    <x v="1"/>
    <x v="0"/>
    <n v="336450"/>
    <n v="336450"/>
    <n v="215.67307692307693"/>
    <m/>
    <d v="2025-11-19T00:00:00"/>
    <n v="47"/>
    <x v="650"/>
    <x v="0"/>
  </r>
  <r>
    <x v="63"/>
    <x v="190"/>
    <s v="Pago Cuenta corriente"/>
    <s v="Total"/>
    <x v="2"/>
    <x v="0"/>
    <x v="2"/>
    <x v="0"/>
    <n v="74632.22"/>
    <n v="74632.22"/>
    <n v="47.841166666666666"/>
    <m/>
    <m/>
    <s v="44"/>
    <x v="650"/>
    <x v="0"/>
  </r>
  <r>
    <x v="56"/>
    <x v="190"/>
    <s v="Pago Cuenta corriente"/>
    <s v="Total"/>
    <x v="6"/>
    <x v="0"/>
    <x v="1"/>
    <x v="0"/>
    <n v="425000"/>
    <n v="425000"/>
    <n v="272.43589743589746"/>
    <d v="2026-02-21T00:00:00"/>
    <m/>
    <s v="11"/>
    <x v="651"/>
    <x v="0"/>
  </r>
  <r>
    <x v="56"/>
    <x v="190"/>
    <s v="Pago Cuenta corriente"/>
    <s v="Total"/>
    <x v="6"/>
    <x v="0"/>
    <x v="1"/>
    <x v="0"/>
    <n v="625000"/>
    <n v="625000"/>
    <n v="400.64102564102564"/>
    <d v="2026-02-16T00:00:00"/>
    <m/>
    <s v="11"/>
    <x v="651"/>
    <x v="0"/>
  </r>
  <r>
    <x v="56"/>
    <x v="190"/>
    <s v="Pago Cuenta corriente"/>
    <s v="Total"/>
    <x v="6"/>
    <x v="0"/>
    <x v="1"/>
    <x v="0"/>
    <n v="12875.37"/>
    <n v="12875.37"/>
    <n v="8.2534423076923087"/>
    <m/>
    <m/>
    <s v="11"/>
    <x v="651"/>
    <x v="0"/>
  </r>
  <r>
    <x v="47"/>
    <x v="190"/>
    <s v="Pago Cuenta corriente"/>
    <s v="Total"/>
    <x v="0"/>
    <x v="0"/>
    <x v="1"/>
    <x v="0"/>
    <n v="610000"/>
    <n v="610000"/>
    <n v="391.02564102564105"/>
    <m/>
    <d v="2026-06-15T00:00:00"/>
    <n v="25"/>
    <x v="652"/>
    <x v="0"/>
  </r>
  <r>
    <x v="47"/>
    <x v="190"/>
    <s v="Pago Cuenta corriente"/>
    <s v="Total"/>
    <x v="0"/>
    <x v="0"/>
    <x v="1"/>
    <x v="0"/>
    <n v="7720"/>
    <n v="7720"/>
    <n v="4.9487179487179489"/>
    <s v="Retenciones"/>
    <m/>
    <s v="20"/>
    <x v="652"/>
    <x v="0"/>
  </r>
  <r>
    <x v="46"/>
    <x v="190"/>
    <s v="Pedido Cava   "/>
    <s v="Total"/>
    <x v="0"/>
    <x v="0"/>
    <x v="0"/>
    <x v="0"/>
    <n v="190400"/>
    <n v="190400"/>
    <n v="122.05128205128206"/>
    <m/>
    <m/>
    <s v="42"/>
    <x v="653"/>
    <x v="0"/>
  </r>
  <r>
    <x v="29"/>
    <x v="191"/>
    <s v="Articulos de electricidad - planta de aceite"/>
    <s v="Total"/>
    <x v="1"/>
    <x v="0"/>
    <x v="1"/>
    <x v="0"/>
    <n v="1333226"/>
    <n v="1333226"/>
    <n v="854.63205128205129"/>
    <m/>
    <d v="2025-09-29T00:00:00"/>
    <n v="40"/>
    <x v="654"/>
    <x v="0"/>
  </r>
  <r>
    <x v="29"/>
    <x v="191"/>
    <s v="Articulos de electricidad - planta de aceite"/>
    <s v="Total"/>
    <x v="2"/>
    <x v="0"/>
    <x v="2"/>
    <x v="0"/>
    <n v="262975.38"/>
    <n v="262975.38"/>
    <n v="168.57396153846153"/>
    <m/>
    <m/>
    <s v="42"/>
    <x v="654"/>
    <x v="0"/>
  </r>
  <r>
    <x v="1"/>
    <x v="192"/>
    <s v="Materiales electricos planta de aceite"/>
    <s v="Total"/>
    <x v="1"/>
    <x v="0"/>
    <x v="1"/>
    <x v="0"/>
    <n v="458629"/>
    <n v="458629"/>
    <n v="293.99294871794871"/>
    <s v="CH 30 días"/>
    <m/>
    <s v="21"/>
    <x v="655"/>
    <x v="0"/>
  </r>
  <r>
    <x v="63"/>
    <x v="192"/>
    <s v="Materiales para pozo 19"/>
    <s v="Total"/>
    <x v="1"/>
    <x v="0"/>
    <x v="0"/>
    <x v="0"/>
    <n v="298304"/>
    <n v="298304"/>
    <n v="191.22051282051282"/>
    <m/>
    <m/>
    <s v="44"/>
    <x v="656"/>
    <x v="0"/>
  </r>
  <r>
    <x v="9"/>
    <x v="193"/>
    <s v="Potenciometros - Planta/bodega"/>
    <s v="Total"/>
    <x v="1"/>
    <x v="0"/>
    <x v="0"/>
    <x v="0"/>
    <n v="306185"/>
    <n v="306185"/>
    <n v="196.27243589743588"/>
    <m/>
    <m/>
    <s v="05"/>
    <x v="657"/>
    <x v="0"/>
  </r>
  <r>
    <x v="43"/>
    <x v="194"/>
    <s v="Pedido de ventas"/>
    <s v="Total"/>
    <x v="1"/>
    <x v="0"/>
    <x v="1"/>
    <x v="0"/>
    <n v="2584492.8199999998"/>
    <n v="2584492.8199999998"/>
    <n v="1656.7261666666666"/>
    <m/>
    <d v="2026-07-19T00:00:00"/>
    <n v="30"/>
    <x v="658"/>
    <x v="0"/>
  </r>
  <r>
    <x v="43"/>
    <x v="194"/>
    <s v="Pedido de ventas"/>
    <s v="Total"/>
    <x v="1"/>
    <x v="0"/>
    <x v="1"/>
    <x v="0"/>
    <n v="38881.56"/>
    <n v="38881.56"/>
    <n v="24.924076923076921"/>
    <s v="Retenciones"/>
    <m/>
    <s v="26"/>
    <x v="658"/>
    <x v="0"/>
  </r>
  <r>
    <x v="50"/>
    <x v="195"/>
    <s v="Cajas para frascos 350g x 6"/>
    <s v="Total"/>
    <x v="1"/>
    <x v="0"/>
    <x v="0"/>
    <x v="0"/>
    <n v="658135.43999999994"/>
    <n v="658135.43999999994"/>
    <n v="421.88169230769228"/>
    <m/>
    <m/>
    <s v="04"/>
    <x v="659"/>
    <x v="0"/>
  </r>
  <r>
    <x v="8"/>
    <x v="195"/>
    <s v="Cajas para frascos 350 grs x 6"/>
    <s v="Total"/>
    <x v="1"/>
    <x v="0"/>
    <x v="1"/>
    <x v="0"/>
    <n v="880658.8"/>
    <n v="880658.8"/>
    <n v="564.52487179487184"/>
    <m/>
    <d v="2025-08-13T00:00:00"/>
    <n v="33"/>
    <x v="0"/>
    <x v="0"/>
  </r>
  <r>
    <x v="8"/>
    <x v="195"/>
    <s v="Cajas para frascos 350 grs x 6"/>
    <s v="Total"/>
    <x v="1"/>
    <x v="0"/>
    <x v="1"/>
    <x v="0"/>
    <n v="1318800"/>
    <n v="1318800"/>
    <n v="845.38461538461536"/>
    <m/>
    <d v="2025-09-10T00:00:00"/>
    <n v="37"/>
    <x v="0"/>
    <x v="0"/>
  </r>
  <r>
    <x v="70"/>
    <x v="195"/>
    <m/>
    <s v="Total"/>
    <x v="1"/>
    <x v="0"/>
    <x v="0"/>
    <x v="0"/>
    <n v="1316034.29"/>
    <n v="1316034.29"/>
    <n v="843.61172435897436"/>
    <m/>
    <m/>
    <s v="36"/>
    <x v="34"/>
    <x v="0"/>
  </r>
  <r>
    <x v="10"/>
    <x v="196"/>
    <s v="Bolsas para cajas sobre de eceitunas"/>
    <s v="Total"/>
    <x v="1"/>
    <x v="0"/>
    <x v="0"/>
    <x v="0"/>
    <n v="231839.03"/>
    <n v="231839.03"/>
    <n v="148.61476282051282"/>
    <m/>
    <m/>
    <s v="48"/>
    <x v="660"/>
    <x v="0"/>
  </r>
  <r>
    <x v="57"/>
    <x v="196"/>
    <m/>
    <s v="Total"/>
    <x v="1"/>
    <x v="0"/>
    <x v="0"/>
    <x v="0"/>
    <n v="595329.28000000003"/>
    <n v="595329.28000000003"/>
    <n v="381.62133333333333"/>
    <m/>
    <m/>
    <s v="16"/>
    <x v="661"/>
    <x v="0"/>
  </r>
  <r>
    <x v="57"/>
    <x v="196"/>
    <m/>
    <s v="Total"/>
    <x v="1"/>
    <x v="0"/>
    <x v="0"/>
    <x v="0"/>
    <n v="5450.24"/>
    <n v="5450.24"/>
    <n v="3.4937435897435898"/>
    <m/>
    <m/>
    <s v="16"/>
    <x v="661"/>
    <x v="0"/>
  </r>
  <r>
    <x v="42"/>
    <x v="196"/>
    <s v="Bolsas de pasas para sobres de aceitunas"/>
    <s v="Total"/>
    <x v="1"/>
    <x v="0"/>
    <x v="1"/>
    <x v="0"/>
    <n v="563570"/>
    <n v="563570"/>
    <n v="361.2628205128205"/>
    <m/>
    <d v="2026-07-12T00:00:00"/>
    <n v="29"/>
    <x v="662"/>
    <x v="0"/>
  </r>
  <r>
    <x v="42"/>
    <x v="196"/>
    <s v="Bolsas de pasas para sobres de aceitunas"/>
    <s v="Total"/>
    <x v="1"/>
    <x v="0"/>
    <x v="1"/>
    <x v="0"/>
    <n v="6930"/>
    <n v="6930"/>
    <n v="4.4423076923076925"/>
    <s v="Retenciones"/>
    <m/>
    <s v="24"/>
    <x v="662"/>
    <x v="0"/>
  </r>
  <r>
    <x v="76"/>
    <x v="197"/>
    <s v="Bolsas para pasas"/>
    <s v="Total"/>
    <x v="1"/>
    <x v="0"/>
    <x v="0"/>
    <x v="0"/>
    <n v="288000"/>
    <n v="288000"/>
    <n v="184.61538461538461"/>
    <m/>
    <m/>
    <s v="12"/>
    <x v="0"/>
    <x v="0"/>
  </r>
  <r>
    <x v="75"/>
    <x v="198"/>
    <s v="Flete Mendoza / Chilecito - MAG"/>
    <s v="Total"/>
    <x v="2"/>
    <x v="0"/>
    <x v="2"/>
    <x v="0"/>
    <n v="41000"/>
    <n v="41000"/>
    <n v="26.282051282051281"/>
    <m/>
    <m/>
    <s v="52"/>
    <x v="663"/>
    <x v="0"/>
  </r>
  <r>
    <x v="75"/>
    <x v="198"/>
    <s v="Flete Mendoza / Chilecito - MAG"/>
    <s v="Total"/>
    <x v="2"/>
    <x v="0"/>
    <x v="2"/>
    <x v="0"/>
    <n v="11000"/>
    <n v="11000"/>
    <n v="7.0512820512820511"/>
    <m/>
    <m/>
    <s v="52"/>
    <x v="664"/>
    <x v="0"/>
  </r>
  <r>
    <x v="74"/>
    <x v="198"/>
    <s v="Flete Itecra / La casa del filtro"/>
    <s v="Total"/>
    <x v="2"/>
    <x v="0"/>
    <x v="2"/>
    <x v="0"/>
    <n v="18000"/>
    <n v="18000"/>
    <n v="11.538461538461538"/>
    <m/>
    <m/>
    <s v="03"/>
    <x v="665"/>
    <x v="0"/>
  </r>
  <r>
    <x v="74"/>
    <x v="198"/>
    <s v="Flete Itecra / La casa del filtro"/>
    <s v="Total"/>
    <x v="2"/>
    <x v="0"/>
    <x v="2"/>
    <x v="0"/>
    <n v="44000"/>
    <n v="44000"/>
    <n v="28.205128205128204"/>
    <m/>
    <m/>
    <s v="03"/>
    <x v="666"/>
    <x v="0"/>
  </r>
  <r>
    <x v="20"/>
    <x v="198"/>
    <s v="Envio de paquete"/>
    <s v="Total"/>
    <x v="2"/>
    <x v="0"/>
    <x v="2"/>
    <x v="0"/>
    <n v="30000"/>
    <n v="30000"/>
    <n v="19.23076923076923"/>
    <m/>
    <m/>
    <s v="15"/>
    <x v="667"/>
    <x v="0"/>
  </r>
  <r>
    <x v="23"/>
    <x v="198"/>
    <s v="Envio mendoza - Chilecito"/>
    <s v="Total"/>
    <x v="2"/>
    <x v="0"/>
    <x v="2"/>
    <x v="0"/>
    <n v="11000"/>
    <n v="11000"/>
    <n v="7.0512820512820511"/>
    <m/>
    <m/>
    <s v="18"/>
    <x v="668"/>
    <x v="0"/>
  </r>
  <r>
    <x v="23"/>
    <x v="198"/>
    <s v="Envio mendoza - Chilecito"/>
    <s v="Total"/>
    <x v="2"/>
    <x v="0"/>
    <x v="2"/>
    <x v="0"/>
    <n v="18000"/>
    <n v="18000"/>
    <n v="11.538461538461538"/>
    <m/>
    <m/>
    <s v="18"/>
    <x v="669"/>
    <x v="0"/>
  </r>
  <r>
    <x v="62"/>
    <x v="198"/>
    <s v="Flete  Corrugado Cuyo"/>
    <s v="Total"/>
    <x v="2"/>
    <x v="0"/>
    <x v="2"/>
    <x v="0"/>
    <n v="45000"/>
    <n v="45000"/>
    <n v="28.846153846153847"/>
    <m/>
    <m/>
    <s v="19"/>
    <x v="670"/>
    <x v="0"/>
  </r>
  <r>
    <x v="62"/>
    <x v="198"/>
    <s v="Flete Itecra"/>
    <s v="Total"/>
    <x v="2"/>
    <x v="0"/>
    <x v="2"/>
    <x v="0"/>
    <n v="111200"/>
    <n v="111200"/>
    <n v="71.282051282051285"/>
    <m/>
    <m/>
    <s v="19"/>
    <x v="671"/>
    <x v="0"/>
  </r>
  <r>
    <x v="42"/>
    <x v="198"/>
    <s v="Flete Chilecito - Mendoza / Tecni-ca"/>
    <s v="Total"/>
    <x v="2"/>
    <x v="0"/>
    <x v="2"/>
    <x v="0"/>
    <n v="18000"/>
    <n v="18000"/>
    <n v="11.538461538461538"/>
    <m/>
    <m/>
    <s v="24"/>
    <x v="672"/>
    <x v="0"/>
  </r>
  <r>
    <x v="42"/>
    <x v="198"/>
    <s v="Flete Chilecito - Mendoza / Samuel Ballerini"/>
    <s v="Total"/>
    <x v="2"/>
    <x v="0"/>
    <x v="2"/>
    <x v="0"/>
    <n v="83000"/>
    <n v="83000"/>
    <n v="53.205128205128204"/>
    <m/>
    <m/>
    <s v="24"/>
    <x v="673"/>
    <x v="0"/>
  </r>
  <r>
    <x v="45"/>
    <x v="198"/>
    <s v="Envio mendoza - Chilecito - Itecra"/>
    <s v="Total"/>
    <x v="2"/>
    <x v="0"/>
    <x v="2"/>
    <x v="0"/>
    <n v="55000"/>
    <n v="55000"/>
    <n v="35.256410256410255"/>
    <m/>
    <m/>
    <s v="25"/>
    <x v="674"/>
    <x v="0"/>
  </r>
  <r>
    <x v="45"/>
    <x v="198"/>
    <s v="Envio mendoza - Chilecito - Empaque SA"/>
    <s v="Total"/>
    <x v="2"/>
    <x v="0"/>
    <x v="2"/>
    <x v="0"/>
    <n v="45000"/>
    <n v="45000"/>
    <n v="28.846153846153847"/>
    <m/>
    <m/>
    <s v="25"/>
    <x v="675"/>
    <x v="0"/>
  </r>
  <r>
    <x v="45"/>
    <x v="198"/>
    <s v="Envio mendoza - Chilecito - Jorge Ballerini"/>
    <s v="Total"/>
    <x v="2"/>
    <x v="0"/>
    <x v="2"/>
    <x v="0"/>
    <n v="11000"/>
    <n v="11000"/>
    <n v="7.0512820512820511"/>
    <m/>
    <m/>
    <s v="25"/>
    <x v="676"/>
    <x v="0"/>
  </r>
  <r>
    <x v="45"/>
    <x v="198"/>
    <s v="Envio  Chilecito - Mendoza / Ballerin Raul"/>
    <s v="Total"/>
    <x v="2"/>
    <x v="0"/>
    <x v="2"/>
    <x v="0"/>
    <n v="11000"/>
    <n v="11000"/>
    <n v="7.0512820512820511"/>
    <m/>
    <m/>
    <s v="25"/>
    <x v="677"/>
    <x v="0"/>
  </r>
  <r>
    <x v="35"/>
    <x v="198"/>
    <s v="Flete Mendoza Chilecito - La casa del filtro"/>
    <s v="Total"/>
    <x v="2"/>
    <x v="0"/>
    <x v="2"/>
    <x v="0"/>
    <n v="11000"/>
    <n v="11000"/>
    <n v="7.0512820512820511"/>
    <m/>
    <m/>
    <s v="27"/>
    <x v="678"/>
    <x v="0"/>
  </r>
  <r>
    <x v="36"/>
    <x v="198"/>
    <s v="Envio Mendoza - Chilecito - Ballerini Jorje"/>
    <s v="Total"/>
    <x v="2"/>
    <x v="0"/>
    <x v="2"/>
    <x v="0"/>
    <n v="11000"/>
    <n v="11000"/>
    <n v="7.0512820512820511"/>
    <m/>
    <m/>
    <s v="28"/>
    <x v="679"/>
    <x v="0"/>
  </r>
  <r>
    <x v="37"/>
    <x v="198"/>
    <s v="Flete Mendoza Chilecito - Itecra"/>
    <s v="Total"/>
    <x v="2"/>
    <x v="0"/>
    <x v="2"/>
    <x v="0"/>
    <n v="164000"/>
    <n v="164000"/>
    <n v="105.12820512820512"/>
    <m/>
    <m/>
    <s v="29"/>
    <x v="680"/>
    <x v="0"/>
  </r>
  <r>
    <x v="12"/>
    <x v="198"/>
    <s v="Envio Mendoza Chilecito - Durox "/>
    <s v="Total"/>
    <x v="2"/>
    <x v="0"/>
    <x v="2"/>
    <x v="0"/>
    <n v="90000"/>
    <n v="90000"/>
    <n v="57.692307692307693"/>
    <m/>
    <m/>
    <s v="33"/>
    <x v="681"/>
    <x v="0"/>
  </r>
  <r>
    <x v="12"/>
    <x v="198"/>
    <s v="Envio Mendoza Chilecito - Durox "/>
    <s v="Total"/>
    <x v="2"/>
    <x v="0"/>
    <x v="2"/>
    <x v="0"/>
    <n v="9000"/>
    <n v="9000"/>
    <n v="5.7692307692307692"/>
    <m/>
    <m/>
    <s v="33"/>
    <x v="682"/>
    <x v="0"/>
  </r>
  <r>
    <x v="12"/>
    <x v="198"/>
    <s v="Encio Chilecito -  Mendoz / Quimica mega pago"/>
    <s v="Total"/>
    <x v="2"/>
    <x v="0"/>
    <x v="2"/>
    <x v="0"/>
    <n v="11000"/>
    <n v="11000"/>
    <n v="7.0512820512820511"/>
    <m/>
    <m/>
    <s v="33"/>
    <x v="683"/>
    <x v="0"/>
  </r>
  <r>
    <x v="77"/>
    <x v="198"/>
    <s v="Envio chilecito -  mendoza - Pago Quimica Mega"/>
    <s v="Total"/>
    <x v="2"/>
    <x v="0"/>
    <x v="2"/>
    <x v="0"/>
    <n v="11000"/>
    <n v="11000"/>
    <n v="7.0512820512820511"/>
    <m/>
    <m/>
    <s v="35"/>
    <x v="684"/>
    <x v="0"/>
  </r>
  <r>
    <x v="77"/>
    <x v="198"/>
    <s v="Envio Mendoza - Chilecito /  Bioenologia"/>
    <s v="Total"/>
    <x v="1"/>
    <x v="0"/>
    <x v="2"/>
    <x v="0"/>
    <n v="11000"/>
    <n v="11000"/>
    <n v="7.0512820512820511"/>
    <m/>
    <m/>
    <s v="35"/>
    <x v="685"/>
    <x v="0"/>
  </r>
  <r>
    <x v="11"/>
    <x v="198"/>
    <s v="Envio Mendoza - Chilecito /  Ballerini"/>
    <s v="Total"/>
    <x v="2"/>
    <x v="0"/>
    <x v="2"/>
    <x v="0"/>
    <n v="78000"/>
    <n v="78000"/>
    <n v="50"/>
    <m/>
    <m/>
    <s v="37"/>
    <x v="686"/>
    <x v="0"/>
  </r>
  <r>
    <x v="11"/>
    <x v="198"/>
    <s v="Envio Mendoza - Chilecito /  Itecra"/>
    <s v="Total"/>
    <x v="2"/>
    <x v="0"/>
    <x v="2"/>
    <x v="0"/>
    <n v="44000"/>
    <n v="44000"/>
    <n v="28.205128205128204"/>
    <m/>
    <m/>
    <s v="37"/>
    <x v="687"/>
    <x v="0"/>
  </r>
  <r>
    <x v="11"/>
    <x v="198"/>
    <s v="Envio San Juan - Chilecito / Empaque"/>
    <s v="Total"/>
    <x v="2"/>
    <x v="0"/>
    <x v="2"/>
    <x v="0"/>
    <n v="36000"/>
    <n v="36000"/>
    <n v="23.076923076923077"/>
    <m/>
    <m/>
    <s v="37"/>
    <x v="688"/>
    <x v="0"/>
  </r>
  <r>
    <x v="72"/>
    <x v="198"/>
    <s v="Envio chilecito -  mendoza - Luis Coita"/>
    <s v="Total"/>
    <x v="2"/>
    <x v="0"/>
    <x v="2"/>
    <x v="0"/>
    <n v="18000"/>
    <n v="18000"/>
    <n v="11.538461538461538"/>
    <m/>
    <m/>
    <s v="39"/>
    <x v="689"/>
    <x v="0"/>
  </r>
  <r>
    <x v="54"/>
    <x v="198"/>
    <s v="Envio Chilecito - Mendoza - Luis Coita"/>
    <s v="Total"/>
    <x v="2"/>
    <x v="0"/>
    <x v="2"/>
    <x v="0"/>
    <n v="54000"/>
    <n v="54000"/>
    <n v="34.615384615384613"/>
    <m/>
    <m/>
    <s v="41"/>
    <x v="690"/>
    <x v="0"/>
  </r>
  <r>
    <x v="54"/>
    <x v="198"/>
    <s v="Envio Chilecito - Mendoza - Luis Coita"/>
    <s v="Total"/>
    <x v="2"/>
    <x v="0"/>
    <x v="2"/>
    <x v="0"/>
    <n v="36200"/>
    <n v="36200"/>
    <n v="23.205128205128204"/>
    <m/>
    <m/>
    <s v="41"/>
    <x v="691"/>
    <x v="0"/>
  </r>
  <r>
    <x v="54"/>
    <x v="198"/>
    <s v="Envio Chilecito - Mendoza - Ballerini"/>
    <s v="Total"/>
    <x v="2"/>
    <x v="0"/>
    <x v="2"/>
    <x v="0"/>
    <n v="90400"/>
    <n v="90400"/>
    <n v="57.948717948717949"/>
    <m/>
    <m/>
    <s v="41"/>
    <x v="692"/>
    <x v="0"/>
  </r>
  <r>
    <x v="54"/>
    <x v="198"/>
    <s v="Envio Chilecito - Mendoza - Ballerini"/>
    <s v="Total"/>
    <x v="2"/>
    <x v="0"/>
    <x v="2"/>
    <x v="0"/>
    <n v="18000"/>
    <n v="18000"/>
    <n v="11.538461538461538"/>
    <m/>
    <m/>
    <s v="41"/>
    <x v="693"/>
    <x v="0"/>
  </r>
  <r>
    <x v="54"/>
    <x v="198"/>
    <s v="Envio Chilecito - Mendoza - Ballerini"/>
    <s v="Total"/>
    <x v="2"/>
    <x v="0"/>
    <x v="2"/>
    <x v="0"/>
    <n v="67400"/>
    <n v="67400"/>
    <n v="43.205128205128204"/>
    <m/>
    <m/>
    <s v="41"/>
    <x v="694"/>
    <x v="0"/>
  </r>
  <r>
    <x v="16"/>
    <x v="198"/>
    <s v="Envio Mendoz a- Chilecito - Wine Solutions"/>
    <s v="Total"/>
    <x v="2"/>
    <x v="0"/>
    <x v="2"/>
    <x v="0"/>
    <n v="18000"/>
    <n v="18000"/>
    <n v="11.538461538461538"/>
    <m/>
    <m/>
    <s v="43"/>
    <x v="695"/>
    <x v="0"/>
  </r>
  <r>
    <x v="16"/>
    <x v="198"/>
    <s v="Envio mendoza - Chilecito - Ballerini"/>
    <s v="Total"/>
    <x v="2"/>
    <x v="0"/>
    <x v="2"/>
    <x v="0"/>
    <n v="120000"/>
    <n v="120000"/>
    <n v="76.92307692307692"/>
    <m/>
    <m/>
    <s v="43"/>
    <x v="696"/>
    <x v="0"/>
  </r>
  <r>
    <x v="48"/>
    <x v="199"/>
    <m/>
    <s v="Total"/>
    <x v="1"/>
    <x v="0"/>
    <x v="2"/>
    <x v="0"/>
    <n v="46000"/>
    <n v="46000"/>
    <n v="29.487179487179485"/>
    <m/>
    <m/>
    <s v="16"/>
    <x v="0"/>
    <x v="0"/>
  </r>
  <r>
    <x v="48"/>
    <x v="199"/>
    <m/>
    <s v="Total"/>
    <x v="1"/>
    <x v="0"/>
    <x v="2"/>
    <x v="0"/>
    <n v="21000"/>
    <n v="21000"/>
    <n v="13.461538461538462"/>
    <m/>
    <m/>
    <s v="16"/>
    <x v="0"/>
    <x v="0"/>
  </r>
  <r>
    <x v="48"/>
    <x v="199"/>
    <m/>
    <s v="Total"/>
    <x v="1"/>
    <x v="0"/>
    <x v="2"/>
    <x v="0"/>
    <n v="36660"/>
    <n v="36660"/>
    <n v="23.5"/>
    <m/>
    <m/>
    <s v="16"/>
    <x v="0"/>
    <x v="0"/>
  </r>
  <r>
    <x v="2"/>
    <x v="200"/>
    <s v="Acido Paracetico"/>
    <s v="Total"/>
    <x v="1"/>
    <x v="0"/>
    <x v="0"/>
    <x v="0"/>
    <n v="371726.79"/>
    <n v="371726.79"/>
    <n v="238.28640384615383"/>
    <m/>
    <m/>
    <s v="32"/>
    <x v="697"/>
    <x v="0"/>
  </r>
  <r>
    <x v="8"/>
    <x v="200"/>
    <s v="Acido Paracetico"/>
    <s v="Total"/>
    <x v="1"/>
    <x v="0"/>
    <x v="0"/>
    <x v="0"/>
    <n v="371726.79"/>
    <n v="371726.79"/>
    <n v="238.28640384615383"/>
    <m/>
    <m/>
    <s v="33"/>
    <x v="0"/>
    <x v="0"/>
  </r>
  <r>
    <x v="5"/>
    <x v="200"/>
    <s v="Acido paracetico"/>
    <s v="Total"/>
    <x v="1"/>
    <x v="0"/>
    <x v="0"/>
    <x v="0"/>
    <n v="371726.79"/>
    <n v="371726.79"/>
    <n v="238.28640384615383"/>
    <m/>
    <m/>
    <s v="34"/>
    <x v="0"/>
    <x v="0"/>
  </r>
  <r>
    <x v="2"/>
    <x v="201"/>
    <s v="Fruta Frersca campaña 2025"/>
    <s v="Total"/>
    <x v="4"/>
    <x v="0"/>
    <x v="0"/>
    <x v="0"/>
    <n v="1500000"/>
    <n v="1500000"/>
    <n v="961.53846153846155"/>
    <m/>
    <m/>
    <s v="32"/>
    <x v="698"/>
    <x v="0"/>
  </r>
  <r>
    <x v="30"/>
    <x v="201"/>
    <s v="Monotributo"/>
    <s v="Total"/>
    <x v="1"/>
    <x v="0"/>
    <x v="0"/>
    <x v="0"/>
    <n v="500000"/>
    <n v="500000"/>
    <n v="320.5128205128205"/>
    <m/>
    <m/>
    <s v="43"/>
    <x v="699"/>
    <x v="0"/>
  </r>
  <r>
    <x v="60"/>
    <x v="201"/>
    <s v="Campaña 2025"/>
    <s v="Total"/>
    <x v="4"/>
    <x v="0"/>
    <x v="0"/>
    <x v="0"/>
    <n v="1500000"/>
    <n v="1500000"/>
    <n v="961.53846153846155"/>
    <m/>
    <m/>
    <s v="37"/>
    <x v="700"/>
    <x v="0"/>
  </r>
  <r>
    <x v="29"/>
    <x v="201"/>
    <s v="Monotributo"/>
    <s v="Total"/>
    <x v="4"/>
    <x v="0"/>
    <x v="0"/>
    <x v="0"/>
    <n v="1000000"/>
    <n v="1000000"/>
    <n v="641.02564102564099"/>
    <m/>
    <m/>
    <s v="42"/>
    <x v="701"/>
    <x v="0"/>
  </r>
  <r>
    <x v="19"/>
    <x v="201"/>
    <m/>
    <s v="Total"/>
    <x v="3"/>
    <x v="0"/>
    <x v="0"/>
    <x v="0"/>
    <n v="1500000"/>
    <n v="1500000"/>
    <n v="961.53846153846155"/>
    <m/>
    <m/>
    <s v="50"/>
    <x v="702"/>
    <x v="0"/>
  </r>
  <r>
    <x v="13"/>
    <x v="201"/>
    <m/>
    <s v="Total"/>
    <x v="3"/>
    <x v="0"/>
    <x v="0"/>
    <x v="0"/>
    <n v="1500000"/>
    <n v="1500000"/>
    <n v="961.53846153846155"/>
    <m/>
    <m/>
    <s v="07"/>
    <x v="703"/>
    <x v="0"/>
  </r>
  <r>
    <x v="20"/>
    <x v="201"/>
    <s v="Febrero"/>
    <s v="Total"/>
    <x v="3"/>
    <x v="0"/>
    <x v="0"/>
    <x v="0"/>
    <n v="1500000"/>
    <n v="1500000"/>
    <n v="961.53846153846155"/>
    <m/>
    <m/>
    <s v="15"/>
    <x v="704"/>
    <x v="0"/>
  </r>
  <r>
    <x v="27"/>
    <x v="202"/>
    <s v="Pedido Cava - 30 Bolsas de Pegamento para ceramicos"/>
    <s v="Total"/>
    <x v="1"/>
    <x v="0"/>
    <x v="2"/>
    <x v="0"/>
    <n v="228000"/>
    <n v="228000"/>
    <n v="146.15384615384616"/>
    <m/>
    <m/>
    <s v="35"/>
    <x v="705"/>
    <x v="0"/>
  </r>
  <r>
    <x v="5"/>
    <x v="202"/>
    <s v="Materiales Cava - Polietileno"/>
    <s v="Total"/>
    <x v="1"/>
    <x v="0"/>
    <x v="1"/>
    <x v="0"/>
    <n v="267000"/>
    <n v="267000"/>
    <n v="171.15384615384616"/>
    <m/>
    <d v="2025-09-18T00:00:00"/>
    <n v="38"/>
    <x v="34"/>
    <x v="0"/>
  </r>
  <r>
    <x v="34"/>
    <x v="202"/>
    <s v="Pedido planta aceite"/>
    <s v="Total"/>
    <x v="2"/>
    <x v="0"/>
    <x v="2"/>
    <x v="0"/>
    <n v="11500"/>
    <n v="11500"/>
    <n v="7.3717948717948714"/>
    <m/>
    <m/>
    <s v="21"/>
    <x v="706"/>
    <x v="0"/>
  </r>
  <r>
    <x v="76"/>
    <x v="203"/>
    <s v="Combustible"/>
    <s v="Total"/>
    <x v="2"/>
    <x v="0"/>
    <x v="2"/>
    <x v="0"/>
    <n v="120000"/>
    <n v="120000"/>
    <n v="76.92307692307692"/>
    <m/>
    <m/>
    <s v="12"/>
    <x v="0"/>
    <x v="0"/>
  </r>
  <r>
    <x v="82"/>
    <x v="203"/>
    <s v="Combustible"/>
    <s v="Total"/>
    <x v="2"/>
    <x v="0"/>
    <x v="2"/>
    <x v="0"/>
    <n v="232014.7"/>
    <n v="232014.7"/>
    <n v="148.7273717948718"/>
    <m/>
    <m/>
    <s v="15"/>
    <x v="0"/>
    <x v="0"/>
  </r>
  <r>
    <x v="48"/>
    <x v="203"/>
    <s v="Combustible"/>
    <s v="Total"/>
    <x v="2"/>
    <x v="0"/>
    <x v="2"/>
    <x v="0"/>
    <n v="120000"/>
    <n v="120000"/>
    <n v="76.92307692307692"/>
    <m/>
    <m/>
    <s v="16"/>
    <x v="0"/>
    <x v="0"/>
  </r>
  <r>
    <x v="1"/>
    <x v="203"/>
    <s v="Combustible"/>
    <s v="Total"/>
    <x v="2"/>
    <x v="0"/>
    <x v="2"/>
    <x v="0"/>
    <n v="111000.57"/>
    <n v="111000.57"/>
    <n v="71.154211538461539"/>
    <m/>
    <m/>
    <s v="21"/>
    <x v="0"/>
    <x v="0"/>
  </r>
  <r>
    <x v="68"/>
    <x v="203"/>
    <s v="Combustible"/>
    <s v="Total"/>
    <x v="2"/>
    <x v="0"/>
    <x v="2"/>
    <x v="0"/>
    <n v="120000"/>
    <n v="120000"/>
    <n v="76.92307692307692"/>
    <m/>
    <m/>
    <s v="23"/>
    <x v="0"/>
    <x v="0"/>
  </r>
  <r>
    <x v="17"/>
    <x v="203"/>
    <s v="Combustible"/>
    <s v="Total"/>
    <x v="2"/>
    <x v="0"/>
    <x v="2"/>
    <x v="0"/>
    <n v="80033.55"/>
    <n v="80033.55"/>
    <n v="51.303557692307692"/>
    <m/>
    <m/>
    <s v="26"/>
    <x v="0"/>
    <x v="0"/>
  </r>
  <r>
    <x v="17"/>
    <x v="203"/>
    <s v="Fruta fresca  "/>
    <s v="Parcial"/>
    <x v="4"/>
    <x v="1"/>
    <x v="2"/>
    <x v="0"/>
    <n v="1000000"/>
    <n v="1000000"/>
    <n v="641.02564102564099"/>
    <m/>
    <m/>
    <s v="26"/>
    <x v="707"/>
    <x v="0"/>
  </r>
  <r>
    <x v="25"/>
    <x v="203"/>
    <s v="Fruta fresca  "/>
    <s v="Parcial"/>
    <x v="4"/>
    <x v="1"/>
    <x v="2"/>
    <x v="0"/>
    <n v="3000000"/>
    <n v="3000000"/>
    <n v="1923.0769230769231"/>
    <m/>
    <m/>
    <s v="27"/>
    <x v="708"/>
    <x v="0"/>
  </r>
  <r>
    <x v="21"/>
    <x v="203"/>
    <s v="Combustible"/>
    <s v="Total"/>
    <x v="2"/>
    <x v="0"/>
    <x v="2"/>
    <x v="0"/>
    <n v="115240.1"/>
    <n v="115240.1"/>
    <n v="73.871858974358972"/>
    <s v="Tarjeta Agro Nacion"/>
    <m/>
    <s v="28"/>
    <x v="0"/>
    <x v="0"/>
  </r>
  <r>
    <x v="26"/>
    <x v="203"/>
    <s v="Combustible"/>
    <s v="Total"/>
    <x v="2"/>
    <x v="0"/>
    <x v="2"/>
    <x v="0"/>
    <n v="113017.37"/>
    <n v="113017.37"/>
    <n v="72.447032051282051"/>
    <m/>
    <m/>
    <s v="29"/>
    <x v="709"/>
    <x v="0"/>
  </r>
  <r>
    <x v="69"/>
    <x v="203"/>
    <s v="Combustible"/>
    <s v="Total"/>
    <x v="2"/>
    <x v="0"/>
    <x v="2"/>
    <x v="0"/>
    <n v="100000"/>
    <n v="100000"/>
    <n v="64.102564102564102"/>
    <m/>
    <m/>
    <s v="31"/>
    <x v="710"/>
    <x v="0"/>
  </r>
  <r>
    <x v="2"/>
    <x v="203"/>
    <s v="Combustible"/>
    <s v="Total"/>
    <x v="2"/>
    <x v="0"/>
    <x v="2"/>
    <x v="0"/>
    <n v="100000.04"/>
    <n v="100000.04"/>
    <n v="64.102589743589746"/>
    <m/>
    <m/>
    <s v="32"/>
    <x v="711"/>
    <x v="0"/>
  </r>
  <r>
    <x v="8"/>
    <x v="203"/>
    <s v="Combustible"/>
    <s v="Total"/>
    <x v="2"/>
    <x v="0"/>
    <x v="2"/>
    <x v="0"/>
    <n v="117996.8"/>
    <n v="117996.8"/>
    <n v="75.638974358974366"/>
    <m/>
    <m/>
    <s v="33"/>
    <x v="34"/>
    <x v="0"/>
  </r>
  <r>
    <x v="27"/>
    <x v="203"/>
    <s v="Combustible"/>
    <s v="Total"/>
    <x v="2"/>
    <x v="0"/>
    <x v="2"/>
    <x v="0"/>
    <n v="120000"/>
    <n v="120000"/>
    <n v="76.92307692307692"/>
    <m/>
    <m/>
    <s v="35"/>
    <x v="712"/>
    <x v="0"/>
  </r>
  <r>
    <x v="27"/>
    <x v="203"/>
    <s v="Campaña 2025"/>
    <s v="Total"/>
    <x v="4"/>
    <x v="1"/>
    <x v="1"/>
    <x v="0"/>
    <n v="450000"/>
    <n v="450000"/>
    <n v="288.46153846153845"/>
    <m/>
    <d v="2025-08-30T00:00:00"/>
    <n v="35"/>
    <x v="713"/>
    <x v="0"/>
  </r>
  <r>
    <x v="27"/>
    <x v="203"/>
    <s v="Campaña 2025"/>
    <s v="Total"/>
    <x v="4"/>
    <x v="1"/>
    <x v="1"/>
    <x v="0"/>
    <n v="632000"/>
    <n v="632000"/>
    <n v="405.12820512820514"/>
    <m/>
    <d v="2025-08-18T00:00:00"/>
    <n v="34"/>
    <x v="713"/>
    <x v="0"/>
  </r>
  <r>
    <x v="27"/>
    <x v="203"/>
    <s v="Campaña 2025"/>
    <s v="Total"/>
    <x v="4"/>
    <x v="1"/>
    <x v="1"/>
    <x v="0"/>
    <n v="627322.11"/>
    <n v="627322.11"/>
    <n v="402.12955769230769"/>
    <m/>
    <d v="2025-08-12T00:00:00"/>
    <n v="33"/>
    <x v="713"/>
    <x v="0"/>
  </r>
  <r>
    <x v="27"/>
    <x v="203"/>
    <s v="Campaña 2025"/>
    <s v="Total"/>
    <x v="4"/>
    <x v="1"/>
    <x v="1"/>
    <x v="0"/>
    <n v="58900"/>
    <n v="58900"/>
    <n v="37.756410256410255"/>
    <m/>
    <d v="2025-08-13T00:00:00"/>
    <n v="33"/>
    <x v="713"/>
    <x v="0"/>
  </r>
  <r>
    <x v="27"/>
    <x v="203"/>
    <s v="Campaña 2025"/>
    <s v="Total"/>
    <x v="4"/>
    <x v="1"/>
    <x v="1"/>
    <x v="0"/>
    <n v="118000"/>
    <n v="118000"/>
    <n v="75.641025641025635"/>
    <m/>
    <d v="2025-08-23T00:00:00"/>
    <n v="34"/>
    <x v="713"/>
    <x v="0"/>
  </r>
  <r>
    <x v="27"/>
    <x v="203"/>
    <s v="Campaña 2025"/>
    <s v="Total"/>
    <x v="4"/>
    <x v="1"/>
    <x v="1"/>
    <x v="0"/>
    <n v="139000"/>
    <n v="139000"/>
    <n v="89.102564102564102"/>
    <m/>
    <d v="2025-08-30T00:00:00"/>
    <n v="35"/>
    <x v="713"/>
    <x v="0"/>
  </r>
  <r>
    <x v="27"/>
    <x v="203"/>
    <s v="Campaña 2025"/>
    <s v="Total"/>
    <x v="4"/>
    <x v="1"/>
    <x v="1"/>
    <x v="0"/>
    <n v="255876.81"/>
    <n v="255876.81"/>
    <n v="164.02359615384614"/>
    <m/>
    <d v="2025-08-23T00:00:00"/>
    <n v="34"/>
    <x v="713"/>
    <x v="0"/>
  </r>
  <r>
    <x v="27"/>
    <x v="203"/>
    <s v="Campaña 2025"/>
    <s v="Total"/>
    <x v="4"/>
    <x v="1"/>
    <x v="1"/>
    <x v="0"/>
    <n v="151624.19"/>
    <n v="151624.19"/>
    <n v="97.194993589743589"/>
    <m/>
    <d v="2025-08-25T00:00:00"/>
    <n v="35"/>
    <x v="713"/>
    <x v="0"/>
  </r>
  <r>
    <x v="27"/>
    <x v="203"/>
    <s v="Campaña 2025"/>
    <s v="Total"/>
    <x v="4"/>
    <x v="1"/>
    <x v="1"/>
    <x v="0"/>
    <n v="310144.69"/>
    <n v="310144.69"/>
    <n v="198.81069871794872"/>
    <m/>
    <d v="2025-08-04T00:00:00"/>
    <n v="32"/>
    <x v="713"/>
    <x v="0"/>
  </r>
  <r>
    <x v="27"/>
    <x v="203"/>
    <s v="Campaña 2025"/>
    <s v="Total"/>
    <x v="4"/>
    <x v="1"/>
    <x v="1"/>
    <x v="0"/>
    <n v="280000"/>
    <n v="280000"/>
    <n v="179.48717948717947"/>
    <m/>
    <d v="2025-09-01T00:00:00"/>
    <n v="36"/>
    <x v="713"/>
    <x v="0"/>
  </r>
  <r>
    <x v="27"/>
    <x v="203"/>
    <s v="Campaña 2025"/>
    <s v="Total"/>
    <x v="4"/>
    <x v="1"/>
    <x v="1"/>
    <x v="0"/>
    <n v="175486"/>
    <n v="175486"/>
    <n v="112.49102564102564"/>
    <m/>
    <d v="2025-08-30T00:00:00"/>
    <n v="35"/>
    <x v="713"/>
    <x v="0"/>
  </r>
  <r>
    <x v="27"/>
    <x v="203"/>
    <s v="Campaña 2025"/>
    <s v="Total"/>
    <x v="4"/>
    <x v="1"/>
    <x v="1"/>
    <x v="0"/>
    <n v="30000"/>
    <n v="30000"/>
    <n v="19.23076923076923"/>
    <m/>
    <d v="2025-08-29T00:00:00"/>
    <n v="35"/>
    <x v="713"/>
    <x v="0"/>
  </r>
  <r>
    <x v="70"/>
    <x v="203"/>
    <s v="Combustible"/>
    <s v="Total"/>
    <x v="1"/>
    <x v="0"/>
    <x v="2"/>
    <x v="0"/>
    <n v="60035.72"/>
    <n v="60035.72"/>
    <n v="38.484435897435901"/>
    <m/>
    <m/>
    <s v="36"/>
    <x v="34"/>
    <x v="0"/>
  </r>
  <r>
    <x v="70"/>
    <x v="203"/>
    <s v="Combustible"/>
    <s v="Total"/>
    <x v="1"/>
    <x v="0"/>
    <x v="2"/>
    <x v="0"/>
    <n v="100000"/>
    <n v="100000"/>
    <n v="64.102564102564102"/>
    <m/>
    <m/>
    <s v="36"/>
    <x v="34"/>
    <x v="0"/>
  </r>
  <r>
    <x v="52"/>
    <x v="203"/>
    <s v="Combustible"/>
    <s v="Total"/>
    <x v="2"/>
    <x v="0"/>
    <x v="2"/>
    <x v="0"/>
    <n v="137018.41"/>
    <n v="137018.41"/>
    <n v="87.832314102564098"/>
    <m/>
    <m/>
    <s v="38"/>
    <x v="714"/>
    <x v="0"/>
  </r>
  <r>
    <x v="18"/>
    <x v="203"/>
    <s v="Combustible"/>
    <s v="Total"/>
    <x v="2"/>
    <x v="0"/>
    <x v="2"/>
    <x v="0"/>
    <n v="137018.41"/>
    <n v="137018.41"/>
    <n v="87.832314102564098"/>
    <m/>
    <m/>
    <s v="39"/>
    <x v="715"/>
    <x v="0"/>
  </r>
  <r>
    <x v="28"/>
    <x v="203"/>
    <s v="Combustible"/>
    <s v="Total"/>
    <x v="2"/>
    <x v="0"/>
    <x v="2"/>
    <x v="0"/>
    <n v="130000"/>
    <n v="130000"/>
    <n v="83.333333333333329"/>
    <m/>
    <m/>
    <s v="40"/>
    <x v="716"/>
    <x v="0"/>
  </r>
  <r>
    <x v="6"/>
    <x v="203"/>
    <s v="Combustible"/>
    <s v="Total"/>
    <x v="2"/>
    <x v="0"/>
    <x v="2"/>
    <x v="0"/>
    <n v="130000"/>
    <n v="130000"/>
    <n v="83.333333333333329"/>
    <m/>
    <m/>
    <s v="41"/>
    <x v="717"/>
    <x v="0"/>
  </r>
  <r>
    <x v="63"/>
    <x v="203"/>
    <s v="Combustible"/>
    <s v="Total"/>
    <x v="2"/>
    <x v="0"/>
    <x v="2"/>
    <x v="0"/>
    <n v="136004.4"/>
    <n v="136004.4"/>
    <n v="87.182307692307688"/>
    <m/>
    <m/>
    <s v="44"/>
    <x v="718"/>
    <x v="0"/>
  </r>
  <r>
    <x v="63"/>
    <x v="203"/>
    <s v="Combustible"/>
    <s v="Total"/>
    <x v="2"/>
    <x v="0"/>
    <x v="2"/>
    <x v="0"/>
    <n v="129015"/>
    <n v="129015"/>
    <n v="82.70192307692308"/>
    <m/>
    <m/>
    <s v="44"/>
    <x v="719"/>
    <x v="0"/>
  </r>
  <r>
    <x v="63"/>
    <x v="203"/>
    <s v="Combustible"/>
    <s v="Total"/>
    <x v="2"/>
    <x v="0"/>
    <x v="2"/>
    <x v="0"/>
    <n v="133999.99"/>
    <n v="133999.99"/>
    <n v="85.89742948717948"/>
    <m/>
    <m/>
    <s v="44"/>
    <x v="718"/>
    <x v="0"/>
  </r>
  <r>
    <x v="31"/>
    <x v="203"/>
    <s v="Combustible"/>
    <s v="Total"/>
    <x v="2"/>
    <x v="0"/>
    <x v="2"/>
    <x v="0"/>
    <n v="130000"/>
    <n v="130000"/>
    <n v="83.333333333333329"/>
    <m/>
    <m/>
    <s v="45"/>
    <x v="720"/>
    <x v="0"/>
  </r>
  <r>
    <x v="31"/>
    <x v="203"/>
    <s v="Campaña 2025"/>
    <s v="Parcial"/>
    <x v="4"/>
    <x v="1"/>
    <x v="1"/>
    <x v="0"/>
    <n v="169340"/>
    <n v="169340"/>
    <n v="108.55128205128206"/>
    <m/>
    <d v="2025-11-13T00:00:00"/>
    <n v="46"/>
    <x v="721"/>
    <x v="0"/>
  </r>
  <r>
    <x v="31"/>
    <x v="203"/>
    <s v="Campaña 2025"/>
    <s v="Parcial"/>
    <x v="4"/>
    <x v="1"/>
    <x v="1"/>
    <x v="0"/>
    <n v="449200"/>
    <n v="449200"/>
    <n v="287.94871794871796"/>
    <m/>
    <d v="2025-12-23T00:00:00"/>
    <n v="52"/>
    <x v="721"/>
    <x v="0"/>
  </r>
  <r>
    <x v="31"/>
    <x v="203"/>
    <s v="Campaña 2025"/>
    <s v="Parcial"/>
    <x v="4"/>
    <x v="1"/>
    <x v="1"/>
    <x v="0"/>
    <n v="964500"/>
    <n v="964500"/>
    <n v="618.26923076923072"/>
    <m/>
    <d v="2025-12-13T00:00:00"/>
    <n v="50"/>
    <x v="721"/>
    <x v="0"/>
  </r>
  <r>
    <x v="7"/>
    <x v="203"/>
    <s v="Combustible"/>
    <s v="Total"/>
    <x v="2"/>
    <x v="0"/>
    <x v="2"/>
    <x v="0"/>
    <n v="70000"/>
    <n v="70000"/>
    <n v="44.871794871794869"/>
    <m/>
    <m/>
    <s v="46"/>
    <x v="722"/>
    <x v="0"/>
  </r>
  <r>
    <x v="7"/>
    <x v="203"/>
    <s v="Campaña 2025"/>
    <s v="Total"/>
    <x v="4"/>
    <x v="1"/>
    <x v="2"/>
    <x v="0"/>
    <n v="1000000"/>
    <n v="1000000"/>
    <n v="641.02564102564099"/>
    <m/>
    <m/>
    <s v="46"/>
    <x v="723"/>
    <x v="0"/>
  </r>
  <r>
    <x v="14"/>
    <x v="203"/>
    <s v="Combustible"/>
    <s v="Total"/>
    <x v="2"/>
    <x v="0"/>
    <x v="2"/>
    <x v="0"/>
    <n v="138004"/>
    <n v="138004"/>
    <n v="88.464102564102561"/>
    <m/>
    <m/>
    <s v="47"/>
    <x v="724"/>
    <x v="0"/>
  </r>
  <r>
    <x v="4"/>
    <x v="203"/>
    <s v="Campaña 2025"/>
    <s v="Total"/>
    <x v="4"/>
    <x v="1"/>
    <x v="1"/>
    <x v="0"/>
    <n v="1000000"/>
    <n v="1000000"/>
    <n v="641.02564102564099"/>
    <m/>
    <d v="2026-01-20T00:00:00"/>
    <n v="4"/>
    <x v="725"/>
    <x v="0"/>
  </r>
  <r>
    <x v="4"/>
    <x v="203"/>
    <s v="Campaña 2025"/>
    <s v="Total"/>
    <x v="4"/>
    <x v="1"/>
    <x v="1"/>
    <x v="0"/>
    <n v="1000000"/>
    <n v="1000000"/>
    <n v="641.02564102564099"/>
    <m/>
    <d v="2026-01-20T00:00:00"/>
    <n v="4"/>
    <x v="725"/>
    <x v="0"/>
  </r>
  <r>
    <x v="75"/>
    <x v="203"/>
    <s v="Campaña 2025"/>
    <s v="Total"/>
    <x v="4"/>
    <x v="1"/>
    <x v="1"/>
    <x v="0"/>
    <n v="1077292.4275862069"/>
    <n v="1077292.4275862069"/>
    <n v="690.57206896551725"/>
    <n v="690.57206896551725"/>
    <d v="2026-01-20T00:00:00"/>
    <n v="4"/>
    <x v="725"/>
    <x v="0"/>
  </r>
  <r>
    <x v="20"/>
    <x v="203"/>
    <s v="Honorarios asesoría"/>
    <s v="Total"/>
    <x v="3"/>
    <x v="0"/>
    <x v="0"/>
    <x v="0"/>
    <n v="2200000"/>
    <n v="2200000"/>
    <n v="1410.2564102564102"/>
    <m/>
    <m/>
    <s v="15"/>
    <x v="726"/>
    <x v="0"/>
  </r>
  <r>
    <x v="72"/>
    <x v="203"/>
    <s v="Facturas 18/21 - honorarios "/>
    <s v="Total"/>
    <x v="0"/>
    <x v="0"/>
    <x v="0"/>
    <x v="0"/>
    <n v="160636.76"/>
    <n v="160636.76"/>
    <n v="102.97228205128205"/>
    <m/>
    <m/>
    <s v="39"/>
    <x v="727"/>
    <x v="0"/>
  </r>
  <r>
    <x v="72"/>
    <x v="203"/>
    <s v="Facturas 18/21 - honorarios "/>
    <s v="Total"/>
    <x v="0"/>
    <x v="0"/>
    <x v="1"/>
    <x v="0"/>
    <n v="400000"/>
    <n v="400000"/>
    <n v="256.41025641025641"/>
    <m/>
    <d v="2026-11-27T00:00:00"/>
    <n v="48"/>
    <x v="727"/>
    <x v="0"/>
  </r>
  <r>
    <x v="72"/>
    <x v="203"/>
    <s v="Facturas 18/21 - honorarios "/>
    <s v="Total"/>
    <x v="0"/>
    <x v="0"/>
    <x v="1"/>
    <x v="0"/>
    <n v="400000"/>
    <n v="400000"/>
    <n v="256.41025641025641"/>
    <m/>
    <d v="2026-12-06T00:00:00"/>
    <n v="50"/>
    <x v="727"/>
    <x v="0"/>
  </r>
  <r>
    <x v="72"/>
    <x v="203"/>
    <s v="Facturas 18/21 - honorarios "/>
    <s v="Total"/>
    <x v="0"/>
    <x v="0"/>
    <x v="1"/>
    <x v="0"/>
    <n v="400000"/>
    <n v="400000"/>
    <n v="256.41025641025641"/>
    <m/>
    <d v="2026-12-16T00:00:00"/>
    <n v="51"/>
    <x v="727"/>
    <x v="0"/>
  </r>
  <r>
    <x v="72"/>
    <x v="203"/>
    <s v="Facturas 18/21 - honorarios "/>
    <s v="Total"/>
    <x v="0"/>
    <x v="0"/>
    <x v="1"/>
    <x v="0"/>
    <n v="3159363.24"/>
    <n v="3159363.24"/>
    <n v="2025.2328461538464"/>
    <m/>
    <d v="2026-10-15T00:00:00"/>
    <n v="42"/>
    <x v="727"/>
    <x v="0"/>
  </r>
  <r>
    <x v="2"/>
    <x v="204"/>
    <s v="Fruta Frersca campaña 2025"/>
    <s v="Total"/>
    <x v="4"/>
    <x v="0"/>
    <x v="0"/>
    <x v="0"/>
    <n v="1500000"/>
    <n v="1500000"/>
    <n v="961.53846153846155"/>
    <m/>
    <m/>
    <s v="32"/>
    <x v="728"/>
    <x v="0"/>
  </r>
  <r>
    <x v="68"/>
    <x v="204"/>
    <s v="Monotributo"/>
    <s v="Total"/>
    <x v="4"/>
    <x v="0"/>
    <x v="0"/>
    <x v="0"/>
    <n v="921920"/>
    <n v="921920"/>
    <n v="590.97435897435901"/>
    <m/>
    <m/>
    <s v="23"/>
    <x v="0"/>
    <x v="0"/>
  </r>
  <r>
    <x v="1"/>
    <x v="204"/>
    <s v="Fruta fresca"/>
    <s v="Total"/>
    <x v="1"/>
    <x v="0"/>
    <x v="0"/>
    <x v="0"/>
    <n v="5000000"/>
    <n v="5000000"/>
    <n v="3205.1282051282051"/>
    <m/>
    <m/>
    <s v="21"/>
    <x v="0"/>
    <x v="0"/>
  </r>
  <r>
    <x v="17"/>
    <x v="204"/>
    <s v="Fruta Fresca campaña 2025"/>
    <s v="Total"/>
    <x v="4"/>
    <x v="1"/>
    <x v="1"/>
    <x v="0"/>
    <n v="337000"/>
    <n v="337000"/>
    <n v="216.02564102564102"/>
    <m/>
    <s v="15/07/2025"/>
    <n v="29"/>
    <x v="729"/>
    <x v="0"/>
  </r>
  <r>
    <x v="17"/>
    <x v="204"/>
    <s v="Fruta Fresca campaña 2025"/>
    <s v="Total"/>
    <x v="4"/>
    <x v="1"/>
    <x v="1"/>
    <x v="0"/>
    <n v="400000"/>
    <n v="400000"/>
    <n v="256.41025641025641"/>
    <m/>
    <s v="15/07/2025"/>
    <n v="29"/>
    <x v="729"/>
    <x v="0"/>
  </r>
  <r>
    <x v="17"/>
    <x v="204"/>
    <s v="Fruta Fresca campaña 2025"/>
    <s v="Total"/>
    <x v="4"/>
    <x v="1"/>
    <x v="1"/>
    <x v="0"/>
    <n v="400000"/>
    <n v="400000"/>
    <n v="256.41025641025641"/>
    <m/>
    <s v="21/07/2025"/>
    <n v="30"/>
    <x v="729"/>
    <x v="0"/>
  </r>
  <r>
    <x v="17"/>
    <x v="204"/>
    <s v="Fruta Fresca campaña 2025"/>
    <s v="Total"/>
    <x v="4"/>
    <x v="1"/>
    <x v="1"/>
    <x v="0"/>
    <n v="455377.81"/>
    <n v="455377.81"/>
    <n v="291.90885256410257"/>
    <m/>
    <s v="21/07/2025"/>
    <n v="30"/>
    <x v="729"/>
    <x v="0"/>
  </r>
  <r>
    <x v="17"/>
    <x v="204"/>
    <s v="Fruta Fresca campaña 2025"/>
    <s v="Total"/>
    <x v="4"/>
    <x v="1"/>
    <x v="1"/>
    <x v="0"/>
    <n v="542000"/>
    <n v="542000"/>
    <n v="347.43589743589746"/>
    <m/>
    <s v="18/07/2025"/>
    <n v="29"/>
    <x v="729"/>
    <x v="0"/>
  </r>
  <r>
    <x v="17"/>
    <x v="204"/>
    <s v="Fruta Fresca campaña 2025"/>
    <s v="Total"/>
    <x v="4"/>
    <x v="1"/>
    <x v="1"/>
    <x v="0"/>
    <n v="890000"/>
    <n v="890000"/>
    <n v="570.51282051282055"/>
    <m/>
    <s v="24/07/2025"/>
    <n v="30"/>
    <x v="729"/>
    <x v="0"/>
  </r>
  <r>
    <x v="17"/>
    <x v="204"/>
    <s v="Fruta Fresca campaña 2025"/>
    <s v="Total"/>
    <x v="4"/>
    <x v="1"/>
    <x v="1"/>
    <x v="0"/>
    <n v="1000000"/>
    <n v="1000000"/>
    <n v="641.02564102564099"/>
    <m/>
    <s v="21/07/2025"/>
    <n v="30"/>
    <x v="729"/>
    <x v="0"/>
  </r>
  <r>
    <x v="17"/>
    <x v="204"/>
    <s v="Fruta Fresca campaña 2025"/>
    <s v="Total"/>
    <x v="4"/>
    <x v="1"/>
    <x v="1"/>
    <x v="0"/>
    <n v="1397000"/>
    <n v="1397000"/>
    <n v="895.51282051282055"/>
    <m/>
    <s v="11/08/2025"/>
    <n v="33"/>
    <x v="729"/>
    <x v="0"/>
  </r>
  <r>
    <x v="17"/>
    <x v="204"/>
    <s v="Fruta Fresca campaña 2025"/>
    <s v="Total"/>
    <x v="4"/>
    <x v="1"/>
    <x v="1"/>
    <x v="0"/>
    <n v="2489379.2000000002"/>
    <n v="2489379.2000000002"/>
    <n v="1595.7558974358976"/>
    <m/>
    <s v="30/06/2025"/>
    <n v="27"/>
    <x v="729"/>
    <x v="0"/>
  </r>
  <r>
    <x v="17"/>
    <x v="204"/>
    <s v="Fruta Fresca campaña 2025"/>
    <s v="Total"/>
    <x v="4"/>
    <x v="1"/>
    <x v="1"/>
    <x v="0"/>
    <n v="2700000"/>
    <n v="2700000"/>
    <n v="1730.7692307692307"/>
    <m/>
    <s v="15/08/2025"/>
    <n v="33"/>
    <x v="729"/>
    <x v="0"/>
  </r>
  <r>
    <x v="17"/>
    <x v="204"/>
    <s v="Fruta Fresca campaña 2025"/>
    <s v="Total"/>
    <x v="4"/>
    <x v="1"/>
    <x v="1"/>
    <x v="0"/>
    <n v="3414480"/>
    <n v="3414480"/>
    <n v="2188.7692307692309"/>
    <m/>
    <s v="16/08/2025"/>
    <n v="33"/>
    <x v="729"/>
    <x v="0"/>
  </r>
  <r>
    <x v="17"/>
    <x v="204"/>
    <s v="Fruta Fresca campaña 2025"/>
    <s v="Total"/>
    <x v="4"/>
    <x v="1"/>
    <x v="1"/>
    <x v="0"/>
    <n v="3499950"/>
    <n v="3499950"/>
    <n v="2243.5576923076924"/>
    <m/>
    <s v="16/08/2025"/>
    <n v="33"/>
    <x v="729"/>
    <x v="0"/>
  </r>
  <r>
    <x v="25"/>
    <x v="204"/>
    <s v="Fruta fresca"/>
    <s v="Total"/>
    <x v="4"/>
    <x v="1"/>
    <x v="1"/>
    <x v="0"/>
    <n v="2400000"/>
    <n v="2400000"/>
    <n v="1538.4615384615386"/>
    <m/>
    <d v="2025-07-27T00:00:00"/>
    <n v="31"/>
    <x v="730"/>
    <x v="0"/>
  </r>
  <r>
    <x v="25"/>
    <x v="204"/>
    <s v="Fruta fresca"/>
    <s v="Total"/>
    <x v="4"/>
    <x v="1"/>
    <x v="1"/>
    <x v="0"/>
    <n v="2400000"/>
    <n v="2400000"/>
    <n v="1538.4615384615386"/>
    <m/>
    <d v="2025-07-29T00:00:00"/>
    <n v="31"/>
    <x v="730"/>
    <x v="0"/>
  </r>
  <r>
    <x v="25"/>
    <x v="204"/>
    <s v="Fruta fresca"/>
    <s v="Total"/>
    <x v="4"/>
    <x v="1"/>
    <x v="1"/>
    <x v="0"/>
    <n v="2500000"/>
    <n v="2500000"/>
    <n v="1602.5641025641025"/>
    <m/>
    <d v="2025-07-08T00:00:00"/>
    <n v="28"/>
    <x v="730"/>
    <x v="0"/>
  </r>
  <r>
    <x v="25"/>
    <x v="204"/>
    <s v="Fruta fresca"/>
    <s v="Total"/>
    <x v="4"/>
    <x v="1"/>
    <x v="1"/>
    <x v="0"/>
    <n v="2500000"/>
    <n v="2500000"/>
    <n v="1602.5641025641025"/>
    <m/>
    <d v="2025-07-15T00:00:00"/>
    <n v="29"/>
    <x v="730"/>
    <x v="0"/>
  </r>
  <r>
    <x v="21"/>
    <x v="204"/>
    <s v="Fruta fresca (nonotributo)"/>
    <s v="Total"/>
    <x v="4"/>
    <x v="0"/>
    <x v="0"/>
    <x v="0"/>
    <n v="428000"/>
    <n v="428000"/>
    <n v="274.35897435897436"/>
    <m/>
    <m/>
    <s v="28"/>
    <x v="731"/>
    <x v="0"/>
  </r>
  <r>
    <x v="26"/>
    <x v="204"/>
    <s v="Fruta Fresca"/>
    <s v="Total"/>
    <x v="4"/>
    <x v="1"/>
    <x v="1"/>
    <x v="0"/>
    <n v="378696"/>
    <n v="378696"/>
    <n v="242.75384615384615"/>
    <m/>
    <d v="2025-07-27T00:00:00"/>
    <s v="29"/>
    <x v="732"/>
    <x v="0"/>
  </r>
  <r>
    <x v="26"/>
    <x v="204"/>
    <s v="Fruta Fresca"/>
    <s v="Total"/>
    <x v="4"/>
    <x v="1"/>
    <x v="1"/>
    <x v="0"/>
    <n v="392155"/>
    <n v="392155"/>
    <n v="251.38141025641025"/>
    <m/>
    <d v="2025-07-23T00:00:00"/>
    <s v="29"/>
    <x v="732"/>
    <x v="0"/>
  </r>
  <r>
    <x v="26"/>
    <x v="204"/>
    <s v="Fruta Fresca"/>
    <s v="Total"/>
    <x v="4"/>
    <x v="1"/>
    <x v="1"/>
    <x v="0"/>
    <n v="427430"/>
    <n v="427430"/>
    <n v="273.99358974358972"/>
    <m/>
    <d v="2025-07-30T00:00:00"/>
    <s v="29"/>
    <x v="732"/>
    <x v="0"/>
  </r>
  <r>
    <x v="26"/>
    <x v="204"/>
    <s v="Fruta Fresca"/>
    <s v="Total"/>
    <x v="4"/>
    <x v="1"/>
    <x v="1"/>
    <x v="0"/>
    <n v="485350"/>
    <n v="485350"/>
    <n v="311.12179487179486"/>
    <m/>
    <d v="2025-07-16T00:00:00"/>
    <s v="29"/>
    <x v="732"/>
    <x v="0"/>
  </r>
  <r>
    <x v="26"/>
    <x v="204"/>
    <s v="Fruta Fresca"/>
    <s v="Total"/>
    <x v="4"/>
    <x v="1"/>
    <x v="1"/>
    <x v="0"/>
    <n v="490000"/>
    <n v="490000"/>
    <n v="314.10256410256409"/>
    <m/>
    <d v="2025-07-27T00:00:00"/>
    <s v="29"/>
    <x v="732"/>
    <x v="0"/>
  </r>
  <r>
    <x v="26"/>
    <x v="204"/>
    <s v="Fruta Fresca"/>
    <s v="Total"/>
    <x v="4"/>
    <x v="1"/>
    <x v="1"/>
    <x v="0"/>
    <n v="500000"/>
    <n v="500000"/>
    <n v="320.5128205128205"/>
    <m/>
    <d v="2025-07-25T00:00:00"/>
    <s v="29"/>
    <x v="732"/>
    <x v="0"/>
  </r>
  <r>
    <x v="26"/>
    <x v="204"/>
    <s v="Fruta Fresca"/>
    <s v="Total"/>
    <x v="4"/>
    <x v="1"/>
    <x v="1"/>
    <x v="0"/>
    <n v="500000"/>
    <n v="500000"/>
    <n v="320.5128205128205"/>
    <m/>
    <d v="2025-07-20T00:00:00"/>
    <s v="29"/>
    <x v="732"/>
    <x v="0"/>
  </r>
  <r>
    <x v="26"/>
    <x v="204"/>
    <s v="Fruta Fresca"/>
    <s v="Total"/>
    <x v="4"/>
    <x v="1"/>
    <x v="1"/>
    <x v="0"/>
    <n v="533111.54"/>
    <n v="533111.54"/>
    <n v="341.7381666666667"/>
    <m/>
    <d v="2025-07-08T00:00:00"/>
    <s v="29"/>
    <x v="732"/>
    <x v="0"/>
  </r>
  <r>
    <x v="26"/>
    <x v="204"/>
    <s v="Fruta Fresca"/>
    <s v="Total"/>
    <x v="4"/>
    <x v="1"/>
    <x v="1"/>
    <x v="0"/>
    <n v="550000"/>
    <n v="550000"/>
    <n v="352.56410256410254"/>
    <m/>
    <d v="2025-08-18T00:00:00"/>
    <s v="29"/>
    <x v="732"/>
    <x v="0"/>
  </r>
  <r>
    <x v="26"/>
    <x v="204"/>
    <s v="Fruta Fresca"/>
    <s v="Total"/>
    <x v="4"/>
    <x v="1"/>
    <x v="1"/>
    <x v="0"/>
    <n v="595000"/>
    <n v="595000"/>
    <n v="381.41025641025641"/>
    <m/>
    <d v="2025-07-27T00:00:00"/>
    <s v="29"/>
    <x v="732"/>
    <x v="0"/>
  </r>
  <r>
    <x v="26"/>
    <x v="204"/>
    <s v="Fruta Fresca"/>
    <s v="Total"/>
    <x v="4"/>
    <x v="1"/>
    <x v="1"/>
    <x v="0"/>
    <n v="600000"/>
    <n v="600000"/>
    <n v="384.61538461538464"/>
    <m/>
    <d v="2025-07-27T00:00:00"/>
    <s v="29"/>
    <x v="732"/>
    <x v="0"/>
  </r>
  <r>
    <x v="26"/>
    <x v="204"/>
    <s v="Fruta Fresca"/>
    <s v="Total"/>
    <x v="4"/>
    <x v="1"/>
    <x v="1"/>
    <x v="0"/>
    <n v="660000"/>
    <n v="660000"/>
    <n v="423.07692307692309"/>
    <m/>
    <d v="2025-07-31T00:00:00"/>
    <s v="29"/>
    <x v="732"/>
    <x v="0"/>
  </r>
  <r>
    <x v="26"/>
    <x v="204"/>
    <s v="Fruta Fresca"/>
    <s v="Total"/>
    <x v="4"/>
    <x v="1"/>
    <x v="1"/>
    <x v="0"/>
    <n v="662800"/>
    <n v="662800"/>
    <n v="424.87179487179486"/>
    <m/>
    <d v="2025-07-15T00:00:00"/>
    <s v="29"/>
    <x v="732"/>
    <x v="0"/>
  </r>
  <r>
    <x v="26"/>
    <x v="204"/>
    <s v="Fruta Fresca"/>
    <s v="Total"/>
    <x v="4"/>
    <x v="1"/>
    <x v="1"/>
    <x v="0"/>
    <n v="710000"/>
    <n v="710000"/>
    <n v="455.12820512820514"/>
    <m/>
    <d v="2025-08-19T00:00:00"/>
    <s v="29"/>
    <x v="732"/>
    <x v="0"/>
  </r>
  <r>
    <x v="26"/>
    <x v="204"/>
    <s v="Fruta Fresca"/>
    <s v="Total"/>
    <x v="4"/>
    <x v="1"/>
    <x v="1"/>
    <x v="0"/>
    <n v="730000"/>
    <n v="730000"/>
    <n v="467.94871794871796"/>
    <m/>
    <d v="2025-07-28T00:00:00"/>
    <s v="29"/>
    <x v="732"/>
    <x v="0"/>
  </r>
  <r>
    <x v="26"/>
    <x v="204"/>
    <s v="Fruta Fresca"/>
    <s v="Total"/>
    <x v="4"/>
    <x v="1"/>
    <x v="1"/>
    <x v="0"/>
    <n v="750000"/>
    <n v="750000"/>
    <n v="480.76923076923077"/>
    <m/>
    <d v="2025-08-16T00:00:00"/>
    <s v="29"/>
    <x v="732"/>
    <x v="0"/>
  </r>
  <r>
    <x v="26"/>
    <x v="204"/>
    <s v="Fruta Fresca"/>
    <s v="Total"/>
    <x v="4"/>
    <x v="1"/>
    <x v="1"/>
    <x v="0"/>
    <n v="750000"/>
    <n v="750000"/>
    <n v="480.76923076923077"/>
    <m/>
    <d v="2025-07-26T00:00:00"/>
    <s v="29"/>
    <x v="732"/>
    <x v="0"/>
  </r>
  <r>
    <x v="26"/>
    <x v="204"/>
    <s v="Fruta Fresca"/>
    <s v="Total"/>
    <x v="4"/>
    <x v="1"/>
    <x v="1"/>
    <x v="0"/>
    <n v="774400"/>
    <n v="774400"/>
    <n v="496.41025641025641"/>
    <m/>
    <d v="2025-08-29T00:00:00"/>
    <s v="29"/>
    <x v="732"/>
    <x v="0"/>
  </r>
  <r>
    <x v="26"/>
    <x v="204"/>
    <s v="Fruta Fresca"/>
    <s v="Total"/>
    <x v="4"/>
    <x v="1"/>
    <x v="1"/>
    <x v="0"/>
    <n v="800000"/>
    <n v="800000"/>
    <n v="512.82051282051282"/>
    <m/>
    <d v="2025-09-13T00:00:00"/>
    <s v="29"/>
    <x v="732"/>
    <x v="0"/>
  </r>
  <r>
    <x v="26"/>
    <x v="204"/>
    <s v="Fruta Fresca"/>
    <s v="Total"/>
    <x v="4"/>
    <x v="1"/>
    <x v="1"/>
    <x v="0"/>
    <n v="895400"/>
    <n v="895400"/>
    <n v="573.97435897435901"/>
    <m/>
    <d v="2025-08-28T00:00:00"/>
    <s v="29"/>
    <x v="732"/>
    <x v="0"/>
  </r>
  <r>
    <x v="26"/>
    <x v="204"/>
    <s v="Fruta Fresca"/>
    <s v="Total"/>
    <x v="4"/>
    <x v="1"/>
    <x v="1"/>
    <x v="0"/>
    <n v="928000"/>
    <n v="928000"/>
    <n v="594.87179487179492"/>
    <m/>
    <d v="2025-08-30T00:00:00"/>
    <s v="29"/>
    <x v="732"/>
    <x v="0"/>
  </r>
  <r>
    <x v="26"/>
    <x v="204"/>
    <s v="Fruta Fresca"/>
    <s v="Total"/>
    <x v="4"/>
    <x v="1"/>
    <x v="1"/>
    <x v="0"/>
    <n v="943660"/>
    <n v="943660"/>
    <n v="604.91025641025647"/>
    <m/>
    <d v="2025-08-11T00:00:00"/>
    <s v="29"/>
    <x v="732"/>
    <x v="0"/>
  </r>
  <r>
    <x v="26"/>
    <x v="204"/>
    <s v="Fruta Fresca"/>
    <s v="Total"/>
    <x v="4"/>
    <x v="1"/>
    <x v="1"/>
    <x v="0"/>
    <n v="1000000"/>
    <n v="1000000"/>
    <n v="641.02564102564099"/>
    <m/>
    <d v="2025-07-21T00:00:00"/>
    <s v="29"/>
    <x v="732"/>
    <x v="0"/>
  </r>
  <r>
    <x v="26"/>
    <x v="204"/>
    <s v="Fruta Fresca"/>
    <s v="Total"/>
    <x v="4"/>
    <x v="1"/>
    <x v="1"/>
    <x v="0"/>
    <n v="1000000"/>
    <n v="1000000"/>
    <n v="641.02564102564099"/>
    <m/>
    <d v="2025-08-23T00:00:00"/>
    <s v="29"/>
    <x v="732"/>
    <x v="0"/>
  </r>
  <r>
    <x v="26"/>
    <x v="204"/>
    <s v="Fruta Fresca"/>
    <s v="Total"/>
    <x v="4"/>
    <x v="1"/>
    <x v="1"/>
    <x v="0"/>
    <n v="1000000"/>
    <n v="1000000"/>
    <n v="641.02564102564099"/>
    <m/>
    <d v="2025-08-22T00:00:00"/>
    <s v="29"/>
    <x v="732"/>
    <x v="0"/>
  </r>
  <r>
    <x v="26"/>
    <x v="204"/>
    <s v="Fruta Fresca"/>
    <s v="Total"/>
    <x v="4"/>
    <x v="1"/>
    <x v="1"/>
    <x v="0"/>
    <n v="1206330"/>
    <n v="1206330"/>
    <n v="773.28846153846155"/>
    <m/>
    <d v="2025-08-20T00:00:00"/>
    <s v="29"/>
    <x v="732"/>
    <x v="0"/>
  </r>
  <r>
    <x v="26"/>
    <x v="204"/>
    <s v="Fruta Fresca"/>
    <s v="Total"/>
    <x v="4"/>
    <x v="1"/>
    <x v="1"/>
    <x v="0"/>
    <n v="1321584"/>
    <n v="1321584"/>
    <n v="847.16923076923081"/>
    <m/>
    <d v="2025-08-16T00:00:00"/>
    <s v="29"/>
    <x v="732"/>
    <x v="0"/>
  </r>
  <r>
    <x v="26"/>
    <x v="204"/>
    <s v="Fruta Fresca"/>
    <s v="Total"/>
    <x v="4"/>
    <x v="1"/>
    <x v="1"/>
    <x v="0"/>
    <n v="1500000"/>
    <n v="1500000"/>
    <n v="961.53846153846155"/>
    <m/>
    <d v="2025-08-30T00:00:00"/>
    <s v="29"/>
    <x v="732"/>
    <x v="0"/>
  </r>
  <r>
    <x v="26"/>
    <x v="204"/>
    <s v="Fruta Fresca"/>
    <s v="Total"/>
    <x v="4"/>
    <x v="1"/>
    <x v="1"/>
    <x v="0"/>
    <n v="1553514"/>
    <n v="1553514"/>
    <n v="995.84230769230771"/>
    <m/>
    <d v="2025-08-04T00:00:00"/>
    <s v="29"/>
    <x v="732"/>
    <x v="0"/>
  </r>
  <r>
    <x v="26"/>
    <x v="204"/>
    <s v="Fruta Fresca"/>
    <s v="Total"/>
    <x v="4"/>
    <x v="1"/>
    <x v="1"/>
    <x v="0"/>
    <n v="2425000"/>
    <n v="2425000"/>
    <n v="1554.4871794871794"/>
    <m/>
    <d v="2025-08-25T00:00:00"/>
    <n v="35"/>
    <x v="732"/>
    <x v="0"/>
  </r>
  <r>
    <x v="28"/>
    <x v="204"/>
    <s v="Campaña 2025"/>
    <s v="Total"/>
    <x v="4"/>
    <x v="1"/>
    <x v="1"/>
    <x v="0"/>
    <n v="1500000"/>
    <n v="1500000"/>
    <n v="961.53846153846155"/>
    <m/>
    <d v="2025-11-28T00:00:00"/>
    <n v="48"/>
    <x v="733"/>
    <x v="0"/>
  </r>
  <r>
    <x v="28"/>
    <x v="204"/>
    <s v="Campaña 2025"/>
    <s v="Total"/>
    <x v="4"/>
    <x v="1"/>
    <x v="1"/>
    <x v="0"/>
    <n v="800000"/>
    <n v="800000"/>
    <n v="512.82051282051282"/>
    <m/>
    <d v="2025-10-29T00:00:00"/>
    <n v="44"/>
    <x v="733"/>
    <x v="0"/>
  </r>
  <r>
    <x v="28"/>
    <x v="204"/>
    <s v="Campaña 2025"/>
    <s v="Total"/>
    <x v="4"/>
    <x v="1"/>
    <x v="1"/>
    <x v="0"/>
    <n v="800000"/>
    <n v="800000"/>
    <n v="512.82051282051282"/>
    <m/>
    <d v="2025-11-26T00:00:00"/>
    <n v="48"/>
    <x v="733"/>
    <x v="0"/>
  </r>
  <r>
    <x v="28"/>
    <x v="204"/>
    <s v="Campaña 2025"/>
    <s v="Total"/>
    <x v="4"/>
    <x v="1"/>
    <x v="1"/>
    <x v="0"/>
    <n v="800000"/>
    <n v="800000"/>
    <n v="512.82051282051282"/>
    <m/>
    <d v="2025-11-28T00:00:00"/>
    <n v="48"/>
    <x v="733"/>
    <x v="0"/>
  </r>
  <r>
    <x v="28"/>
    <x v="204"/>
    <s v="Campaña 2025"/>
    <s v="Total"/>
    <x v="4"/>
    <x v="1"/>
    <x v="1"/>
    <x v="0"/>
    <n v="800000"/>
    <n v="800000"/>
    <n v="512.82051282051282"/>
    <m/>
    <d v="2025-12-02T00:00:00"/>
    <n v="49"/>
    <x v="733"/>
    <x v="0"/>
  </r>
  <r>
    <x v="28"/>
    <x v="204"/>
    <s v="Campaña 2025"/>
    <s v="Total"/>
    <x v="4"/>
    <x v="1"/>
    <x v="1"/>
    <x v="0"/>
    <n v="800000"/>
    <n v="800000"/>
    <n v="512.82051282051282"/>
    <m/>
    <d v="2025-12-03T00:00:00"/>
    <n v="49"/>
    <x v="733"/>
    <x v="0"/>
  </r>
  <r>
    <x v="28"/>
    <x v="204"/>
    <s v="Campaña 2025"/>
    <s v="Total"/>
    <x v="4"/>
    <x v="1"/>
    <x v="1"/>
    <x v="0"/>
    <n v="7011000"/>
    <n v="7011000"/>
    <n v="4494.2307692307695"/>
    <m/>
    <d v="2025-10-13T00:00:00"/>
    <n v="42"/>
    <x v="733"/>
    <x v="0"/>
  </r>
  <r>
    <x v="28"/>
    <x v="204"/>
    <s v="Campaña 2025"/>
    <s v="Total"/>
    <x v="4"/>
    <x v="1"/>
    <x v="1"/>
    <x v="0"/>
    <n v="2073400"/>
    <n v="2073400"/>
    <n v="1329.1025641025642"/>
    <m/>
    <d v="2025-10-22T00:00:00"/>
    <n v="43"/>
    <x v="733"/>
    <x v="0"/>
  </r>
  <r>
    <x v="29"/>
    <x v="204"/>
    <s v="Fruta Fresca"/>
    <s v="Total"/>
    <x v="4"/>
    <x v="1"/>
    <x v="1"/>
    <x v="0"/>
    <n v="1000000"/>
    <n v="1000000"/>
    <n v="641.02564102564099"/>
    <m/>
    <d v="2025-12-31T00:00:00"/>
    <n v="53"/>
    <x v="734"/>
    <x v="0"/>
  </r>
  <r>
    <x v="29"/>
    <x v="204"/>
    <s v="Fruta Fresca"/>
    <s v="Total"/>
    <x v="4"/>
    <x v="1"/>
    <x v="1"/>
    <x v="0"/>
    <n v="1250000"/>
    <n v="1250000"/>
    <n v="801.28205128205127"/>
    <m/>
    <d v="2025-11-18T00:00:00"/>
    <n v="47"/>
    <x v="734"/>
    <x v="0"/>
  </r>
  <r>
    <x v="30"/>
    <x v="204"/>
    <s v="Campaña 2025"/>
    <s v="Total"/>
    <x v="4"/>
    <x v="1"/>
    <x v="1"/>
    <x v="0"/>
    <n v="1640963.11"/>
    <n v="1640963.11"/>
    <n v="1051.8994294871795"/>
    <m/>
    <d v="2025-12-02T00:00:00"/>
    <n v="49"/>
    <x v="734"/>
    <x v="0"/>
  </r>
  <r>
    <x v="30"/>
    <x v="204"/>
    <s v="Campaña 2025"/>
    <s v="Total"/>
    <x v="4"/>
    <x v="1"/>
    <x v="1"/>
    <x v="0"/>
    <n v="1159500"/>
    <n v="1159500"/>
    <n v="743.26923076923072"/>
    <m/>
    <d v="2025-11-15T00:00:00"/>
    <n v="46"/>
    <x v="734"/>
    <x v="0"/>
  </r>
  <r>
    <x v="30"/>
    <x v="204"/>
    <s v="Campaña 2025"/>
    <s v="Total"/>
    <x v="4"/>
    <x v="1"/>
    <x v="1"/>
    <x v="0"/>
    <n v="1000000"/>
    <n v="1000000"/>
    <n v="641.02564102564099"/>
    <m/>
    <d v="2025-12-31T00:00:00"/>
    <n v="53"/>
    <x v="734"/>
    <x v="0"/>
  </r>
  <r>
    <x v="30"/>
    <x v="204"/>
    <s v="Campaña 2025"/>
    <s v="Total"/>
    <x v="4"/>
    <x v="1"/>
    <x v="1"/>
    <x v="0"/>
    <n v="1270000"/>
    <n v="1270000"/>
    <n v="814.10256410256409"/>
    <m/>
    <d v="2025-11-10T00:00:00"/>
    <n v="46"/>
    <x v="734"/>
    <x v="0"/>
  </r>
  <r>
    <x v="30"/>
    <x v="204"/>
    <s v="Campaña 2025"/>
    <s v="Total"/>
    <x v="4"/>
    <x v="1"/>
    <x v="1"/>
    <x v="0"/>
    <n v="1250000"/>
    <n v="1250000"/>
    <n v="801.28205128205127"/>
    <m/>
    <d v="2025-11-18T00:00:00"/>
    <n v="47"/>
    <x v="734"/>
    <x v="0"/>
  </r>
  <r>
    <x v="30"/>
    <x v="204"/>
    <s v="Campaña 2025"/>
    <s v="Total"/>
    <x v="4"/>
    <x v="1"/>
    <x v="1"/>
    <x v="0"/>
    <n v="1000000"/>
    <n v="1000000"/>
    <n v="641.02564102564099"/>
    <m/>
    <d v="2025-12-14T00:00:00"/>
    <n v="51"/>
    <x v="734"/>
    <x v="0"/>
  </r>
  <r>
    <x v="30"/>
    <x v="204"/>
    <s v="Campaña 2025"/>
    <s v="Total"/>
    <x v="4"/>
    <x v="1"/>
    <x v="1"/>
    <x v="0"/>
    <n v="855750"/>
    <n v="855750"/>
    <n v="548.55769230769226"/>
    <m/>
    <d v="2025-11-16T00:00:00"/>
    <n v="47"/>
    <x v="734"/>
    <x v="0"/>
  </r>
  <r>
    <x v="31"/>
    <x v="204"/>
    <s v="Campaña 2025"/>
    <s v="Parcial"/>
    <x v="4"/>
    <x v="1"/>
    <x v="1"/>
    <x v="0"/>
    <n v="323570.84999999998"/>
    <n v="323570.84999999998"/>
    <n v="207.41721153846152"/>
    <m/>
    <d v="2025-10-11T00:00:00"/>
    <n v="41"/>
    <x v="735"/>
    <x v="0"/>
  </r>
  <r>
    <x v="31"/>
    <x v="204"/>
    <s v="Campaña 2025"/>
    <s v="Parcial"/>
    <x v="4"/>
    <x v="1"/>
    <x v="1"/>
    <x v="0"/>
    <n v="157200"/>
    <n v="157200"/>
    <n v="100.76923076923077"/>
    <m/>
    <d v="2025-11-18T00:00:00"/>
    <n v="47"/>
    <x v="735"/>
    <x v="0"/>
  </r>
  <r>
    <x v="31"/>
    <x v="204"/>
    <s v="Campaña 2025"/>
    <s v="Parcial"/>
    <x v="4"/>
    <x v="1"/>
    <x v="1"/>
    <x v="0"/>
    <n v="157200"/>
    <n v="157200"/>
    <n v="100.76923076923077"/>
    <m/>
    <d v="2025-11-21T00:00:00"/>
    <n v="47"/>
    <x v="735"/>
    <x v="0"/>
  </r>
  <r>
    <x v="31"/>
    <x v="204"/>
    <s v="Campaña 2025"/>
    <s v="Parcial"/>
    <x v="4"/>
    <x v="1"/>
    <x v="1"/>
    <x v="0"/>
    <n v="157200"/>
    <n v="157200"/>
    <n v="100.76923076923077"/>
    <m/>
    <d v="2025-11-18T00:00:00"/>
    <n v="47"/>
    <x v="735"/>
    <x v="0"/>
  </r>
  <r>
    <x v="31"/>
    <x v="204"/>
    <s v="Campaña 2025"/>
    <s v="Parcial"/>
    <x v="4"/>
    <x v="1"/>
    <x v="1"/>
    <x v="0"/>
    <n v="169340"/>
    <n v="169340"/>
    <n v="108.55128205128206"/>
    <m/>
    <d v="2025-11-21T00:00:00"/>
    <n v="47"/>
    <x v="735"/>
    <x v="0"/>
  </r>
  <r>
    <x v="31"/>
    <x v="204"/>
    <s v="Campaña 2025"/>
    <s v="Parcial"/>
    <x v="4"/>
    <x v="1"/>
    <x v="1"/>
    <x v="0"/>
    <n v="200000"/>
    <n v="200000"/>
    <n v="128.2051282051282"/>
    <m/>
    <d v="2025-10-24T00:00:00"/>
    <n v="43"/>
    <x v="735"/>
    <x v="0"/>
  </r>
  <r>
    <x v="31"/>
    <x v="204"/>
    <s v="Campaña 2025"/>
    <s v="Parcial"/>
    <x v="4"/>
    <x v="1"/>
    <x v="1"/>
    <x v="0"/>
    <n v="200000"/>
    <n v="200000"/>
    <n v="128.2051282051282"/>
    <m/>
    <d v="2025-11-22T00:00:00"/>
    <n v="47"/>
    <x v="735"/>
    <x v="0"/>
  </r>
  <r>
    <x v="31"/>
    <x v="204"/>
    <s v="Campaña 2025"/>
    <s v="Parcial"/>
    <x v="4"/>
    <x v="1"/>
    <x v="1"/>
    <x v="0"/>
    <n v="251340"/>
    <n v="251340"/>
    <n v="161.11538461538461"/>
    <m/>
    <d v="2025-11-25T00:00:00"/>
    <n v="48"/>
    <x v="735"/>
    <x v="0"/>
  </r>
  <r>
    <x v="31"/>
    <x v="204"/>
    <s v="Campaña 2025"/>
    <s v="Parcial"/>
    <x v="4"/>
    <x v="1"/>
    <x v="1"/>
    <x v="0"/>
    <n v="500000"/>
    <n v="500000"/>
    <n v="320.5128205128205"/>
    <m/>
    <d v="2025-11-12T00:00:00"/>
    <n v="46"/>
    <x v="735"/>
    <x v="0"/>
  </r>
  <r>
    <x v="31"/>
    <x v="204"/>
    <s v="Campaña 2025"/>
    <s v="Parcial"/>
    <x v="4"/>
    <x v="1"/>
    <x v="1"/>
    <x v="0"/>
    <n v="500000"/>
    <n v="500000"/>
    <n v="320.5128205128205"/>
    <m/>
    <d v="2025-11-22T00:00:00"/>
    <n v="47"/>
    <x v="735"/>
    <x v="0"/>
  </r>
  <r>
    <x v="31"/>
    <x v="204"/>
    <s v="Campaña 2025"/>
    <s v="Parcial"/>
    <x v="4"/>
    <x v="1"/>
    <x v="1"/>
    <x v="0"/>
    <n v="500000"/>
    <n v="500000"/>
    <n v="320.5128205128205"/>
    <m/>
    <d v="2025-10-12T00:00:00"/>
    <n v="42"/>
    <x v="735"/>
    <x v="0"/>
  </r>
  <r>
    <x v="31"/>
    <x v="204"/>
    <s v="Campaña 2025"/>
    <s v="Parcial"/>
    <x v="4"/>
    <x v="1"/>
    <x v="1"/>
    <x v="0"/>
    <n v="550870"/>
    <n v="550870"/>
    <n v="353.12179487179486"/>
    <m/>
    <d v="2025-12-16T00:00:00"/>
    <n v="51"/>
    <x v="735"/>
    <x v="0"/>
  </r>
  <r>
    <x v="31"/>
    <x v="204"/>
    <s v="Campaña 2025"/>
    <s v="Parcial"/>
    <x v="4"/>
    <x v="1"/>
    <x v="1"/>
    <x v="0"/>
    <n v="750000"/>
    <n v="750000"/>
    <n v="480.76923076923077"/>
    <m/>
    <d v="2025-12-12T00:00:00"/>
    <n v="50"/>
    <x v="735"/>
    <x v="0"/>
  </r>
  <r>
    <x v="31"/>
    <x v="204"/>
    <s v="Campaña 2025"/>
    <s v="Parcial"/>
    <x v="4"/>
    <x v="1"/>
    <x v="1"/>
    <x v="0"/>
    <n v="765600"/>
    <n v="765600"/>
    <n v="490.76923076923077"/>
    <m/>
    <d v="2025-11-29T00:00:00"/>
    <n v="48"/>
    <x v="735"/>
    <x v="0"/>
  </r>
  <r>
    <x v="31"/>
    <x v="204"/>
    <s v="Campaña 2025"/>
    <s v="Parcial"/>
    <x v="4"/>
    <x v="1"/>
    <x v="1"/>
    <x v="0"/>
    <n v="870100"/>
    <n v="870100"/>
    <n v="557.75641025641028"/>
    <m/>
    <d v="2025-12-12T00:00:00"/>
    <n v="50"/>
    <x v="735"/>
    <x v="0"/>
  </r>
  <r>
    <x v="15"/>
    <x v="204"/>
    <s v="Campaña 2025"/>
    <s v="Total"/>
    <x v="4"/>
    <x v="1"/>
    <x v="1"/>
    <x v="0"/>
    <n v="120000"/>
    <n v="120000"/>
    <n v="76.92307692307692"/>
    <m/>
    <d v="2025-11-11T00:00:00"/>
    <n v="46"/>
    <x v="736"/>
    <x v="0"/>
  </r>
  <r>
    <x v="15"/>
    <x v="204"/>
    <s v="Campaña 2025"/>
    <s v="Total"/>
    <x v="4"/>
    <x v="1"/>
    <x v="1"/>
    <x v="0"/>
    <n v="200000"/>
    <n v="200000"/>
    <n v="128.2051282051282"/>
    <m/>
    <d v="2025-11-15T00:00:00"/>
    <n v="46"/>
    <x v="736"/>
    <x v="0"/>
  </r>
  <r>
    <x v="15"/>
    <x v="204"/>
    <s v="Campaña 2025"/>
    <s v="Total"/>
    <x v="4"/>
    <x v="1"/>
    <x v="1"/>
    <x v="0"/>
    <n v="336000"/>
    <n v="336000"/>
    <n v="215.38461538461539"/>
    <m/>
    <d v="2025-12-04T00:00:00"/>
    <n v="49"/>
    <x v="736"/>
    <x v="0"/>
  </r>
  <r>
    <x v="15"/>
    <x v="204"/>
    <s v="Campaña 2025"/>
    <s v="Total"/>
    <x v="4"/>
    <x v="1"/>
    <x v="1"/>
    <x v="0"/>
    <n v="356552"/>
    <n v="356552"/>
    <n v="228.55897435897435"/>
    <m/>
    <d v="2025-11-12T00:00:00"/>
    <n v="46"/>
    <x v="736"/>
    <x v="0"/>
  </r>
  <r>
    <x v="15"/>
    <x v="204"/>
    <s v="Campaña 2025"/>
    <s v="Total"/>
    <x v="4"/>
    <x v="1"/>
    <x v="1"/>
    <x v="0"/>
    <n v="390000"/>
    <n v="390000"/>
    <n v="250"/>
    <m/>
    <d v="2025-11-19T00:00:00"/>
    <n v="47"/>
    <x v="736"/>
    <x v="0"/>
  </r>
  <r>
    <x v="15"/>
    <x v="204"/>
    <s v="Campaña 2025"/>
    <s v="Total"/>
    <x v="4"/>
    <x v="1"/>
    <x v="1"/>
    <x v="0"/>
    <n v="455738"/>
    <n v="455738"/>
    <n v="292.1397435897436"/>
    <m/>
    <d v="2025-11-17T00:00:00"/>
    <n v="47"/>
    <x v="736"/>
    <x v="0"/>
  </r>
  <r>
    <x v="15"/>
    <x v="204"/>
    <s v="Campaña 2025"/>
    <s v="Total"/>
    <x v="4"/>
    <x v="1"/>
    <x v="1"/>
    <x v="0"/>
    <n v="469460"/>
    <n v="469460"/>
    <n v="300.93589743589746"/>
    <m/>
    <d v="2025-11-30T00:00:00"/>
    <n v="49"/>
    <x v="736"/>
    <x v="0"/>
  </r>
  <r>
    <x v="15"/>
    <x v="204"/>
    <s v="Campaña 2025"/>
    <s v="Total"/>
    <x v="4"/>
    <x v="1"/>
    <x v="1"/>
    <x v="0"/>
    <n v="530548.59"/>
    <n v="530548.59"/>
    <n v="340.09524999999996"/>
    <m/>
    <d v="2025-12-02T00:00:00"/>
    <n v="49"/>
    <x v="736"/>
    <x v="0"/>
  </r>
  <r>
    <x v="15"/>
    <x v="204"/>
    <s v="Campaña 2025"/>
    <s v="Total"/>
    <x v="4"/>
    <x v="1"/>
    <x v="1"/>
    <x v="0"/>
    <n v="600000"/>
    <n v="600000"/>
    <n v="384.61538461538464"/>
    <m/>
    <d v="2025-11-10T00:00:00"/>
    <n v="46"/>
    <x v="736"/>
    <x v="0"/>
  </r>
  <r>
    <x v="15"/>
    <x v="204"/>
    <s v="Campaña 2025"/>
    <s v="Total"/>
    <x v="4"/>
    <x v="1"/>
    <x v="1"/>
    <x v="0"/>
    <n v="614758"/>
    <n v="614758"/>
    <n v="394.075641025641"/>
    <m/>
    <d v="2025-11-07T00:00:00"/>
    <n v="45"/>
    <x v="736"/>
    <x v="0"/>
  </r>
  <r>
    <x v="15"/>
    <x v="204"/>
    <s v="Campaña 2025"/>
    <s v="Total"/>
    <x v="4"/>
    <x v="1"/>
    <x v="1"/>
    <x v="0"/>
    <n v="652621"/>
    <n v="652621"/>
    <n v="418.34679487179488"/>
    <m/>
    <d v="2025-12-05T00:00:00"/>
    <n v="49"/>
    <x v="736"/>
    <x v="0"/>
  </r>
  <r>
    <x v="15"/>
    <x v="204"/>
    <s v="Campaña 2025"/>
    <s v="Total"/>
    <x v="4"/>
    <x v="1"/>
    <x v="1"/>
    <x v="0"/>
    <n v="1300000"/>
    <n v="1300000"/>
    <n v="833.33333333333337"/>
    <m/>
    <d v="2025-12-20T00:00:00"/>
    <n v="51"/>
    <x v="736"/>
    <x v="0"/>
  </r>
  <r>
    <x v="15"/>
    <x v="204"/>
    <s v="Campaña 2025"/>
    <s v="Total"/>
    <x v="4"/>
    <x v="1"/>
    <x v="1"/>
    <x v="0"/>
    <n v="1500000"/>
    <n v="1500000"/>
    <n v="961.53846153846155"/>
    <m/>
    <d v="2025-12-16T00:00:00"/>
    <n v="51"/>
    <x v="736"/>
    <x v="0"/>
  </r>
  <r>
    <x v="15"/>
    <x v="204"/>
    <s v="Campaña 2025"/>
    <s v="Total"/>
    <x v="4"/>
    <x v="1"/>
    <x v="1"/>
    <x v="0"/>
    <n v="1500000"/>
    <n v="1500000"/>
    <n v="961.53846153846155"/>
    <m/>
    <d v="2025-12-10T00:00:00"/>
    <n v="50"/>
    <x v="736"/>
    <x v="0"/>
  </r>
  <r>
    <x v="4"/>
    <x v="204"/>
    <s v="Campaña 2025"/>
    <s v="Total"/>
    <x v="4"/>
    <x v="1"/>
    <x v="1"/>
    <x v="0"/>
    <n v="2000000"/>
    <n v="2000000"/>
    <n v="1282.051282051282"/>
    <m/>
    <d v="2026-01-20T00:00:00"/>
    <n v="4"/>
    <x v="737"/>
    <x v="0"/>
  </r>
  <r>
    <x v="4"/>
    <x v="204"/>
    <s v="Campaña 2025"/>
    <s v="Total"/>
    <x v="4"/>
    <x v="1"/>
    <x v="1"/>
    <x v="0"/>
    <n v="500000"/>
    <n v="500000"/>
    <n v="320.5128205128205"/>
    <m/>
    <d v="2026-01-20T00:00:00"/>
    <n v="4"/>
    <x v="737"/>
    <x v="0"/>
  </r>
  <r>
    <x v="4"/>
    <x v="204"/>
    <s v="Campaña 2025"/>
    <s v="Total"/>
    <x v="4"/>
    <x v="1"/>
    <x v="1"/>
    <x v="0"/>
    <n v="442119"/>
    <n v="442119"/>
    <n v="283.40961538461539"/>
    <m/>
    <d v="2026-01-19T00:00:00"/>
    <n v="4"/>
    <x v="737"/>
    <x v="0"/>
  </r>
  <r>
    <x v="4"/>
    <x v="204"/>
    <s v="Campaña 2025"/>
    <s v="Total"/>
    <x v="4"/>
    <x v="1"/>
    <x v="1"/>
    <x v="0"/>
    <n v="881700"/>
    <n v="881700"/>
    <n v="565.19230769230774"/>
    <m/>
    <d v="2026-01-16T00:00:00"/>
    <n v="3"/>
    <x v="737"/>
    <x v="0"/>
  </r>
  <r>
    <x v="4"/>
    <x v="204"/>
    <s v="Campaña 2025"/>
    <s v="Total"/>
    <x v="4"/>
    <x v="1"/>
    <x v="1"/>
    <x v="0"/>
    <n v="180000"/>
    <n v="180000"/>
    <n v="115.38461538461539"/>
    <m/>
    <d v="2026-01-15T00:00:00"/>
    <n v="3"/>
    <x v="737"/>
    <x v="0"/>
  </r>
  <r>
    <x v="4"/>
    <x v="204"/>
    <s v="Campaña 2025"/>
    <s v="Total"/>
    <x v="4"/>
    <x v="1"/>
    <x v="1"/>
    <x v="0"/>
    <n v="10000000"/>
    <n v="10000000"/>
    <n v="6410.2564102564102"/>
    <m/>
    <d v="2026-01-12T00:00:00"/>
    <n v="3"/>
    <x v="737"/>
    <x v="0"/>
  </r>
  <r>
    <x v="50"/>
    <x v="204"/>
    <s v="Campaña 2025"/>
    <s v="Total"/>
    <x v="4"/>
    <x v="1"/>
    <x v="1"/>
    <x v="0"/>
    <n v="500000"/>
    <n v="500000"/>
    <n v="320.5128205128205"/>
    <m/>
    <d v="2026-03-07T00:00:00"/>
    <n v="10"/>
    <x v="738"/>
    <x v="0"/>
  </r>
  <r>
    <x v="50"/>
    <x v="204"/>
    <s v="Campaña 2025"/>
    <s v="Total"/>
    <x v="4"/>
    <x v="1"/>
    <x v="1"/>
    <x v="0"/>
    <n v="900000"/>
    <n v="900000"/>
    <n v="576.92307692307691"/>
    <m/>
    <d v="2026-03-04T00:00:00"/>
    <n v="10"/>
    <x v="738"/>
    <x v="0"/>
  </r>
  <r>
    <x v="50"/>
    <x v="204"/>
    <s v="Campaña 2025"/>
    <s v="Total"/>
    <x v="4"/>
    <x v="1"/>
    <x v="1"/>
    <x v="0"/>
    <n v="2177000"/>
    <n v="2177000"/>
    <n v="1395.5128205128206"/>
    <m/>
    <d v="2026-03-07T00:00:00"/>
    <n v="10"/>
    <x v="738"/>
    <x v="0"/>
  </r>
  <r>
    <x v="50"/>
    <x v="204"/>
    <s v="Campaña 2025"/>
    <s v="Total"/>
    <x v="4"/>
    <x v="1"/>
    <x v="1"/>
    <x v="0"/>
    <n v="2500000"/>
    <n v="2500000"/>
    <n v="1602.5641025641025"/>
    <m/>
    <d v="2026-03-07T00:00:00"/>
    <n v="10"/>
    <x v="738"/>
    <x v="0"/>
  </r>
  <r>
    <x v="50"/>
    <x v="204"/>
    <s v="Reposición cheque rehasado"/>
    <s v="Total"/>
    <x v="0"/>
    <x v="1"/>
    <x v="2"/>
    <x v="0"/>
    <n v="500000"/>
    <n v="500000"/>
    <n v="320.5128205128205"/>
    <m/>
    <m/>
    <s v="04"/>
    <x v="739"/>
    <x v="0"/>
  </r>
  <r>
    <x v="9"/>
    <x v="204"/>
    <s v="Campaña 2025"/>
    <s v="Total"/>
    <x v="4"/>
    <x v="1"/>
    <x v="1"/>
    <x v="0"/>
    <n v="1664000"/>
    <n v="1664000"/>
    <n v="1066.6666666666667"/>
    <m/>
    <d v="2026-03-21T00:00:00"/>
    <n v="12"/>
    <x v="740"/>
    <x v="0"/>
  </r>
  <r>
    <x v="9"/>
    <x v="204"/>
    <s v="Campaña 2025"/>
    <s v="Total"/>
    <x v="4"/>
    <x v="1"/>
    <x v="1"/>
    <x v="0"/>
    <n v="2263000"/>
    <n v="2263000"/>
    <n v="1450.6410256410256"/>
    <m/>
    <d v="2026-03-20T00:00:00"/>
    <n v="12"/>
    <x v="740"/>
    <x v="0"/>
  </r>
  <r>
    <x v="9"/>
    <x v="204"/>
    <s v="Campaña 2025"/>
    <s v="Total"/>
    <x v="4"/>
    <x v="1"/>
    <x v="1"/>
    <x v="0"/>
    <n v="2263000"/>
    <n v="2263000"/>
    <n v="1450.6410256410256"/>
    <m/>
    <d v="2026-03-13T00:00:00"/>
    <n v="11"/>
    <x v="740"/>
    <x v="0"/>
  </r>
  <r>
    <x v="9"/>
    <x v="204"/>
    <s v="Campaña 2025"/>
    <s v="Total"/>
    <x v="4"/>
    <x v="1"/>
    <x v="1"/>
    <x v="0"/>
    <n v="2500000"/>
    <n v="2500000"/>
    <n v="1602.5641025641025"/>
    <m/>
    <d v="2026-03-21T00:00:00"/>
    <n v="12"/>
    <x v="740"/>
    <x v="0"/>
  </r>
  <r>
    <x v="59"/>
    <x v="204"/>
    <s v="Campaña 2025"/>
    <s v="Total"/>
    <x v="4"/>
    <x v="1"/>
    <x v="1"/>
    <x v="0"/>
    <n v="500000"/>
    <n v="500000"/>
    <n v="320.5128205128205"/>
    <m/>
    <d v="2026-03-06T00:00:00"/>
    <n v="10"/>
    <x v="741"/>
    <x v="0"/>
  </r>
  <r>
    <x v="59"/>
    <x v="204"/>
    <s v="Campaña 2025"/>
    <s v="Total"/>
    <x v="4"/>
    <x v="1"/>
    <x v="1"/>
    <x v="0"/>
    <n v="500000"/>
    <n v="500000"/>
    <n v="320.5128205128205"/>
    <m/>
    <d v="2026-02-28T00:00:00"/>
    <n v="9"/>
    <x v="741"/>
    <x v="0"/>
  </r>
  <r>
    <x v="59"/>
    <x v="204"/>
    <s v="Campaña 2025"/>
    <s v="Total"/>
    <x v="4"/>
    <x v="1"/>
    <x v="1"/>
    <x v="0"/>
    <n v="500000"/>
    <n v="500000"/>
    <n v="320.5128205128205"/>
    <m/>
    <d v="2026-03-06T00:00:00"/>
    <n v="10"/>
    <x v="741"/>
    <x v="0"/>
  </r>
  <r>
    <x v="59"/>
    <x v="204"/>
    <s v="Campaña 2025"/>
    <s v="Total"/>
    <x v="4"/>
    <x v="1"/>
    <x v="1"/>
    <x v="0"/>
    <n v="628800"/>
    <n v="628800"/>
    <n v="403.07692307692309"/>
    <m/>
    <d v="2026-03-23T00:00:00"/>
    <n v="13"/>
    <x v="741"/>
    <x v="0"/>
  </r>
  <r>
    <x v="59"/>
    <x v="204"/>
    <s v="Campaña 2025"/>
    <s v="Total"/>
    <x v="4"/>
    <x v="1"/>
    <x v="1"/>
    <x v="0"/>
    <n v="675000"/>
    <n v="675000"/>
    <n v="432.69230769230768"/>
    <m/>
    <d v="2026-03-23T00:00:00"/>
    <n v="13"/>
    <x v="741"/>
    <x v="0"/>
  </r>
  <r>
    <x v="59"/>
    <x v="204"/>
    <s v="Campaña 2025"/>
    <s v="Total"/>
    <x v="4"/>
    <x v="1"/>
    <x v="1"/>
    <x v="0"/>
    <n v="1453450"/>
    <n v="1453450"/>
    <n v="931.6987179487179"/>
    <m/>
    <d v="2026-03-07T00:00:00"/>
    <n v="10"/>
    <x v="741"/>
    <x v="0"/>
  </r>
  <r>
    <x v="59"/>
    <x v="204"/>
    <s v="Campaña 2025"/>
    <s v="Total"/>
    <x v="4"/>
    <x v="1"/>
    <x v="1"/>
    <x v="0"/>
    <n v="1453450"/>
    <n v="1453450"/>
    <n v="931.6987179487179"/>
    <m/>
    <d v="2026-02-27T00:00:00"/>
    <n v="9"/>
    <x v="741"/>
    <x v="0"/>
  </r>
  <r>
    <x v="59"/>
    <x v="204"/>
    <s v="Campaña 2025"/>
    <s v="Total"/>
    <x v="4"/>
    <x v="1"/>
    <x v="1"/>
    <x v="0"/>
    <n v="2628980"/>
    <n v="2628980"/>
    <n v="1685.2435897435898"/>
    <m/>
    <d v="2026-03-21T00:00:00"/>
    <n v="12"/>
    <x v="741"/>
    <x v="0"/>
  </r>
  <r>
    <x v="59"/>
    <x v="204"/>
    <s v="Reposición cheque rehasado"/>
    <s v="Total"/>
    <x v="4"/>
    <x v="1"/>
    <x v="2"/>
    <x v="0"/>
    <n v="500000"/>
    <n v="500000"/>
    <n v="320.5128205128205"/>
    <m/>
    <m/>
    <s v="06"/>
    <x v="742"/>
    <x v="0"/>
  </r>
  <r>
    <x v="60"/>
    <x v="204"/>
    <s v="Campaña 2025"/>
    <s v="Total"/>
    <x v="4"/>
    <x v="0"/>
    <x v="0"/>
    <x v="0"/>
    <n v="1500000"/>
    <n v="1500000"/>
    <n v="961.53846153846155"/>
    <m/>
    <m/>
    <s v="37"/>
    <x v="743"/>
    <x v="0"/>
  </r>
  <r>
    <x v="6"/>
    <x v="204"/>
    <s v="Campaña 2025"/>
    <s v="Total"/>
    <x v="4"/>
    <x v="0"/>
    <x v="0"/>
    <x v="0"/>
    <n v="3000000"/>
    <n v="3000000"/>
    <n v="1923.0769230769231"/>
    <m/>
    <m/>
    <s v="41"/>
    <x v="744"/>
    <x v="0"/>
  </r>
  <r>
    <x v="29"/>
    <x v="204"/>
    <s v="Monotributo"/>
    <s v="Total"/>
    <x v="4"/>
    <x v="0"/>
    <x v="0"/>
    <x v="0"/>
    <n v="1000000"/>
    <n v="1000000"/>
    <n v="641.02564102564099"/>
    <m/>
    <m/>
    <s v="42"/>
    <x v="745"/>
    <x v="0"/>
  </r>
  <r>
    <x v="19"/>
    <x v="204"/>
    <m/>
    <s v="Total"/>
    <x v="3"/>
    <x v="0"/>
    <x v="0"/>
    <x v="0"/>
    <n v="4000000"/>
    <n v="4000000"/>
    <n v="2564.102564102564"/>
    <m/>
    <m/>
    <s v="50"/>
    <x v="746"/>
    <x v="0"/>
  </r>
  <r>
    <x v="13"/>
    <x v="204"/>
    <s v="Campaña 2025"/>
    <s v="Total"/>
    <x v="4"/>
    <x v="1"/>
    <x v="1"/>
    <x v="0"/>
    <n v="901034"/>
    <n v="901034"/>
    <n v="577.58589743589744"/>
    <m/>
    <d v="2026-03-30T00:00:00"/>
    <n v="14"/>
    <x v="747"/>
    <x v="0"/>
  </r>
  <r>
    <x v="13"/>
    <x v="204"/>
    <s v="Campaña 2025"/>
    <s v="Total"/>
    <x v="4"/>
    <x v="1"/>
    <x v="1"/>
    <x v="0"/>
    <n v="2263000"/>
    <n v="2263000"/>
    <n v="1450.6410256410256"/>
    <m/>
    <d v="2026-03-31T00:00:00"/>
    <n v="14"/>
    <x v="747"/>
    <x v="0"/>
  </r>
  <r>
    <x v="13"/>
    <x v="204"/>
    <s v="Campaña 2025"/>
    <s v="Total"/>
    <x v="4"/>
    <x v="1"/>
    <x v="1"/>
    <x v="0"/>
    <n v="2263000"/>
    <n v="2263000"/>
    <n v="1450.6410256410256"/>
    <m/>
    <d v="2026-03-30T00:00:00"/>
    <n v="14"/>
    <x v="747"/>
    <x v="0"/>
  </r>
  <r>
    <x v="13"/>
    <x v="204"/>
    <s v="Campaña 2025"/>
    <s v="Total"/>
    <x v="4"/>
    <x v="1"/>
    <x v="1"/>
    <x v="0"/>
    <n v="5000000"/>
    <n v="5000000"/>
    <n v="3205.1282051282051"/>
    <m/>
    <d v="2026-03-29T00:00:00"/>
    <n v="14"/>
    <x v="747"/>
    <x v="0"/>
  </r>
  <r>
    <x v="13"/>
    <x v="204"/>
    <s v="Campaña 2025"/>
    <s v="Total"/>
    <x v="4"/>
    <x v="1"/>
    <x v="1"/>
    <x v="0"/>
    <n v="5000000"/>
    <n v="5000000"/>
    <n v="3205.1282051282051"/>
    <m/>
    <d v="2026-03-28T00:00:00"/>
    <n v="13"/>
    <x v="747"/>
    <x v="0"/>
  </r>
  <r>
    <x v="13"/>
    <x v="204"/>
    <m/>
    <s v="Total"/>
    <x v="3"/>
    <x v="0"/>
    <x v="0"/>
    <x v="0"/>
    <n v="4000000"/>
    <n v="4000000"/>
    <n v="2564.102564102564"/>
    <m/>
    <m/>
    <s v="07"/>
    <x v="748"/>
    <x v="0"/>
  </r>
  <r>
    <x v="32"/>
    <x v="204"/>
    <s v="Campaña 2025"/>
    <s v="Total"/>
    <x v="4"/>
    <x v="1"/>
    <x v="1"/>
    <x v="0"/>
    <n v="1532495.03"/>
    <n v="1532495.03"/>
    <n v="982.36860897435895"/>
    <m/>
    <d v="2026-02-15T00:00:00"/>
    <n v="8"/>
    <x v="749"/>
    <x v="0"/>
  </r>
  <r>
    <x v="32"/>
    <x v="204"/>
    <s v="Campaña 2025"/>
    <s v="Total"/>
    <x v="4"/>
    <x v="1"/>
    <x v="1"/>
    <x v="0"/>
    <n v="1964100"/>
    <n v="1964100"/>
    <n v="1259.0384615384614"/>
    <m/>
    <d v="2026-03-06T00:00:00"/>
    <n v="10"/>
    <x v="749"/>
    <x v="0"/>
  </r>
  <r>
    <x v="32"/>
    <x v="204"/>
    <s v="Campaña 2025"/>
    <s v="Total"/>
    <x v="4"/>
    <x v="1"/>
    <x v="1"/>
    <x v="0"/>
    <n v="2223980"/>
    <n v="2223980"/>
    <n v="1425.6282051282051"/>
    <m/>
    <d v="2026-03-21T00:00:00"/>
    <n v="12"/>
    <x v="749"/>
    <x v="0"/>
  </r>
  <r>
    <x v="32"/>
    <x v="204"/>
    <s v="Campaña 2025"/>
    <s v="Total"/>
    <x v="4"/>
    <x v="1"/>
    <x v="1"/>
    <x v="0"/>
    <n v="4830000"/>
    <n v="4830000"/>
    <n v="3096.1538461538462"/>
    <m/>
    <d v="2026-04-19T00:00:00"/>
    <n v="17"/>
    <x v="749"/>
    <x v="0"/>
  </r>
  <r>
    <x v="32"/>
    <x v="204"/>
    <s v="Campaña 2025"/>
    <s v="Total"/>
    <x v="4"/>
    <x v="1"/>
    <x v="1"/>
    <x v="0"/>
    <n v="1919600"/>
    <n v="1919600"/>
    <n v="1230.5128205128206"/>
    <m/>
    <d v="2026-04-15T00:00:00"/>
    <n v="16"/>
    <x v="750"/>
    <x v="0"/>
  </r>
  <r>
    <x v="32"/>
    <x v="204"/>
    <s v="Campaña 2025"/>
    <s v="Total"/>
    <x v="4"/>
    <x v="1"/>
    <x v="1"/>
    <x v="0"/>
    <n v="2000000"/>
    <n v="2000000"/>
    <n v="1282.051282051282"/>
    <m/>
    <d v="2026-04-10T00:00:00"/>
    <n v="15"/>
    <x v="750"/>
    <x v="0"/>
  </r>
  <r>
    <x v="32"/>
    <x v="204"/>
    <s v="Campaña 2025"/>
    <s v="Total"/>
    <x v="4"/>
    <x v="1"/>
    <x v="1"/>
    <x v="0"/>
    <n v="3000000"/>
    <n v="3000000"/>
    <n v="1923.0769230769231"/>
    <m/>
    <d v="2026-04-28T00:00:00"/>
    <n v="18"/>
    <x v="750"/>
    <x v="0"/>
  </r>
  <r>
    <x v="73"/>
    <x v="204"/>
    <s v="Campaña 2025"/>
    <s v="Total"/>
    <x v="4"/>
    <x v="1"/>
    <x v="1"/>
    <x v="0"/>
    <n v="1000000"/>
    <n v="1000000"/>
    <n v="641.02564102564099"/>
    <m/>
    <d v="2026-04-20T00:00:00"/>
    <n v="17"/>
    <x v="751"/>
    <x v="0"/>
  </r>
  <r>
    <x v="73"/>
    <x v="204"/>
    <s v="Campaña 2025"/>
    <s v="Total"/>
    <x v="4"/>
    <x v="1"/>
    <x v="1"/>
    <x v="0"/>
    <n v="1000000"/>
    <n v="1000000"/>
    <n v="641.02564102564099"/>
    <m/>
    <d v="2026-04-27T00:00:00"/>
    <n v="18"/>
    <x v="751"/>
    <x v="0"/>
  </r>
  <r>
    <x v="73"/>
    <x v="204"/>
    <s v="Campaña 2025"/>
    <s v="Total"/>
    <x v="4"/>
    <x v="1"/>
    <x v="1"/>
    <x v="0"/>
    <n v="1000000"/>
    <n v="1000000"/>
    <n v="641.02564102564099"/>
    <m/>
    <d v="2026-04-23T00:00:00"/>
    <n v="17"/>
    <x v="751"/>
    <x v="0"/>
  </r>
  <r>
    <x v="73"/>
    <x v="204"/>
    <s v="Campaña 2025"/>
    <s v="Total"/>
    <x v="4"/>
    <x v="1"/>
    <x v="1"/>
    <x v="0"/>
    <n v="1000000"/>
    <n v="1000000"/>
    <n v="641.02564102564099"/>
    <m/>
    <d v="2026-04-30T00:00:00"/>
    <n v="18"/>
    <x v="751"/>
    <x v="0"/>
  </r>
  <r>
    <x v="73"/>
    <x v="204"/>
    <s v="Campaña 2025"/>
    <s v="Total"/>
    <x v="4"/>
    <x v="1"/>
    <x v="1"/>
    <x v="0"/>
    <n v="1000000"/>
    <n v="1000000"/>
    <n v="641.02564102564099"/>
    <m/>
    <d v="2026-04-28T00:00:00"/>
    <n v="18"/>
    <x v="751"/>
    <x v="0"/>
  </r>
  <r>
    <x v="73"/>
    <x v="204"/>
    <s v="Campaña 2025"/>
    <s v="Total"/>
    <x v="4"/>
    <x v="1"/>
    <x v="1"/>
    <x v="0"/>
    <n v="1000000"/>
    <n v="1000000"/>
    <n v="641.02564102564099"/>
    <m/>
    <d v="2026-04-24T00:00:00"/>
    <n v="17"/>
    <x v="751"/>
    <x v="0"/>
  </r>
  <r>
    <x v="34"/>
    <x v="204"/>
    <s v="Campaña 2025"/>
    <s v="Total"/>
    <x v="4"/>
    <x v="1"/>
    <x v="1"/>
    <x v="0"/>
    <n v="1214000"/>
    <n v="1214000"/>
    <n v="778.20512820512818"/>
    <m/>
    <d v="2026-05-28T00:00:00"/>
    <n v="22"/>
    <x v="752"/>
    <x v="0"/>
  </r>
  <r>
    <x v="34"/>
    <x v="204"/>
    <s v="Campaña 2025"/>
    <s v="Total"/>
    <x v="4"/>
    <x v="1"/>
    <x v="1"/>
    <x v="0"/>
    <n v="1214000"/>
    <n v="1214000"/>
    <n v="778.20512820512818"/>
    <m/>
    <d v="2026-07-04T00:00:00"/>
    <n v="27"/>
    <x v="752"/>
    <x v="0"/>
  </r>
  <r>
    <x v="34"/>
    <x v="204"/>
    <s v="Campaña 2025"/>
    <s v="Total"/>
    <x v="4"/>
    <x v="1"/>
    <x v="1"/>
    <x v="0"/>
    <n v="1214000"/>
    <n v="1214000"/>
    <n v="778.20512820512818"/>
    <m/>
    <d v="2026-05-28T00:00:00"/>
    <n v="22"/>
    <x v="752"/>
    <x v="0"/>
  </r>
  <r>
    <x v="34"/>
    <x v="204"/>
    <s v="Campaña 2025"/>
    <s v="Total"/>
    <x v="4"/>
    <x v="1"/>
    <x v="1"/>
    <x v="0"/>
    <n v="1214000"/>
    <n v="1214000"/>
    <n v="778.20512820512818"/>
    <m/>
    <d v="2026-07-04T00:00:00"/>
    <n v="27"/>
    <x v="752"/>
    <x v="0"/>
  </r>
  <r>
    <x v="36"/>
    <x v="204"/>
    <s v="Campaña 2025"/>
    <s v="Total"/>
    <x v="4"/>
    <x v="1"/>
    <x v="1"/>
    <x v="0"/>
    <n v="2726733"/>
    <n v="2726733"/>
    <n v="1747.9057692307692"/>
    <m/>
    <d v="2026-09-01T00:00:00"/>
    <n v="36"/>
    <x v="753"/>
    <x v="0"/>
  </r>
  <r>
    <x v="36"/>
    <x v="204"/>
    <s v="Campaña 2025"/>
    <s v="Total"/>
    <x v="4"/>
    <x v="1"/>
    <x v="1"/>
    <x v="0"/>
    <n v="2726733"/>
    <n v="2726733"/>
    <n v="1747.9057692307692"/>
    <m/>
    <d v="2026-09-04T00:00:00"/>
    <n v="36"/>
    <x v="753"/>
    <x v="0"/>
  </r>
  <r>
    <x v="37"/>
    <x v="204"/>
    <s v="Campaña 2025"/>
    <s v="Total"/>
    <x v="4"/>
    <x v="0"/>
    <x v="1"/>
    <x v="0"/>
    <n v="1000000"/>
    <n v="1000000"/>
    <n v="641.02564102564099"/>
    <m/>
    <d v="2026-08-18T00:00:00"/>
    <n v="34"/>
    <x v="754"/>
    <x v="0"/>
  </r>
  <r>
    <x v="37"/>
    <x v="204"/>
    <s v="Campaña 2025"/>
    <s v="Total"/>
    <x v="4"/>
    <x v="0"/>
    <x v="1"/>
    <x v="0"/>
    <n v="3748280"/>
    <n v="3748280"/>
    <n v="2402.7435897435898"/>
    <m/>
    <d v="2026-08-22T00:00:00"/>
    <n v="34"/>
    <x v="754"/>
    <x v="0"/>
  </r>
  <r>
    <x v="3"/>
    <x v="205"/>
    <s v="Servicio de energia"/>
    <s v="Total"/>
    <x v="3"/>
    <x v="0"/>
    <x v="1"/>
    <x v="0"/>
    <n v="0"/>
    <n v="0"/>
    <n v="0"/>
    <m/>
    <m/>
    <s v="44"/>
    <x v="0"/>
    <x v="1"/>
  </r>
  <r>
    <x v="16"/>
    <x v="204"/>
    <s v="Campaña 2025"/>
    <s v="Total"/>
    <x v="7"/>
    <x v="0"/>
    <x v="1"/>
    <x v="0"/>
    <n v="8745788.6899999995"/>
    <n v="8745788.6899999995"/>
    <n v="5606.2748012820512"/>
    <m/>
    <d v="2027-01-08T00:00:00"/>
    <n v="2"/>
    <x v="755"/>
    <x v="0"/>
  </r>
  <r>
    <x v="16"/>
    <x v="204"/>
    <s v="Campaña 2025"/>
    <s v="Total"/>
    <x v="7"/>
    <x v="0"/>
    <x v="1"/>
    <x v="0"/>
    <n v="153814.63"/>
    <n v="153814.63"/>
    <n v="98.599121794871792"/>
    <s v="Retenciones"/>
    <m/>
    <s v="43"/>
    <x v="755"/>
    <x v="0"/>
  </r>
  <r>
    <x v="68"/>
    <x v="206"/>
    <s v="Insumos Laboratorio Bodega"/>
    <s v="Parcial"/>
    <x v="1"/>
    <x v="0"/>
    <x v="1"/>
    <x v="0"/>
    <n v="1810000"/>
    <n v="1810000"/>
    <n v="1160.2564102564102"/>
    <s v="Pago 25/06/2025"/>
    <d v="2025-06-25T00:00:00"/>
    <n v="26"/>
    <x v="756"/>
    <x v="0"/>
  </r>
  <r>
    <x v="69"/>
    <x v="206"/>
    <s v="Insubos Labortorio"/>
    <s v="Total"/>
    <x v="1"/>
    <x v="0"/>
    <x v="0"/>
    <x v="0"/>
    <n v="238370"/>
    <n v="238370"/>
    <n v="152.80128205128204"/>
    <m/>
    <m/>
    <s v="31"/>
    <x v="34"/>
    <x v="0"/>
  </r>
  <r>
    <x v="5"/>
    <x v="206"/>
    <s v="Insumos laboratorio bodega"/>
    <s v="Total"/>
    <x v="1"/>
    <x v="0"/>
    <x v="0"/>
    <x v="0"/>
    <n v="212427.6"/>
    <n v="212427.6"/>
    <n v="136.17153846153846"/>
    <m/>
    <m/>
    <s v="34"/>
    <x v="0"/>
    <x v="0"/>
  </r>
  <r>
    <x v="53"/>
    <x v="207"/>
    <s v="Pedido insumos laboratorio  Bodega / Planta"/>
    <s v="Total"/>
    <x v="0"/>
    <x v="0"/>
    <x v="1"/>
    <x v="0"/>
    <n v="668143"/>
    <n v="668143"/>
    <n v="428.29679487179487"/>
    <m/>
    <d v="2026-05-21T00:00:00"/>
    <n v="21"/>
    <x v="757"/>
    <x v="0"/>
  </r>
  <r>
    <x v="53"/>
    <x v="207"/>
    <s v="Pedido insumos laboratorio  Bodega / Planta"/>
    <s v="Total"/>
    <x v="0"/>
    <x v="0"/>
    <x v="1"/>
    <x v="0"/>
    <n v="6674"/>
    <n v="6674"/>
    <n v="4.2782051282051281"/>
    <s v="Retenciones"/>
    <m/>
    <s v="17"/>
    <x v="757"/>
    <x v="0"/>
  </r>
  <r>
    <x v="64"/>
    <x v="207"/>
    <s v="Reposición de cheque "/>
    <s v="Total"/>
    <x v="1"/>
    <x v="0"/>
    <x v="0"/>
    <x v="0"/>
    <n v="668143"/>
    <n v="668143"/>
    <n v="428.29679487179487"/>
    <m/>
    <m/>
    <s v="22"/>
    <x v="758"/>
    <x v="0"/>
  </r>
  <r>
    <x v="40"/>
    <x v="207"/>
    <s v="Insumos laboratorio planta de aceite / bodega"/>
    <s v="Total"/>
    <x v="0"/>
    <x v="0"/>
    <x v="0"/>
    <x v="0"/>
    <n v="75290.12"/>
    <n v="75290.12"/>
    <n v="48.262897435897436"/>
    <m/>
    <m/>
    <s v="40"/>
    <x v="759"/>
    <x v="0"/>
  </r>
  <r>
    <x v="66"/>
    <x v="207"/>
    <s v="Pedido Bodega"/>
    <s v="Total"/>
    <x v="1"/>
    <x v="0"/>
    <x v="1"/>
    <x v="0"/>
    <n v="205275"/>
    <n v="205275"/>
    <n v="131.58653846153845"/>
    <m/>
    <m/>
    <s v="34"/>
    <x v="760"/>
    <x v="0"/>
  </r>
  <r>
    <x v="46"/>
    <x v="207"/>
    <s v="Pedido Laboratorio Bodega"/>
    <s v="Total"/>
    <x v="1"/>
    <x v="0"/>
    <x v="0"/>
    <x v="0"/>
    <n v="531087.21"/>
    <n v="531087.21"/>
    <n v="340.44051923076921"/>
    <m/>
    <d v="2026-11-16T00:00:00"/>
    <n v="47"/>
    <x v="761"/>
    <x v="0"/>
  </r>
  <r>
    <x v="46"/>
    <x v="207"/>
    <s v="Pedido Laboratorio Bodega"/>
    <s v="Total"/>
    <x v="1"/>
    <x v="0"/>
    <x v="0"/>
    <x v="0"/>
    <n v="4298.3"/>
    <n v="4298.3"/>
    <n v="2.7553205128205129"/>
    <s v="Retenciones"/>
    <m/>
    <s v="42"/>
    <x v="761"/>
    <x v="0"/>
  </r>
  <r>
    <x v="20"/>
    <x v="208"/>
    <s v="Repuestos compresor "/>
    <s v="Total"/>
    <x v="1"/>
    <x v="0"/>
    <x v="1"/>
    <x v="0"/>
    <n v="1257884.1299999999"/>
    <n v="1257884.1299999999"/>
    <n v="806.33598076923067"/>
    <m/>
    <d v="2026-05-10T00:00:00"/>
    <n v="20"/>
    <x v="762"/>
    <x v="0"/>
  </r>
  <r>
    <x v="20"/>
    <x v="208"/>
    <s v="Repuestos compresor "/>
    <s v="Total"/>
    <x v="1"/>
    <x v="0"/>
    <x v="1"/>
    <x v="0"/>
    <n v="16585.5"/>
    <n v="16585.5"/>
    <n v="10.631730769230769"/>
    <s v="Retenciones"/>
    <m/>
    <s v="15"/>
    <x v="762"/>
    <x v="0"/>
  </r>
  <r>
    <x v="30"/>
    <x v="209"/>
    <s v="Campaña 2025"/>
    <s v="Total"/>
    <x v="4"/>
    <x v="1"/>
    <x v="1"/>
    <x v="0"/>
    <n v="268373"/>
    <n v="268373"/>
    <n v="172.03397435897435"/>
    <m/>
    <d v="2025-10-17T00:00:00"/>
    <n v="42"/>
    <x v="763"/>
    <x v="0"/>
  </r>
  <r>
    <x v="30"/>
    <x v="209"/>
    <s v="Campaña 2025"/>
    <s v="Total"/>
    <x v="4"/>
    <x v="1"/>
    <x v="1"/>
    <x v="0"/>
    <n v="368850"/>
    <n v="368850"/>
    <n v="236.44230769230768"/>
    <m/>
    <d v="2025-11-04T00:00:00"/>
    <n v="45"/>
    <x v="763"/>
    <x v="0"/>
  </r>
  <r>
    <x v="30"/>
    <x v="209"/>
    <s v="Campaña 2025"/>
    <s v="Total"/>
    <x v="4"/>
    <x v="1"/>
    <x v="1"/>
    <x v="0"/>
    <n v="423358"/>
    <n v="423358"/>
    <n v="271.38333333333333"/>
    <m/>
    <d v="2025-11-06T00:00:00"/>
    <n v="45"/>
    <x v="763"/>
    <x v="0"/>
  </r>
  <r>
    <x v="30"/>
    <x v="209"/>
    <s v="Campaña 2025"/>
    <s v="Total"/>
    <x v="4"/>
    <x v="1"/>
    <x v="1"/>
    <x v="0"/>
    <n v="248536.6"/>
    <n v="248536.6"/>
    <n v="159.31833333333333"/>
    <m/>
    <d v="2025-10-25T00:00:00"/>
    <n v="43"/>
    <x v="763"/>
    <x v="0"/>
  </r>
  <r>
    <x v="30"/>
    <x v="209"/>
    <s v="Campaña 2025"/>
    <s v="Total"/>
    <x v="4"/>
    <x v="1"/>
    <x v="1"/>
    <x v="0"/>
    <n v="319622"/>
    <n v="319622"/>
    <n v="204.88589743589745"/>
    <m/>
    <d v="2025-11-04T00:00:00"/>
    <n v="45"/>
    <x v="763"/>
    <x v="0"/>
  </r>
  <r>
    <x v="30"/>
    <x v="209"/>
    <s v="Campaña 2025"/>
    <s v="Total"/>
    <x v="4"/>
    <x v="1"/>
    <x v="1"/>
    <x v="0"/>
    <n v="290000"/>
    <n v="290000"/>
    <n v="185.89743589743588"/>
    <m/>
    <d v="2025-11-15T00:00:00"/>
    <n v="46"/>
    <x v="763"/>
    <x v="0"/>
  </r>
  <r>
    <x v="30"/>
    <x v="209"/>
    <s v="Campaña 2025"/>
    <s v="Total"/>
    <x v="4"/>
    <x v="1"/>
    <x v="1"/>
    <x v="0"/>
    <n v="87900"/>
    <n v="87900"/>
    <n v="56.346153846153847"/>
    <m/>
    <d v="2025-11-05T00:00:00"/>
    <n v="45"/>
    <x v="763"/>
    <x v="0"/>
  </r>
  <r>
    <x v="30"/>
    <x v="209"/>
    <s v="Campaña 2025"/>
    <s v="Total"/>
    <x v="4"/>
    <x v="1"/>
    <x v="1"/>
    <x v="0"/>
    <n v="384297.52"/>
    <n v="384297.52"/>
    <n v="246.34456410256411"/>
    <m/>
    <d v="2025-10-25T00:00:00"/>
    <n v="43"/>
    <x v="763"/>
    <x v="0"/>
  </r>
  <r>
    <x v="30"/>
    <x v="209"/>
    <s v="Campaña 2025"/>
    <s v="Total"/>
    <x v="4"/>
    <x v="1"/>
    <x v="1"/>
    <x v="0"/>
    <n v="230000"/>
    <n v="230000"/>
    <n v="147.43589743589743"/>
    <m/>
    <d v="2025-11-06T00:00:00"/>
    <n v="45"/>
    <x v="763"/>
    <x v="0"/>
  </r>
  <r>
    <x v="30"/>
    <x v="209"/>
    <s v="Campaña 2025"/>
    <s v="Total"/>
    <x v="4"/>
    <x v="1"/>
    <x v="1"/>
    <x v="0"/>
    <n v="336250"/>
    <n v="336250"/>
    <n v="215.5448717948718"/>
    <m/>
    <d v="2025-10-31T00:00:00"/>
    <n v="44"/>
    <x v="763"/>
    <x v="0"/>
  </r>
  <r>
    <x v="31"/>
    <x v="209"/>
    <s v="Campaña 2025"/>
    <s v="Parcial"/>
    <x v="4"/>
    <x v="1"/>
    <x v="1"/>
    <x v="0"/>
    <n v="2035168"/>
    <n v="2035168"/>
    <n v="1304.5948717948718"/>
    <m/>
    <d v="2025-12-06T00:00:00"/>
    <n v="49"/>
    <x v="764"/>
    <x v="0"/>
  </r>
  <r>
    <x v="31"/>
    <x v="209"/>
    <s v="Campaña 2025"/>
    <s v="Parcial"/>
    <x v="4"/>
    <x v="1"/>
    <x v="1"/>
    <x v="0"/>
    <n v="2506000"/>
    <n v="2506000"/>
    <n v="1606.4102564102564"/>
    <m/>
    <d v="2025-12-13T00:00:00"/>
    <n v="50"/>
    <x v="764"/>
    <x v="0"/>
  </r>
  <r>
    <x v="15"/>
    <x v="209"/>
    <s v="Campaña 2025"/>
    <s v="Total"/>
    <x v="4"/>
    <x v="1"/>
    <x v="1"/>
    <x v="0"/>
    <n v="1298320"/>
    <n v="1298320"/>
    <n v="832.25641025641028"/>
    <m/>
    <d v="2026-01-03T00:00:00"/>
    <n v="1"/>
    <x v="765"/>
    <x v="0"/>
  </r>
  <r>
    <x v="15"/>
    <x v="209"/>
    <s v="Campaña 2025"/>
    <s v="Total"/>
    <x v="4"/>
    <x v="1"/>
    <x v="1"/>
    <x v="0"/>
    <n v="2708000"/>
    <n v="2708000"/>
    <n v="1735.8974358974358"/>
    <m/>
    <d v="2026-01-06T00:00:00"/>
    <n v="2"/>
    <x v="765"/>
    <x v="0"/>
  </r>
  <r>
    <x v="4"/>
    <x v="209"/>
    <s v="Campaña 2025"/>
    <s v="Total"/>
    <x v="4"/>
    <x v="1"/>
    <x v="1"/>
    <x v="0"/>
    <n v="860000"/>
    <n v="860000"/>
    <n v="551.28205128205127"/>
    <m/>
    <d v="2026-01-21T00:00:00"/>
    <n v="4"/>
    <x v="766"/>
    <x v="0"/>
  </r>
  <r>
    <x v="4"/>
    <x v="209"/>
    <s v="Campaña 2025"/>
    <s v="Total"/>
    <x v="4"/>
    <x v="1"/>
    <x v="1"/>
    <x v="0"/>
    <n v="500000"/>
    <n v="500000"/>
    <n v="320.5128205128205"/>
    <m/>
    <d v="2026-01-22T00:00:00"/>
    <n v="4"/>
    <x v="766"/>
    <x v="0"/>
  </r>
  <r>
    <x v="4"/>
    <x v="209"/>
    <s v="Campaña 2025"/>
    <s v="Total"/>
    <x v="4"/>
    <x v="1"/>
    <x v="1"/>
    <x v="0"/>
    <n v="1000000"/>
    <n v="1000000"/>
    <n v="641.02564102564099"/>
    <m/>
    <d v="2026-01-22T00:00:00"/>
    <n v="4"/>
    <x v="766"/>
    <x v="0"/>
  </r>
  <r>
    <x v="4"/>
    <x v="209"/>
    <s v="Campaña 2025"/>
    <s v="Total"/>
    <x v="4"/>
    <x v="1"/>
    <x v="1"/>
    <x v="0"/>
    <n v="2471000"/>
    <n v="2471000"/>
    <n v="1583.9743589743589"/>
    <m/>
    <d v="2026-01-25T00:00:00"/>
    <n v="5"/>
    <x v="766"/>
    <x v="0"/>
  </r>
  <r>
    <x v="4"/>
    <x v="209"/>
    <s v="Campaña 2025"/>
    <s v="Total"/>
    <x v="4"/>
    <x v="1"/>
    <x v="1"/>
    <x v="0"/>
    <n v="2000000"/>
    <n v="2000000"/>
    <n v="1282.051282051282"/>
    <m/>
    <d v="2026-01-26T00:00:00"/>
    <n v="5"/>
    <x v="766"/>
    <x v="0"/>
  </r>
  <r>
    <x v="50"/>
    <x v="209"/>
    <s v="Reposición cheque rehasado"/>
    <s v="Total"/>
    <x v="0"/>
    <x v="1"/>
    <x v="2"/>
    <x v="0"/>
    <n v="2506000"/>
    <n v="2506000"/>
    <n v="1606.4102564102564"/>
    <m/>
    <m/>
    <s v="04"/>
    <x v="767"/>
    <x v="0"/>
  </r>
  <r>
    <x v="73"/>
    <x v="209"/>
    <s v="Campaña 2025"/>
    <s v="Total"/>
    <x v="4"/>
    <x v="1"/>
    <x v="1"/>
    <x v="0"/>
    <n v="1000000"/>
    <n v="1000000"/>
    <n v="641.02564102564099"/>
    <m/>
    <d v="2026-04-21T00:00:00"/>
    <n v="17"/>
    <x v="768"/>
    <x v="0"/>
  </r>
  <r>
    <x v="73"/>
    <x v="209"/>
    <s v="Campaña 2025"/>
    <s v="Total"/>
    <x v="4"/>
    <x v="1"/>
    <x v="1"/>
    <x v="0"/>
    <n v="1000000"/>
    <n v="1000000"/>
    <n v="641.02564102564099"/>
    <m/>
    <d v="2026-04-22T00:00:00"/>
    <n v="17"/>
    <x v="768"/>
    <x v="0"/>
  </r>
  <r>
    <x v="73"/>
    <x v="209"/>
    <s v="Campaña 2025"/>
    <s v="Total"/>
    <x v="4"/>
    <x v="1"/>
    <x v="1"/>
    <x v="0"/>
    <n v="1000000"/>
    <n v="1000000"/>
    <n v="641.02564102564099"/>
    <m/>
    <d v="2026-04-20T00:00:00"/>
    <n v="17"/>
    <x v="768"/>
    <x v="0"/>
  </r>
  <r>
    <x v="3"/>
    <x v="189"/>
    <s v="Servicio de paqueteria  "/>
    <s v="Total"/>
    <x v="0"/>
    <x v="0"/>
    <x v="1"/>
    <x v="0"/>
    <n v="830000"/>
    <n v="830000"/>
    <n v="532.0512820512821"/>
    <m/>
    <m/>
    <s v="44"/>
    <x v="0"/>
    <x v="2"/>
  </r>
  <r>
    <x v="28"/>
    <x v="210"/>
    <s v="Campaña 2025"/>
    <s v="Total"/>
    <x v="4"/>
    <x v="1"/>
    <x v="1"/>
    <x v="0"/>
    <n v="980000"/>
    <n v="980000"/>
    <n v="628.20512820512818"/>
    <m/>
    <d v="2025-10-20T00:00:00"/>
    <n v="43"/>
    <x v="769"/>
    <x v="0"/>
  </r>
  <r>
    <x v="28"/>
    <x v="210"/>
    <s v="Campaña 2025"/>
    <s v="Total"/>
    <x v="4"/>
    <x v="1"/>
    <x v="1"/>
    <x v="0"/>
    <n v="837000"/>
    <n v="837000"/>
    <n v="536.53846153846155"/>
    <m/>
    <d v="2025-10-24T00:00:00"/>
    <n v="43"/>
    <x v="769"/>
    <x v="0"/>
  </r>
  <r>
    <x v="28"/>
    <x v="210"/>
    <s v="Campaña 2025"/>
    <s v="Total"/>
    <x v="4"/>
    <x v="1"/>
    <x v="1"/>
    <x v="0"/>
    <n v="300000"/>
    <n v="300000"/>
    <n v="192.30769230769232"/>
    <m/>
    <d v="2025-10-17T00:00:00"/>
    <n v="42"/>
    <x v="769"/>
    <x v="0"/>
  </r>
  <r>
    <x v="28"/>
    <x v="210"/>
    <s v="Campaña 2025"/>
    <s v="Total"/>
    <x v="4"/>
    <x v="1"/>
    <x v="1"/>
    <x v="0"/>
    <n v="917301"/>
    <n v="917301"/>
    <n v="588.01346153846157"/>
    <m/>
    <d v="2025-10-06T00:00:00"/>
    <n v="41"/>
    <x v="769"/>
    <x v="0"/>
  </r>
  <r>
    <x v="28"/>
    <x v="210"/>
    <s v="Campaña 2025"/>
    <s v="Total"/>
    <x v="4"/>
    <x v="1"/>
    <x v="1"/>
    <x v="0"/>
    <n v="800000"/>
    <n v="800000"/>
    <n v="512.82051282051282"/>
    <m/>
    <d v="2025-11-13T00:00:00"/>
    <n v="46"/>
    <x v="769"/>
    <x v="0"/>
  </r>
  <r>
    <x v="28"/>
    <x v="210"/>
    <s v="Campaña 2025"/>
    <s v="Total"/>
    <x v="4"/>
    <x v="1"/>
    <x v="1"/>
    <x v="0"/>
    <n v="800000"/>
    <n v="800000"/>
    <n v="512.82051282051282"/>
    <m/>
    <d v="2025-11-12T00:00:00"/>
    <n v="46"/>
    <x v="769"/>
    <x v="0"/>
  </r>
  <r>
    <x v="28"/>
    <x v="210"/>
    <s v="Campaña 2025"/>
    <s v="Total"/>
    <x v="4"/>
    <x v="1"/>
    <x v="1"/>
    <x v="0"/>
    <n v="800000"/>
    <n v="800000"/>
    <n v="512.82051282051282"/>
    <m/>
    <d v="2025-10-24T00:00:00"/>
    <n v="43"/>
    <x v="769"/>
    <x v="0"/>
  </r>
  <r>
    <x v="52"/>
    <x v="210"/>
    <s v="Campaña 2025"/>
    <s v="Total"/>
    <x v="4"/>
    <x v="1"/>
    <x v="1"/>
    <x v="0"/>
    <n v="200000"/>
    <n v="200000"/>
    <n v="128.2051282051282"/>
    <m/>
    <d v="2025-09-22T00:00:00"/>
    <n v="39"/>
    <x v="770"/>
    <x v="0"/>
  </r>
  <r>
    <x v="52"/>
    <x v="210"/>
    <s v="Campaña 2025"/>
    <s v="Total"/>
    <x v="4"/>
    <x v="1"/>
    <x v="1"/>
    <x v="0"/>
    <n v="200000"/>
    <n v="200000"/>
    <n v="128.2051282051282"/>
    <m/>
    <d v="2025-09-17T00:00:00"/>
    <n v="38"/>
    <x v="770"/>
    <x v="0"/>
  </r>
  <r>
    <x v="52"/>
    <x v="210"/>
    <s v="Campaña 2025"/>
    <s v="Total"/>
    <x v="4"/>
    <x v="1"/>
    <x v="1"/>
    <x v="0"/>
    <n v="200000"/>
    <n v="200000"/>
    <n v="128.2051282051282"/>
    <m/>
    <d v="2025-09-26T00:00:00"/>
    <n v="39"/>
    <x v="770"/>
    <x v="0"/>
  </r>
  <r>
    <x v="52"/>
    <x v="210"/>
    <s v="Campaña 2025"/>
    <s v="Total"/>
    <x v="4"/>
    <x v="1"/>
    <x v="1"/>
    <x v="0"/>
    <n v="213936"/>
    <n v="213936"/>
    <n v="137.13846153846154"/>
    <m/>
    <d v="2025-09-30T00:00:00"/>
    <n v="40"/>
    <x v="770"/>
    <x v="0"/>
  </r>
  <r>
    <x v="52"/>
    <x v="210"/>
    <s v="Campaña 2025"/>
    <s v="Total"/>
    <x v="4"/>
    <x v="1"/>
    <x v="1"/>
    <x v="0"/>
    <n v="236845"/>
    <n v="236845"/>
    <n v="151.82371794871796"/>
    <m/>
    <d v="2025-09-30T00:00:00"/>
    <n v="40"/>
    <x v="770"/>
    <x v="0"/>
  </r>
  <r>
    <x v="52"/>
    <x v="210"/>
    <s v="Campaña 2025"/>
    <s v="Total"/>
    <x v="4"/>
    <x v="1"/>
    <x v="1"/>
    <x v="0"/>
    <n v="236845"/>
    <n v="236845"/>
    <n v="151.82371794871796"/>
    <m/>
    <d v="2025-10-10T00:00:00"/>
    <n v="41"/>
    <x v="770"/>
    <x v="0"/>
  </r>
  <r>
    <x v="52"/>
    <x v="210"/>
    <s v="Campaña 2025"/>
    <s v="Total"/>
    <x v="4"/>
    <x v="1"/>
    <x v="1"/>
    <x v="0"/>
    <n v="236845"/>
    <n v="236845"/>
    <n v="151.82371794871796"/>
    <m/>
    <d v="2025-10-03T00:00:00"/>
    <n v="40"/>
    <x v="770"/>
    <x v="0"/>
  </r>
  <r>
    <x v="52"/>
    <x v="210"/>
    <s v="Campaña 2025"/>
    <s v="Total"/>
    <x v="4"/>
    <x v="1"/>
    <x v="1"/>
    <x v="0"/>
    <n v="236845"/>
    <n v="236845"/>
    <n v="151.82371794871796"/>
    <m/>
    <d v="2025-09-24T00:00:00"/>
    <n v="39"/>
    <x v="770"/>
    <x v="0"/>
  </r>
  <r>
    <x v="52"/>
    <x v="210"/>
    <s v="Campaña 2025"/>
    <s v="Total"/>
    <x v="4"/>
    <x v="1"/>
    <x v="1"/>
    <x v="0"/>
    <n v="400000"/>
    <n v="400000"/>
    <n v="256.41025641025641"/>
    <m/>
    <d v="2025-10-10T00:00:00"/>
    <n v="41"/>
    <x v="770"/>
    <x v="0"/>
  </r>
  <r>
    <x v="52"/>
    <x v="210"/>
    <s v="Campaña 2025"/>
    <s v="Total"/>
    <x v="4"/>
    <x v="1"/>
    <x v="1"/>
    <x v="0"/>
    <n v="400000"/>
    <n v="400000"/>
    <n v="256.41025641025641"/>
    <m/>
    <d v="2025-09-19T00:00:00"/>
    <n v="38"/>
    <x v="770"/>
    <x v="0"/>
  </r>
  <r>
    <x v="52"/>
    <x v="210"/>
    <s v="Campaña 2025"/>
    <s v="Total"/>
    <x v="4"/>
    <x v="1"/>
    <x v="1"/>
    <x v="0"/>
    <n v="457795"/>
    <n v="457795"/>
    <n v="293.45833333333331"/>
    <m/>
    <d v="2025-11-07T00:00:00"/>
    <n v="45"/>
    <x v="770"/>
    <x v="0"/>
  </r>
  <r>
    <x v="52"/>
    <x v="210"/>
    <s v="Campaña 2025"/>
    <s v="Total"/>
    <x v="4"/>
    <x v="1"/>
    <x v="1"/>
    <x v="0"/>
    <n v="600000"/>
    <n v="600000"/>
    <n v="384.61538461538464"/>
    <m/>
    <d v="2025-10-28T00:00:00"/>
    <n v="44"/>
    <x v="770"/>
    <x v="0"/>
  </r>
  <r>
    <x v="52"/>
    <x v="210"/>
    <s v="Campaña 2025"/>
    <s v="Total"/>
    <x v="4"/>
    <x v="1"/>
    <x v="1"/>
    <x v="0"/>
    <n v="600000"/>
    <n v="600000"/>
    <n v="384.61538461538464"/>
    <m/>
    <d v="2025-10-25T00:00:00"/>
    <n v="43"/>
    <x v="770"/>
    <x v="0"/>
  </r>
  <r>
    <x v="52"/>
    <x v="210"/>
    <s v="Campaña 2025"/>
    <s v="Total"/>
    <x v="4"/>
    <x v="1"/>
    <x v="1"/>
    <x v="0"/>
    <n v="600000"/>
    <n v="600000"/>
    <n v="384.61538461538464"/>
    <m/>
    <d v="2025-10-21T00:00:00"/>
    <n v="43"/>
    <x v="770"/>
    <x v="0"/>
  </r>
  <r>
    <x v="52"/>
    <x v="210"/>
    <s v="Campaña 2025"/>
    <s v="Total"/>
    <x v="4"/>
    <x v="1"/>
    <x v="1"/>
    <x v="0"/>
    <n v="600000"/>
    <n v="600000"/>
    <n v="384.61538461538464"/>
    <m/>
    <d v="2025-11-16T00:00:00"/>
    <n v="47"/>
    <x v="770"/>
    <x v="0"/>
  </r>
  <r>
    <x v="52"/>
    <x v="210"/>
    <s v="Campaña 2025"/>
    <s v="Total"/>
    <x v="4"/>
    <x v="1"/>
    <x v="1"/>
    <x v="0"/>
    <n v="605363"/>
    <n v="605363"/>
    <n v="388.05320512820515"/>
    <m/>
    <d v="2025-10-21T00:00:00"/>
    <n v="43"/>
    <x v="770"/>
    <x v="0"/>
  </r>
  <r>
    <x v="52"/>
    <x v="210"/>
    <s v="Campaña 2025"/>
    <s v="Total"/>
    <x v="4"/>
    <x v="1"/>
    <x v="1"/>
    <x v="0"/>
    <n v="706359"/>
    <n v="706359"/>
    <n v="452.79423076923075"/>
    <m/>
    <d v="2025-09-20T00:00:00"/>
    <n v="38"/>
    <x v="770"/>
    <x v="0"/>
  </r>
  <r>
    <x v="52"/>
    <x v="210"/>
    <s v="Campaña 2025"/>
    <s v="Total"/>
    <x v="4"/>
    <x v="1"/>
    <x v="1"/>
    <x v="0"/>
    <n v="1000000"/>
    <n v="1000000"/>
    <n v="641.02564102564099"/>
    <m/>
    <d v="2025-12-20T00:00:00"/>
    <n v="51"/>
    <x v="770"/>
    <x v="0"/>
  </r>
  <r>
    <x v="52"/>
    <x v="210"/>
    <s v="Campaña 2025"/>
    <s v="Total"/>
    <x v="4"/>
    <x v="1"/>
    <x v="1"/>
    <x v="0"/>
    <n v="1000000"/>
    <n v="1000000"/>
    <n v="641.02564102564099"/>
    <m/>
    <d v="2026-01-21T00:00:00"/>
    <n v="4"/>
    <x v="770"/>
    <x v="0"/>
  </r>
  <r>
    <x v="52"/>
    <x v="210"/>
    <s v="Campaña 2025"/>
    <s v="Total"/>
    <x v="4"/>
    <x v="1"/>
    <x v="1"/>
    <x v="0"/>
    <n v="1000000"/>
    <n v="1000000"/>
    <n v="641.02564102564099"/>
    <m/>
    <d v="2025-11-14T00:00:00"/>
    <n v="46"/>
    <x v="770"/>
    <x v="0"/>
  </r>
  <r>
    <x v="52"/>
    <x v="210"/>
    <s v="Campaña 2025"/>
    <s v="Total"/>
    <x v="4"/>
    <x v="1"/>
    <x v="1"/>
    <x v="0"/>
    <n v="1000000"/>
    <n v="1000000"/>
    <n v="641.02564102564099"/>
    <m/>
    <d v="2026-03-20T00:00:00"/>
    <n v="12"/>
    <x v="770"/>
    <x v="0"/>
  </r>
  <r>
    <x v="52"/>
    <x v="210"/>
    <s v="Campaña 2025"/>
    <s v="Total"/>
    <x v="4"/>
    <x v="1"/>
    <x v="1"/>
    <x v="0"/>
    <n v="1000000"/>
    <n v="1000000"/>
    <n v="641.02564102564099"/>
    <m/>
    <d v="2026-02-20T00:00:00"/>
    <n v="8"/>
    <x v="770"/>
    <x v="0"/>
  </r>
  <r>
    <x v="34"/>
    <x v="211"/>
    <s v="Valvulas 1/2 - 3"/>
    <s v="Total"/>
    <x v="2"/>
    <x v="0"/>
    <x v="2"/>
    <x v="0"/>
    <n v="41999.99"/>
    <n v="41999.99"/>
    <n v="26.923070512820512"/>
    <m/>
    <m/>
    <s v="21"/>
    <x v="771"/>
    <x v="0"/>
  </r>
  <r>
    <x v="67"/>
    <x v="212"/>
    <s v="Registro de marca (Macarena)"/>
    <s v="Total"/>
    <x v="3"/>
    <x v="0"/>
    <x v="0"/>
    <x v="0"/>
    <n v="360723.4"/>
    <n v="360723.4"/>
    <n v="231.23294871794874"/>
    <m/>
    <m/>
    <s v="24"/>
    <x v="0"/>
    <x v="0"/>
  </r>
  <r>
    <x v="69"/>
    <x v="212"/>
    <s v="20 codigos de barra"/>
    <s v="Total"/>
    <x v="1"/>
    <x v="0"/>
    <x v="0"/>
    <x v="0"/>
    <n v="195505.75"/>
    <n v="195505.75"/>
    <n v="125.32419871794872"/>
    <m/>
    <m/>
    <s v="31"/>
    <x v="772"/>
    <x v="0"/>
  </r>
  <r>
    <x v="19"/>
    <x v="212"/>
    <s v="Codigos de barra"/>
    <s v="Total"/>
    <x v="1"/>
    <x v="0"/>
    <x v="0"/>
    <x v="0"/>
    <n v="110624.25"/>
    <n v="110624.25"/>
    <n v="70.912980769230771"/>
    <m/>
    <m/>
    <s v="50"/>
    <x v="773"/>
    <x v="0"/>
  </r>
  <r>
    <x v="22"/>
    <x v="212"/>
    <s v="Codigos de barra"/>
    <s v="Total"/>
    <x v="1"/>
    <x v="0"/>
    <x v="0"/>
    <x v="0"/>
    <n v="108295"/>
    <n v="108295"/>
    <n v="69.419871794871796"/>
    <m/>
    <m/>
    <s v="23"/>
    <x v="774"/>
    <x v="0"/>
  </r>
  <r>
    <x v="49"/>
    <x v="213"/>
    <s v="Flete Pepinitos"/>
    <s v="Parcial"/>
    <x v="0"/>
    <x v="0"/>
    <x v="1"/>
    <x v="0"/>
    <n v="3944850"/>
    <n v="3944850"/>
    <n v="2528.75"/>
    <s v="CH 20 Días"/>
    <d v="2025-07-19T00:00:00"/>
    <n v="29"/>
    <x v="775"/>
    <x v="0"/>
  </r>
  <r>
    <x v="76"/>
    <x v="213"/>
    <s v="Flete Impo 196"/>
    <s v="Total"/>
    <x v="1"/>
    <x v="0"/>
    <x v="1"/>
    <x v="0"/>
    <n v="7683500"/>
    <n v="7683500"/>
    <n v="4925.3205128205127"/>
    <s v="30-45"/>
    <m/>
    <s v="12"/>
    <x v="776"/>
    <x v="0"/>
  </r>
  <r>
    <x v="68"/>
    <x v="213"/>
    <s v="Flete Aceituna Egipto"/>
    <s v="Parcial"/>
    <x v="1"/>
    <x v="0"/>
    <x v="0"/>
    <x v="0"/>
    <n v="1739306.88"/>
    <n v="1739306.88"/>
    <n v="1114.9403076923077"/>
    <s v="Pago 16/06/2025"/>
    <m/>
    <s v="23"/>
    <x v="777"/>
    <x v="0"/>
  </r>
  <r>
    <x v="67"/>
    <x v="214"/>
    <s v="Gasto puerto por estadia diaria"/>
    <s v="Total"/>
    <x v="0"/>
    <x v="0"/>
    <x v="0"/>
    <x v="0"/>
    <n v="7559402"/>
    <n v="7559402"/>
    <n v="4845.7705128205125"/>
    <m/>
    <m/>
    <s v="24"/>
    <x v="0"/>
    <x v="0"/>
  </r>
  <r>
    <x v="35"/>
    <x v="215"/>
    <s v="Caminos y sabores"/>
    <s v="Total"/>
    <x v="1"/>
    <x v="0"/>
    <x v="1"/>
    <x v="0"/>
    <n v="1984540.96"/>
    <n v="1984540.96"/>
    <n v="1272.1416410256411"/>
    <m/>
    <d v="2026-07-20T00:00:00"/>
    <n v="30"/>
    <x v="778"/>
    <x v="0"/>
  </r>
  <r>
    <x v="35"/>
    <x v="215"/>
    <s v="Caminos y sabores"/>
    <s v="Total"/>
    <x v="1"/>
    <x v="0"/>
    <x v="1"/>
    <x v="0"/>
    <n v="1984540.96"/>
    <n v="1984540.96"/>
    <n v="1272.1416410256411"/>
    <m/>
    <d v="2026-08-20T00:00:00"/>
    <n v="34"/>
    <x v="778"/>
    <x v="0"/>
  </r>
  <r>
    <x v="35"/>
    <x v="215"/>
    <s v="Caminos y sabores"/>
    <s v="Total"/>
    <x v="1"/>
    <x v="0"/>
    <x v="1"/>
    <x v="0"/>
    <n v="1984540.96"/>
    <n v="1984540.96"/>
    <n v="1272.1416410256411"/>
    <m/>
    <d v="2026-09-20T00:00:00"/>
    <n v="39"/>
    <x v="778"/>
    <x v="0"/>
  </r>
  <r>
    <x v="35"/>
    <x v="215"/>
    <s v="Caminos y sabores"/>
    <s v="Total"/>
    <x v="1"/>
    <x v="0"/>
    <x v="1"/>
    <x v="0"/>
    <n v="1984540.96"/>
    <n v="1984540.96"/>
    <n v="1272.1416410256411"/>
    <m/>
    <d v="2026-10-20T00:00:00"/>
    <n v="43"/>
    <x v="778"/>
    <x v="0"/>
  </r>
  <r>
    <x v="35"/>
    <x v="215"/>
    <s v="Caminos y sabores"/>
    <s v="Total"/>
    <x v="1"/>
    <x v="0"/>
    <x v="1"/>
    <x v="0"/>
    <n v="1984540.96"/>
    <n v="1984540.96"/>
    <n v="1272.1416410256411"/>
    <m/>
    <d v="2026-11-20T00:00:00"/>
    <n v="47"/>
    <x v="778"/>
    <x v="0"/>
  </r>
  <r>
    <x v="35"/>
    <x v="215"/>
    <s v="Caminos y sabores"/>
    <s v="Total"/>
    <x v="1"/>
    <x v="0"/>
    <x v="1"/>
    <x v="0"/>
    <n v="1984541"/>
    <n v="1984541"/>
    <n v="1272.1416666666667"/>
    <m/>
    <d v="2026-12-20T00:00:00"/>
    <n v="52"/>
    <x v="778"/>
    <x v="0"/>
  </r>
  <r>
    <x v="35"/>
    <x v="215"/>
    <s v="Caminos y sabores"/>
    <s v="Total"/>
    <x v="1"/>
    <x v="0"/>
    <x v="1"/>
    <x v="0"/>
    <n v="198755.8"/>
    <n v="198755.8"/>
    <n v="127.40756410256409"/>
    <s v="Retenciones"/>
    <m/>
    <s v="27"/>
    <x v="778"/>
    <x v="0"/>
  </r>
  <r>
    <x v="56"/>
    <x v="216"/>
    <s v="AS"/>
    <s v="Total"/>
    <x v="2"/>
    <x v="0"/>
    <x v="2"/>
    <x v="0"/>
    <n v="131421"/>
    <n v="131421"/>
    <n v="84.244230769230768"/>
    <m/>
    <m/>
    <s v="11"/>
    <x v="779"/>
    <x v="0"/>
  </r>
  <r>
    <x v="13"/>
    <x v="217"/>
    <s v="Acople / sacamuestra - Planta de aceite /  bodega"/>
    <s v="Total"/>
    <x v="1"/>
    <x v="0"/>
    <x v="0"/>
    <x v="0"/>
    <n v="528495.75"/>
    <n v="528495.75"/>
    <n v="338.77932692307695"/>
    <m/>
    <m/>
    <s v="07"/>
    <x v="780"/>
    <x v="0"/>
  </r>
  <r>
    <x v="24"/>
    <x v="217"/>
    <s v="Pedido planta - Materiales Inox reparacion de balanzas"/>
    <s v="Total"/>
    <x v="1"/>
    <x v="0"/>
    <x v="1"/>
    <x v="0"/>
    <n v="654384.94999999995"/>
    <n v="654384.94999999995"/>
    <n v="419.47753205128203"/>
    <m/>
    <d v="2026-04-30T00:00:00"/>
    <n v="18"/>
    <x v="781"/>
    <x v="0"/>
  </r>
  <r>
    <x v="24"/>
    <x v="217"/>
    <s v="Pedido planta - Materiales Inox reparacion de balanzas"/>
    <s v="Total"/>
    <x v="1"/>
    <x v="0"/>
    <x v="1"/>
    <x v="0"/>
    <n v="6442.75"/>
    <n v="6442.75"/>
    <n v="4.1299679487179484"/>
    <s v="Retenciones"/>
    <m/>
    <s v="14"/>
    <x v="781"/>
    <x v="0"/>
  </r>
  <r>
    <x v="23"/>
    <x v="217"/>
    <s v="Acoples - Planta de aceite"/>
    <s v="Total"/>
    <x v="1"/>
    <x v="0"/>
    <x v="1"/>
    <x v="1"/>
    <n v="405.65"/>
    <n v="632814"/>
    <n v="405.65"/>
    <m/>
    <m/>
    <s v="18"/>
    <x v="782"/>
    <x v="0"/>
  </r>
  <r>
    <x v="21"/>
    <x v="218"/>
    <s v="Reparacion Bomba Inyectora motor Toyota"/>
    <s v="Total"/>
    <x v="1"/>
    <x v="0"/>
    <x v="1"/>
    <x v="0"/>
    <n v="124400"/>
    <n v="124400"/>
    <n v="79.743589743589737"/>
    <m/>
    <m/>
    <s v="28"/>
    <x v="783"/>
    <x v="0"/>
  </r>
  <r>
    <x v="21"/>
    <x v="218"/>
    <s v="Reparacion Bomba Inyectora motor Toyota"/>
    <s v="Total"/>
    <x v="1"/>
    <x v="0"/>
    <x v="1"/>
    <x v="0"/>
    <n v="290000"/>
    <n v="290000"/>
    <n v="185.89743589743588"/>
    <m/>
    <d v="2025-07-21T00:00:00"/>
    <n v="30"/>
    <x v="783"/>
    <x v="0"/>
  </r>
  <r>
    <x v="21"/>
    <x v="218"/>
    <s v="Reparacion Bomba Inyectora motor Toyota"/>
    <s v="Total"/>
    <x v="1"/>
    <x v="0"/>
    <x v="1"/>
    <x v="0"/>
    <n v="435600"/>
    <n v="435600"/>
    <n v="279.23076923076923"/>
    <m/>
    <d v="2025-07-17T00:00:00"/>
    <n v="29"/>
    <x v="783"/>
    <x v="0"/>
  </r>
  <r>
    <x v="18"/>
    <x v="219"/>
    <s v="Producto - Dormex  (solicito Floriana)"/>
    <s v="Total"/>
    <x v="1"/>
    <x v="0"/>
    <x v="1"/>
    <x v="0"/>
    <n v="800000"/>
    <n v="800000"/>
    <n v="512.82051282051282"/>
    <m/>
    <d v="2025-09-20T00:00:00"/>
    <n v="38"/>
    <x v="784"/>
    <x v="0"/>
  </r>
  <r>
    <x v="18"/>
    <x v="219"/>
    <s v="Producto - Dormex  (solicito Floriana)"/>
    <s v="Total"/>
    <x v="1"/>
    <x v="0"/>
    <x v="0"/>
    <x v="0"/>
    <n v="140736.29999999999"/>
    <n v="140736.29999999999"/>
    <n v="90.21557692307691"/>
    <m/>
    <m/>
    <s v="39"/>
    <x v="784"/>
    <x v="0"/>
  </r>
  <r>
    <x v="19"/>
    <x v="220"/>
    <m/>
    <s v="Total"/>
    <x v="1"/>
    <x v="0"/>
    <x v="0"/>
    <x v="0"/>
    <n v="51931.91"/>
    <n v="51931.91"/>
    <n v="33.289685897435902"/>
    <m/>
    <m/>
    <s v="50"/>
    <x v="785"/>
    <x v="0"/>
  </r>
  <r>
    <x v="22"/>
    <x v="221"/>
    <s v="Flete cosecha 2026"/>
    <s v="Total"/>
    <x v="2"/>
    <x v="1"/>
    <x v="2"/>
    <x v="0"/>
    <n v="400000"/>
    <n v="400000"/>
    <n v="256.41025641025641"/>
    <m/>
    <m/>
    <s v="23"/>
    <x v="786"/>
    <x v="0"/>
  </r>
  <r>
    <x v="44"/>
    <x v="221"/>
    <s v="Fletes campaña 2026"/>
    <s v="Total"/>
    <x v="0"/>
    <x v="1"/>
    <x v="2"/>
    <x v="0"/>
    <n v="656200"/>
    <n v="656200"/>
    <n v="420.64102564102564"/>
    <m/>
    <m/>
    <s v="31"/>
    <x v="787"/>
    <x v="0"/>
  </r>
  <r>
    <x v="36"/>
    <x v="222"/>
    <s v="Desagote pozo casa Doctor (Quincho)"/>
    <s v="Total"/>
    <x v="2"/>
    <x v="1"/>
    <x v="2"/>
    <x v="0"/>
    <n v="150000"/>
    <n v="150000"/>
    <n v="96.15384615384616"/>
    <m/>
    <m/>
    <s v="28"/>
    <x v="788"/>
    <x v="0"/>
  </r>
  <r>
    <x v="5"/>
    <x v="223"/>
    <s v="Aridos"/>
    <s v="Total"/>
    <x v="1"/>
    <x v="0"/>
    <x v="0"/>
    <x v="0"/>
    <n v="643943.4"/>
    <n v="643943.4"/>
    <n v="412.78423076923076"/>
    <m/>
    <m/>
    <s v="34"/>
    <x v="34"/>
    <x v="0"/>
  </r>
  <r>
    <x v="13"/>
    <x v="223"/>
    <m/>
    <s v="Total"/>
    <x v="3"/>
    <x v="0"/>
    <x v="0"/>
    <x v="0"/>
    <n v="242000"/>
    <n v="242000"/>
    <n v="155.12820512820514"/>
    <m/>
    <m/>
    <s v="07"/>
    <x v="789"/>
    <x v="0"/>
  </r>
  <r>
    <x v="62"/>
    <x v="223"/>
    <s v="Alquiler Grua - Planta de aceite  "/>
    <s v="Total"/>
    <x v="1"/>
    <x v="0"/>
    <x v="1"/>
    <x v="0"/>
    <n v="1071671.7"/>
    <n v="1071671.7"/>
    <n v="686.96903846153839"/>
    <m/>
    <d v="2026-06-05T00:00:00"/>
    <n v="23"/>
    <x v="790"/>
    <x v="0"/>
  </r>
  <r>
    <x v="62"/>
    <x v="223"/>
    <s v="Alquiler Grua - Planta de aceite  "/>
    <s v="Total"/>
    <x v="1"/>
    <x v="0"/>
    <x v="1"/>
    <x v="0"/>
    <n v="1071671.7"/>
    <n v="1071671.7"/>
    <n v="686.96903846153839"/>
    <m/>
    <d v="2026-07-05T00:00:00"/>
    <n v="28"/>
    <x v="790"/>
    <x v="0"/>
  </r>
  <r>
    <x v="62"/>
    <x v="223"/>
    <s v="Alquiler Grua - Planta de aceite  "/>
    <s v="Total"/>
    <x v="1"/>
    <x v="0"/>
    <x v="1"/>
    <x v="0"/>
    <n v="34656.6"/>
    <n v="34656.6"/>
    <n v="22.215769230769229"/>
    <s v="Retenciones"/>
    <m/>
    <s v="19"/>
    <x v="790"/>
    <x v="0"/>
  </r>
  <r>
    <x v="16"/>
    <x v="223"/>
    <s v="Alquiler de Grua - Tanques planta de aceite"/>
    <s v="Total"/>
    <x v="1"/>
    <x v="0"/>
    <x v="1"/>
    <x v="0"/>
    <n v="1139000"/>
    <n v="1139000"/>
    <n v="730.12820512820508"/>
    <m/>
    <d v="2026-11-14T00:00:00"/>
    <n v="46"/>
    <x v="791"/>
    <x v="0"/>
  </r>
  <r>
    <x v="16"/>
    <x v="223"/>
    <s v="Alquiler de Grua - Tanques planta de aceite"/>
    <s v="Total"/>
    <x v="1"/>
    <x v="0"/>
    <x v="0"/>
    <x v="0"/>
    <n v="290343.40000000002"/>
    <n v="290343.40000000002"/>
    <n v="186.11756410256413"/>
    <m/>
    <m/>
    <s v="43"/>
    <x v="791"/>
    <x v="0"/>
  </r>
  <r>
    <x v="16"/>
    <x v="223"/>
    <s v="Alquiler de Grua - Tanques planta de aceite"/>
    <s v="Total"/>
    <x v="1"/>
    <x v="0"/>
    <x v="1"/>
    <x v="0"/>
    <n v="22656.6"/>
    <n v="22656.6"/>
    <n v="14.523461538461538"/>
    <m/>
    <m/>
    <s v="43"/>
    <x v="791"/>
    <x v="0"/>
  </r>
  <r>
    <x v="42"/>
    <x v="224"/>
    <s v="Flete cosecha 2026"/>
    <s v="Total"/>
    <x v="2"/>
    <x v="1"/>
    <x v="2"/>
    <x v="0"/>
    <n v="400000"/>
    <n v="400000"/>
    <n v="256.41025641025641"/>
    <m/>
    <m/>
    <s v="24"/>
    <x v="792"/>
    <x v="0"/>
  </r>
  <r>
    <x v="43"/>
    <x v="224"/>
    <s v="Flete arbequina plana de aceite 2026"/>
    <s v="Total"/>
    <x v="2"/>
    <x v="1"/>
    <x v="2"/>
    <x v="0"/>
    <n v="500000"/>
    <n v="500000"/>
    <n v="320.5128205128205"/>
    <m/>
    <m/>
    <s v="26"/>
    <x v="793"/>
    <x v="0"/>
  </r>
  <r>
    <x v="45"/>
    <x v="224"/>
    <s v="Flete campaña 2026"/>
    <s v="Total"/>
    <x v="2"/>
    <x v="1"/>
    <x v="2"/>
    <x v="0"/>
    <n v="400000"/>
    <n v="400000"/>
    <n v="256.41025641025641"/>
    <m/>
    <m/>
    <s v="25"/>
    <x v="794"/>
    <x v="0"/>
  </r>
  <r>
    <x v="82"/>
    <x v="225"/>
    <s v="Servicio de gomeria"/>
    <s v="Total"/>
    <x v="1"/>
    <x v="0"/>
    <x v="2"/>
    <x v="0"/>
    <n v="35000"/>
    <n v="35000"/>
    <n v="22.435897435897434"/>
    <m/>
    <m/>
    <s v="15"/>
    <x v="0"/>
    <x v="0"/>
  </r>
  <r>
    <x v="55"/>
    <x v="225"/>
    <s v="Servicio Gomeria"/>
    <s v="Total"/>
    <x v="1"/>
    <x v="1"/>
    <x v="2"/>
    <x v="0"/>
    <n v="40000"/>
    <n v="40000"/>
    <n v="25.641025641025642"/>
    <m/>
    <m/>
    <s v="19"/>
    <x v="795"/>
    <x v="0"/>
  </r>
  <r>
    <x v="28"/>
    <x v="225"/>
    <s v="Reparacion de cubierta"/>
    <s v="Total"/>
    <x v="1"/>
    <x v="1"/>
    <x v="2"/>
    <x v="0"/>
    <n v="30000"/>
    <n v="30000"/>
    <n v="19.23076923076923"/>
    <m/>
    <m/>
    <s v="40"/>
    <x v="796"/>
    <x v="0"/>
  </r>
  <r>
    <x v="73"/>
    <x v="225"/>
    <s v="Servicio de gomeria - reparacion 2 cubiertas de tractor + camara"/>
    <s v="Total"/>
    <x v="2"/>
    <x v="1"/>
    <x v="2"/>
    <x v="0"/>
    <n v="100000"/>
    <n v="100000"/>
    <n v="64.102564102564102"/>
    <m/>
    <m/>
    <s v="10"/>
    <x v="797"/>
    <x v="0"/>
  </r>
  <r>
    <x v="20"/>
    <x v="226"/>
    <s v="Reparación compresor - Los cerrillos"/>
    <s v="Total"/>
    <x v="1"/>
    <x v="0"/>
    <x v="0"/>
    <x v="0"/>
    <n v="301980"/>
    <n v="301980"/>
    <n v="193.57692307692307"/>
    <m/>
    <m/>
    <s v="15"/>
    <x v="798"/>
    <x v="0"/>
  </r>
  <r>
    <x v="20"/>
    <x v="226"/>
    <s v="Reparación compresor - Los cerrillos"/>
    <s v="Total"/>
    <x v="1"/>
    <x v="0"/>
    <x v="0"/>
    <x v="0"/>
    <n v="520"/>
    <n v="520"/>
    <n v="0.33333333333333331"/>
    <s v="Retenciones"/>
    <m/>
    <s v="15"/>
    <x v="798"/>
    <x v="0"/>
  </r>
  <r>
    <x v="57"/>
    <x v="226"/>
    <s v="Reparación compresor - Los cerrillos"/>
    <s v="Total"/>
    <x v="1"/>
    <x v="0"/>
    <x v="0"/>
    <x v="0"/>
    <n v="301980"/>
    <n v="301980"/>
    <n v="193.57692307692307"/>
    <m/>
    <m/>
    <s v="16"/>
    <x v="798"/>
    <x v="0"/>
  </r>
  <r>
    <x v="57"/>
    <x v="226"/>
    <s v="Reparación compresor - Los cerrillos"/>
    <s v="Total"/>
    <x v="1"/>
    <x v="0"/>
    <x v="0"/>
    <x v="0"/>
    <n v="520"/>
    <n v="520"/>
    <n v="0.33333333333333331"/>
    <s v="Retenciones"/>
    <m/>
    <s v="16"/>
    <x v="798"/>
    <x v="0"/>
  </r>
  <r>
    <x v="47"/>
    <x v="226"/>
    <s v="Reparacion compresor Julio T"/>
    <s v="Total"/>
    <x v="1"/>
    <x v="0"/>
    <x v="1"/>
    <x v="0"/>
    <n v="100000"/>
    <n v="100000"/>
    <n v="64.102564102564102"/>
    <m/>
    <d v="2026-06-05T00:00:00"/>
    <n v="23"/>
    <x v="799"/>
    <x v="0"/>
  </r>
  <r>
    <x v="47"/>
    <x v="226"/>
    <s v="Reparacion compresor Julio T"/>
    <s v="Total"/>
    <x v="1"/>
    <x v="0"/>
    <x v="1"/>
    <x v="0"/>
    <n v="100000"/>
    <n v="100000"/>
    <n v="64.102564102564102"/>
    <m/>
    <d v="2026-06-26T00:00:00"/>
    <n v="26"/>
    <x v="799"/>
    <x v="0"/>
  </r>
  <r>
    <x v="47"/>
    <x v="226"/>
    <s v="Reparacion compresor Julio T"/>
    <s v="Total"/>
    <x v="2"/>
    <x v="0"/>
    <x v="2"/>
    <x v="0"/>
    <n v="102500"/>
    <n v="102500"/>
    <n v="65.705128205128204"/>
    <m/>
    <m/>
    <s v="20"/>
    <x v="800"/>
    <x v="0"/>
  </r>
  <r>
    <x v="34"/>
    <x v="226"/>
    <s v="Reparación compresor los cerrillos"/>
    <s v="Total"/>
    <x v="1"/>
    <x v="0"/>
    <x v="2"/>
    <x v="0"/>
    <n v="301980"/>
    <n v="301980"/>
    <n v="193.57692307692307"/>
    <m/>
    <m/>
    <s v="21"/>
    <x v="798"/>
    <x v="0"/>
  </r>
  <r>
    <x v="34"/>
    <x v="226"/>
    <s v="Reparación compresor los cerrillos"/>
    <s v="Total"/>
    <x v="1"/>
    <x v="0"/>
    <x v="2"/>
    <x v="0"/>
    <n v="520"/>
    <n v="520"/>
    <n v="0.33333333333333331"/>
    <s v="Retenciones"/>
    <m/>
    <s v="21"/>
    <x v="798"/>
    <x v="0"/>
  </r>
  <r>
    <x v="5"/>
    <x v="227"/>
    <s v="Service camioneta Nissan"/>
    <s v="Total"/>
    <x v="1"/>
    <x v="0"/>
    <x v="0"/>
    <x v="0"/>
    <n v="722700"/>
    <n v="722700"/>
    <n v="463.26923076923077"/>
    <m/>
    <m/>
    <s v="34"/>
    <x v="0"/>
    <x v="0"/>
  </r>
  <r>
    <x v="63"/>
    <x v="227"/>
    <s v="Reparación y service Nissan Frontier "/>
    <s v="Total"/>
    <x v="1"/>
    <x v="0"/>
    <x v="0"/>
    <x v="0"/>
    <n v="724883.09"/>
    <n v="724883.09"/>
    <n v="464.66864743589741"/>
    <m/>
    <m/>
    <s v="44"/>
    <x v="801"/>
    <x v="0"/>
  </r>
  <r>
    <x v="13"/>
    <x v="228"/>
    <s v="Saldo periodo 12/25"/>
    <s v="Total"/>
    <x v="3"/>
    <x v="1"/>
    <x v="1"/>
    <x v="0"/>
    <n v="100000"/>
    <n v="100000"/>
    <n v="64.102564102564102"/>
    <m/>
    <d v="2026-03-10T00:00:00"/>
    <n v="11"/>
    <x v="802"/>
    <x v="0"/>
  </r>
  <r>
    <x v="13"/>
    <x v="228"/>
    <s v="Saldo periodo 12/25"/>
    <s v="Total"/>
    <x v="3"/>
    <x v="1"/>
    <x v="1"/>
    <x v="0"/>
    <n v="350000"/>
    <n v="350000"/>
    <n v="224.35897435897436"/>
    <m/>
    <d v="2026-03-06T00:00:00"/>
    <n v="10"/>
    <x v="802"/>
    <x v="0"/>
  </r>
  <r>
    <x v="13"/>
    <x v="228"/>
    <s v="Saldo periodo 12/25"/>
    <s v="Total"/>
    <x v="3"/>
    <x v="1"/>
    <x v="1"/>
    <x v="0"/>
    <n v="550000"/>
    <n v="550000"/>
    <n v="352.56410256410254"/>
    <m/>
    <d v="2026-03-06T00:00:00"/>
    <n v="10"/>
    <x v="802"/>
    <x v="0"/>
  </r>
  <r>
    <x v="13"/>
    <x v="228"/>
    <s v="Saldo periodo 12/25"/>
    <s v="Total"/>
    <x v="3"/>
    <x v="1"/>
    <x v="2"/>
    <x v="0"/>
    <n v="154700"/>
    <n v="154700"/>
    <n v="99.166666666666671"/>
    <m/>
    <m/>
    <s v="07"/>
    <x v="802"/>
    <x v="0"/>
  </r>
  <r>
    <x v="3"/>
    <x v="204"/>
    <s v="Campaña 2025"/>
    <s v="Total"/>
    <x v="7"/>
    <x v="1"/>
    <x v="1"/>
    <x v="1"/>
    <n v="57969.24"/>
    <n v="90432014.399999991"/>
    <n v="57969.239999999991"/>
    <m/>
    <m/>
    <s v="44"/>
    <x v="0"/>
    <x v="1"/>
  </r>
  <r>
    <x v="68"/>
    <x v="229"/>
    <s v="Honorarios"/>
    <s v="Total"/>
    <x v="3"/>
    <x v="0"/>
    <x v="0"/>
    <x v="0"/>
    <n v="220296.81"/>
    <n v="220296.81"/>
    <n v="141.21590384615385"/>
    <m/>
    <m/>
    <s v="23"/>
    <x v="560"/>
    <x v="0"/>
  </r>
  <r>
    <x v="26"/>
    <x v="229"/>
    <s v="Honorarios profesionales"/>
    <s v="Total"/>
    <x v="3"/>
    <x v="0"/>
    <x v="0"/>
    <x v="0"/>
    <n v="259141.42"/>
    <n v="259141.42"/>
    <n v="166.11629487179488"/>
    <m/>
    <m/>
    <s v="29"/>
    <x v="803"/>
    <x v="0"/>
  </r>
  <r>
    <x v="5"/>
    <x v="229"/>
    <s v="Servicio camas "/>
    <s v="Total"/>
    <x v="3"/>
    <x v="0"/>
    <x v="0"/>
    <x v="0"/>
    <n v="207827.18"/>
    <n v="207827.18"/>
    <n v="133.22255128205128"/>
    <m/>
    <m/>
    <s v="34"/>
    <x v="34"/>
    <x v="0"/>
  </r>
  <r>
    <x v="5"/>
    <x v="229"/>
    <s v="Servicio camas "/>
    <s v="Total"/>
    <x v="3"/>
    <x v="0"/>
    <x v="0"/>
    <x v="0"/>
    <n v="515139.81"/>
    <n v="515139.81"/>
    <n v="330.21782692307693"/>
    <m/>
    <m/>
    <s v="34"/>
    <x v="0"/>
    <x v="0"/>
  </r>
  <r>
    <x v="18"/>
    <x v="229"/>
    <s v="Servicio camas "/>
    <s v="Total"/>
    <x v="3"/>
    <x v="0"/>
    <x v="0"/>
    <x v="0"/>
    <n v="268333.59000000003"/>
    <n v="268333.59000000003"/>
    <n v="172.00871153846157"/>
    <m/>
    <m/>
    <s v="39"/>
    <x v="804"/>
    <x v="0"/>
  </r>
  <r>
    <x v="6"/>
    <x v="229"/>
    <s v="Servicio camas "/>
    <s v="Total"/>
    <x v="3"/>
    <x v="0"/>
    <x v="0"/>
    <x v="0"/>
    <n v="271425.46000000002"/>
    <n v="271425.46000000002"/>
    <n v="173.99067948717951"/>
    <m/>
    <m/>
    <s v="41"/>
    <x v="805"/>
    <x v="0"/>
  </r>
  <r>
    <x v="19"/>
    <x v="229"/>
    <m/>
    <s v="Total"/>
    <x v="3"/>
    <x v="0"/>
    <x v="0"/>
    <x v="0"/>
    <n v="577754.77"/>
    <n v="577754.77"/>
    <n v="370.35562179487181"/>
    <m/>
    <m/>
    <s v="50"/>
    <x v="806"/>
    <x v="0"/>
  </r>
  <r>
    <x v="13"/>
    <x v="229"/>
    <s v="Honorarios profesionales "/>
    <s v="Total"/>
    <x v="3"/>
    <x v="0"/>
    <x v="0"/>
    <x v="0"/>
    <n v="316593.96999999997"/>
    <n v="316593.96999999997"/>
    <n v="202.94485256410255"/>
    <m/>
    <m/>
    <s v="07"/>
    <x v="807"/>
    <x v="0"/>
  </r>
  <r>
    <x v="20"/>
    <x v="229"/>
    <s v="Febrero"/>
    <s v="Total"/>
    <x v="3"/>
    <x v="0"/>
    <x v="0"/>
    <x v="0"/>
    <n v="310576.8"/>
    <n v="310576.8"/>
    <n v="199.08769230769229"/>
    <m/>
    <m/>
    <s v="15"/>
    <x v="808"/>
    <x v="0"/>
  </r>
  <r>
    <x v="20"/>
    <x v="229"/>
    <s v="Febrero"/>
    <s v="Total"/>
    <x v="3"/>
    <x v="0"/>
    <x v="0"/>
    <x v="0"/>
    <n v="3853.8"/>
    <n v="3853.8"/>
    <n v="2.4703846153846154"/>
    <s v="Retenciones"/>
    <m/>
    <s v="15"/>
    <x v="808"/>
    <x v="0"/>
  </r>
  <r>
    <x v="22"/>
    <x v="229"/>
    <s v="Marzo"/>
    <s v="Total"/>
    <x v="3"/>
    <x v="0"/>
    <x v="0"/>
    <x v="0"/>
    <n v="619810.19999999995"/>
    <n v="619810.19999999995"/>
    <n v="397.31423076923073"/>
    <m/>
    <m/>
    <s v="23"/>
    <x v="809"/>
    <x v="0"/>
  </r>
  <r>
    <x v="22"/>
    <x v="229"/>
    <s v="Marzo"/>
    <s v="Total"/>
    <x v="3"/>
    <x v="0"/>
    <x v="0"/>
    <x v="0"/>
    <n v="9051"/>
    <n v="9051"/>
    <n v="5.8019230769230772"/>
    <s v="Retenciones"/>
    <m/>
    <s v="23"/>
    <x v="809"/>
    <x v="0"/>
  </r>
  <r>
    <x v="3"/>
    <x v="209"/>
    <s v="Campaña 2025"/>
    <s v="Total"/>
    <x v="7"/>
    <x v="1"/>
    <x v="1"/>
    <x v="1"/>
    <n v="634"/>
    <n v="989040"/>
    <n v="634"/>
    <m/>
    <m/>
    <s v="44"/>
    <x v="0"/>
    <x v="1"/>
  </r>
  <r>
    <x v="16"/>
    <x v="229"/>
    <s v="Honorarios"/>
    <s v="Total"/>
    <x v="0"/>
    <x v="0"/>
    <x v="0"/>
    <x v="0"/>
    <n v="964699.08"/>
    <n v="964699.08"/>
    <n v="618.39684615384613"/>
    <m/>
    <m/>
    <s v="43"/>
    <x v="810"/>
    <x v="0"/>
  </r>
  <r>
    <x v="16"/>
    <x v="229"/>
    <s v="Honorarios"/>
    <s v="Total"/>
    <x v="0"/>
    <x v="0"/>
    <x v="0"/>
    <x v="0"/>
    <n v="14847.45"/>
    <n v="14847.45"/>
    <n v="9.5175961538461546"/>
    <s v="Retenciones"/>
    <m/>
    <s v="43"/>
    <x v="810"/>
    <x v="0"/>
  </r>
  <r>
    <x v="21"/>
    <x v="230"/>
    <s v="Pedido elementos de limpieza - Administracion - planta - bodega"/>
    <s v="Total"/>
    <x v="1"/>
    <x v="0"/>
    <x v="2"/>
    <x v="0"/>
    <n v="72840"/>
    <n v="72840"/>
    <n v="46.692307692307693"/>
    <m/>
    <m/>
    <s v="28"/>
    <x v="811"/>
    <x v="0"/>
  </r>
  <r>
    <x v="26"/>
    <x v="230"/>
    <s v="Pedido Limpieza - Planta - Bodega - Administracion"/>
    <s v="Total"/>
    <x v="2"/>
    <x v="0"/>
    <x v="2"/>
    <x v="0"/>
    <n v="72840"/>
    <n v="72840"/>
    <n v="46.692307692307693"/>
    <m/>
    <m/>
    <s v="29"/>
    <x v="811"/>
    <x v="0"/>
  </r>
  <r>
    <x v="60"/>
    <x v="230"/>
    <s v="Pedido Limpieza Planta / campo / Bodega"/>
    <s v="Total"/>
    <x v="2"/>
    <x v="0"/>
    <x v="2"/>
    <x v="0"/>
    <n v="284360"/>
    <n v="284360"/>
    <n v="182.28205128205127"/>
    <m/>
    <m/>
    <s v="37"/>
    <x v="812"/>
    <x v="0"/>
  </r>
  <r>
    <x v="29"/>
    <x v="230"/>
    <s v="Productos de limpieza "/>
    <s v="Total"/>
    <x v="2"/>
    <x v="0"/>
    <x v="2"/>
    <x v="0"/>
    <n v="201140"/>
    <n v="201140"/>
    <n v="128.93589743589743"/>
    <m/>
    <m/>
    <s v="42"/>
    <x v="813"/>
    <x v="0"/>
  </r>
  <r>
    <x v="15"/>
    <x v="230"/>
    <s v="Pedido Limpieza"/>
    <s v="Total"/>
    <x v="2"/>
    <x v="0"/>
    <x v="2"/>
    <x v="0"/>
    <n v="155750"/>
    <n v="155750"/>
    <n v="99.839743589743591"/>
    <m/>
    <m/>
    <s v="49"/>
    <x v="814"/>
    <x v="0"/>
  </r>
  <r>
    <x v="15"/>
    <x v="230"/>
    <s v="Pedido Limpieza"/>
    <s v="Total"/>
    <x v="2"/>
    <x v="0"/>
    <x v="2"/>
    <x v="0"/>
    <n v="241950"/>
    <n v="241950"/>
    <n v="155.09615384615384"/>
    <m/>
    <m/>
    <s v="49"/>
    <x v="815"/>
    <x v="0"/>
  </r>
  <r>
    <x v="15"/>
    <x v="230"/>
    <s v="Pedido Limpieza"/>
    <s v="Total"/>
    <x v="2"/>
    <x v="0"/>
    <x v="2"/>
    <x v="0"/>
    <n v="13050"/>
    <n v="13050"/>
    <n v="8.365384615384615"/>
    <m/>
    <m/>
    <s v="49"/>
    <x v="816"/>
    <x v="0"/>
  </r>
  <r>
    <x v="74"/>
    <x v="230"/>
    <s v="Productos de limpieza - Pedido Planta"/>
    <s v="Total"/>
    <x v="2"/>
    <x v="0"/>
    <x v="2"/>
    <x v="0"/>
    <n v="134480"/>
    <n v="134480"/>
    <n v="86.205128205128204"/>
    <m/>
    <m/>
    <s v="03"/>
    <x v="817"/>
    <x v="0"/>
  </r>
  <r>
    <x v="74"/>
    <x v="230"/>
    <s v="Alcohol - pedido bodega"/>
    <s v="Total"/>
    <x v="1"/>
    <x v="0"/>
    <x v="1"/>
    <x v="0"/>
    <n v="440000"/>
    <n v="440000"/>
    <n v="282.05128205128204"/>
    <m/>
    <d v="2026-01-25T00:00:00"/>
    <n v="5"/>
    <x v="818"/>
    <x v="0"/>
  </r>
  <r>
    <x v="59"/>
    <x v="230"/>
    <s v="Productos de limpieza"/>
    <s v="Total"/>
    <x v="2"/>
    <x v="0"/>
    <x v="2"/>
    <x v="0"/>
    <n v="273178"/>
    <n v="273178"/>
    <n v="175.11410256410255"/>
    <m/>
    <m/>
    <s v="06"/>
    <x v="819"/>
    <x v="0"/>
  </r>
  <r>
    <x v="31"/>
    <x v="230"/>
    <s v="Elementos de limpieza - Planta - Campo -  Bodega"/>
    <s v="Total"/>
    <x v="1"/>
    <x v="0"/>
    <x v="2"/>
    <x v="0"/>
    <n v="207201"/>
    <n v="207201"/>
    <n v="132.82115384615383"/>
    <m/>
    <m/>
    <s v="45"/>
    <x v="820"/>
    <x v="0"/>
  </r>
  <r>
    <x v="56"/>
    <x v="230"/>
    <s v="Productos de limpieza"/>
    <s v="Total"/>
    <x v="2"/>
    <x v="0"/>
    <x v="0"/>
    <x v="0"/>
    <n v="309530"/>
    <n v="309530"/>
    <n v="198.41666666666666"/>
    <m/>
    <m/>
    <s v="11"/>
    <x v="821"/>
    <x v="0"/>
  </r>
  <r>
    <x v="20"/>
    <x v="230"/>
    <s v="Pedido Limpieza - Planta - Bodega - Administracion"/>
    <s v="Total"/>
    <x v="2"/>
    <x v="0"/>
    <x v="2"/>
    <x v="0"/>
    <n v="133290"/>
    <n v="133290"/>
    <n v="85.442307692307693"/>
    <m/>
    <m/>
    <s v="15"/>
    <x v="822"/>
    <x v="0"/>
  </r>
  <r>
    <x v="53"/>
    <x v="230"/>
    <s v="Pedido Limpieza - Planta - Bodega - Administracion"/>
    <s v="Total"/>
    <x v="2"/>
    <x v="0"/>
    <x v="2"/>
    <x v="0"/>
    <n v="48819"/>
    <n v="48819"/>
    <n v="31.294230769230769"/>
    <m/>
    <m/>
    <s v="17"/>
    <x v="823"/>
    <x v="0"/>
  </r>
  <r>
    <x v="53"/>
    <x v="230"/>
    <s v="Pedido Limpieza - Planta - Bodega - Administracion"/>
    <s v="Total"/>
    <x v="2"/>
    <x v="0"/>
    <x v="2"/>
    <x v="0"/>
    <n v="169300"/>
    <n v="169300"/>
    <n v="108.52564102564102"/>
    <m/>
    <m/>
    <s v="17"/>
    <x v="824"/>
    <x v="0"/>
  </r>
  <r>
    <x v="23"/>
    <x v="230"/>
    <s v="Pedido Limpieza - Planta - Bodega - Administracion"/>
    <s v="Total"/>
    <x v="2"/>
    <x v="0"/>
    <x v="2"/>
    <x v="0"/>
    <n v="25060"/>
    <n v="25060"/>
    <n v="16.064102564102566"/>
    <m/>
    <m/>
    <s v="18"/>
    <x v="825"/>
    <x v="0"/>
  </r>
  <r>
    <x v="64"/>
    <x v="230"/>
    <s v="Pedido de limpieza "/>
    <s v="Total"/>
    <x v="1"/>
    <x v="0"/>
    <x v="1"/>
    <x v="0"/>
    <n v="444829.19"/>
    <n v="444829.19"/>
    <n v="285.14691666666664"/>
    <m/>
    <m/>
    <s v="22"/>
    <x v="826"/>
    <x v="0"/>
  </r>
  <r>
    <x v="64"/>
    <x v="230"/>
    <s v="Pedido de limpieza "/>
    <s v="Total"/>
    <x v="1"/>
    <x v="0"/>
    <x v="1"/>
    <x v="0"/>
    <n v="2920.83"/>
    <n v="2920.83"/>
    <n v="1.8723269230769231"/>
    <s v="Retenciones"/>
    <m/>
    <s v="22"/>
    <x v="826"/>
    <x v="0"/>
  </r>
  <r>
    <x v="43"/>
    <x v="230"/>
    <s v="Pedido limpieza - Planta - Campo - Administración"/>
    <s v="Total"/>
    <x v="1"/>
    <x v="0"/>
    <x v="1"/>
    <x v="0"/>
    <n v="356090.58"/>
    <n v="356090.58"/>
    <n v="228.26319230769232"/>
    <m/>
    <m/>
    <s v="26"/>
    <x v="827"/>
    <x v="0"/>
  </r>
  <r>
    <x v="43"/>
    <x v="230"/>
    <s v="Pedido limpieza - Planta - Campo - Administración"/>
    <s v="Total"/>
    <x v="1"/>
    <x v="0"/>
    <x v="1"/>
    <x v="0"/>
    <n v="1429.42"/>
    <n v="1429.42"/>
    <n v="0.91629487179487179"/>
    <s v="Retenciones"/>
    <m/>
    <s v="26"/>
    <x v="827"/>
    <x v="0"/>
  </r>
  <r>
    <x v="35"/>
    <x v="230"/>
    <s v="Jabon liquido para manos"/>
    <s v="Total"/>
    <x v="2"/>
    <x v="0"/>
    <x v="2"/>
    <x v="0"/>
    <n v="9500"/>
    <n v="9500"/>
    <n v="6.0897435897435894"/>
    <m/>
    <m/>
    <s v="27"/>
    <x v="828"/>
    <x v="0"/>
  </r>
  <r>
    <x v="36"/>
    <x v="230"/>
    <s v="Guantes descartables"/>
    <s v="Total"/>
    <x v="2"/>
    <x v="0"/>
    <x v="2"/>
    <x v="0"/>
    <n v="11000"/>
    <n v="11000"/>
    <n v="7.0512820512820511"/>
    <m/>
    <m/>
    <s v="28"/>
    <x v="829"/>
    <x v="0"/>
  </r>
  <r>
    <x v="58"/>
    <x v="230"/>
    <s v="Alcohol Etilico"/>
    <s v="Total"/>
    <x v="2"/>
    <x v="0"/>
    <x v="2"/>
    <x v="0"/>
    <n v="68400"/>
    <n v="68400"/>
    <n v="43.846153846153847"/>
    <m/>
    <m/>
    <s v="30"/>
    <x v="830"/>
    <x v="0"/>
  </r>
  <r>
    <x v="44"/>
    <x v="230"/>
    <s v="Pedido de limpieza "/>
    <s v="Total"/>
    <x v="2"/>
    <x v="0"/>
    <x v="2"/>
    <x v="0"/>
    <n v="162760"/>
    <n v="162760"/>
    <n v="104.33333333333333"/>
    <m/>
    <m/>
    <s v="31"/>
    <x v="831"/>
    <x v="0"/>
  </r>
  <r>
    <x v="11"/>
    <x v="230"/>
    <s v="Compra de elementos de limpieza"/>
    <s v="Total"/>
    <x v="2"/>
    <x v="0"/>
    <x v="2"/>
    <x v="0"/>
    <n v="249190"/>
    <n v="249190"/>
    <n v="159.73717948717947"/>
    <m/>
    <m/>
    <s v="37"/>
    <x v="832"/>
    <x v="0"/>
  </r>
  <r>
    <x v="11"/>
    <x v="230"/>
    <s v="Pedido farmacia - Antonio"/>
    <s v="Total"/>
    <x v="2"/>
    <x v="0"/>
    <x v="2"/>
    <x v="0"/>
    <n v="2400"/>
    <n v="2400"/>
    <n v="1.5384615384615385"/>
    <m/>
    <m/>
    <s v="37"/>
    <x v="833"/>
    <x v="0"/>
  </r>
  <r>
    <x v="54"/>
    <x v="230"/>
    <s v="Pedido de limpieza "/>
    <s v="Total"/>
    <x v="2"/>
    <x v="0"/>
    <x v="2"/>
    <x v="0"/>
    <n v="175850"/>
    <n v="175850"/>
    <n v="112.72435897435898"/>
    <m/>
    <m/>
    <s v="41"/>
    <x v="834"/>
    <x v="0"/>
  </r>
  <r>
    <x v="39"/>
    <x v="230"/>
    <s v="Pedido Casa Doctor"/>
    <s v="Total"/>
    <x v="2"/>
    <x v="0"/>
    <x v="2"/>
    <x v="0"/>
    <n v="51500"/>
    <n v="51500"/>
    <n v="33.012820512820511"/>
    <m/>
    <m/>
    <s v="38"/>
    <x v="835"/>
    <x v="0"/>
  </r>
  <r>
    <x v="16"/>
    <x v="231"/>
    <s v="Pedido Bodega - Alcohol Etilico"/>
    <s v="Total"/>
    <x v="2"/>
    <x v="0"/>
    <x v="2"/>
    <x v="0"/>
    <n v="53000"/>
    <n v="53000"/>
    <n v="33.974358974358971"/>
    <m/>
    <m/>
    <s v="43"/>
    <x v="836"/>
    <x v="0"/>
  </r>
  <r>
    <x v="16"/>
    <x v="231"/>
    <s v="Pedido Bodega - Alcohol Etilico"/>
    <s v="Total"/>
    <x v="2"/>
    <x v="0"/>
    <x v="2"/>
    <x v="0"/>
    <n v="159000"/>
    <n v="159000"/>
    <n v="101.92307692307692"/>
    <m/>
    <m/>
    <s v="43"/>
    <x v="837"/>
    <x v="0"/>
  </r>
  <r>
    <x v="54"/>
    <x v="232"/>
    <s v="Repuestos Hidrolavadora BTA"/>
    <s v="Total"/>
    <x v="1"/>
    <x v="0"/>
    <x v="0"/>
    <x v="0"/>
    <n v="361984"/>
    <n v="361984"/>
    <n v="232.04102564102564"/>
    <m/>
    <m/>
    <s v="41"/>
    <x v="838"/>
    <x v="0"/>
  </r>
  <r>
    <x v="54"/>
    <x v="232"/>
    <s v="Repuestos Hidrolavadora BTA"/>
    <s v="Total"/>
    <x v="1"/>
    <x v="0"/>
    <x v="0"/>
    <x v="0"/>
    <n v="2816"/>
    <n v="2816"/>
    <n v="1.8051282051282052"/>
    <m/>
    <m/>
    <s v="41"/>
    <x v="838"/>
    <x v="0"/>
  </r>
  <r>
    <x v="30"/>
    <x v="233"/>
    <s v="Alimento perros"/>
    <s v="Total"/>
    <x v="1"/>
    <x v="0"/>
    <x v="0"/>
    <x v="0"/>
    <n v="320000"/>
    <n v="320000"/>
    <n v="205.12820512820514"/>
    <m/>
    <m/>
    <s v="43"/>
    <x v="839"/>
    <x v="0"/>
  </r>
  <r>
    <x v="13"/>
    <x v="233"/>
    <m/>
    <s v="Total"/>
    <x v="3"/>
    <x v="0"/>
    <x v="0"/>
    <x v="0"/>
    <n v="196000.01"/>
    <n v="196000.01"/>
    <n v="125.64103205128205"/>
    <m/>
    <m/>
    <s v="07"/>
    <x v="840"/>
    <x v="0"/>
  </r>
  <r>
    <x v="20"/>
    <x v="233"/>
    <s v="Marzo"/>
    <s v="Total"/>
    <x v="3"/>
    <x v="0"/>
    <x v="0"/>
    <x v="0"/>
    <n v="446058.54"/>
    <n v="446058.54"/>
    <n v="285.93496153846155"/>
    <m/>
    <m/>
    <s v="15"/>
    <x v="841"/>
    <x v="0"/>
  </r>
  <r>
    <x v="20"/>
    <x v="233"/>
    <s v="Marzo"/>
    <s v="Total"/>
    <x v="3"/>
    <x v="0"/>
    <x v="0"/>
    <x v="0"/>
    <n v="2941.49"/>
    <n v="2941.49"/>
    <n v="1.8855705128205127"/>
    <s v="Retenciones"/>
    <m/>
    <s v="15"/>
    <x v="841"/>
    <x v="0"/>
  </r>
  <r>
    <x v="37"/>
    <x v="233"/>
    <s v="Comida perros casa doctor"/>
    <s v="Total"/>
    <x v="2"/>
    <x v="0"/>
    <x v="2"/>
    <x v="0"/>
    <n v="565058.54"/>
    <n v="565058.54"/>
    <n v="362.21701282051282"/>
    <m/>
    <m/>
    <s v="29"/>
    <x v="842"/>
    <x v="0"/>
  </r>
  <r>
    <x v="37"/>
    <x v="233"/>
    <s v="Comida perros casa doctor"/>
    <s v="Total"/>
    <x v="2"/>
    <x v="0"/>
    <x v="2"/>
    <x v="0"/>
    <n v="4941.49"/>
    <n v="4941.49"/>
    <n v="3.1676217948717946"/>
    <s v="Retenciones"/>
    <m/>
    <s v="29"/>
    <x v="842"/>
    <x v="0"/>
  </r>
  <r>
    <x v="54"/>
    <x v="233"/>
    <s v="Alimentos P/Perros - Casa Doc"/>
    <s v="Total"/>
    <x v="0"/>
    <x v="0"/>
    <x v="0"/>
    <x v="0"/>
    <n v="437207.29"/>
    <n v="437207.29"/>
    <n v="280.26108333333332"/>
    <m/>
    <m/>
    <s v="41"/>
    <x v="843"/>
    <x v="0"/>
  </r>
  <r>
    <x v="54"/>
    <x v="233"/>
    <s v="Alimentos P/Perros - Casa Doc"/>
    <s v="Total"/>
    <x v="0"/>
    <x v="0"/>
    <x v="0"/>
    <x v="0"/>
    <n v="2792.73"/>
    <n v="2792.73"/>
    <n v="1.7902115384615385"/>
    <s v="Retenciones"/>
    <m/>
    <s v="41"/>
    <x v="843"/>
    <x v="0"/>
  </r>
  <r>
    <x v="73"/>
    <x v="234"/>
    <s v="Trabajo en cava"/>
    <s v="Total"/>
    <x v="1"/>
    <x v="1"/>
    <x v="2"/>
    <x v="0"/>
    <n v="1000000"/>
    <n v="1000000"/>
    <n v="641.02564102564099"/>
    <m/>
    <m/>
    <s v="10"/>
    <x v="844"/>
    <x v="0"/>
  </r>
  <r>
    <x v="1"/>
    <x v="235"/>
    <s v="Tinglado de bodega"/>
    <s v="Total"/>
    <x v="1"/>
    <x v="1"/>
    <x v="2"/>
    <x v="0"/>
    <n v="1500000"/>
    <n v="1500000"/>
    <n v="961.53846153846155"/>
    <m/>
    <m/>
    <s v="21"/>
    <x v="845"/>
    <x v="0"/>
  </r>
  <r>
    <x v="68"/>
    <x v="235"/>
    <s v="Tinglado Bodega"/>
    <s v="Total"/>
    <x v="1"/>
    <x v="1"/>
    <x v="2"/>
    <x v="0"/>
    <n v="2000000"/>
    <n v="2000000"/>
    <n v="1282.051282051282"/>
    <m/>
    <m/>
    <s v="23"/>
    <x v="846"/>
    <x v="0"/>
  </r>
  <r>
    <x v="67"/>
    <x v="235"/>
    <s v="Tinglado Bodega"/>
    <s v="Total"/>
    <x v="1"/>
    <x v="1"/>
    <x v="2"/>
    <x v="0"/>
    <n v="500000"/>
    <n v="500000"/>
    <n v="320.5128205128205"/>
    <m/>
    <m/>
    <s v="24"/>
    <x v="847"/>
    <x v="0"/>
  </r>
  <r>
    <x v="62"/>
    <x v="236"/>
    <s v="Enzimas - Planta de aceite"/>
    <s v="Total"/>
    <x v="1"/>
    <x v="0"/>
    <x v="1"/>
    <x v="0"/>
    <n v="5000000"/>
    <n v="5000000"/>
    <n v="3205.1282051282051"/>
    <m/>
    <d v="2026-06-14T00:00:00"/>
    <n v="25"/>
    <x v="117"/>
    <x v="0"/>
  </r>
  <r>
    <x v="62"/>
    <x v="236"/>
    <s v="Enzimas - Planta de aceite"/>
    <s v="Total"/>
    <x v="1"/>
    <x v="0"/>
    <x v="1"/>
    <x v="0"/>
    <n v="4816306.6500000004"/>
    <n v="4816306.6500000004"/>
    <n v="3087.3760576923078"/>
    <m/>
    <d v="2026-06-13T00:00:00"/>
    <n v="24"/>
    <x v="117"/>
    <x v="0"/>
  </r>
  <r>
    <x v="62"/>
    <x v="236"/>
    <s v="Enzimas - Planta de aceite"/>
    <s v="Total"/>
    <x v="1"/>
    <x v="0"/>
    <x v="1"/>
    <x v="0"/>
    <n v="9934484.1600000001"/>
    <n v="9934484.1600000001"/>
    <n v="6368.2590769230774"/>
    <m/>
    <d v="2026-07-05T00:00:00"/>
    <n v="28"/>
    <x v="117"/>
    <x v="0"/>
  </r>
  <r>
    <x v="62"/>
    <x v="236"/>
    <s v="Enzimas - Planta de aceite"/>
    <s v="Total"/>
    <x v="1"/>
    <x v="0"/>
    <x v="1"/>
    <x v="0"/>
    <n v="327390.77"/>
    <n v="327390.77"/>
    <n v="209.86587820512821"/>
    <s v="Retenciones"/>
    <m/>
    <s v="19"/>
    <x v="117"/>
    <x v="0"/>
  </r>
  <r>
    <x v="14"/>
    <x v="237"/>
    <s v="Tienda Nube"/>
    <s v="Total"/>
    <x v="3"/>
    <x v="0"/>
    <x v="0"/>
    <x v="0"/>
    <n v="326325"/>
    <n v="326325"/>
    <n v="209.18269230769232"/>
    <m/>
    <m/>
    <s v="47"/>
    <x v="848"/>
    <x v="0"/>
  </r>
  <r>
    <x v="18"/>
    <x v="237"/>
    <s v="Tiendanube"/>
    <s v="Total"/>
    <x v="1"/>
    <x v="0"/>
    <x v="0"/>
    <x v="0"/>
    <n v="336630"/>
    <n v="336630"/>
    <n v="215.78846153846155"/>
    <m/>
    <m/>
    <s v="39"/>
    <x v="849"/>
    <x v="0"/>
  </r>
  <r>
    <x v="19"/>
    <x v="237"/>
    <s v="Tienda Nube"/>
    <s v="Total"/>
    <x v="1"/>
    <x v="0"/>
    <x v="0"/>
    <x v="0"/>
    <n v="335485"/>
    <n v="335485"/>
    <n v="215.05448717948718"/>
    <m/>
    <m/>
    <s v="50"/>
    <x v="850"/>
    <x v="0"/>
  </r>
  <r>
    <x v="50"/>
    <x v="237"/>
    <s v="Tienda nube"/>
    <s v="Total"/>
    <x v="3"/>
    <x v="0"/>
    <x v="0"/>
    <x v="0"/>
    <n v="333195"/>
    <n v="333195"/>
    <n v="213.58653846153845"/>
    <m/>
    <m/>
    <s v="04"/>
    <x v="851"/>
    <x v="0"/>
  </r>
  <r>
    <x v="56"/>
    <x v="237"/>
    <s v="Tienda Nube"/>
    <s v="Total"/>
    <x v="3"/>
    <x v="0"/>
    <x v="0"/>
    <x v="0"/>
    <n v="322890"/>
    <n v="322890"/>
    <n v="206.98076923076923"/>
    <m/>
    <m/>
    <s v="11"/>
    <x v="852"/>
    <x v="0"/>
  </r>
  <r>
    <x v="57"/>
    <x v="237"/>
    <s v="Tienda Nube Febrero"/>
    <s v="Total"/>
    <x v="3"/>
    <x v="0"/>
    <x v="0"/>
    <x v="0"/>
    <n v="322890"/>
    <n v="322890"/>
    <n v="206.98076923076923"/>
    <m/>
    <m/>
    <s v="16"/>
    <x v="853"/>
    <x v="0"/>
  </r>
  <r>
    <x v="22"/>
    <x v="237"/>
    <s v="Marzo"/>
    <s v="Total"/>
    <x v="3"/>
    <x v="0"/>
    <x v="0"/>
    <x v="0"/>
    <n v="320019.8"/>
    <n v="320019.8"/>
    <n v="205.14089743589741"/>
    <m/>
    <m/>
    <s v="23"/>
    <x v="854"/>
    <x v="0"/>
  </r>
  <r>
    <x v="22"/>
    <x v="237"/>
    <s v="Marzo"/>
    <s v="Total"/>
    <x v="3"/>
    <x v="0"/>
    <x v="0"/>
    <x v="0"/>
    <n v="5160.2"/>
    <n v="5160.2"/>
    <n v="3.3078205128205127"/>
    <s v="Retenciones"/>
    <m/>
    <s v="23"/>
    <x v="854"/>
    <x v="0"/>
  </r>
  <r>
    <x v="46"/>
    <x v="238"/>
    <s v="Expo"/>
    <s v="Total"/>
    <x v="1"/>
    <x v="0"/>
    <x v="0"/>
    <x v="0"/>
    <n v="6523750"/>
    <n v="6523750"/>
    <n v="4181.8910256410254"/>
    <m/>
    <m/>
    <s v="42"/>
    <x v="855"/>
    <x v="0"/>
  </r>
  <r>
    <x v="14"/>
    <x v="239"/>
    <m/>
    <s v="Total"/>
    <x v="1"/>
    <x v="0"/>
    <x v="0"/>
    <x v="0"/>
    <n v="78100"/>
    <n v="78100"/>
    <n v="50.064102564102562"/>
    <m/>
    <m/>
    <s v="47"/>
    <x v="856"/>
    <x v="0"/>
  </r>
  <r>
    <x v="42"/>
    <x v="240"/>
    <s v="Flete cosecha 2026"/>
    <s v="Total"/>
    <x v="2"/>
    <x v="1"/>
    <x v="2"/>
    <x v="0"/>
    <n v="400000"/>
    <n v="400000"/>
    <n v="256.41025641025641"/>
    <m/>
    <m/>
    <s v="24"/>
    <x v="857"/>
    <x v="0"/>
  </r>
  <r>
    <x v="43"/>
    <x v="240"/>
    <s v="Flete arbequina plana de aceite 2026"/>
    <s v="Total"/>
    <x v="2"/>
    <x v="1"/>
    <x v="2"/>
    <x v="0"/>
    <n v="504840"/>
    <n v="504840"/>
    <n v="323.61538461538464"/>
    <m/>
    <m/>
    <s v="26"/>
    <x v="858"/>
    <x v="0"/>
  </r>
  <r>
    <x v="43"/>
    <x v="240"/>
    <s v="Flete arbequina plana de aceite 2026"/>
    <s v="Total"/>
    <x v="1"/>
    <x v="1"/>
    <x v="2"/>
    <x v="0"/>
    <n v="551900"/>
    <n v="551900"/>
    <n v="353.78205128205127"/>
    <m/>
    <d v="2026-07-28T00:00:00"/>
    <n v="31"/>
    <x v="858"/>
    <x v="0"/>
  </r>
  <r>
    <x v="43"/>
    <x v="240"/>
    <s v="Flete arbequina plana de aceite 2026"/>
    <s v="Total"/>
    <x v="1"/>
    <x v="1"/>
    <x v="2"/>
    <x v="0"/>
    <n v="1000000"/>
    <n v="1000000"/>
    <n v="641.02564102564099"/>
    <m/>
    <d v="2026-07-23T00:00:00"/>
    <n v="30"/>
    <x v="858"/>
    <x v="0"/>
  </r>
  <r>
    <x v="58"/>
    <x v="240"/>
    <s v="Flete arbequina plana de aceite 2026"/>
    <s v="Total"/>
    <x v="2"/>
    <x v="1"/>
    <x v="2"/>
    <x v="0"/>
    <n v="380000"/>
    <n v="380000"/>
    <n v="243.58974358974359"/>
    <m/>
    <m/>
    <s v="30"/>
    <x v="859"/>
    <x v="0"/>
  </r>
  <r>
    <x v="1"/>
    <x v="241"/>
    <s v="Chapa galvanizada lisa - Planta de aceite"/>
    <s v="Total"/>
    <x v="1"/>
    <x v="0"/>
    <x v="0"/>
    <x v="0"/>
    <n v="49100"/>
    <n v="49100"/>
    <n v="31.474358974358974"/>
    <m/>
    <m/>
    <s v="21"/>
    <x v="860"/>
    <x v="0"/>
  </r>
  <r>
    <x v="21"/>
    <x v="241"/>
    <s v="Materiales salon de ventas"/>
    <s v="Total"/>
    <x v="1"/>
    <x v="0"/>
    <x v="0"/>
    <x v="0"/>
    <n v="377500"/>
    <n v="377500"/>
    <n v="241.98717948717947"/>
    <m/>
    <m/>
    <s v="28"/>
    <x v="861"/>
    <x v="0"/>
  </r>
  <r>
    <x v="9"/>
    <x v="241"/>
    <s v="Planchuela perforada - Departamento Maria M"/>
    <s v="Total"/>
    <x v="2"/>
    <x v="0"/>
    <x v="2"/>
    <x v="0"/>
    <n v="41400"/>
    <n v="41400"/>
    <n v="26.53846153846154"/>
    <m/>
    <m/>
    <s v="05"/>
    <x v="862"/>
    <x v="0"/>
  </r>
  <r>
    <x v="12"/>
    <x v="241"/>
    <s v="Bisagras puerta montacarga cava"/>
    <s v="Total"/>
    <x v="2"/>
    <x v="0"/>
    <x v="2"/>
    <x v="0"/>
    <n v="12600"/>
    <n v="12600"/>
    <n v="8.0769230769230766"/>
    <m/>
    <m/>
    <s v="33"/>
    <x v="863"/>
    <x v="0"/>
  </r>
  <r>
    <x v="10"/>
    <x v="242"/>
    <s v="Devolución Bomba 1Hp"/>
    <s v="Total"/>
    <x v="1"/>
    <x v="0"/>
    <x v="1"/>
    <x v="0"/>
    <n v="277755.5"/>
    <n v="277755.5"/>
    <n v="178.04839743589744"/>
    <m/>
    <d v="2025-12-15T00:00:00"/>
    <n v="51"/>
    <x v="864"/>
    <x v="0"/>
  </r>
  <r>
    <x v="16"/>
    <x v="243"/>
    <s v="Arranque suave pozo 19 los Cerrillos"/>
    <s v="Total"/>
    <x v="2"/>
    <x v="0"/>
    <x v="2"/>
    <x v="0"/>
    <n v="23983.88"/>
    <n v="23983.88"/>
    <n v="15.374282051282051"/>
    <m/>
    <m/>
    <s v="43"/>
    <x v="865"/>
    <x v="0"/>
  </r>
  <r>
    <x v="16"/>
    <x v="243"/>
    <s v="Arranque suave pozo 19 los Cerrillos"/>
    <s v="Total"/>
    <x v="2"/>
    <x v="0"/>
    <x v="2"/>
    <x v="0"/>
    <n v="1700000"/>
    <n v="1700000"/>
    <n v="1089.7435897435898"/>
    <m/>
    <d v="2026-11-17T00:00:00"/>
    <n v="47"/>
    <x v="865"/>
    <x v="0"/>
  </r>
  <r>
    <x v="16"/>
    <x v="243"/>
    <s v="Arranque suave pozo 19 los Cerrillos"/>
    <s v="Total"/>
    <x v="2"/>
    <x v="0"/>
    <x v="2"/>
    <x v="0"/>
    <n v="24419.23"/>
    <n v="24419.23"/>
    <n v="15.653352564102564"/>
    <m/>
    <m/>
    <s v="43"/>
    <x v="865"/>
    <x v="0"/>
  </r>
  <r>
    <x v="3"/>
    <x v="244"/>
    <s v="Campaña 2026"/>
    <s v="Total"/>
    <x v="5"/>
    <x v="1"/>
    <x v="1"/>
    <x v="1"/>
    <n v="162"/>
    <n v="252720"/>
    <n v="162"/>
    <m/>
    <m/>
    <s v="44"/>
    <x v="0"/>
    <x v="1"/>
  </r>
  <r>
    <x v="45"/>
    <x v="245"/>
    <s v="Rodamientos Marbett - pedido planta"/>
    <s v="Total"/>
    <x v="1"/>
    <x v="0"/>
    <x v="0"/>
    <x v="0"/>
    <n v="1926998.81"/>
    <n v="1926998.81"/>
    <n v="1235.2556474358976"/>
    <m/>
    <m/>
    <s v="25"/>
    <x v="866"/>
    <x v="0"/>
  </r>
  <r>
    <x v="45"/>
    <x v="245"/>
    <s v="Rodamientos Marbett - pedido planta"/>
    <s v="Total"/>
    <x v="1"/>
    <x v="0"/>
    <x v="0"/>
    <x v="0"/>
    <n v="1926998.81"/>
    <n v="1926998.81"/>
    <n v="1235.2556474358976"/>
    <m/>
    <m/>
    <s v="25"/>
    <x v="866"/>
    <x v="0"/>
  </r>
  <r>
    <x v="45"/>
    <x v="245"/>
    <s v="Rodamientos Marbett - pedido planta"/>
    <s v="Total"/>
    <x v="1"/>
    <x v="0"/>
    <x v="0"/>
    <x v="0"/>
    <n v="74081.58"/>
    <n v="74081.58"/>
    <n v="47.488192307692309"/>
    <s v="Retenciones"/>
    <m/>
    <s v="25"/>
    <x v="866"/>
    <x v="0"/>
  </r>
  <r>
    <x v="76"/>
    <x v="246"/>
    <s v="Insumos ventas - Baldes de 1.5 - 3 - 8 - 20"/>
    <s v="Total"/>
    <x v="1"/>
    <x v="0"/>
    <x v="1"/>
    <x v="0"/>
    <n v="19366532.789999999"/>
    <n v="19366532.789999999"/>
    <n v="12414.444096153846"/>
    <s v="30/días"/>
    <m/>
    <s v="12"/>
    <x v="0"/>
    <x v="0"/>
  </r>
  <r>
    <x v="61"/>
    <x v="246"/>
    <s v="Baldes de 20 lts - (pedido URGENTE)"/>
    <s v="Total"/>
    <x v="1"/>
    <x v="0"/>
    <x v="1"/>
    <x v="0"/>
    <n v="4498200"/>
    <n v="4498200"/>
    <n v="2883.4615384615386"/>
    <s v="CH 30 45 días"/>
    <d v="2025-09-05T00:00:00"/>
    <n v="36"/>
    <x v="867"/>
    <x v="0"/>
  </r>
  <r>
    <x v="61"/>
    <x v="246"/>
    <s v="Baldes de 20 lts - (pedido URGENTE)"/>
    <s v="Total"/>
    <x v="1"/>
    <x v="0"/>
    <x v="1"/>
    <x v="0"/>
    <n v="4498200"/>
    <n v="4498200"/>
    <n v="2883.4615384615386"/>
    <s v="CH 30 45 días"/>
    <d v="2025-08-24T00:00:00"/>
    <n v="35"/>
    <x v="867"/>
    <x v="0"/>
  </r>
  <r>
    <x v="27"/>
    <x v="246"/>
    <s v="Baldes -"/>
    <s v="Total"/>
    <x v="1"/>
    <x v="0"/>
    <x v="1"/>
    <x v="0"/>
    <n v="11689739.720000001"/>
    <n v="11689739.720000001"/>
    <n v="7493.4228974358975"/>
    <m/>
    <d v="2025-09-19T00:00:00"/>
    <n v="38"/>
    <x v="868"/>
    <x v="0"/>
  </r>
  <r>
    <x v="52"/>
    <x v="246"/>
    <s v="Facturas 112943 / 113147"/>
    <s v="Total"/>
    <x v="1"/>
    <x v="0"/>
    <x v="1"/>
    <x v="0"/>
    <n v="13196874.25"/>
    <n v="13196874.25"/>
    <n v="8459.5347756410265"/>
    <m/>
    <d v="2025-10-30T00:00:00"/>
    <n v="44"/>
    <x v="869"/>
    <x v="0"/>
  </r>
  <r>
    <x v="10"/>
    <x v="246"/>
    <s v="Embases "/>
    <s v="Total"/>
    <x v="0"/>
    <x v="0"/>
    <x v="1"/>
    <x v="0"/>
    <n v="1950000"/>
    <n v="1950000"/>
    <n v="1250"/>
    <m/>
    <d v="2026-01-14T00:00:00"/>
    <n v="3"/>
    <x v="870"/>
    <x v="0"/>
  </r>
  <r>
    <x v="10"/>
    <x v="246"/>
    <s v="Embases "/>
    <s v="Total"/>
    <x v="0"/>
    <x v="0"/>
    <x v="1"/>
    <x v="0"/>
    <n v="1950000"/>
    <n v="1950000"/>
    <n v="1250"/>
    <m/>
    <d v="2026-01-12T00:00:00"/>
    <n v="3"/>
    <x v="870"/>
    <x v="0"/>
  </r>
  <r>
    <x v="10"/>
    <x v="246"/>
    <s v="Embases "/>
    <s v="Total"/>
    <x v="0"/>
    <x v="0"/>
    <x v="1"/>
    <x v="0"/>
    <n v="1950000"/>
    <n v="1950000"/>
    <n v="1250"/>
    <m/>
    <d v="2026-01-09T00:00:00"/>
    <n v="2"/>
    <x v="870"/>
    <x v="0"/>
  </r>
  <r>
    <x v="10"/>
    <x v="246"/>
    <s v="Embases "/>
    <s v="Total"/>
    <x v="0"/>
    <x v="0"/>
    <x v="1"/>
    <x v="0"/>
    <n v="1950000"/>
    <n v="1950000"/>
    <n v="1250"/>
    <m/>
    <d v="2026-01-13T00:00:00"/>
    <n v="3"/>
    <x v="870"/>
    <x v="0"/>
  </r>
  <r>
    <x v="10"/>
    <x v="246"/>
    <s v="Embases "/>
    <s v="Total"/>
    <x v="0"/>
    <x v="0"/>
    <x v="1"/>
    <x v="0"/>
    <n v="1643989.68"/>
    <n v="1643989.68"/>
    <n v="1053.8395384615385"/>
    <m/>
    <d v="2025-10-24T00:00:00"/>
    <n v="43"/>
    <x v="870"/>
    <x v="0"/>
  </r>
  <r>
    <x v="10"/>
    <x v="246"/>
    <s v="Embases "/>
    <s v="Total"/>
    <x v="0"/>
    <x v="0"/>
    <x v="1"/>
    <x v="0"/>
    <n v="2535150.08"/>
    <n v="2535150.08"/>
    <n v="1625.0962051282052"/>
    <m/>
    <d v="2026-01-22T00:00:00"/>
    <n v="4"/>
    <x v="870"/>
    <x v="0"/>
  </r>
  <r>
    <x v="10"/>
    <x v="246"/>
    <s v="Embases "/>
    <s v="Total"/>
    <x v="0"/>
    <x v="0"/>
    <x v="1"/>
    <x v="0"/>
    <n v="3287782.47"/>
    <n v="3287782.47"/>
    <n v="2107.5528653846154"/>
    <m/>
    <d v="2026-01-22T00:00:00"/>
    <n v="4"/>
    <x v="870"/>
    <x v="0"/>
  </r>
  <r>
    <x v="10"/>
    <x v="246"/>
    <s v="Embases "/>
    <s v="Total"/>
    <x v="0"/>
    <x v="0"/>
    <x v="1"/>
    <x v="0"/>
    <n v="4495601.4000000004"/>
    <n v="4495601.4000000004"/>
    <n v="2881.7957692307696"/>
    <m/>
    <d v="2026-01-21T00:00:00"/>
    <n v="4"/>
    <x v="870"/>
    <x v="0"/>
  </r>
  <r>
    <x v="10"/>
    <x v="246"/>
    <s v="Pedido ventas"/>
    <s v="Total"/>
    <x v="1"/>
    <x v="0"/>
    <x v="0"/>
    <x v="0"/>
    <n v="26528.84"/>
    <n v="26528.84"/>
    <n v="17.005666666666666"/>
    <m/>
    <m/>
    <s v="48"/>
    <x v="870"/>
    <x v="0"/>
  </r>
  <r>
    <x v="19"/>
    <x v="246"/>
    <s v="Embases "/>
    <s v="Total"/>
    <x v="0"/>
    <x v="0"/>
    <x v="1"/>
    <x v="0"/>
    <n v="845838.53"/>
    <n v="845838.53"/>
    <n v="542.20418589743588"/>
    <m/>
    <d v="2025-12-11T00:00:00"/>
    <n v="50"/>
    <x v="871"/>
    <x v="0"/>
  </r>
  <r>
    <x v="19"/>
    <x v="246"/>
    <s v="Embases "/>
    <s v="Total"/>
    <x v="0"/>
    <x v="0"/>
    <x v="1"/>
    <x v="0"/>
    <n v="852200.09"/>
    <n v="852200.09"/>
    <n v="546.28210897435895"/>
    <m/>
    <d v="2025-12-15T00:00:00"/>
    <n v="51"/>
    <x v="871"/>
    <x v="0"/>
  </r>
  <r>
    <x v="19"/>
    <x v="246"/>
    <s v="Embases "/>
    <s v="Total"/>
    <x v="0"/>
    <x v="0"/>
    <x v="1"/>
    <x v="0"/>
    <n v="875099.5"/>
    <n v="875099.5"/>
    <n v="560.96121794871794"/>
    <m/>
    <d v="2025-12-12T00:00:00"/>
    <n v="50"/>
    <x v="871"/>
    <x v="0"/>
  </r>
  <r>
    <x v="19"/>
    <x v="246"/>
    <s v="Embases "/>
    <s v="Total"/>
    <x v="0"/>
    <x v="0"/>
    <x v="1"/>
    <x v="0"/>
    <n v="1529551.7"/>
    <n v="1529551.7"/>
    <n v="980.48185897435894"/>
    <m/>
    <d v="2025-12-12T00:00:00"/>
    <n v="50"/>
    <x v="871"/>
    <x v="0"/>
  </r>
  <r>
    <x v="19"/>
    <x v="246"/>
    <s v="Embases "/>
    <s v="Total"/>
    <x v="0"/>
    <x v="0"/>
    <x v="1"/>
    <x v="0"/>
    <n v="3900000"/>
    <n v="3900000"/>
    <n v="2500"/>
    <m/>
    <d v="2025-12-18T00:00:00"/>
    <n v="51"/>
    <x v="871"/>
    <x v="0"/>
  </r>
  <r>
    <x v="74"/>
    <x v="246"/>
    <s v="Embases "/>
    <s v="Total"/>
    <x v="0"/>
    <x v="0"/>
    <x v="1"/>
    <x v="0"/>
    <n v="3107237.2"/>
    <n v="3107237.2"/>
    <n v="1991.8187179487181"/>
    <m/>
    <d v="2026-02-13T00:00:00"/>
    <n v="7"/>
    <x v="872"/>
    <x v="0"/>
  </r>
  <r>
    <x v="74"/>
    <x v="246"/>
    <s v="Embases "/>
    <s v="Total"/>
    <x v="0"/>
    <x v="0"/>
    <x v="1"/>
    <x v="0"/>
    <n v="3226335.42"/>
    <n v="3226335.42"/>
    <n v="2068.1637307692308"/>
    <m/>
    <d v="2026-02-06T00:00:00"/>
    <n v="6"/>
    <x v="872"/>
    <x v="0"/>
  </r>
  <r>
    <x v="74"/>
    <x v="246"/>
    <s v="Embases "/>
    <s v="Total"/>
    <x v="0"/>
    <x v="0"/>
    <x v="1"/>
    <x v="0"/>
    <n v="31452.41"/>
    <n v="31452.41"/>
    <n v="20.161801282051282"/>
    <m/>
    <d v="2026-01-14T00:00:00"/>
    <n v="3"/>
    <x v="872"/>
    <x v="0"/>
  </r>
  <r>
    <x v="50"/>
    <x v="246"/>
    <m/>
    <s v="Total"/>
    <x v="1"/>
    <x v="0"/>
    <x v="1"/>
    <x v="0"/>
    <n v="3000000"/>
    <n v="3000000"/>
    <n v="1923.0769230769231"/>
    <m/>
    <d v="2026-02-08T00:00:00"/>
    <n v="7"/>
    <x v="873"/>
    <x v="0"/>
  </r>
  <r>
    <x v="50"/>
    <x v="246"/>
    <m/>
    <s v="Total"/>
    <x v="1"/>
    <x v="0"/>
    <x v="1"/>
    <x v="0"/>
    <n v="2000000"/>
    <n v="2000000"/>
    <n v="1282.051282051282"/>
    <m/>
    <d v="2026-01-17T00:00:00"/>
    <n v="3"/>
    <x v="873"/>
    <x v="0"/>
  </r>
  <r>
    <x v="50"/>
    <x v="246"/>
    <m/>
    <s v="Total"/>
    <x v="1"/>
    <x v="0"/>
    <x v="1"/>
    <x v="0"/>
    <n v="12278795.48"/>
    <n v="12278795.48"/>
    <n v="7871.0227435897441"/>
    <m/>
    <m/>
    <s v="04"/>
    <x v="874"/>
    <x v="0"/>
  </r>
  <r>
    <x v="59"/>
    <x v="246"/>
    <s v="Pedido de ventas"/>
    <s v="Total"/>
    <x v="1"/>
    <x v="0"/>
    <x v="1"/>
    <x v="0"/>
    <n v="1000000"/>
    <n v="1000000"/>
    <n v="641.02564102564099"/>
    <m/>
    <d v="2026-03-06T00:00:00"/>
    <n v="10"/>
    <x v="875"/>
    <x v="0"/>
  </r>
  <r>
    <x v="59"/>
    <x v="246"/>
    <s v="Pedido de ventas"/>
    <s v="Total"/>
    <x v="1"/>
    <x v="0"/>
    <x v="1"/>
    <x v="0"/>
    <n v="762939.75"/>
    <n v="762939.75"/>
    <n v="489.06394230769229"/>
    <m/>
    <d v="2026-03-05T00:00:00"/>
    <n v="10"/>
    <x v="875"/>
    <x v="0"/>
  </r>
  <r>
    <x v="59"/>
    <x v="246"/>
    <s v="Pedido de ventas"/>
    <s v="Total"/>
    <x v="1"/>
    <x v="0"/>
    <x v="1"/>
    <x v="0"/>
    <n v="2000000"/>
    <n v="2000000"/>
    <n v="1282.051282051282"/>
    <m/>
    <d v="2026-02-28T00:00:00"/>
    <n v="9"/>
    <x v="875"/>
    <x v="0"/>
  </r>
  <r>
    <x v="59"/>
    <x v="246"/>
    <s v="Pedido de ventas"/>
    <s v="Total"/>
    <x v="1"/>
    <x v="0"/>
    <x v="1"/>
    <x v="0"/>
    <n v="2263000"/>
    <n v="2263000"/>
    <n v="1450.6410256410256"/>
    <m/>
    <d v="2026-03-27T00:00:00"/>
    <n v="13"/>
    <x v="875"/>
    <x v="0"/>
  </r>
  <r>
    <x v="59"/>
    <x v="246"/>
    <s v="Pedido de ventas"/>
    <s v="Total"/>
    <x v="1"/>
    <x v="0"/>
    <x v="1"/>
    <x v="0"/>
    <n v="2263000"/>
    <n v="2263000"/>
    <n v="1450.6410256410256"/>
    <m/>
    <d v="2026-03-25T00:00:00"/>
    <n v="13"/>
    <x v="875"/>
    <x v="0"/>
  </r>
  <r>
    <x v="59"/>
    <x v="246"/>
    <s v="Pedido de ventas"/>
    <s v="Total"/>
    <x v="1"/>
    <x v="0"/>
    <x v="1"/>
    <x v="0"/>
    <n v="3000000"/>
    <n v="3000000"/>
    <n v="1923.0769230769231"/>
    <m/>
    <d v="2026-02-28T00:00:00"/>
    <n v="9"/>
    <x v="875"/>
    <x v="0"/>
  </r>
  <r>
    <x v="57"/>
    <x v="246"/>
    <s v="Embalaje - Baldes "/>
    <s v="Total"/>
    <x v="0"/>
    <x v="0"/>
    <x v="1"/>
    <x v="0"/>
    <n v="5196927.97"/>
    <n v="5196927.97"/>
    <n v="3331.3640833333334"/>
    <m/>
    <d v="2026-05-09T00:00:00"/>
    <n v="19"/>
    <x v="876"/>
    <x v="0"/>
  </r>
  <r>
    <x v="57"/>
    <x v="246"/>
    <s v="Embalaje - Baldes "/>
    <s v="Total"/>
    <x v="0"/>
    <x v="0"/>
    <x v="1"/>
    <x v="0"/>
    <n v="805152.03"/>
    <n v="805152.03"/>
    <n v="516.12309615384618"/>
    <m/>
    <d v="2026-05-14T00:00:00"/>
    <n v="20"/>
    <x v="876"/>
    <x v="0"/>
  </r>
  <r>
    <x v="57"/>
    <x v="246"/>
    <s v="Embalaje - Baldes "/>
    <s v="Total"/>
    <x v="0"/>
    <x v="0"/>
    <x v="1"/>
    <x v="0"/>
    <n v="96320"/>
    <n v="96320"/>
    <n v="61.743589743589745"/>
    <s v="Retenciones"/>
    <m/>
    <s v="16"/>
    <x v="876"/>
    <x v="0"/>
  </r>
  <r>
    <x v="53"/>
    <x v="246"/>
    <s v="Pedido Ventas "/>
    <s v="Total"/>
    <x v="1"/>
    <x v="0"/>
    <x v="1"/>
    <x v="0"/>
    <n v="1000000"/>
    <n v="1000000"/>
    <n v="641.02564102564099"/>
    <m/>
    <d v="2026-05-10T00:00:00"/>
    <n v="20"/>
    <x v="877"/>
    <x v="0"/>
  </r>
  <r>
    <x v="53"/>
    <x v="246"/>
    <s v="Pedido Ventas "/>
    <s v="Total"/>
    <x v="1"/>
    <x v="0"/>
    <x v="1"/>
    <x v="0"/>
    <n v="1115822"/>
    <n v="1115822"/>
    <n v="715.27051282051286"/>
    <m/>
    <d v="2026-06-17T00:00:00"/>
    <n v="25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01T00:00:00"/>
    <n v="23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18T00:00:00"/>
    <n v="21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22T00:00:00"/>
    <n v="21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10T00:00:00"/>
    <n v="24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28T00:00:00"/>
    <n v="22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08T00:00:00"/>
    <n v="24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20T00:00:00"/>
    <n v="21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05T00:00:00"/>
    <n v="23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29T00:00:00"/>
    <n v="22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09T00:00:00"/>
    <n v="24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19T00:00:00"/>
    <n v="21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02T00:00:00"/>
    <n v="23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14T00:00:00"/>
    <n v="25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5-27T00:00:00"/>
    <n v="22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03T00:00:00"/>
    <n v="23"/>
    <x v="877"/>
    <x v="0"/>
  </r>
  <r>
    <x v="53"/>
    <x v="246"/>
    <s v="Pedido Ventas "/>
    <s v="Total"/>
    <x v="1"/>
    <x v="0"/>
    <x v="1"/>
    <x v="0"/>
    <n v="1320000"/>
    <n v="1320000"/>
    <n v="846.15384615384619"/>
    <m/>
    <d v="2026-06-16T00:00:00"/>
    <n v="25"/>
    <x v="877"/>
    <x v="0"/>
  </r>
  <r>
    <x v="53"/>
    <x v="246"/>
    <s v="Pedido Ventas "/>
    <s v="Total"/>
    <x v="1"/>
    <x v="0"/>
    <x v="1"/>
    <x v="0"/>
    <n v="2349983.33"/>
    <n v="2349983.33"/>
    <n v="1506.3995705128207"/>
    <m/>
    <d v="2026-07-08T00:00:00"/>
    <n v="28"/>
    <x v="877"/>
    <x v="0"/>
  </r>
  <r>
    <x v="53"/>
    <x v="246"/>
    <s v="Pedido Ventas "/>
    <s v="Total"/>
    <x v="1"/>
    <x v="0"/>
    <x v="1"/>
    <x v="0"/>
    <n v="2349983.33"/>
    <n v="2349983.33"/>
    <n v="1506.3995705128207"/>
    <m/>
    <d v="2026-06-17T00:00:00"/>
    <n v="25"/>
    <x v="877"/>
    <x v="0"/>
  </r>
  <r>
    <x v="53"/>
    <x v="246"/>
    <s v="Pedido Ventas "/>
    <s v="Total"/>
    <x v="1"/>
    <x v="0"/>
    <x v="1"/>
    <x v="0"/>
    <n v="10835376.67"/>
    <n v="10835376.67"/>
    <n v="6945.7542756410257"/>
    <m/>
    <d v="2026-06-22T00:00:00"/>
    <n v="26"/>
    <x v="877"/>
    <x v="0"/>
  </r>
  <r>
    <x v="53"/>
    <x v="246"/>
    <s v="Pedido Ventas "/>
    <s v="Total"/>
    <x v="1"/>
    <x v="0"/>
    <x v="1"/>
    <x v="0"/>
    <n v="651616.22"/>
    <n v="651616.22"/>
    <n v="417.70270512820508"/>
    <s v="Retenciones"/>
    <m/>
    <s v="17"/>
    <x v="877"/>
    <x v="0"/>
  </r>
  <r>
    <x v="22"/>
    <x v="246"/>
    <s v="Baldes"/>
    <s v="Total"/>
    <x v="1"/>
    <x v="0"/>
    <x v="1"/>
    <x v="0"/>
    <n v="7195841.1100000003"/>
    <n v="7195841.1100000003"/>
    <n v="4612.7186602564107"/>
    <m/>
    <d v="2026-07-20T00:00:00"/>
    <n v="30"/>
    <x v="878"/>
    <x v="0"/>
  </r>
  <r>
    <x v="22"/>
    <x v="246"/>
    <s v="Baldes"/>
    <s v="Total"/>
    <x v="1"/>
    <x v="0"/>
    <x v="1"/>
    <x v="0"/>
    <n v="7195841.1100000003"/>
    <n v="7195841.1100000003"/>
    <n v="4612.7186602564107"/>
    <m/>
    <d v="2026-08-03T00:00:00"/>
    <n v="32"/>
    <x v="878"/>
    <x v="0"/>
  </r>
  <r>
    <x v="22"/>
    <x v="246"/>
    <s v="Baldes"/>
    <s v="Total"/>
    <x v="1"/>
    <x v="0"/>
    <x v="1"/>
    <x v="0"/>
    <n v="7195841.1100000003"/>
    <n v="7195841.1100000003"/>
    <n v="4612.7186602564107"/>
    <m/>
    <d v="2026-08-13T00:00:00"/>
    <n v="33"/>
    <x v="878"/>
    <x v="0"/>
  </r>
  <r>
    <x v="22"/>
    <x v="246"/>
    <s v="Baldes"/>
    <s v="Total"/>
    <x v="1"/>
    <x v="0"/>
    <x v="1"/>
    <x v="0"/>
    <n v="358260.22"/>
    <n v="358260.22"/>
    <n v="229.65398717948716"/>
    <s v="Retenciones"/>
    <m/>
    <s v="23"/>
    <x v="878"/>
    <x v="0"/>
  </r>
  <r>
    <x v="66"/>
    <x v="246"/>
    <s v="Embalaje - Baldes "/>
    <s v="Total"/>
    <x v="0"/>
    <x v="0"/>
    <x v="1"/>
    <x v="0"/>
    <n v="3555047.92"/>
    <n v="3555047.92"/>
    <n v="2278.8768717948719"/>
    <m/>
    <d v="2026-09-01T00:00:00"/>
    <n v="36"/>
    <x v="879"/>
    <x v="0"/>
  </r>
  <r>
    <x v="66"/>
    <x v="246"/>
    <s v="Embalaje - Baldes "/>
    <s v="Total"/>
    <x v="0"/>
    <x v="0"/>
    <x v="1"/>
    <x v="0"/>
    <n v="54281.120000000003"/>
    <n v="54281.120000000003"/>
    <n v="34.795589743589744"/>
    <s v="Retenciones"/>
    <m/>
    <s v="34"/>
    <x v="879"/>
    <x v="0"/>
  </r>
  <r>
    <x v="71"/>
    <x v="246"/>
    <s v="Cheque rechazado"/>
    <s v="Total"/>
    <x v="0"/>
    <x v="0"/>
    <x v="0"/>
    <x v="0"/>
    <n v="7281852.0700000003"/>
    <n v="7281852.0700000003"/>
    <n v="4667.8538910256411"/>
    <m/>
    <m/>
    <s v="36"/>
    <x v="880"/>
    <x v="0"/>
  </r>
  <r>
    <x v="11"/>
    <x v="246"/>
    <s v="Pedido Baldes"/>
    <s v="Total"/>
    <x v="1"/>
    <x v="0"/>
    <x v="1"/>
    <x v="0"/>
    <n v="10917335.779999999"/>
    <n v="10917335.779999999"/>
    <n v="6998.2921666666662"/>
    <m/>
    <d v="2026-09-29T00:00:00"/>
    <n v="40"/>
    <x v="881"/>
    <x v="0"/>
  </r>
  <r>
    <x v="11"/>
    <x v="246"/>
    <s v="Pedido Baldes"/>
    <s v="Total"/>
    <x v="1"/>
    <x v="0"/>
    <x v="1"/>
    <x v="0"/>
    <n v="221338.01"/>
    <n v="221338.01"/>
    <n v="141.88333974358974"/>
    <s v="Retenciones"/>
    <m/>
    <s v="37"/>
    <x v="881"/>
    <x v="0"/>
  </r>
  <r>
    <x v="12"/>
    <x v="247"/>
    <s v="Extension de filtros pozo nuevo"/>
    <s v="Total"/>
    <x v="0"/>
    <x v="0"/>
    <x v="1"/>
    <x v="0"/>
    <n v="3000000"/>
    <n v="3000000"/>
    <n v="1923.0769230769231"/>
    <m/>
    <d v="2026-10-18T00:00:00"/>
    <n v="43"/>
    <x v="882"/>
    <x v="0"/>
  </r>
  <r>
    <x v="12"/>
    <x v="247"/>
    <s v="Extension de filtros pozo nuevo"/>
    <s v="Total"/>
    <x v="0"/>
    <x v="0"/>
    <x v="1"/>
    <x v="0"/>
    <n v="55520"/>
    <n v="55520"/>
    <n v="35.589743589743591"/>
    <s v="Retenciones"/>
    <m/>
    <s v="33"/>
    <x v="882"/>
    <x v="0"/>
  </r>
  <r>
    <x v="46"/>
    <x v="247"/>
    <s v="Extension de filtros pozo nuevo"/>
    <s v="Total"/>
    <x v="0"/>
    <x v="0"/>
    <x v="1"/>
    <x v="0"/>
    <n v="2400000"/>
    <n v="2400000"/>
    <n v="1538.4615384615386"/>
    <m/>
    <d v="2026-12-10T00:00:00"/>
    <n v="50"/>
    <x v="883"/>
    <x v="0"/>
  </r>
  <r>
    <x v="46"/>
    <x v="247"/>
    <s v="Extension de filtros pozo nuevo"/>
    <s v="Total"/>
    <x v="0"/>
    <x v="0"/>
    <x v="1"/>
    <x v="0"/>
    <n v="2400000"/>
    <n v="2400000"/>
    <n v="1538.4615384615386"/>
    <m/>
    <d v="2026-12-11T00:00:00"/>
    <n v="50"/>
    <x v="883"/>
    <x v="0"/>
  </r>
  <r>
    <x v="46"/>
    <x v="247"/>
    <s v="Extension de filtros pozo nuevo"/>
    <s v="Total"/>
    <x v="0"/>
    <x v="0"/>
    <x v="1"/>
    <x v="0"/>
    <n v="82397.789999999994"/>
    <n v="82397.789999999994"/>
    <n v="52.819096153846147"/>
    <s v="Retenciones"/>
    <m/>
    <s v="42"/>
    <x v="883"/>
    <x v="0"/>
  </r>
  <r>
    <x v="3"/>
    <x v="229"/>
    <s v="Honorarios"/>
    <s v="Total"/>
    <x v="3"/>
    <x v="0"/>
    <x v="0"/>
    <x v="0"/>
    <n v="646653.1"/>
    <n v="646653.1"/>
    <n v="414.52121794871795"/>
    <m/>
    <m/>
    <s v="44"/>
    <x v="0"/>
    <x v="2"/>
  </r>
  <r>
    <x v="19"/>
    <x v="248"/>
    <s v="Flete jugos"/>
    <s v="Total"/>
    <x v="1"/>
    <x v="0"/>
    <x v="0"/>
    <x v="0"/>
    <n v="2420000"/>
    <n v="2420000"/>
    <n v="1551.2820512820513"/>
    <m/>
    <m/>
    <s v="50"/>
    <x v="884"/>
    <x v="0"/>
  </r>
  <r>
    <x v="75"/>
    <x v="248"/>
    <s v="Flete jugos "/>
    <s v="Total"/>
    <x v="1"/>
    <x v="0"/>
    <x v="1"/>
    <x v="0"/>
    <n v="1785671.7"/>
    <n v="1785671.7"/>
    <n v="1144.6613461538461"/>
    <m/>
    <d v="2026-01-31T00:00:00"/>
    <n v="5"/>
    <x v="885"/>
    <x v="0"/>
  </r>
  <r>
    <x v="75"/>
    <x v="248"/>
    <s v="Flete jugos "/>
    <s v="Total"/>
    <x v="1"/>
    <x v="0"/>
    <x v="1"/>
    <x v="0"/>
    <n v="1785671.7"/>
    <n v="1785671.7"/>
    <n v="1144.6613461538461"/>
    <m/>
    <d v="2026-02-07T00:00:00"/>
    <n v="6"/>
    <x v="885"/>
    <x v="0"/>
  </r>
  <r>
    <x v="44"/>
    <x v="249"/>
    <s v="Trabajo Casa L Herrera"/>
    <s v="Total"/>
    <x v="2"/>
    <x v="1"/>
    <x v="2"/>
    <x v="0"/>
    <n v="85000"/>
    <n v="85000"/>
    <n v="54.487179487179489"/>
    <m/>
    <m/>
    <s v="31"/>
    <x v="886"/>
    <x v="0"/>
  </r>
  <r>
    <x v="12"/>
    <x v="249"/>
    <s v="Tranajo Plomeria casa L Herrera"/>
    <s v="Total"/>
    <x v="2"/>
    <x v="1"/>
    <x v="2"/>
    <x v="0"/>
    <n v="65000"/>
    <n v="65000"/>
    <n v="41.666666666666664"/>
    <m/>
    <m/>
    <s v="33"/>
    <x v="887"/>
    <x v="0"/>
  </r>
  <r>
    <x v="69"/>
    <x v="250"/>
    <s v="Repuestos moto 110"/>
    <s v="Total"/>
    <x v="1"/>
    <x v="0"/>
    <x v="0"/>
    <x v="0"/>
    <n v="35000"/>
    <n v="35000"/>
    <n v="22.435897435897434"/>
    <m/>
    <m/>
    <s v="31"/>
    <x v="888"/>
    <x v="0"/>
  </r>
  <r>
    <x v="18"/>
    <x v="250"/>
    <s v="Repuestos moto 110"/>
    <s v="Total"/>
    <x v="1"/>
    <x v="0"/>
    <x v="2"/>
    <x v="0"/>
    <n v="171000"/>
    <n v="171000"/>
    <n v="109.61538461538461"/>
    <m/>
    <m/>
    <s v="39"/>
    <x v="889"/>
    <x v="0"/>
  </r>
  <r>
    <x v="75"/>
    <x v="250"/>
    <s v="Juego transmision moto 110"/>
    <s v="Total"/>
    <x v="2"/>
    <x v="0"/>
    <x v="2"/>
    <x v="0"/>
    <n v="26000"/>
    <n v="26000"/>
    <n v="16.666666666666668"/>
    <m/>
    <m/>
    <s v="52"/>
    <x v="890"/>
    <x v="0"/>
  </r>
  <r>
    <x v="67"/>
    <x v="251"/>
    <s v="Estudio nutricional pasas de uva"/>
    <s v="Total"/>
    <x v="1"/>
    <x v="0"/>
    <x v="0"/>
    <x v="0"/>
    <n v="201203.63"/>
    <n v="201203.63"/>
    <n v="128.97668589743591"/>
    <m/>
    <m/>
    <s v="24"/>
    <x v="891"/>
    <x v="0"/>
  </r>
  <r>
    <x v="25"/>
    <x v="251"/>
    <s v="Analisis  "/>
    <s v="Total"/>
    <x v="1"/>
    <x v="0"/>
    <x v="1"/>
    <x v="0"/>
    <n v="1721892.18"/>
    <n v="1721892.18"/>
    <n v="1103.7770384615385"/>
    <s v="CH 30 días"/>
    <d v="2025-07-25T00:00:00"/>
    <n v="30"/>
    <x v="892"/>
    <x v="0"/>
  </r>
  <r>
    <x v="63"/>
    <x v="251"/>
    <s v="Analisis - planta"/>
    <s v="Total"/>
    <x v="1"/>
    <x v="0"/>
    <x v="0"/>
    <x v="0"/>
    <n v="27960.68"/>
    <n v="27960.68"/>
    <n v="17.923512820512819"/>
    <m/>
    <m/>
    <s v="44"/>
    <x v="893"/>
    <x v="0"/>
  </r>
  <r>
    <x v="64"/>
    <x v="251"/>
    <s v="Anilisis aceitunas verdes y negras"/>
    <s v="Total"/>
    <x v="1"/>
    <x v="0"/>
    <x v="1"/>
    <x v="0"/>
    <n v="1764906.74"/>
    <n v="1764906.74"/>
    <n v="1131.3504743589745"/>
    <m/>
    <d v="2026-06-26T00:00:00"/>
    <n v="26"/>
    <x v="894"/>
    <x v="0"/>
  </r>
  <r>
    <x v="64"/>
    <x v="251"/>
    <s v="Anilisis aceitunas verdes y negras"/>
    <s v="Total"/>
    <x v="1"/>
    <x v="0"/>
    <x v="1"/>
    <x v="0"/>
    <n v="28296.32"/>
    <n v="28296.32"/>
    <n v="18.138666666666666"/>
    <s v="Retenciones"/>
    <m/>
    <s v="22"/>
    <x v="894"/>
    <x v="0"/>
  </r>
  <r>
    <x v="35"/>
    <x v="251"/>
    <s v="Reposición de chueque sin fondos"/>
    <s v="Total"/>
    <x v="1"/>
    <x v="0"/>
    <x v="0"/>
    <x v="0"/>
    <n v="1764906.74"/>
    <n v="1764906.74"/>
    <n v="1131.3504743589745"/>
    <m/>
    <m/>
    <s v="27"/>
    <x v="895"/>
    <x v="0"/>
  </r>
  <r>
    <x v="3"/>
    <x v="252"/>
    <s v="Varios - fletes - Urgencias"/>
    <s v="Total"/>
    <x v="2"/>
    <x v="0"/>
    <x v="2"/>
    <x v="0"/>
    <n v="250000"/>
    <n v="250000"/>
    <n v="160.25641025641025"/>
    <m/>
    <m/>
    <s v="44"/>
    <x v="0"/>
    <x v="2"/>
  </r>
  <r>
    <x v="3"/>
    <x v="253"/>
    <s v="Pago Cheque rechazado N°31 (Barraza)"/>
    <s v="Total"/>
    <x v="0"/>
    <x v="0"/>
    <x v="1"/>
    <x v="0"/>
    <n v="800000"/>
    <n v="800000"/>
    <n v="512.82051282051282"/>
    <m/>
    <d v="2026-10-05T00:00:00"/>
    <n v="41"/>
    <x v="896"/>
    <x v="2"/>
  </r>
  <r>
    <x v="3"/>
    <x v="253"/>
    <s v="Pago Cheque rechazado N°31 (Barraza)"/>
    <s v="Total"/>
    <x v="0"/>
    <x v="0"/>
    <x v="1"/>
    <x v="0"/>
    <n v="900000"/>
    <n v="900000"/>
    <n v="576.92307692307691"/>
    <m/>
    <d v="2026-10-13T00:00:00"/>
    <n v="42"/>
    <x v="896"/>
    <x v="2"/>
  </r>
  <r>
    <x v="67"/>
    <x v="254"/>
    <s v="Escritura N° 54 hipoteca Garantizar "/>
    <s v="Total"/>
    <x v="3"/>
    <x v="0"/>
    <x v="0"/>
    <x v="0"/>
    <n v="5875500"/>
    <n v="5875500"/>
    <n v="3766.3461538461538"/>
    <m/>
    <m/>
    <s v="24"/>
    <x v="0"/>
    <x v="0"/>
  </r>
  <r>
    <x v="5"/>
    <x v="255"/>
    <s v="Pedido campo / Bateria - aceite - liquido refrigerante"/>
    <s v="Total"/>
    <x v="1"/>
    <x v="0"/>
    <x v="1"/>
    <x v="0"/>
    <n v="291000.09999999998"/>
    <n v="291000.09999999998"/>
    <n v="186.53852564102561"/>
    <m/>
    <d v="2025-09-22T00:00:00"/>
    <n v="39"/>
    <x v="0"/>
    <x v="0"/>
  </r>
  <r>
    <x v="28"/>
    <x v="255"/>
    <s v="Pedido campo"/>
    <s v="Total"/>
    <x v="1"/>
    <x v="0"/>
    <x v="2"/>
    <x v="0"/>
    <n v="40000"/>
    <n v="40000"/>
    <n v="25.641025641025642"/>
    <m/>
    <d v="2025-11-01T00:00:00"/>
    <n v="44"/>
    <x v="897"/>
    <x v="0"/>
  </r>
  <r>
    <x v="47"/>
    <x v="255"/>
    <s v="Pedido Campo"/>
    <s v="Total"/>
    <x v="1"/>
    <x v="0"/>
    <x v="1"/>
    <x v="0"/>
    <n v="200000"/>
    <n v="200000"/>
    <n v="128.2051282051282"/>
    <m/>
    <d v="2026-06-02T00:00:00"/>
    <n v="23"/>
    <x v="898"/>
    <x v="0"/>
  </r>
  <r>
    <x v="47"/>
    <x v="255"/>
    <s v="Pedido Campo"/>
    <s v="Total"/>
    <x v="1"/>
    <x v="0"/>
    <x v="1"/>
    <x v="0"/>
    <n v="100000"/>
    <n v="100000"/>
    <n v="64.102564102564102"/>
    <m/>
    <d v="2026-06-19T00:00:00"/>
    <n v="25"/>
    <x v="898"/>
    <x v="0"/>
  </r>
  <r>
    <x v="47"/>
    <x v="255"/>
    <s v="Pedido Campo"/>
    <s v="Total"/>
    <x v="2"/>
    <x v="0"/>
    <x v="2"/>
    <x v="0"/>
    <n v="25091.62"/>
    <n v="25091.62"/>
    <n v="16.084371794871796"/>
    <m/>
    <d v="2026-06-11T00:00:00"/>
    <n v="24"/>
    <x v="898"/>
    <x v="0"/>
  </r>
  <r>
    <x v="47"/>
    <x v="255"/>
    <s v="Pedido Campo"/>
    <s v="Total"/>
    <x v="1"/>
    <x v="0"/>
    <x v="1"/>
    <x v="0"/>
    <n v="908.43"/>
    <n v="908.43"/>
    <n v="0.58232692307692302"/>
    <s v="Retenciones"/>
    <m/>
    <s v="20"/>
    <x v="898"/>
    <x v="0"/>
  </r>
  <r>
    <x v="54"/>
    <x v="255"/>
    <s v="Hidraulico BP68 x 15 lts - Planta"/>
    <s v="Total"/>
    <x v="2"/>
    <x v="0"/>
    <x v="2"/>
    <x v="0"/>
    <n v="97500.17"/>
    <n v="97500.17"/>
    <n v="62.500108974358973"/>
    <m/>
    <m/>
    <s v="41"/>
    <x v="899"/>
    <x v="0"/>
  </r>
  <r>
    <x v="44"/>
    <x v="256"/>
    <s v="Compras casa Doctor"/>
    <s v="Total"/>
    <x v="2"/>
    <x v="0"/>
    <x v="2"/>
    <x v="0"/>
    <n v="45592"/>
    <n v="45592"/>
    <n v="29.225641025641025"/>
    <m/>
    <m/>
    <s v="31"/>
    <x v="900"/>
    <x v="0"/>
  </r>
  <r>
    <x v="67"/>
    <x v="257"/>
    <s v="Bidones 2024"/>
    <s v="Parcial"/>
    <x v="1"/>
    <x v="0"/>
    <x v="1"/>
    <x v="0"/>
    <n v="11693067.4"/>
    <n v="11693067.4"/>
    <n v="7495.5560256410263"/>
    <m/>
    <m/>
    <s v="24"/>
    <x v="0"/>
    <x v="0"/>
  </r>
  <r>
    <x v="67"/>
    <x v="257"/>
    <s v="Bidones 2024"/>
    <s v="Parcial"/>
    <x v="1"/>
    <x v="0"/>
    <x v="1"/>
    <x v="0"/>
    <n v="144427.5"/>
    <n v="144427.5"/>
    <n v="92.581730769230774"/>
    <m/>
    <m/>
    <s v="24"/>
    <x v="0"/>
    <x v="0"/>
  </r>
  <r>
    <x v="60"/>
    <x v="257"/>
    <s v="Nota de debito por tipo de cambio"/>
    <s v="Total"/>
    <x v="1"/>
    <x v="0"/>
    <x v="1"/>
    <x v="0"/>
    <n v="195247.14"/>
    <n v="195247.14"/>
    <n v="125.15842307692309"/>
    <m/>
    <d v="2025-10-14T00:00:00"/>
    <n v="42"/>
    <x v="901"/>
    <x v="0"/>
  </r>
  <r>
    <x v="60"/>
    <x v="257"/>
    <s v="Nota de debito por tipo de cambio"/>
    <s v="Total"/>
    <x v="1"/>
    <x v="0"/>
    <x v="1"/>
    <x v="0"/>
    <n v="799085.34"/>
    <n v="799085.34"/>
    <n v="512.2341923076923"/>
    <m/>
    <d v="2025-10-25T00:00:00"/>
    <n v="43"/>
    <x v="901"/>
    <x v="0"/>
  </r>
  <r>
    <x v="60"/>
    <x v="257"/>
    <s v="Nota de debito por tipo de cambio"/>
    <s v="Total"/>
    <x v="1"/>
    <x v="0"/>
    <x v="1"/>
    <x v="0"/>
    <n v="1085405.3600000001"/>
    <n v="1085405.3600000001"/>
    <n v="695.77266666666674"/>
    <m/>
    <d v="2025-10-16T00:00:00"/>
    <n v="42"/>
    <x v="901"/>
    <x v="0"/>
  </r>
  <r>
    <x v="60"/>
    <x v="257"/>
    <s v="Nota de debito por tipo de cambio"/>
    <s v="Total"/>
    <x v="1"/>
    <x v="0"/>
    <x v="1"/>
    <x v="0"/>
    <n v="1132751"/>
    <n v="1132751"/>
    <n v="726.12243589743593"/>
    <m/>
    <d v="2025-10-09T00:00:00"/>
    <n v="41"/>
    <x v="901"/>
    <x v="0"/>
  </r>
  <r>
    <x v="60"/>
    <x v="257"/>
    <s v="Nota de debito por tipo de cambio"/>
    <s v="Total"/>
    <x v="1"/>
    <x v="0"/>
    <x v="0"/>
    <x v="0"/>
    <n v="13490.61"/>
    <n v="13490.61"/>
    <n v="8.6478269230769236"/>
    <m/>
    <m/>
    <s v="37"/>
    <x v="901"/>
    <x v="0"/>
  </r>
  <r>
    <x v="13"/>
    <x v="257"/>
    <s v="Envases"/>
    <s v="Total"/>
    <x v="1"/>
    <x v="0"/>
    <x v="1"/>
    <x v="0"/>
    <n v="1000000"/>
    <n v="1000000"/>
    <n v="641.02564102564099"/>
    <m/>
    <d v="2026-03-14T00:00:00"/>
    <n v="11"/>
    <x v="902"/>
    <x v="0"/>
  </r>
  <r>
    <x v="13"/>
    <x v="257"/>
    <s v="Envases"/>
    <s v="Total"/>
    <x v="1"/>
    <x v="0"/>
    <x v="1"/>
    <x v="0"/>
    <n v="2800000"/>
    <n v="2800000"/>
    <n v="1794.8717948717949"/>
    <m/>
    <d v="2026-04-20T00:00:00"/>
    <n v="17"/>
    <x v="902"/>
    <x v="0"/>
  </r>
  <r>
    <x v="13"/>
    <x v="257"/>
    <s v="Envases"/>
    <s v="Total"/>
    <x v="1"/>
    <x v="0"/>
    <x v="1"/>
    <x v="0"/>
    <n v="3000000"/>
    <n v="3000000"/>
    <n v="1923.0769230769231"/>
    <m/>
    <d v="2026-04-24T00:00:00"/>
    <n v="17"/>
    <x v="902"/>
    <x v="0"/>
  </r>
  <r>
    <x v="56"/>
    <x v="257"/>
    <s v="Embases "/>
    <s v="Parcial"/>
    <x v="0"/>
    <x v="0"/>
    <x v="1"/>
    <x v="0"/>
    <n v="1223150"/>
    <n v="1223150"/>
    <n v="784.07051282051282"/>
    <m/>
    <d v="2026-03-27T00:00:00"/>
    <n v="13"/>
    <x v="903"/>
    <x v="0"/>
  </r>
  <r>
    <x v="56"/>
    <x v="257"/>
    <s v="Embases "/>
    <s v="Parcial"/>
    <x v="0"/>
    <x v="0"/>
    <x v="1"/>
    <x v="0"/>
    <n v="15248.23"/>
    <n v="15248.23"/>
    <n v="9.7745064102564108"/>
    <m/>
    <m/>
    <s v="11"/>
    <x v="903"/>
    <x v="0"/>
  </r>
  <r>
    <x v="33"/>
    <x v="257"/>
    <s v="Embases "/>
    <s v="Total"/>
    <x v="0"/>
    <x v="0"/>
    <x v="1"/>
    <x v="0"/>
    <n v="2000000"/>
    <n v="2000000"/>
    <n v="1282.051282051282"/>
    <m/>
    <d v="2026-03-22T00:00:00"/>
    <n v="13"/>
    <x v="904"/>
    <x v="0"/>
  </r>
  <r>
    <x v="33"/>
    <x v="257"/>
    <s v="Embases "/>
    <s v="Total"/>
    <x v="0"/>
    <x v="0"/>
    <x v="1"/>
    <x v="0"/>
    <n v="33110.17"/>
    <n v="33110.17"/>
    <n v="21.224467948717948"/>
    <s v="Retenciones"/>
    <m/>
    <s v="12"/>
    <x v="904"/>
    <x v="0"/>
  </r>
  <r>
    <x v="53"/>
    <x v="257"/>
    <s v="Embases "/>
    <s v="Total"/>
    <x v="0"/>
    <x v="0"/>
    <x v="1"/>
    <x v="0"/>
    <n v="45106.77"/>
    <n v="45106.77"/>
    <n v="28.914596153846151"/>
    <s v="Retenciones"/>
    <m/>
    <s v="17"/>
    <x v="905"/>
    <x v="0"/>
  </r>
  <r>
    <x v="53"/>
    <x v="257"/>
    <s v="Embases "/>
    <s v="Total"/>
    <x v="0"/>
    <x v="0"/>
    <x v="1"/>
    <x v="0"/>
    <n v="3000000"/>
    <n v="3000000"/>
    <n v="1923.0769230769231"/>
    <m/>
    <d v="2026-05-06T00:00:00"/>
    <n v="19"/>
    <x v="905"/>
    <x v="0"/>
  </r>
  <r>
    <x v="64"/>
    <x v="257"/>
    <s v="Embases "/>
    <s v="Total"/>
    <x v="0"/>
    <x v="0"/>
    <x v="1"/>
    <x v="0"/>
    <n v="1600000"/>
    <n v="1600000"/>
    <n v="1025.6410256410256"/>
    <m/>
    <d v="2026-07-20T00:00:00"/>
    <n v="30"/>
    <x v="906"/>
    <x v="0"/>
  </r>
  <r>
    <x v="64"/>
    <x v="257"/>
    <s v="Embases "/>
    <s v="Total"/>
    <x v="0"/>
    <x v="0"/>
    <x v="1"/>
    <x v="0"/>
    <n v="1733000"/>
    <n v="1733000"/>
    <n v="1110.8974358974358"/>
    <m/>
    <d v="2026-07-30T00:00:00"/>
    <n v="31"/>
    <x v="906"/>
    <x v="0"/>
  </r>
  <r>
    <x v="64"/>
    <x v="257"/>
    <s v="Embases "/>
    <s v="Total"/>
    <x v="0"/>
    <x v="0"/>
    <x v="1"/>
    <x v="0"/>
    <n v="50610.9"/>
    <n v="50610.9"/>
    <n v="32.442884615384614"/>
    <s v="Retenciones"/>
    <m/>
    <s v="22"/>
    <x v="906"/>
    <x v="0"/>
  </r>
  <r>
    <x v="37"/>
    <x v="257"/>
    <s v="Embases "/>
    <s v="Total"/>
    <x v="0"/>
    <x v="0"/>
    <x v="1"/>
    <x v="0"/>
    <n v="1246636.3999999999"/>
    <n v="1246636.3999999999"/>
    <n v="799.1258974358974"/>
    <m/>
    <d v="2026-08-06T00:00:00"/>
    <n v="32"/>
    <x v="907"/>
    <x v="0"/>
  </r>
  <r>
    <x v="37"/>
    <x v="257"/>
    <s v="Embases "/>
    <s v="Total"/>
    <x v="0"/>
    <x v="0"/>
    <x v="1"/>
    <x v="0"/>
    <n v="1537459.06"/>
    <n v="1537459.06"/>
    <n v="985.55067948717954"/>
    <m/>
    <d v="2026-09-04T00:00:00"/>
    <n v="36"/>
    <x v="907"/>
    <x v="0"/>
  </r>
  <r>
    <x v="37"/>
    <x v="257"/>
    <s v="Embases "/>
    <s v="Total"/>
    <x v="0"/>
    <x v="0"/>
    <x v="1"/>
    <x v="0"/>
    <n v="1537459.06"/>
    <n v="1537459.06"/>
    <n v="985.55067948717954"/>
    <m/>
    <d v="2026-09-18T00:00:00"/>
    <n v="38"/>
    <x v="907"/>
    <x v="0"/>
  </r>
  <r>
    <x v="37"/>
    <x v="257"/>
    <s v="Embases "/>
    <s v="Total"/>
    <x v="0"/>
    <x v="0"/>
    <x v="1"/>
    <x v="0"/>
    <n v="1537459.06"/>
    <n v="1537459.06"/>
    <n v="985.55067948717954"/>
    <m/>
    <d v="2026-10-09T00:00:00"/>
    <n v="41"/>
    <x v="907"/>
    <x v="0"/>
  </r>
  <r>
    <x v="37"/>
    <x v="257"/>
    <s v="Embases "/>
    <s v="Total"/>
    <x v="0"/>
    <x v="0"/>
    <x v="1"/>
    <x v="0"/>
    <n v="1537459.07"/>
    <n v="1537459.07"/>
    <n v="985.55068589743598"/>
    <m/>
    <d v="2026-10-23T00:00:00"/>
    <n v="43"/>
    <x v="907"/>
    <x v="0"/>
  </r>
  <r>
    <x v="37"/>
    <x v="257"/>
    <s v="Embases "/>
    <s v="Total"/>
    <x v="0"/>
    <x v="0"/>
    <x v="1"/>
    <x v="0"/>
    <n v="119755.15"/>
    <n v="119755.15"/>
    <n v="76.766121794871793"/>
    <s v="Retenciones"/>
    <m/>
    <s v="29"/>
    <x v="907"/>
    <x v="0"/>
  </r>
  <r>
    <x v="3"/>
    <x v="253"/>
    <s v="Pago Cheque rechazado N°31 (Barraza)"/>
    <s v="Total"/>
    <x v="0"/>
    <x v="0"/>
    <x v="2"/>
    <x v="0"/>
    <n v="40000"/>
    <n v="40000"/>
    <n v="25.641025641025642"/>
    <m/>
    <m/>
    <s v="44"/>
    <x v="896"/>
    <x v="2"/>
  </r>
  <r>
    <x v="7"/>
    <x v="258"/>
    <m/>
    <s v="Total"/>
    <x v="0"/>
    <x v="1"/>
    <x v="2"/>
    <x v="1"/>
    <n v="2900750"/>
    <n v="4525170000"/>
    <n v="2900750"/>
    <m/>
    <m/>
    <s v="46"/>
    <x v="908"/>
    <x v="0"/>
  </r>
  <r>
    <x v="68"/>
    <x v="259"/>
    <s v="Facturas 4607 / 4610"/>
    <s v="Total"/>
    <x v="0"/>
    <x v="0"/>
    <x v="1"/>
    <x v="0"/>
    <n v="732135.90999999992"/>
    <n v="732135.90999999992"/>
    <n v="469.31789102564096"/>
    <s v="Pago 05/06/2025"/>
    <m/>
    <s v="23"/>
    <x v="909"/>
    <x v="0"/>
  </r>
  <r>
    <x v="18"/>
    <x v="259"/>
    <s v="Servicio 300 horas tractores -Tractor TD4 85F"/>
    <s v="Total"/>
    <x v="1"/>
    <x v="0"/>
    <x v="1"/>
    <x v="0"/>
    <n v="1143450"/>
    <n v="1143450"/>
    <n v="732.98076923076928"/>
    <m/>
    <d v="2025-10-20T00:00:00"/>
    <n v="43"/>
    <x v="910"/>
    <x v="0"/>
  </r>
  <r>
    <x v="18"/>
    <x v="259"/>
    <s v="Servicio 300 horas tractores -Tractor TD4 90"/>
    <s v="Total"/>
    <x v="1"/>
    <x v="0"/>
    <x v="1"/>
    <x v="0"/>
    <n v="1070596.33"/>
    <n v="1070596.33"/>
    <n v="686.2796987179488"/>
    <m/>
    <d v="2025-10-30T00:00:00"/>
    <n v="44"/>
    <x v="910"/>
    <x v="0"/>
  </r>
  <r>
    <x v="18"/>
    <x v="259"/>
    <s v="Servicio 300 horas tractores -Tractor TD4 90"/>
    <s v="Total"/>
    <x v="1"/>
    <x v="0"/>
    <x v="1"/>
    <x v="0"/>
    <n v="885200.27"/>
    <n v="885200.27"/>
    <n v="567.43607051282049"/>
    <m/>
    <d v="2025-10-30T00:00:00"/>
    <n v="44"/>
    <x v="910"/>
    <x v="0"/>
  </r>
  <r>
    <x v="65"/>
    <x v="259"/>
    <s v="Cable embrague new holland"/>
    <s v="Total"/>
    <x v="1"/>
    <x v="0"/>
    <x v="1"/>
    <x v="0"/>
    <n v="279787.09000000003"/>
    <n v="279787.09000000003"/>
    <n v="179.35069871794875"/>
    <m/>
    <d v="2026-04-26T00:00:00"/>
    <n v="18"/>
    <x v="911"/>
    <x v="0"/>
  </r>
  <r>
    <x v="10"/>
    <x v="260"/>
    <s v="Balanzas CR Ohaus - Pedido planta"/>
    <s v="Total"/>
    <x v="1"/>
    <x v="0"/>
    <x v="0"/>
    <x v="0"/>
    <n v="937487.67"/>
    <n v="937487.67"/>
    <n v="600.95363461538466"/>
    <m/>
    <m/>
    <s v="48"/>
    <x v="912"/>
    <x v="0"/>
  </r>
  <r>
    <x v="68"/>
    <x v="261"/>
    <s v="Redes"/>
    <s v="Total"/>
    <x v="3"/>
    <x v="0"/>
    <x v="0"/>
    <x v="0"/>
    <n v="120000"/>
    <n v="120000"/>
    <n v="76.92307692307692"/>
    <m/>
    <m/>
    <s v="23"/>
    <x v="913"/>
    <x v="0"/>
  </r>
  <r>
    <x v="5"/>
    <x v="261"/>
    <s v="Produccion de contenidos - redes sociales"/>
    <s v="Total"/>
    <x v="3"/>
    <x v="0"/>
    <x v="0"/>
    <x v="0"/>
    <n v="120000"/>
    <n v="120000"/>
    <n v="76.92307692307692"/>
    <m/>
    <m/>
    <s v="34"/>
    <x v="0"/>
    <x v="0"/>
  </r>
  <r>
    <x v="5"/>
    <x v="261"/>
    <s v="Produccion de contenidos - redes sociales"/>
    <s v="Total"/>
    <x v="3"/>
    <x v="0"/>
    <x v="0"/>
    <x v="0"/>
    <n v="120000"/>
    <n v="120000"/>
    <n v="76.92307692307692"/>
    <m/>
    <m/>
    <s v="34"/>
    <x v="0"/>
    <x v="0"/>
  </r>
  <r>
    <x v="5"/>
    <x v="261"/>
    <s v="Servicio Audiovisual"/>
    <s v="Total"/>
    <x v="3"/>
    <x v="0"/>
    <x v="0"/>
    <x v="0"/>
    <n v="120000"/>
    <n v="120000"/>
    <n v="76.92307692307692"/>
    <m/>
    <m/>
    <s v="34"/>
    <x v="0"/>
    <x v="0"/>
  </r>
  <r>
    <x v="18"/>
    <x v="261"/>
    <s v="Produccion de contenidos - redes sociales"/>
    <s v="Total"/>
    <x v="3"/>
    <x v="0"/>
    <x v="0"/>
    <x v="0"/>
    <n v="120000"/>
    <n v="120000"/>
    <n v="76.92307692307692"/>
    <m/>
    <m/>
    <s v="39"/>
    <x v="914"/>
    <x v="0"/>
  </r>
  <r>
    <x v="6"/>
    <x v="261"/>
    <s v="Produccion de contenidos - redes sociales"/>
    <s v="Total"/>
    <x v="3"/>
    <x v="0"/>
    <x v="0"/>
    <x v="0"/>
    <n v="120000"/>
    <n v="120000"/>
    <n v="76.92307692307692"/>
    <m/>
    <m/>
    <s v="41"/>
    <x v="915"/>
    <x v="0"/>
  </r>
  <r>
    <x v="19"/>
    <x v="261"/>
    <s v="Servicio Audiovisual"/>
    <s v="Total"/>
    <x v="3"/>
    <x v="0"/>
    <x v="0"/>
    <x v="0"/>
    <n v="120000"/>
    <n v="120000"/>
    <n v="76.92307692307692"/>
    <m/>
    <m/>
    <s v="50"/>
    <x v="916"/>
    <x v="0"/>
  </r>
  <r>
    <x v="13"/>
    <x v="261"/>
    <s v="Honorarios profesionales "/>
    <s v="Total"/>
    <x v="3"/>
    <x v="0"/>
    <x v="0"/>
    <x v="0"/>
    <n v="120000"/>
    <n v="120000"/>
    <n v="76.92307692307692"/>
    <m/>
    <m/>
    <s v="07"/>
    <x v="917"/>
    <x v="0"/>
  </r>
  <r>
    <x v="20"/>
    <x v="261"/>
    <s v="Febrero"/>
    <s v="Total"/>
    <x v="3"/>
    <x v="0"/>
    <x v="0"/>
    <x v="0"/>
    <n v="119359.93"/>
    <n v="119359.93"/>
    <n v="76.512775641025641"/>
    <m/>
    <m/>
    <s v="15"/>
    <x v="918"/>
    <x v="0"/>
  </r>
  <r>
    <x v="20"/>
    <x v="261"/>
    <s v="Febrero"/>
    <s v="Total"/>
    <x v="3"/>
    <x v="0"/>
    <x v="0"/>
    <x v="0"/>
    <n v="640.07000000000005"/>
    <n v="640.07000000000005"/>
    <n v="0.41030128205128208"/>
    <s v="Retenciones"/>
    <m/>
    <s v="15"/>
    <x v="918"/>
    <x v="0"/>
  </r>
  <r>
    <x v="22"/>
    <x v="261"/>
    <s v="Servicio Audiovisual"/>
    <s v="Total"/>
    <x v="3"/>
    <x v="0"/>
    <x v="0"/>
    <x v="0"/>
    <n v="237376.46"/>
    <n v="237376.46"/>
    <n v="152.16439743589743"/>
    <m/>
    <m/>
    <s v="23"/>
    <x v="919"/>
    <x v="0"/>
  </r>
  <r>
    <x v="22"/>
    <x v="261"/>
    <s v="Servicio Audiovisual"/>
    <s v="Total"/>
    <x v="3"/>
    <x v="0"/>
    <x v="0"/>
    <x v="0"/>
    <n v="2623.54"/>
    <n v="2623.54"/>
    <n v="1.6817564102564102"/>
    <s v="Retenciones"/>
    <m/>
    <s v="23"/>
    <x v="919"/>
    <x v="0"/>
  </r>
  <r>
    <x v="10"/>
    <x v="262"/>
    <s v="Pedido EPP planta - campo"/>
    <s v="Total"/>
    <x v="1"/>
    <x v="0"/>
    <x v="1"/>
    <x v="0"/>
    <n v="164003.4"/>
    <n v="164003.4"/>
    <n v="105.13038461538461"/>
    <m/>
    <d v="2025-12-27T00:00:00"/>
    <n v="52"/>
    <x v="920"/>
    <x v="0"/>
  </r>
  <r>
    <x v="19"/>
    <x v="262"/>
    <s v="Pedidos EPP Diciembre - Planta - Campo - Bodega"/>
    <s v="Total"/>
    <x v="1"/>
    <x v="0"/>
    <x v="1"/>
    <x v="0"/>
    <n v="300709.2"/>
    <n v="300709.2"/>
    <n v="192.7623076923077"/>
    <m/>
    <m/>
    <s v="50"/>
    <x v="921"/>
    <x v="0"/>
  </r>
  <r>
    <x v="59"/>
    <x v="262"/>
    <s v="Pedido EPP planta"/>
    <s v="Total"/>
    <x v="1"/>
    <x v="0"/>
    <x v="1"/>
    <x v="0"/>
    <n v="156041.60000000001"/>
    <n v="156041.60000000001"/>
    <n v="100.02666666666667"/>
    <s v="Pagar"/>
    <d v="2026-03-07T00:00:00"/>
    <n v="10"/>
    <x v="922"/>
    <x v="0"/>
  </r>
  <r>
    <x v="60"/>
    <x v="262"/>
    <s v="Pedido EPP septiembre 2025"/>
    <s v="Total"/>
    <x v="1"/>
    <x v="0"/>
    <x v="1"/>
    <x v="0"/>
    <n v="520735.6"/>
    <n v="520735.6"/>
    <n v="333.80487179487176"/>
    <m/>
    <d v="2025-10-10T00:00:00"/>
    <n v="41"/>
    <x v="923"/>
    <x v="0"/>
  </r>
  <r>
    <x v="14"/>
    <x v="262"/>
    <s v="Pedido EPP campo - planta"/>
    <s v="Total"/>
    <x v="1"/>
    <x v="0"/>
    <x v="1"/>
    <x v="0"/>
    <n v="436078.72"/>
    <n v="436078.72"/>
    <n v="279.53764102564099"/>
    <m/>
    <d v="2025-12-19T00:00:00"/>
    <n v="51"/>
    <x v="924"/>
    <x v="0"/>
  </r>
  <r>
    <x v="19"/>
    <x v="262"/>
    <s v="EPP - Planta -bodega"/>
    <s v="Total"/>
    <x v="1"/>
    <x v="0"/>
    <x v="1"/>
    <x v="0"/>
    <n v="300218.8"/>
    <n v="300218.8"/>
    <n v="192.44794871794872"/>
    <m/>
    <d v="2026-01-11T00:00:00"/>
    <n v="3"/>
    <x v="921"/>
    <x v="0"/>
  </r>
  <r>
    <x v="32"/>
    <x v="262"/>
    <s v="EPP - pedido planta / bodega / campo"/>
    <s v="Total"/>
    <x v="1"/>
    <x v="0"/>
    <x v="1"/>
    <x v="0"/>
    <n v="455019.8"/>
    <n v="455019.8"/>
    <n v="291.67935897435899"/>
    <m/>
    <d v="2026-03-27T00:00:00"/>
    <n v="13"/>
    <x v="925"/>
    <x v="0"/>
  </r>
  <r>
    <x v="56"/>
    <x v="262"/>
    <s v="Pedido EPP planta - campo"/>
    <s v="Total"/>
    <x v="1"/>
    <x v="0"/>
    <x v="1"/>
    <x v="0"/>
    <n v="180000"/>
    <n v="180000"/>
    <n v="115.38461538461539"/>
    <m/>
    <d v="2026-04-10T00:00:00"/>
    <n v="15"/>
    <x v="926"/>
    <x v="0"/>
  </r>
  <r>
    <x v="65"/>
    <x v="262"/>
    <s v="Pedido Epp Planta - Bodega"/>
    <s v="Total"/>
    <x v="1"/>
    <x v="0"/>
    <x v="1"/>
    <x v="0"/>
    <n v="105149"/>
    <n v="105149"/>
    <n v="67.40320512820513"/>
    <m/>
    <m/>
    <s v="13"/>
    <x v="927"/>
    <x v="0"/>
  </r>
  <r>
    <x v="65"/>
    <x v="262"/>
    <s v="Pedido Epp Planta - Bodega"/>
    <s v="Total"/>
    <x v="1"/>
    <x v="0"/>
    <x v="1"/>
    <x v="0"/>
    <n v="6352.5"/>
    <n v="6352.5"/>
    <n v="4.072115384615385"/>
    <m/>
    <m/>
    <s v="13"/>
    <x v="927"/>
    <x v="0"/>
  </r>
  <r>
    <x v="53"/>
    <x v="262"/>
    <s v="Pedido Epp Planta - Bodega - campo"/>
    <s v="Total"/>
    <x v="1"/>
    <x v="0"/>
    <x v="1"/>
    <x v="0"/>
    <n v="232740.74"/>
    <n v="232740.74"/>
    <n v="149.19278205128205"/>
    <m/>
    <d v="2026-05-20T00:00:00"/>
    <n v="21"/>
    <x v="928"/>
    <x v="0"/>
  </r>
  <r>
    <x v="53"/>
    <x v="262"/>
    <s v="Pedido Epp Planta - Bodega - campo"/>
    <s v="Total"/>
    <x v="1"/>
    <x v="0"/>
    <x v="1"/>
    <x v="0"/>
    <n v="218495.87"/>
    <n v="218495.87"/>
    <n v="140.06145512820513"/>
    <m/>
    <d v="2026-05-21T00:00:00"/>
    <n v="21"/>
    <x v="929"/>
    <x v="0"/>
  </r>
  <r>
    <x v="53"/>
    <x v="262"/>
    <s v="Pedido Epp Planta - Bodega - campo"/>
    <s v="Total"/>
    <x v="1"/>
    <x v="0"/>
    <x v="1"/>
    <x v="0"/>
    <n v="3028.51"/>
    <n v="3028.51"/>
    <n v="1.9413525641025642"/>
    <m/>
    <m/>
    <s v="17"/>
    <x v="929"/>
    <x v="0"/>
  </r>
  <r>
    <x v="23"/>
    <x v="262"/>
    <s v="Pedido EPP planta"/>
    <s v="Total"/>
    <x v="1"/>
    <x v="0"/>
    <x v="1"/>
    <x v="0"/>
    <n v="840711.35"/>
    <n v="840711.35"/>
    <n v="538.91753205128202"/>
    <m/>
    <d v="2026-05-31T00:00:00"/>
    <n v="23"/>
    <x v="930"/>
    <x v="0"/>
  </r>
  <r>
    <x v="23"/>
    <x v="262"/>
    <s v="Pedido EPP planta"/>
    <s v="Total"/>
    <x v="1"/>
    <x v="0"/>
    <x v="1"/>
    <x v="0"/>
    <n v="14129.61"/>
    <n v="14129.61"/>
    <n v="9.0574423076923072"/>
    <s v="Retenciones"/>
    <m/>
    <s v="18"/>
    <x v="930"/>
    <x v="0"/>
  </r>
  <r>
    <x v="64"/>
    <x v="262"/>
    <s v="Pedido EPP campo - bodega"/>
    <s v="Total"/>
    <x v="1"/>
    <x v="0"/>
    <x v="1"/>
    <x v="0"/>
    <n v="214087.72"/>
    <n v="214087.72"/>
    <n v="137.23571794871796"/>
    <m/>
    <d v="2026-06-26T00:00:00"/>
    <n v="26"/>
    <x v="931"/>
    <x v="0"/>
  </r>
  <r>
    <x v="22"/>
    <x v="262"/>
    <s v="Pedido EPP planta"/>
    <s v="Total"/>
    <x v="1"/>
    <x v="0"/>
    <x v="1"/>
    <x v="0"/>
    <n v="93567.61"/>
    <n v="93567.61"/>
    <n v="59.979237179487178"/>
    <m/>
    <d v="2026-07-05T00:00:00"/>
    <n v="28"/>
    <x v="932"/>
    <x v="0"/>
  </r>
  <r>
    <x v="42"/>
    <x v="262"/>
    <s v="Pedido EPP - Planta - Campo"/>
    <s v="Total"/>
    <x v="1"/>
    <x v="0"/>
    <x v="1"/>
    <x v="0"/>
    <n v="72096.639999999999"/>
    <n v="72096.639999999999"/>
    <n v="46.21579487179487"/>
    <m/>
    <d v="2026-06-26T00:00:00"/>
    <n v="26"/>
    <x v="933"/>
    <x v="0"/>
  </r>
  <r>
    <x v="35"/>
    <x v="262"/>
    <s v="Pedido EPP - Campo"/>
    <s v="Total"/>
    <x v="1"/>
    <x v="0"/>
    <x v="1"/>
    <x v="0"/>
    <n v="34857.29"/>
    <n v="34857.29"/>
    <n v="22.344416666666667"/>
    <m/>
    <d v="2026-07-30T00:00:00"/>
    <n v="31"/>
    <x v="934"/>
    <x v="0"/>
  </r>
  <r>
    <x v="35"/>
    <x v="262"/>
    <s v="Reposición de chueque sin fondos"/>
    <s v="Total"/>
    <x v="1"/>
    <x v="0"/>
    <x v="0"/>
    <x v="0"/>
    <n v="72096.639999999999"/>
    <n v="72096.639999999999"/>
    <n v="46.21579487179487"/>
    <m/>
    <m/>
    <s v="27"/>
    <x v="935"/>
    <x v="0"/>
  </r>
  <r>
    <x v="45"/>
    <x v="262"/>
    <s v="EPP - pedido planta"/>
    <s v="Total"/>
    <x v="1"/>
    <x v="0"/>
    <x v="1"/>
    <x v="0"/>
    <n v="309980.87"/>
    <n v="309980.87"/>
    <n v="198.7056858974359"/>
    <m/>
    <d v="2026-06-19T00:00:00"/>
    <n v="25"/>
    <x v="936"/>
    <x v="0"/>
  </r>
  <r>
    <x v="45"/>
    <x v="262"/>
    <s v="EPP - pedido planta"/>
    <s v="Total"/>
    <x v="1"/>
    <x v="0"/>
    <x v="1"/>
    <x v="0"/>
    <n v="3438.74"/>
    <n v="3438.74"/>
    <n v="2.2043205128205128"/>
    <m/>
    <m/>
    <s v="25"/>
    <x v="936"/>
    <x v="0"/>
  </r>
  <r>
    <x v="49"/>
    <x v="263"/>
    <s v="Obra salon de ventas"/>
    <s v="Total"/>
    <x v="3"/>
    <x v="1"/>
    <x v="2"/>
    <x v="0"/>
    <n v="1000000"/>
    <n v="1000000"/>
    <n v="641.02564102564099"/>
    <m/>
    <m/>
    <s v="25"/>
    <x v="937"/>
    <x v="0"/>
  </r>
  <r>
    <x v="76"/>
    <x v="263"/>
    <s v="Mano de obra Salón de ventas / garita de seguridad"/>
    <s v="Total"/>
    <x v="1"/>
    <x v="1"/>
    <x v="2"/>
    <x v="0"/>
    <n v="1000000"/>
    <n v="1000000"/>
    <n v="641.02564102564099"/>
    <m/>
    <m/>
    <s v="12"/>
    <x v="0"/>
    <x v="0"/>
  </r>
  <r>
    <x v="78"/>
    <x v="263"/>
    <s v="Mano de obra Salón de ventas / garita de seguridad"/>
    <s v="Total"/>
    <x v="1"/>
    <x v="1"/>
    <x v="2"/>
    <x v="0"/>
    <n v="1000000"/>
    <n v="1000000"/>
    <n v="641.02564102564099"/>
    <m/>
    <m/>
    <s v="13"/>
    <x v="0"/>
    <x v="0"/>
  </r>
  <r>
    <x v="83"/>
    <x v="263"/>
    <s v="Mano de obra Salón de ventas / garita de seguridad"/>
    <s v="Total"/>
    <x v="1"/>
    <x v="1"/>
    <x v="2"/>
    <x v="0"/>
    <n v="1000000"/>
    <n v="1000000"/>
    <n v="641.02564102564099"/>
    <m/>
    <m/>
    <s v="14"/>
    <x v="0"/>
    <x v="0"/>
  </r>
  <r>
    <x v="82"/>
    <x v="263"/>
    <s v="Mano de obra Salón de ventas / garita de seguridad"/>
    <s v="Total"/>
    <x v="1"/>
    <x v="1"/>
    <x v="2"/>
    <x v="0"/>
    <n v="1000000"/>
    <n v="1000000"/>
    <n v="641.02564102564099"/>
    <m/>
    <m/>
    <s v="15"/>
    <x v="0"/>
    <x v="0"/>
  </r>
  <r>
    <x v="48"/>
    <x v="263"/>
    <s v="Mano de obra Salón de ventas / garita de seguridad"/>
    <s v="Total"/>
    <x v="1"/>
    <x v="1"/>
    <x v="2"/>
    <x v="0"/>
    <n v="1000000"/>
    <n v="1000000"/>
    <n v="641.02564102564099"/>
    <m/>
    <m/>
    <s v="16"/>
    <x v="938"/>
    <x v="0"/>
  </r>
  <r>
    <x v="51"/>
    <x v="263"/>
    <s v="Mano de obra Salón de ventas / garita de seguridad"/>
    <s v="Total"/>
    <x v="1"/>
    <x v="1"/>
    <x v="2"/>
    <x v="0"/>
    <n v="1000000"/>
    <n v="1000000"/>
    <n v="641.02564102564099"/>
    <m/>
    <m/>
    <s v="17"/>
    <x v="0"/>
    <x v="0"/>
  </r>
  <r>
    <x v="84"/>
    <x v="263"/>
    <s v="Mano de obra Salón de ventas / garita de seguridad"/>
    <s v="Total"/>
    <x v="1"/>
    <x v="1"/>
    <x v="2"/>
    <x v="0"/>
    <n v="1000000"/>
    <n v="1000000"/>
    <n v="641.02564102564099"/>
    <m/>
    <m/>
    <s v="18"/>
    <x v="939"/>
    <x v="0"/>
  </r>
  <r>
    <x v="55"/>
    <x v="263"/>
    <s v="Mano de obra Salón de ventas / garita de seguridad"/>
    <s v="Total"/>
    <x v="1"/>
    <x v="1"/>
    <x v="2"/>
    <x v="0"/>
    <n v="1000000"/>
    <n v="1000000"/>
    <n v="641.02564102564099"/>
    <m/>
    <m/>
    <s v="19"/>
    <x v="0"/>
    <x v="0"/>
  </r>
  <r>
    <x v="0"/>
    <x v="263"/>
    <s v="Obra salon de ventas"/>
    <s v="Parcial"/>
    <x v="0"/>
    <x v="1"/>
    <x v="1"/>
    <x v="0"/>
    <n v="1000000"/>
    <n v="1000000"/>
    <n v="641.02564102564099"/>
    <s v="CH 30 días"/>
    <d v="2025-07-03T00:00:00"/>
    <n v="27"/>
    <x v="940"/>
    <x v="0"/>
  </r>
  <r>
    <x v="68"/>
    <x v="263"/>
    <s v="Obra salon de ventas"/>
    <s v="Total"/>
    <x v="3"/>
    <x v="1"/>
    <x v="2"/>
    <x v="0"/>
    <n v="1000000"/>
    <n v="1000000"/>
    <n v="641.02564102564099"/>
    <m/>
    <m/>
    <s v="23"/>
    <x v="941"/>
    <x v="0"/>
  </r>
  <r>
    <x v="67"/>
    <x v="263"/>
    <s v="Obra salon de ventas"/>
    <s v="Total"/>
    <x v="3"/>
    <x v="1"/>
    <x v="2"/>
    <x v="0"/>
    <n v="1000000"/>
    <n v="1000000"/>
    <n v="641.02564102564099"/>
    <m/>
    <m/>
    <s v="24"/>
    <x v="942"/>
    <x v="0"/>
  </r>
  <r>
    <x v="25"/>
    <x v="263"/>
    <s v="Mano de obra salon de ventas"/>
    <s v="Total"/>
    <x v="1"/>
    <x v="1"/>
    <x v="2"/>
    <x v="0"/>
    <n v="500000"/>
    <n v="500000"/>
    <n v="320.5128205128205"/>
    <m/>
    <m/>
    <s v="27"/>
    <x v="943"/>
    <x v="0"/>
  </r>
  <r>
    <x v="21"/>
    <x v="263"/>
    <s v="Mano de obra salon de ventas"/>
    <s v="Total"/>
    <x v="1"/>
    <x v="1"/>
    <x v="1"/>
    <x v="0"/>
    <n v="130000"/>
    <n v="130000"/>
    <n v="83.333333333333329"/>
    <m/>
    <d v="2025-07-13T00:00:00"/>
    <n v="29"/>
    <x v="944"/>
    <x v="0"/>
  </r>
  <r>
    <x v="21"/>
    <x v="263"/>
    <s v="Mano de obra salon de ventas"/>
    <s v="Total"/>
    <x v="1"/>
    <x v="1"/>
    <x v="1"/>
    <x v="0"/>
    <n v="130000"/>
    <n v="130000"/>
    <n v="83.333333333333329"/>
    <m/>
    <d v="2025-07-23T00:00:00"/>
    <n v="30"/>
    <x v="944"/>
    <x v="0"/>
  </r>
  <r>
    <x v="21"/>
    <x v="263"/>
    <s v="Mano de obra salon de ventas"/>
    <s v="Total"/>
    <x v="1"/>
    <x v="1"/>
    <x v="1"/>
    <x v="0"/>
    <n v="130000"/>
    <n v="130000"/>
    <n v="83.333333333333329"/>
    <m/>
    <d v="2025-07-19T00:00:00"/>
    <n v="29"/>
    <x v="944"/>
    <x v="0"/>
  </r>
  <r>
    <x v="21"/>
    <x v="263"/>
    <s v="Mano de obra salon de ventas"/>
    <s v="Total"/>
    <x v="1"/>
    <x v="1"/>
    <x v="1"/>
    <x v="0"/>
    <n v="500000"/>
    <n v="500000"/>
    <n v="320.5128205128205"/>
    <m/>
    <d v="2025-06-30T00:00:00"/>
    <n v="27"/>
    <x v="944"/>
    <x v="0"/>
  </r>
  <r>
    <x v="26"/>
    <x v="263"/>
    <s v="Mano de obra salon de ventas"/>
    <s v="Total"/>
    <x v="1"/>
    <x v="1"/>
    <x v="1"/>
    <x v="0"/>
    <n v="75000"/>
    <n v="75000"/>
    <n v="48.07692307692308"/>
    <m/>
    <d v="2025-07-12T00:00:00"/>
    <n v="28"/>
    <x v="945"/>
    <x v="0"/>
  </r>
  <r>
    <x v="26"/>
    <x v="263"/>
    <s v="Mano de obra salon de ventas"/>
    <s v="Total"/>
    <x v="1"/>
    <x v="1"/>
    <x v="1"/>
    <x v="0"/>
    <n v="75000"/>
    <n v="75000"/>
    <n v="48.07692307692308"/>
    <m/>
    <d v="2025-07-15T00:00:00"/>
    <n v="29"/>
    <x v="945"/>
    <x v="0"/>
  </r>
  <r>
    <x v="26"/>
    <x v="263"/>
    <s v="Mano de obra salon de ventas"/>
    <s v="Total"/>
    <x v="1"/>
    <x v="1"/>
    <x v="1"/>
    <x v="0"/>
    <n v="148112.04999999999"/>
    <n v="148112.04999999999"/>
    <n v="94.943621794871788"/>
    <m/>
    <d v="2025-07-16T00:00:00"/>
    <n v="29"/>
    <x v="945"/>
    <x v="0"/>
  </r>
  <r>
    <x v="26"/>
    <x v="263"/>
    <s v="Mano de obra salon de ventas"/>
    <s v="Total"/>
    <x v="1"/>
    <x v="1"/>
    <x v="2"/>
    <x v="0"/>
    <n v="10035.950000000001"/>
    <n v="10035.950000000001"/>
    <n v="6.4333012820512829"/>
    <m/>
    <m/>
    <s v="29"/>
    <x v="945"/>
    <x v="0"/>
  </r>
  <r>
    <x v="75"/>
    <x v="263"/>
    <s v="Reparación techo laboratorio Bodega"/>
    <s v="Total"/>
    <x v="2"/>
    <x v="1"/>
    <x v="2"/>
    <x v="0"/>
    <n v="4690"/>
    <n v="4690"/>
    <n v="3.0064102564102564"/>
    <m/>
    <m/>
    <s v="52"/>
    <x v="946"/>
    <x v="0"/>
  </r>
  <r>
    <x v="75"/>
    <x v="263"/>
    <s v="Reparación techo laboratorio Bodega"/>
    <s v="Total"/>
    <x v="1"/>
    <x v="1"/>
    <x v="1"/>
    <x v="0"/>
    <n v="565000"/>
    <n v="565000"/>
    <n v="362.17948717948718"/>
    <m/>
    <m/>
    <s v="52"/>
    <x v="946"/>
    <x v="0"/>
  </r>
  <r>
    <x v="75"/>
    <x v="263"/>
    <s v="Reparación techo laboratorio Bodega"/>
    <s v="Total"/>
    <x v="1"/>
    <x v="1"/>
    <x v="1"/>
    <x v="0"/>
    <n v="1000000"/>
    <n v="1000000"/>
    <n v="641.02564102564099"/>
    <m/>
    <m/>
    <s v="52"/>
    <x v="946"/>
    <x v="0"/>
  </r>
  <r>
    <x v="18"/>
    <x v="264"/>
    <s v="Montacarga Bodega"/>
    <s v="Total"/>
    <x v="1"/>
    <x v="0"/>
    <x v="1"/>
    <x v="0"/>
    <n v="2500000"/>
    <n v="2500000"/>
    <n v="1602.5641025641025"/>
    <m/>
    <d v="2025-10-22T00:00:00"/>
    <n v="43"/>
    <x v="947"/>
    <x v="0"/>
  </r>
  <r>
    <x v="18"/>
    <x v="264"/>
    <s v="Montacarga Bodega"/>
    <s v="Total"/>
    <x v="1"/>
    <x v="0"/>
    <x v="1"/>
    <x v="0"/>
    <n v="2500000"/>
    <n v="2500000"/>
    <n v="1602.5641025641025"/>
    <m/>
    <d v="2025-10-22T00:00:00"/>
    <n v="43"/>
    <x v="947"/>
    <x v="0"/>
  </r>
  <r>
    <x v="18"/>
    <x v="264"/>
    <s v="Montacarga Bodega"/>
    <s v="Total"/>
    <x v="1"/>
    <x v="0"/>
    <x v="1"/>
    <x v="0"/>
    <n v="2500000"/>
    <n v="2500000"/>
    <n v="1602.5641025641025"/>
    <m/>
    <d v="2025-10-22T00:00:00"/>
    <n v="43"/>
    <x v="947"/>
    <x v="0"/>
  </r>
  <r>
    <x v="18"/>
    <x v="264"/>
    <s v="Montacarga Bodega"/>
    <s v="Total"/>
    <x v="1"/>
    <x v="0"/>
    <x v="1"/>
    <x v="0"/>
    <n v="2500000"/>
    <n v="2500000"/>
    <n v="1602.5641025641025"/>
    <m/>
    <d v="2025-10-22T00:00:00"/>
    <n v="43"/>
    <x v="947"/>
    <x v="0"/>
  </r>
  <r>
    <x v="28"/>
    <x v="264"/>
    <s v="Montacarga Bodega"/>
    <s v="Total"/>
    <x v="1"/>
    <x v="1"/>
    <x v="1"/>
    <x v="0"/>
    <n v="1200000"/>
    <n v="1200000"/>
    <n v="769.23076923076928"/>
    <m/>
    <d v="2025-11-20T00:00:00"/>
    <n v="47"/>
    <x v="948"/>
    <x v="0"/>
  </r>
  <r>
    <x v="28"/>
    <x v="264"/>
    <s v="Montacarga Bodega"/>
    <s v="Total"/>
    <x v="1"/>
    <x v="1"/>
    <x v="1"/>
    <x v="0"/>
    <n v="800000"/>
    <n v="800000"/>
    <n v="512.82051282051282"/>
    <m/>
    <d v="2025-11-07T00:00:00"/>
    <n v="45"/>
    <x v="948"/>
    <x v="0"/>
  </r>
  <r>
    <x v="28"/>
    <x v="264"/>
    <s v="Montacarga Bodega"/>
    <s v="Total"/>
    <x v="1"/>
    <x v="1"/>
    <x v="1"/>
    <x v="0"/>
    <n v="1127500"/>
    <n v="1127500"/>
    <n v="722.75641025641028"/>
    <m/>
    <d v="2025-11-08T00:00:00"/>
    <n v="45"/>
    <x v="948"/>
    <x v="0"/>
  </r>
  <r>
    <x v="31"/>
    <x v="264"/>
    <s v="Tolvas para cosecha"/>
    <s v="Parcial"/>
    <x v="1"/>
    <x v="1"/>
    <x v="1"/>
    <x v="0"/>
    <n v="837120"/>
    <n v="837120"/>
    <n v="536.61538461538464"/>
    <m/>
    <d v="2025-11-29T00:00:00"/>
    <n v="48"/>
    <x v="949"/>
    <x v="0"/>
  </r>
  <r>
    <x v="31"/>
    <x v="264"/>
    <s v="Tolvas para cosecha"/>
    <s v="Parcial"/>
    <x v="1"/>
    <x v="1"/>
    <x v="1"/>
    <x v="0"/>
    <n v="1940840"/>
    <n v="1940840"/>
    <n v="1244.1282051282051"/>
    <m/>
    <d v="2025-12-12T00:00:00"/>
    <n v="50"/>
    <x v="949"/>
    <x v="0"/>
  </r>
  <r>
    <x v="31"/>
    <x v="264"/>
    <s v="Tolvas para cosecha"/>
    <s v="Parcial"/>
    <x v="1"/>
    <x v="1"/>
    <x v="1"/>
    <x v="0"/>
    <n v="7000000"/>
    <n v="7000000"/>
    <n v="4487.1794871794873"/>
    <m/>
    <d v="2025-11-28T00:00:00"/>
    <n v="48"/>
    <x v="949"/>
    <x v="0"/>
  </r>
  <r>
    <x v="10"/>
    <x v="264"/>
    <s v="Montacarga Bodega"/>
    <s v="Total"/>
    <x v="0"/>
    <x v="1"/>
    <x v="1"/>
    <x v="0"/>
    <n v="820714"/>
    <n v="820714"/>
    <n v="526.09871794871799"/>
    <m/>
    <d v="2025-11-01T00:00:00"/>
    <n v="44"/>
    <x v="950"/>
    <x v="0"/>
  </r>
  <r>
    <x v="10"/>
    <x v="264"/>
    <s v="Montacarga Bodega"/>
    <s v="Total"/>
    <x v="0"/>
    <x v="1"/>
    <x v="1"/>
    <x v="0"/>
    <n v="1496000"/>
    <n v="1496000"/>
    <n v="958.97435897435901"/>
    <m/>
    <d v="2025-12-15T00:00:00"/>
    <n v="51"/>
    <x v="950"/>
    <x v="0"/>
  </r>
  <r>
    <x v="10"/>
    <x v="264"/>
    <s v="Montacarga Bodega"/>
    <s v="Total"/>
    <x v="0"/>
    <x v="1"/>
    <x v="1"/>
    <x v="0"/>
    <n v="3033000"/>
    <n v="3033000"/>
    <n v="1944.2307692307693"/>
    <m/>
    <d v="2025-11-08T00:00:00"/>
    <n v="45"/>
    <x v="950"/>
    <x v="0"/>
  </r>
  <r>
    <x v="10"/>
    <x v="264"/>
    <s v="Montacarga Bodega"/>
    <s v="Total"/>
    <x v="0"/>
    <x v="1"/>
    <x v="2"/>
    <x v="0"/>
    <n v="67582"/>
    <n v="67582"/>
    <n v="43.321794871794872"/>
    <m/>
    <m/>
    <s v="48"/>
    <x v="950"/>
    <x v="0"/>
  </r>
  <r>
    <x v="32"/>
    <x v="264"/>
    <s v="Reposición cheque rehasado"/>
    <s v="Total"/>
    <x v="1"/>
    <x v="1"/>
    <x v="2"/>
    <x v="0"/>
    <n v="3050000"/>
    <n v="3050000"/>
    <n v="1955.1282051282051"/>
    <m/>
    <m/>
    <s v="09"/>
    <x v="951"/>
    <x v="0"/>
  </r>
  <r>
    <x v="24"/>
    <x v="264"/>
    <s v="Fabricacion de tolvas"/>
    <s v="Total"/>
    <x v="2"/>
    <x v="1"/>
    <x v="2"/>
    <x v="0"/>
    <n v="2000000"/>
    <n v="2000000"/>
    <n v="1282.051282051282"/>
    <m/>
    <m/>
    <s v="14"/>
    <x v="952"/>
    <x v="0"/>
  </r>
  <r>
    <x v="3"/>
    <x v="247"/>
    <s v="Extension de filtros pozo nuevo"/>
    <s v="Total"/>
    <x v="0"/>
    <x v="0"/>
    <x v="1"/>
    <x v="0"/>
    <n v="1803762.21"/>
    <n v="1803762.21"/>
    <n v="1156.2578269230769"/>
    <m/>
    <m/>
    <s v="44"/>
    <x v="0"/>
    <x v="1"/>
  </r>
  <r>
    <x v="76"/>
    <x v="265"/>
    <s v="Cuota Camioneta Amarok (3 cuotas adeudadas)"/>
    <s v="Total"/>
    <x v="1"/>
    <x v="0"/>
    <x v="0"/>
    <x v="0"/>
    <n v="615000"/>
    <n v="615000"/>
    <n v="394.23076923076923"/>
    <m/>
    <m/>
    <s v="12"/>
    <x v="0"/>
    <x v="0"/>
  </r>
  <r>
    <x v="23"/>
    <x v="266"/>
    <s v="Combustible"/>
    <s v="Total"/>
    <x v="2"/>
    <x v="0"/>
    <x v="2"/>
    <x v="0"/>
    <n v="70000"/>
    <n v="70000"/>
    <n v="44.871794871794869"/>
    <s v="Sin rendir"/>
    <m/>
    <s v="18"/>
    <x v="953"/>
    <x v="0"/>
  </r>
  <r>
    <x v="47"/>
    <x v="266"/>
    <s v="Combustible"/>
    <s v="Total"/>
    <x v="2"/>
    <x v="0"/>
    <x v="2"/>
    <x v="0"/>
    <n v="70000.09"/>
    <n v="70000.09"/>
    <n v="44.871852564102561"/>
    <m/>
    <m/>
    <s v="20"/>
    <x v="954"/>
    <x v="0"/>
  </r>
  <r>
    <x v="22"/>
    <x v="266"/>
    <s v="Combustible"/>
    <s v="Total"/>
    <x v="2"/>
    <x v="0"/>
    <x v="2"/>
    <x v="0"/>
    <n v="70000"/>
    <n v="70000"/>
    <n v="44.871794871794869"/>
    <m/>
    <m/>
    <s v="23"/>
    <x v="955"/>
    <x v="0"/>
  </r>
  <r>
    <x v="42"/>
    <x v="266"/>
    <s v="Combustible"/>
    <s v="Total"/>
    <x v="2"/>
    <x v="0"/>
    <x v="2"/>
    <x v="0"/>
    <n v="70000"/>
    <n v="70000"/>
    <n v="44.871794871794869"/>
    <m/>
    <m/>
    <s v="24"/>
    <x v="956"/>
    <x v="0"/>
  </r>
  <r>
    <x v="36"/>
    <x v="266"/>
    <s v="Combustible"/>
    <s v="Total"/>
    <x v="2"/>
    <x v="0"/>
    <x v="1"/>
    <x v="0"/>
    <n v="70000.03"/>
    <n v="70000.03"/>
    <n v="44.871814102564102"/>
    <m/>
    <m/>
    <s v="28"/>
    <x v="957"/>
    <x v="0"/>
  </r>
  <r>
    <x v="58"/>
    <x v="266"/>
    <s v="Combustible"/>
    <s v="Total"/>
    <x v="2"/>
    <x v="0"/>
    <x v="2"/>
    <x v="0"/>
    <n v="70000"/>
    <n v="70000"/>
    <n v="44.871794871794869"/>
    <m/>
    <m/>
    <s v="30"/>
    <x v="958"/>
    <x v="0"/>
  </r>
  <r>
    <x v="40"/>
    <x v="266"/>
    <s v="Combustible"/>
    <s v="Total"/>
    <x v="2"/>
    <x v="0"/>
    <x v="2"/>
    <x v="0"/>
    <n v="80000.06"/>
    <n v="80000.06"/>
    <n v="51.282089743589744"/>
    <m/>
    <m/>
    <s v="40"/>
    <x v="959"/>
    <x v="0"/>
  </r>
  <r>
    <x v="3"/>
    <x v="251"/>
    <s v="Analisis - planta"/>
    <s v="Total"/>
    <x v="0"/>
    <x v="0"/>
    <x v="1"/>
    <x v="0"/>
    <n v="512979.5"/>
    <n v="512979.5"/>
    <n v="328.83301282051281"/>
    <m/>
    <m/>
    <s v="44"/>
    <x v="0"/>
    <x v="1"/>
  </r>
  <r>
    <x v="4"/>
    <x v="267"/>
    <s v="Reparacion boba COE"/>
    <s v="Total"/>
    <x v="1"/>
    <x v="0"/>
    <x v="1"/>
    <x v="0"/>
    <n v="2500000"/>
    <n v="2500000"/>
    <n v="1602.5641025641025"/>
    <m/>
    <d v="2026-01-30T00:00:00"/>
    <n v="5"/>
    <x v="960"/>
    <x v="0"/>
  </r>
  <r>
    <x v="4"/>
    <x v="267"/>
    <s v="Reparacion boba COE"/>
    <s v="Total"/>
    <x v="1"/>
    <x v="0"/>
    <x v="1"/>
    <x v="0"/>
    <n v="2500000"/>
    <n v="2500000"/>
    <n v="1602.5641025641025"/>
    <m/>
    <d v="2026-01-30T00:00:00"/>
    <n v="5"/>
    <x v="960"/>
    <x v="0"/>
  </r>
  <r>
    <x v="4"/>
    <x v="267"/>
    <s v="Reparacion boba COE"/>
    <s v="Total"/>
    <x v="1"/>
    <x v="0"/>
    <x v="1"/>
    <x v="0"/>
    <n v="2500000"/>
    <n v="2500000"/>
    <n v="1602.5641025641025"/>
    <m/>
    <d v="2026-01-29T00:00:00"/>
    <n v="5"/>
    <x v="960"/>
    <x v="0"/>
  </r>
  <r>
    <x v="4"/>
    <x v="267"/>
    <s v="Reparacion boba COE"/>
    <s v="Total"/>
    <x v="1"/>
    <x v="0"/>
    <x v="1"/>
    <x v="0"/>
    <n v="2500000"/>
    <n v="2500000"/>
    <n v="1602.5641025641025"/>
    <m/>
    <d v="2026-01-29T00:00:00"/>
    <n v="5"/>
    <x v="960"/>
    <x v="0"/>
  </r>
  <r>
    <x v="4"/>
    <x v="267"/>
    <s v="Reparacion boba COE"/>
    <s v="Total"/>
    <x v="1"/>
    <x v="0"/>
    <x v="1"/>
    <x v="0"/>
    <n v="2500000"/>
    <n v="2500000"/>
    <n v="1602.5641025641025"/>
    <m/>
    <d v="2026-01-27T00:00:00"/>
    <n v="5"/>
    <x v="960"/>
    <x v="0"/>
  </r>
  <r>
    <x v="85"/>
    <x v="267"/>
    <s v="Reparacion de bomba hidraulica A90"/>
    <s v="Total"/>
    <x v="1"/>
    <x v="0"/>
    <x v="1"/>
    <x v="0"/>
    <n v="1213288.67"/>
    <n v="1213288.67"/>
    <n v="777.74914743589738"/>
    <m/>
    <m/>
    <s v="05"/>
    <x v="961"/>
    <x v="0"/>
  </r>
  <r>
    <x v="66"/>
    <x v="268"/>
    <s v="Exploración Pozo"/>
    <s v="Total"/>
    <x v="1"/>
    <x v="0"/>
    <x v="1"/>
    <x v="0"/>
    <n v="398256.6"/>
    <n v="398256.6"/>
    <n v="255.29269230769231"/>
    <s v="Retenciones"/>
    <m/>
    <s v="34"/>
    <x v="962"/>
    <x v="0"/>
  </r>
  <r>
    <x v="66"/>
    <x v="268"/>
    <s v="Exploración Pozo"/>
    <s v="Total"/>
    <x v="1"/>
    <x v="0"/>
    <x v="1"/>
    <x v="0"/>
    <n v="11888771.699999999"/>
    <n v="11888771.699999999"/>
    <n v="7621.0074999999997"/>
    <m/>
    <d v="2026-10-23T00:00:00"/>
    <n v="43"/>
    <x v="962"/>
    <x v="0"/>
  </r>
  <r>
    <x v="66"/>
    <x v="268"/>
    <s v="Exploración Pozo"/>
    <s v="Total"/>
    <x v="1"/>
    <x v="0"/>
    <x v="1"/>
    <x v="0"/>
    <n v="11888771.699999999"/>
    <n v="11888771.699999999"/>
    <n v="7621.0074999999997"/>
    <m/>
    <d v="2026-10-30T00:00:00"/>
    <n v="44"/>
    <x v="962"/>
    <x v="0"/>
  </r>
  <r>
    <x v="58"/>
    <x v="269"/>
    <s v="Pedido Planta -  Cava"/>
    <s v="Total"/>
    <x v="1"/>
    <x v="0"/>
    <x v="0"/>
    <x v="0"/>
    <n v="1165796.48"/>
    <n v="1165796.48"/>
    <n v="747.30543589743593"/>
    <m/>
    <m/>
    <s v="30"/>
    <x v="963"/>
    <x v="0"/>
  </r>
  <r>
    <x v="58"/>
    <x v="269"/>
    <s v="Pedido Planta -  Cava"/>
    <s v="Total"/>
    <x v="1"/>
    <x v="0"/>
    <x v="0"/>
    <x v="0"/>
    <n v="15037.92"/>
    <n v="15037.92"/>
    <n v="9.6396923076923073"/>
    <s v="Retenciones"/>
    <m/>
    <s v="30"/>
    <x v="963"/>
    <x v="0"/>
  </r>
  <r>
    <x v="3"/>
    <x v="251"/>
    <s v="Analisis agua - Planta"/>
    <s v="Total"/>
    <x v="0"/>
    <x v="0"/>
    <x v="0"/>
    <x v="0"/>
    <n v="126088.05"/>
    <n v="126088.05"/>
    <n v="80.825673076923081"/>
    <m/>
    <m/>
    <s v="44"/>
    <x v="0"/>
    <x v="2"/>
  </r>
  <r>
    <x v="49"/>
    <x v="270"/>
    <s v="Pedido planta"/>
    <s v="Total"/>
    <x v="1"/>
    <x v="0"/>
    <x v="1"/>
    <x v="0"/>
    <n v="341178.73499999999"/>
    <n v="341178.73499999999"/>
    <n v="218.70431730769229"/>
    <s v="CH 30 días"/>
    <d v="2025-07-12T00:00:00"/>
    <n v="28"/>
    <x v="964"/>
    <x v="0"/>
  </r>
  <r>
    <x v="49"/>
    <x v="270"/>
    <s v="Pedido planta"/>
    <s v="Total"/>
    <x v="1"/>
    <x v="0"/>
    <x v="1"/>
    <x v="0"/>
    <n v="341178.73499999999"/>
    <n v="341178.73499999999"/>
    <n v="218.70431730769229"/>
    <s v="CH 60 días"/>
    <d v="2025-08-12T00:00:00"/>
    <n v="33"/>
    <x v="964"/>
    <x v="0"/>
  </r>
  <r>
    <x v="26"/>
    <x v="270"/>
    <s v="Pedido Planta"/>
    <s v="Total"/>
    <x v="1"/>
    <x v="0"/>
    <x v="1"/>
    <x v="0"/>
    <n v="642749.36"/>
    <n v="642749.36"/>
    <n v="412.01882051282053"/>
    <s v="CH 30 días"/>
    <d v="2025-08-15T00:00:00"/>
    <n v="33"/>
    <x v="965"/>
    <x v="0"/>
  </r>
  <r>
    <x v="26"/>
    <x v="270"/>
    <s v="Pedido Planta"/>
    <s v="Total"/>
    <x v="1"/>
    <x v="0"/>
    <x v="1"/>
    <x v="0"/>
    <n v="642749.36"/>
    <n v="642749.36"/>
    <n v="412.01882051282053"/>
    <s v="CH 60 días"/>
    <d v="2025-09-15T00:00:00"/>
    <n v="38"/>
    <x v="965"/>
    <x v="0"/>
  </r>
  <r>
    <x v="69"/>
    <x v="270"/>
    <s v="Pedido de Campo - Reparacion hidrociclon "/>
    <s v="Total"/>
    <x v="1"/>
    <x v="0"/>
    <x v="1"/>
    <x v="0"/>
    <n v="77494.05"/>
    <n v="77494.05"/>
    <n v="49.675673076923076"/>
    <m/>
    <d v="2025-08-31T00:00:00"/>
    <n v="36"/>
    <x v="966"/>
    <x v="0"/>
  </r>
  <r>
    <x v="69"/>
    <x v="270"/>
    <s v="Pedido de Campo - Reparacion hidrociclon "/>
    <s v="Total"/>
    <x v="1"/>
    <x v="0"/>
    <x v="1"/>
    <x v="0"/>
    <n v="77494.039999999994"/>
    <n v="77494.039999999994"/>
    <n v="49.675666666666665"/>
    <m/>
    <d v="2025-09-30T00:00:00"/>
    <n v="40"/>
    <x v="966"/>
    <x v="0"/>
  </r>
  <r>
    <x v="52"/>
    <x v="270"/>
    <s v="Pedido Planta - Reparacion de bines "/>
    <s v="Total"/>
    <x v="1"/>
    <x v="0"/>
    <x v="1"/>
    <x v="0"/>
    <n v="747428.03"/>
    <n v="747428.03"/>
    <n v="479.12053205128205"/>
    <m/>
    <d v="2025-10-16T00:00:00"/>
    <n v="42"/>
    <x v="967"/>
    <x v="0"/>
  </r>
  <r>
    <x v="52"/>
    <x v="270"/>
    <s v="Pedido Planta - Reparacion de bines "/>
    <s v="Total"/>
    <x v="1"/>
    <x v="0"/>
    <x v="1"/>
    <x v="0"/>
    <n v="747428.03"/>
    <n v="747428.03"/>
    <n v="479.12053205128205"/>
    <m/>
    <d v="2025-11-16T00:00:00"/>
    <n v="47"/>
    <x v="967"/>
    <x v="0"/>
  </r>
  <r>
    <x v="75"/>
    <x v="270"/>
    <s v="Materias reparacion Hidrociclones - campo"/>
    <s v="Total"/>
    <x v="1"/>
    <x v="0"/>
    <x v="1"/>
    <x v="0"/>
    <n v="207000"/>
    <n v="207000"/>
    <n v="132.69230769230768"/>
    <m/>
    <m/>
    <s v="52"/>
    <x v="968"/>
    <x v="0"/>
  </r>
  <r>
    <x v="59"/>
    <x v="270"/>
    <s v="Pedido cava - Puerta Montacarga"/>
    <s v="Total"/>
    <x v="1"/>
    <x v="0"/>
    <x v="1"/>
    <x v="0"/>
    <n v="423593.21"/>
    <n v="423593.21"/>
    <n v="271.53410897435901"/>
    <s v="Pagar"/>
    <d v="2026-03-07T00:00:00"/>
    <n v="10"/>
    <x v="969"/>
    <x v="0"/>
  </r>
  <r>
    <x v="55"/>
    <x v="271"/>
    <s v="Compras casa Doctor"/>
    <s v="Total"/>
    <x v="1"/>
    <x v="0"/>
    <x v="0"/>
    <x v="0"/>
    <n v="145056.29"/>
    <n v="145056.29"/>
    <n v="92.984801282051293"/>
    <m/>
    <m/>
    <s v="19"/>
    <x v="970"/>
    <x v="0"/>
  </r>
  <r>
    <x v="69"/>
    <x v="271"/>
    <s v="Pedido Limpieza Campo"/>
    <s v="Total"/>
    <x v="2"/>
    <x v="0"/>
    <x v="2"/>
    <x v="0"/>
    <n v="24600"/>
    <n v="24600"/>
    <n v="15.76923076923077"/>
    <m/>
    <m/>
    <s v="31"/>
    <x v="971"/>
    <x v="0"/>
  </r>
  <r>
    <x v="57"/>
    <x v="272"/>
    <s v="Pedido Casa Doctor"/>
    <s v="Total"/>
    <x v="2"/>
    <x v="0"/>
    <x v="2"/>
    <x v="0"/>
    <n v="54037.46"/>
    <n v="54037.46"/>
    <n v="34.639397435897436"/>
    <m/>
    <m/>
    <s v="16"/>
    <x v="972"/>
    <x v="0"/>
  </r>
  <r>
    <x v="53"/>
    <x v="272"/>
    <s v="Pedido Casa Doctor"/>
    <s v="Total"/>
    <x v="2"/>
    <x v="0"/>
    <x v="2"/>
    <x v="0"/>
    <n v="4599.9799999999996"/>
    <n v="4599.9799999999996"/>
    <n v="2.9487051282051278"/>
    <m/>
    <m/>
    <s v="17"/>
    <x v="973"/>
    <x v="0"/>
  </r>
  <r>
    <x v="22"/>
    <x v="272"/>
    <s v="Gastos casa "/>
    <s v="Total"/>
    <x v="2"/>
    <x v="0"/>
    <x v="2"/>
    <x v="0"/>
    <n v="15200.06"/>
    <n v="15200.06"/>
    <n v="9.7436282051282053"/>
    <m/>
    <m/>
    <s v="23"/>
    <x v="974"/>
    <x v="0"/>
  </r>
  <r>
    <x v="22"/>
    <x v="272"/>
    <s v="Gaseosas cumpleaños Lucila"/>
    <s v="Total"/>
    <x v="2"/>
    <x v="0"/>
    <x v="2"/>
    <x v="0"/>
    <n v="17599.96"/>
    <n v="17599.96"/>
    <n v="11.282025641025641"/>
    <m/>
    <m/>
    <s v="23"/>
    <x v="975"/>
    <x v="0"/>
  </r>
  <r>
    <x v="42"/>
    <x v="272"/>
    <s v="Pedido Casa Doctor"/>
    <s v="Total"/>
    <x v="2"/>
    <x v="0"/>
    <x v="2"/>
    <x v="0"/>
    <n v="38965.39"/>
    <n v="38965.39"/>
    <n v="24.977814102564103"/>
    <m/>
    <m/>
    <s v="24"/>
    <x v="976"/>
    <x v="0"/>
  </r>
  <r>
    <x v="45"/>
    <x v="272"/>
    <s v="Pedido Casa Doctor"/>
    <s v="Total"/>
    <x v="2"/>
    <x v="0"/>
    <x v="2"/>
    <x v="0"/>
    <n v="9736.5"/>
    <n v="9736.5"/>
    <n v="6.2413461538461537"/>
    <m/>
    <m/>
    <s v="25"/>
    <x v="977"/>
    <x v="0"/>
  </r>
  <r>
    <x v="43"/>
    <x v="272"/>
    <s v="Pedido Casa Doctor"/>
    <s v="Total"/>
    <x v="2"/>
    <x v="0"/>
    <x v="2"/>
    <x v="0"/>
    <n v="6927.47"/>
    <n v="6927.47"/>
    <n v="4.4406858974358974"/>
    <m/>
    <m/>
    <s v="26"/>
    <x v="978"/>
    <x v="0"/>
  </r>
  <r>
    <x v="35"/>
    <x v="272"/>
    <s v="Pedido Bodeja "/>
    <s v="Total"/>
    <x v="2"/>
    <x v="0"/>
    <x v="2"/>
    <x v="0"/>
    <n v="12060.5"/>
    <n v="12060.5"/>
    <n v="7.7310897435897434"/>
    <m/>
    <m/>
    <s v="27"/>
    <x v="979"/>
    <x v="0"/>
  </r>
  <r>
    <x v="36"/>
    <x v="272"/>
    <s v="Pedido Casa Doctor"/>
    <s v="Total"/>
    <x v="2"/>
    <x v="0"/>
    <x v="2"/>
    <x v="0"/>
    <n v="18999.91"/>
    <n v="18999.91"/>
    <n v="12.179429487179487"/>
    <m/>
    <m/>
    <s v="28"/>
    <x v="980"/>
    <x v="0"/>
  </r>
  <r>
    <x v="11"/>
    <x v="272"/>
    <s v="Pedido Planta - Virulana"/>
    <s v="Total"/>
    <x v="2"/>
    <x v="0"/>
    <x v="2"/>
    <x v="0"/>
    <n v="3999.95"/>
    <n v="3999.95"/>
    <n v="2.5640705128205128"/>
    <m/>
    <m/>
    <s v="37"/>
    <x v="981"/>
    <x v="0"/>
  </r>
  <r>
    <x v="72"/>
    <x v="272"/>
    <s v="Pedido Casa Doctor"/>
    <s v="Total"/>
    <x v="2"/>
    <x v="0"/>
    <x v="2"/>
    <x v="0"/>
    <n v="27699.91"/>
    <n v="27699.91"/>
    <n v="17.756352564102563"/>
    <m/>
    <m/>
    <s v="39"/>
    <x v="982"/>
    <x v="0"/>
  </r>
  <r>
    <x v="28"/>
    <x v="273"/>
    <m/>
    <s v="Total"/>
    <x v="1"/>
    <x v="1"/>
    <x v="1"/>
    <x v="0"/>
    <n v="1000000"/>
    <n v="1000000"/>
    <n v="641.02564102564099"/>
    <m/>
    <d v="2025-10-11T00:00:00"/>
    <n v="41"/>
    <x v="983"/>
    <x v="0"/>
  </r>
  <r>
    <x v="31"/>
    <x v="273"/>
    <s v="Alquiler de maquina F2"/>
    <s v="Parcial"/>
    <x v="1"/>
    <x v="1"/>
    <x v="1"/>
    <x v="0"/>
    <n v="169340"/>
    <n v="169340"/>
    <n v="108.55128205128206"/>
    <m/>
    <d v="2025-11-18T00:00:00"/>
    <n v="47"/>
    <x v="984"/>
    <x v="0"/>
  </r>
  <r>
    <x v="31"/>
    <x v="273"/>
    <s v="Alquiler de maquina F2"/>
    <s v="Parcial"/>
    <x v="1"/>
    <x v="1"/>
    <x v="1"/>
    <x v="0"/>
    <n v="389459.78"/>
    <n v="389459.78"/>
    <n v="249.65370512820513"/>
    <m/>
    <d v="2025-10-24T00:00:00"/>
    <n v="43"/>
    <x v="984"/>
    <x v="0"/>
  </r>
  <r>
    <x v="31"/>
    <x v="273"/>
    <s v="Alquiler de maquina F2"/>
    <s v="Parcial"/>
    <x v="1"/>
    <x v="1"/>
    <x v="1"/>
    <x v="0"/>
    <n v="449200"/>
    <n v="449200"/>
    <n v="287.94871794871796"/>
    <m/>
    <d v="2025-12-15T00:00:00"/>
    <n v="51"/>
    <x v="984"/>
    <x v="0"/>
  </r>
  <r>
    <x v="31"/>
    <x v="273"/>
    <s v="Alquiler de maquina F2"/>
    <s v="Parcial"/>
    <x v="1"/>
    <x v="1"/>
    <x v="2"/>
    <x v="0"/>
    <n v="246.07"/>
    <n v="246.07"/>
    <n v="0.1577371794871795"/>
    <m/>
    <m/>
    <s v="45"/>
    <x v="984"/>
    <x v="0"/>
  </r>
  <r>
    <x v="15"/>
    <x v="273"/>
    <s v="Alquiler maquinaria tomata 2 etapa"/>
    <s v="Total"/>
    <x v="1"/>
    <x v="1"/>
    <x v="1"/>
    <x v="0"/>
    <n v="227958"/>
    <n v="227958"/>
    <n v="146.12692307692308"/>
    <m/>
    <d v="2025-12-05T00:00:00"/>
    <n v="49"/>
    <x v="985"/>
    <x v="0"/>
  </r>
  <r>
    <x v="15"/>
    <x v="273"/>
    <s v="Alquiler maquinaria tomata 2 etapa"/>
    <s v="Total"/>
    <x v="1"/>
    <x v="1"/>
    <x v="1"/>
    <x v="0"/>
    <n v="480000"/>
    <n v="480000"/>
    <n v="307.69230769230768"/>
    <m/>
    <d v="2025-11-24T00:00:00"/>
    <n v="48"/>
    <x v="985"/>
    <x v="0"/>
  </r>
  <r>
    <x v="15"/>
    <x v="273"/>
    <s v="Alquiler maquinaria tomata 2 etapa"/>
    <s v="Total"/>
    <x v="1"/>
    <x v="1"/>
    <x v="1"/>
    <x v="0"/>
    <n v="750000"/>
    <n v="750000"/>
    <n v="480.76923076923077"/>
    <m/>
    <d v="2025-11-28T00:00:00"/>
    <n v="48"/>
    <x v="985"/>
    <x v="0"/>
  </r>
  <r>
    <x v="75"/>
    <x v="273"/>
    <s v="Pago por cheques rechasados"/>
    <s v="Total"/>
    <x v="0"/>
    <x v="1"/>
    <x v="1"/>
    <x v="0"/>
    <n v="1180000"/>
    <n v="1180000"/>
    <n v="756.41025641025647"/>
    <m/>
    <d v="2025-12-17T00:00:00"/>
    <n v="51"/>
    <x v="986"/>
    <x v="0"/>
  </r>
  <r>
    <x v="50"/>
    <x v="273"/>
    <s v="Alquiler de maquinaria para plantación de tomate tardío 2 etapa"/>
    <s v="Total"/>
    <x v="0"/>
    <x v="1"/>
    <x v="1"/>
    <x v="0"/>
    <n v="500000"/>
    <n v="500000"/>
    <n v="320.5128205128205"/>
    <m/>
    <d v="2026-02-04T00:00:00"/>
    <n v="6"/>
    <x v="987"/>
    <x v="0"/>
  </r>
  <r>
    <x v="50"/>
    <x v="273"/>
    <s v="Alquiler de maquinaria para plantación de tomate tardío 2 etapa"/>
    <s v="Total"/>
    <x v="0"/>
    <x v="1"/>
    <x v="1"/>
    <x v="0"/>
    <n v="300000"/>
    <n v="300000"/>
    <n v="192.30769230769232"/>
    <m/>
    <d v="2026-01-30T00:00:00"/>
    <n v="5"/>
    <x v="987"/>
    <x v="0"/>
  </r>
  <r>
    <x v="73"/>
    <x v="273"/>
    <s v="Alquiler de maquinaria para plantación de tomate tardío 2 etapa"/>
    <s v="Total"/>
    <x v="0"/>
    <x v="1"/>
    <x v="2"/>
    <x v="0"/>
    <n v="200000"/>
    <n v="200000"/>
    <n v="128.2051282051282"/>
    <m/>
    <m/>
    <s v="10"/>
    <x v="988"/>
    <x v="0"/>
  </r>
  <r>
    <x v="20"/>
    <x v="273"/>
    <s v="Alquiler de maquinas tomate segunda etapa"/>
    <s v="Total"/>
    <x v="2"/>
    <x v="1"/>
    <x v="2"/>
    <x v="0"/>
    <n v="200000"/>
    <n v="200000"/>
    <n v="128.2051282051282"/>
    <m/>
    <m/>
    <s v="15"/>
    <x v="989"/>
    <x v="0"/>
  </r>
  <r>
    <x v="57"/>
    <x v="273"/>
    <s v="Alquiler maquinas cosecha tomate"/>
    <s v="Total"/>
    <x v="2"/>
    <x v="1"/>
    <x v="2"/>
    <x v="0"/>
    <n v="200000"/>
    <n v="200000"/>
    <n v="128.2051282051282"/>
    <m/>
    <m/>
    <s v="16"/>
    <x v="990"/>
    <x v="0"/>
  </r>
  <r>
    <x v="44"/>
    <x v="273"/>
    <m/>
    <s v="Total"/>
    <x v="2"/>
    <x v="1"/>
    <x v="2"/>
    <x v="0"/>
    <n v="250000"/>
    <n v="250000"/>
    <n v="160.25641025641025"/>
    <m/>
    <m/>
    <s v="31"/>
    <x v="991"/>
    <x v="0"/>
  </r>
  <r>
    <x v="71"/>
    <x v="273"/>
    <s v="Trabajo en campo"/>
    <s v="Total"/>
    <x v="2"/>
    <x v="1"/>
    <x v="2"/>
    <x v="0"/>
    <n v="200000"/>
    <n v="200000"/>
    <n v="128.2051282051282"/>
    <m/>
    <m/>
    <s v="36"/>
    <x v="992"/>
    <x v="0"/>
  </r>
  <r>
    <x v="3"/>
    <x v="251"/>
    <s v="Estudios laboratorio - planta"/>
    <s v="Total"/>
    <x v="1"/>
    <x v="0"/>
    <x v="0"/>
    <x v="0"/>
    <n v="94545.77"/>
    <n v="94545.77"/>
    <n v="60.606262820512825"/>
    <m/>
    <m/>
    <s v="44"/>
    <x v="0"/>
    <x v="1"/>
  </r>
  <r>
    <x v="52"/>
    <x v="274"/>
    <s v="Servicio reparacion camara de frio Famatina (solicito Floriana) - Materiales"/>
    <s v="Total"/>
    <x v="1"/>
    <x v="0"/>
    <x v="0"/>
    <x v="0"/>
    <n v="689315.66"/>
    <n v="689315.66"/>
    <n v="441.86901282051286"/>
    <m/>
    <m/>
    <s v="38"/>
    <x v="993"/>
    <x v="0"/>
  </r>
  <r>
    <x v="18"/>
    <x v="274"/>
    <s v="Servicio reparacion camara de frio Famatina (solicito Floriana) - Materiales"/>
    <s v="Total"/>
    <x v="1"/>
    <x v="0"/>
    <x v="1"/>
    <x v="0"/>
    <n v="689315.66"/>
    <n v="689315.66"/>
    <n v="441.86901282051286"/>
    <m/>
    <m/>
    <s v="39"/>
    <x v="994"/>
    <x v="0"/>
  </r>
  <r>
    <x v="29"/>
    <x v="274"/>
    <s v="Servicio reparacion camara de frio Famatina (solicito Floriana) - Mano de obra"/>
    <s v="Total"/>
    <x v="2"/>
    <x v="0"/>
    <x v="0"/>
    <x v="0"/>
    <n v="290000"/>
    <n v="290000"/>
    <n v="185.89743589743588"/>
    <m/>
    <m/>
    <s v="42"/>
    <x v="995"/>
    <x v="0"/>
  </r>
  <r>
    <x v="19"/>
    <x v="275"/>
    <s v="Salon cena fin de años"/>
    <s v="Total"/>
    <x v="1"/>
    <x v="0"/>
    <x v="0"/>
    <x v="0"/>
    <n v="1700000"/>
    <n v="1700000"/>
    <n v="1089.7435897435898"/>
    <m/>
    <m/>
    <s v="50"/>
    <x v="996"/>
    <x v="0"/>
  </r>
  <r>
    <x v="5"/>
    <x v="276"/>
    <s v="Impresiones RRHH"/>
    <s v="Total"/>
    <x v="1"/>
    <x v="0"/>
    <x v="0"/>
    <x v="0"/>
    <n v="45000"/>
    <n v="45000"/>
    <n v="28.846153846153847"/>
    <m/>
    <m/>
    <s v="34"/>
    <x v="0"/>
    <x v="0"/>
  </r>
  <r>
    <x v="49"/>
    <x v="277"/>
    <s v="PC completa CPU / monitor / accesorios"/>
    <s v="Total"/>
    <x v="1"/>
    <x v="0"/>
    <x v="0"/>
    <x v="0"/>
    <n v="639000"/>
    <n v="639000"/>
    <n v="409.61538461538464"/>
    <s v="Presupuesto a actualizar"/>
    <m/>
    <s v="25"/>
    <x v="997"/>
    <x v="0"/>
  </r>
  <r>
    <x v="51"/>
    <x v="278"/>
    <s v="Flete Frutas frescas"/>
    <s v="Total"/>
    <x v="1"/>
    <x v="0"/>
    <x v="1"/>
    <x v="0"/>
    <n v="2292732.2000000002"/>
    <n v="2292732.2000000002"/>
    <n v="1469.7001282051283"/>
    <s v="CH 15/30/45 días"/>
    <m/>
    <s v="17"/>
    <x v="998"/>
    <x v="0"/>
  </r>
  <r>
    <x v="27"/>
    <x v="279"/>
    <s v="Maderas para cuadros de pasa"/>
    <s v="Total"/>
    <x v="1"/>
    <x v="1"/>
    <x v="1"/>
    <x v="0"/>
    <n v="430163"/>
    <n v="430163"/>
    <n v="275.74551282051283"/>
    <m/>
    <d v="2025-08-30T00:00:00"/>
    <n v="35"/>
    <x v="34"/>
    <x v="0"/>
  </r>
  <r>
    <x v="27"/>
    <x v="279"/>
    <s v="Maderas para cuadros de pasa"/>
    <s v="Total"/>
    <x v="1"/>
    <x v="1"/>
    <x v="1"/>
    <x v="0"/>
    <n v="447000"/>
    <n v="447000"/>
    <n v="286.53846153846155"/>
    <m/>
    <d v="2025-08-28T00:00:00"/>
    <n v="35"/>
    <x v="34"/>
    <x v="0"/>
  </r>
  <r>
    <x v="27"/>
    <x v="279"/>
    <s v="Maderas para cuadros de pasa"/>
    <s v="Total"/>
    <x v="1"/>
    <x v="1"/>
    <x v="1"/>
    <x v="0"/>
    <n v="450000"/>
    <n v="450000"/>
    <n v="288.46153846153845"/>
    <m/>
    <d v="2025-09-06T00:00:00"/>
    <n v="36"/>
    <x v="34"/>
    <x v="0"/>
  </r>
  <r>
    <x v="27"/>
    <x v="279"/>
    <s v="Maderas para cuadros de pasa"/>
    <s v="Total"/>
    <x v="1"/>
    <x v="1"/>
    <x v="1"/>
    <x v="0"/>
    <n v="500000"/>
    <n v="500000"/>
    <n v="320.5128205128205"/>
    <m/>
    <d v="2025-08-29T00:00:00"/>
    <n v="35"/>
    <x v="34"/>
    <x v="0"/>
  </r>
  <r>
    <x v="27"/>
    <x v="279"/>
    <s v="Maderas para cuadros de pasa"/>
    <s v="Total"/>
    <x v="1"/>
    <x v="1"/>
    <x v="1"/>
    <x v="0"/>
    <n v="500000"/>
    <n v="500000"/>
    <n v="320.5128205128205"/>
    <m/>
    <d v="2025-09-01T00:00:00"/>
    <n v="36"/>
    <x v="34"/>
    <x v="0"/>
  </r>
  <r>
    <x v="27"/>
    <x v="279"/>
    <s v="Maderas para cuadros de pasa"/>
    <s v="Total"/>
    <x v="1"/>
    <x v="1"/>
    <x v="1"/>
    <x v="0"/>
    <n v="500000"/>
    <n v="500000"/>
    <n v="320.5128205128205"/>
    <m/>
    <d v="2025-09-06T00:00:00"/>
    <n v="36"/>
    <x v="34"/>
    <x v="0"/>
  </r>
  <r>
    <x v="27"/>
    <x v="279"/>
    <s v="Maderas para cuadros de pasa"/>
    <s v="Total"/>
    <x v="1"/>
    <x v="1"/>
    <x v="1"/>
    <x v="0"/>
    <n v="510000"/>
    <n v="510000"/>
    <n v="326.92307692307691"/>
    <m/>
    <d v="2025-08-29T00:00:00"/>
    <n v="35"/>
    <x v="34"/>
    <x v="0"/>
  </r>
  <r>
    <x v="27"/>
    <x v="279"/>
    <s v="Maderas para cuadros de pasa"/>
    <s v="Total"/>
    <x v="1"/>
    <x v="1"/>
    <x v="1"/>
    <x v="0"/>
    <n v="550000"/>
    <n v="550000"/>
    <n v="352.56410256410254"/>
    <m/>
    <d v="2025-08-30T00:00:00"/>
    <n v="35"/>
    <x v="34"/>
    <x v="0"/>
  </r>
  <r>
    <x v="27"/>
    <x v="279"/>
    <s v="Maderas para cuadros de pasa"/>
    <s v="Total"/>
    <x v="1"/>
    <x v="1"/>
    <x v="1"/>
    <x v="0"/>
    <n v="550000"/>
    <n v="550000"/>
    <n v="352.56410256410254"/>
    <m/>
    <d v="2025-08-30T00:00:00"/>
    <n v="35"/>
    <x v="34"/>
    <x v="0"/>
  </r>
  <r>
    <x v="27"/>
    <x v="279"/>
    <s v="Maderas para cuadros de pasa"/>
    <s v="Total"/>
    <x v="1"/>
    <x v="1"/>
    <x v="1"/>
    <x v="0"/>
    <n v="550000"/>
    <n v="550000"/>
    <n v="352.56410256410254"/>
    <m/>
    <d v="2025-08-30T00:00:00"/>
    <n v="35"/>
    <x v="34"/>
    <x v="0"/>
  </r>
  <r>
    <x v="27"/>
    <x v="279"/>
    <s v="Maderas para cuadros de pasa"/>
    <s v="Total"/>
    <x v="1"/>
    <x v="1"/>
    <x v="1"/>
    <x v="0"/>
    <n v="568238"/>
    <n v="568238"/>
    <n v="364.25512820512819"/>
    <m/>
    <d v="2025-08-30T00:00:00"/>
    <n v="35"/>
    <x v="34"/>
    <x v="0"/>
  </r>
  <r>
    <x v="27"/>
    <x v="279"/>
    <s v="Maderas para cuadros de pasa"/>
    <s v="Total"/>
    <x v="1"/>
    <x v="1"/>
    <x v="1"/>
    <x v="0"/>
    <n v="600000"/>
    <n v="600000"/>
    <n v="384.61538461538464"/>
    <m/>
    <d v="2025-08-31T00:00:00"/>
    <n v="36"/>
    <x v="34"/>
    <x v="0"/>
  </r>
  <r>
    <x v="27"/>
    <x v="279"/>
    <s v="Maderas para cuadros de pasa"/>
    <s v="Total"/>
    <x v="1"/>
    <x v="1"/>
    <x v="1"/>
    <x v="0"/>
    <n v="613620"/>
    <n v="613620"/>
    <n v="393.34615384615387"/>
    <m/>
    <d v="2025-08-24T00:00:00"/>
    <n v="35"/>
    <x v="34"/>
    <x v="0"/>
  </r>
  <r>
    <x v="27"/>
    <x v="279"/>
    <s v="Maderas para cuadros de pasa"/>
    <s v="Total"/>
    <x v="1"/>
    <x v="1"/>
    <x v="1"/>
    <x v="0"/>
    <n v="647520"/>
    <n v="647520"/>
    <n v="415.07692307692309"/>
    <m/>
    <d v="2025-08-28T00:00:00"/>
    <n v="35"/>
    <x v="34"/>
    <x v="0"/>
  </r>
  <r>
    <x v="27"/>
    <x v="279"/>
    <s v="Maderas para cuadros de pasa"/>
    <s v="Total"/>
    <x v="1"/>
    <x v="1"/>
    <x v="1"/>
    <x v="0"/>
    <n v="670000"/>
    <n v="670000"/>
    <n v="429.4871794871795"/>
    <m/>
    <d v="2025-09-13T00:00:00"/>
    <n v="37"/>
    <x v="34"/>
    <x v="0"/>
  </r>
  <r>
    <x v="27"/>
    <x v="279"/>
    <s v="Maderas para cuadros de pasa"/>
    <s v="Total"/>
    <x v="1"/>
    <x v="1"/>
    <x v="1"/>
    <x v="0"/>
    <n v="700000"/>
    <n v="700000"/>
    <n v="448.71794871794873"/>
    <m/>
    <d v="2025-09-06T00:00:00"/>
    <n v="36"/>
    <x v="34"/>
    <x v="0"/>
  </r>
  <r>
    <x v="27"/>
    <x v="279"/>
    <s v="Maderas para cuadros de pasa"/>
    <s v="Total"/>
    <x v="1"/>
    <x v="1"/>
    <x v="1"/>
    <x v="0"/>
    <n v="800000"/>
    <n v="800000"/>
    <n v="512.82051282051282"/>
    <m/>
    <d v="2025-09-13T00:00:00"/>
    <n v="37"/>
    <x v="34"/>
    <x v="0"/>
  </r>
  <r>
    <x v="27"/>
    <x v="279"/>
    <s v="Maderas para cuadros de pasa"/>
    <s v="Total"/>
    <x v="1"/>
    <x v="1"/>
    <x v="1"/>
    <x v="0"/>
    <n v="900000"/>
    <n v="900000"/>
    <n v="576.92307692307691"/>
    <m/>
    <d v="2025-08-30T00:00:00"/>
    <n v="35"/>
    <x v="34"/>
    <x v="0"/>
  </r>
  <r>
    <x v="27"/>
    <x v="279"/>
    <s v="Maderas para cuadros de pasa"/>
    <s v="Total"/>
    <x v="1"/>
    <x v="1"/>
    <x v="2"/>
    <x v="0"/>
    <n v="44409"/>
    <n v="44409"/>
    <n v="28.467307692307692"/>
    <m/>
    <d v="2025-08-29T00:00:00"/>
    <n v="35"/>
    <x v="34"/>
    <x v="0"/>
  </r>
  <r>
    <x v="49"/>
    <x v="280"/>
    <s v="Copias RRHH"/>
    <s v="Total"/>
    <x v="1"/>
    <x v="0"/>
    <x v="0"/>
    <x v="0"/>
    <n v="37500"/>
    <n v="37500"/>
    <n v="24.03846153846154"/>
    <m/>
    <d v="2025-07-18T00:00:00"/>
    <n v="29"/>
    <x v="0"/>
    <x v="0"/>
  </r>
  <r>
    <x v="62"/>
    <x v="281"/>
    <s v="Panques planta de aceite 30/50"/>
    <s v="Total"/>
    <x v="1"/>
    <x v="0"/>
    <x v="1"/>
    <x v="0"/>
    <n v="1267399.52"/>
    <n v="1267399.52"/>
    <n v="812.43558974358973"/>
    <m/>
    <d v="2026-06-13T00:00:00"/>
    <n v="24"/>
    <x v="999"/>
    <x v="0"/>
  </r>
  <r>
    <x v="62"/>
    <x v="281"/>
    <s v="Panques planta de aceite 30/50"/>
    <s v="Total"/>
    <x v="1"/>
    <x v="0"/>
    <x v="1"/>
    <x v="0"/>
    <n v="5000000"/>
    <n v="5000000"/>
    <n v="3205.1282051282051"/>
    <m/>
    <d v="2026-06-20T00:00:00"/>
    <n v="25"/>
    <x v="999"/>
    <x v="0"/>
  </r>
  <r>
    <x v="62"/>
    <x v="281"/>
    <s v="Panques planta de aceite 30/50"/>
    <s v="Total"/>
    <x v="1"/>
    <x v="0"/>
    <x v="1"/>
    <x v="0"/>
    <n v="5012987.83"/>
    <n v="5012987.83"/>
    <n v="3213.4537371794872"/>
    <m/>
    <d v="2026-06-24T00:00:00"/>
    <n v="26"/>
    <x v="999"/>
    <x v="0"/>
  </r>
  <r>
    <x v="62"/>
    <x v="281"/>
    <s v="Panques planta de aceite 30/50"/>
    <s v="Total"/>
    <x v="1"/>
    <x v="0"/>
    <x v="1"/>
    <x v="0"/>
    <n v="4816306.6500000004"/>
    <n v="4816306.6500000004"/>
    <n v="3087.3760576923078"/>
    <m/>
    <d v="2026-06-18T00:00:00"/>
    <n v="25"/>
    <x v="999"/>
    <x v="0"/>
  </r>
  <r>
    <x v="62"/>
    <x v="281"/>
    <s v="Panques planta de aceite 30/50"/>
    <s v="Total"/>
    <x v="1"/>
    <x v="0"/>
    <x v="1"/>
    <x v="0"/>
    <n v="7164157.6200000001"/>
    <n v="7164157.6200000001"/>
    <n v="4592.4087307692307"/>
    <m/>
    <d v="2026-07-07T00:00:00"/>
    <n v="28"/>
    <x v="999"/>
    <x v="0"/>
  </r>
  <r>
    <x v="62"/>
    <x v="281"/>
    <s v="Panques planta de aceite 30/50"/>
    <s v="Total"/>
    <x v="1"/>
    <x v="0"/>
    <x v="1"/>
    <x v="0"/>
    <n v="424208.88"/>
    <n v="424208.88"/>
    <n v="271.92876923076921"/>
    <s v="Retenciones"/>
    <m/>
    <s v="19"/>
    <x v="999"/>
    <x v="0"/>
  </r>
  <r>
    <x v="71"/>
    <x v="282"/>
    <s v="Etiquetas"/>
    <s v="Total"/>
    <x v="1"/>
    <x v="0"/>
    <x v="1"/>
    <x v="0"/>
    <n v="500000"/>
    <n v="500000"/>
    <n v="320.5128205128205"/>
    <m/>
    <d v="2026-09-17T00:00:00"/>
    <n v="38"/>
    <x v="1000"/>
    <x v="0"/>
  </r>
  <r>
    <x v="71"/>
    <x v="282"/>
    <s v="Etiquetas"/>
    <s v="Total"/>
    <x v="1"/>
    <x v="0"/>
    <x v="1"/>
    <x v="0"/>
    <n v="788591.55"/>
    <n v="788591.55"/>
    <n v="505.50740384615386"/>
    <m/>
    <d v="2026-10-09T00:00:00"/>
    <n v="41"/>
    <x v="1000"/>
    <x v="0"/>
  </r>
  <r>
    <x v="71"/>
    <x v="282"/>
    <s v="Etiquetas"/>
    <s v="Total"/>
    <x v="1"/>
    <x v="0"/>
    <x v="1"/>
    <x v="0"/>
    <n v="830950.75"/>
    <n v="830950.75"/>
    <n v="532.66073717948723"/>
    <m/>
    <d v="2026-10-16T00:00:00"/>
    <n v="42"/>
    <x v="1000"/>
    <x v="0"/>
  </r>
  <r>
    <x v="59"/>
    <x v="283"/>
    <s v="Junta para boca de tanque inferior"/>
    <s v="Total"/>
    <x v="1"/>
    <x v="0"/>
    <x v="1"/>
    <x v="0"/>
    <n v="949375.7"/>
    <n v="949375.7"/>
    <n v="608.57416666666666"/>
    <m/>
    <d v="2026-02-27T00:00:00"/>
    <n v="9"/>
    <x v="1001"/>
    <x v="0"/>
  </r>
  <r>
    <x v="13"/>
    <x v="283"/>
    <s v="Tanques planta de aceite"/>
    <s v="Total"/>
    <x v="1"/>
    <x v="0"/>
    <x v="1"/>
    <x v="0"/>
    <n v="1000000"/>
    <n v="1000000"/>
    <n v="641.02564102564099"/>
    <m/>
    <d v="2026-03-14T00:00:00"/>
    <n v="11"/>
    <x v="1002"/>
    <x v="0"/>
  </r>
  <r>
    <x v="13"/>
    <x v="283"/>
    <s v="Tanques planta de aceite"/>
    <s v="Total"/>
    <x v="1"/>
    <x v="0"/>
    <x v="1"/>
    <x v="0"/>
    <n v="2263400"/>
    <n v="2263400"/>
    <n v="1450.8974358974358"/>
    <m/>
    <d v="2026-02-28T00:00:00"/>
    <n v="9"/>
    <x v="1002"/>
    <x v="0"/>
  </r>
  <r>
    <x v="13"/>
    <x v="283"/>
    <s v="Tanques planta de aceite"/>
    <s v="Total"/>
    <x v="1"/>
    <x v="0"/>
    <x v="1"/>
    <x v="0"/>
    <n v="2272500"/>
    <n v="2272500"/>
    <n v="1456.7307692307693"/>
    <m/>
    <d v="2026-04-28T00:00:00"/>
    <n v="18"/>
    <x v="1002"/>
    <x v="0"/>
  </r>
  <r>
    <x v="13"/>
    <x v="283"/>
    <s v="Tanques planta de aceite"/>
    <s v="Total"/>
    <x v="1"/>
    <x v="0"/>
    <x v="1"/>
    <x v="0"/>
    <n v="2500000"/>
    <n v="2500000"/>
    <n v="1602.5641025641025"/>
    <m/>
    <d v="2026-03-14T00:00:00"/>
    <n v="11"/>
    <x v="1002"/>
    <x v="0"/>
  </r>
  <r>
    <x v="13"/>
    <x v="283"/>
    <s v="Tanques planta de aceite"/>
    <s v="Total"/>
    <x v="1"/>
    <x v="0"/>
    <x v="1"/>
    <x v="0"/>
    <n v="2800000"/>
    <n v="2800000"/>
    <n v="1794.8717948717949"/>
    <m/>
    <d v="2026-04-20T00:00:00"/>
    <n v="17"/>
    <x v="1002"/>
    <x v="0"/>
  </r>
  <r>
    <x v="13"/>
    <x v="283"/>
    <s v="Tanques planta de aceite"/>
    <s v="Total"/>
    <x v="1"/>
    <x v="0"/>
    <x v="1"/>
    <x v="0"/>
    <n v="3000000"/>
    <n v="3000000"/>
    <n v="1923.0769230769231"/>
    <m/>
    <d v="2026-04-24T00:00:00"/>
    <n v="17"/>
    <x v="1002"/>
    <x v="0"/>
  </r>
  <r>
    <x v="13"/>
    <x v="283"/>
    <s v="Tanques planta de aceite"/>
    <s v="Total"/>
    <x v="1"/>
    <x v="0"/>
    <x v="1"/>
    <x v="0"/>
    <n v="3000000"/>
    <n v="3000000"/>
    <n v="1923.0769230769231"/>
    <m/>
    <d v="2026-04-13T00:00:00"/>
    <n v="16"/>
    <x v="1002"/>
    <x v="0"/>
  </r>
  <r>
    <x v="13"/>
    <x v="283"/>
    <s v="Tanques planta de aceite"/>
    <s v="Total"/>
    <x v="1"/>
    <x v="0"/>
    <x v="1"/>
    <x v="0"/>
    <n v="3000000"/>
    <n v="3000000"/>
    <n v="1923.0769230769231"/>
    <m/>
    <d v="2026-03-14T00:00:00"/>
    <n v="11"/>
    <x v="1002"/>
    <x v="0"/>
  </r>
  <r>
    <x v="13"/>
    <x v="283"/>
    <s v="Tanques planta de aceite"/>
    <s v="Total"/>
    <x v="1"/>
    <x v="0"/>
    <x v="1"/>
    <x v="0"/>
    <n v="3600000"/>
    <n v="3600000"/>
    <n v="2307.6923076923076"/>
    <m/>
    <d v="2026-04-09T00:00:00"/>
    <n v="15"/>
    <x v="1002"/>
    <x v="0"/>
  </r>
  <r>
    <x v="13"/>
    <x v="283"/>
    <s v="Tanques planta de aceite"/>
    <s v="Total"/>
    <x v="1"/>
    <x v="0"/>
    <x v="1"/>
    <x v="0"/>
    <n v="3900000"/>
    <n v="3900000"/>
    <n v="2500"/>
    <m/>
    <d v="2026-03-14T00:00:00"/>
    <n v="11"/>
    <x v="1002"/>
    <x v="0"/>
  </r>
  <r>
    <x v="41"/>
    <x v="283"/>
    <s v="Juntas tanques bodega"/>
    <s v="Total"/>
    <x v="1"/>
    <x v="0"/>
    <x v="1"/>
    <x v="0"/>
    <n v="175114"/>
    <n v="175114"/>
    <n v="112.25256410256411"/>
    <m/>
    <m/>
    <s v="08"/>
    <x v="1003"/>
    <x v="0"/>
  </r>
  <r>
    <x v="14"/>
    <x v="284"/>
    <s v="Mangueras Bodega   "/>
    <s v="Total"/>
    <x v="1"/>
    <x v="0"/>
    <x v="1"/>
    <x v="0"/>
    <n v="1950000"/>
    <n v="1950000"/>
    <n v="1250"/>
    <m/>
    <d v="2025-12-18T00:00:00"/>
    <n v="51"/>
    <x v="1004"/>
    <x v="0"/>
  </r>
  <r>
    <x v="14"/>
    <x v="284"/>
    <s v="Mangueras Bodega   "/>
    <s v="Total"/>
    <x v="1"/>
    <x v="0"/>
    <x v="1"/>
    <x v="0"/>
    <n v="1950000"/>
    <n v="1950000"/>
    <n v="1250"/>
    <m/>
    <d v="2025-11-17T00:00:00"/>
    <n v="47"/>
    <x v="1004"/>
    <x v="0"/>
  </r>
  <r>
    <x v="14"/>
    <x v="284"/>
    <s v="Mangueras Bodega   "/>
    <s v="Total"/>
    <x v="1"/>
    <x v="0"/>
    <x v="1"/>
    <x v="0"/>
    <n v="825658.64"/>
    <n v="825658.64"/>
    <n v="529.26835897435899"/>
    <m/>
    <d v="2025-12-19T00:00:00"/>
    <n v="51"/>
    <x v="1004"/>
    <x v="0"/>
  </r>
  <r>
    <x v="44"/>
    <x v="285"/>
    <s v="Manguera sanitaria 1&quot;"/>
    <s v="Total"/>
    <x v="1"/>
    <x v="0"/>
    <x v="1"/>
    <x v="0"/>
    <n v="647508.4"/>
    <n v="647508.4"/>
    <n v="415.06948717948717"/>
    <m/>
    <d v="2026-08-12T00:00:00"/>
    <n v="33"/>
    <x v="1005"/>
    <x v="0"/>
  </r>
  <r>
    <x v="44"/>
    <x v="285"/>
    <s v="Manguera sanitaria 1&quot;"/>
    <s v="Total"/>
    <x v="1"/>
    <x v="0"/>
    <x v="1"/>
    <x v="0"/>
    <n v="6327.3"/>
    <n v="6327.3"/>
    <n v="4.0559615384615384"/>
    <s v="Retenciones"/>
    <m/>
    <s v="31"/>
    <x v="1005"/>
    <x v="0"/>
  </r>
  <r>
    <x v="77"/>
    <x v="285"/>
    <s v="Manguera sanitaria de 2&quot; -  pedido de planta"/>
    <s v="Total"/>
    <x v="1"/>
    <x v="0"/>
    <x v="1"/>
    <x v="0"/>
    <n v="41370.449999999997"/>
    <n v="41370.449999999997"/>
    <n v="26.51951923076923"/>
    <s v="Retenciones"/>
    <m/>
    <s v="35"/>
    <x v="1006"/>
    <x v="0"/>
  </r>
  <r>
    <x v="77"/>
    <x v="285"/>
    <s v="Manguera sanitaria de 2&quot; -  pedido de planta"/>
    <s v="Total"/>
    <x v="1"/>
    <x v="0"/>
    <x v="1"/>
    <x v="0"/>
    <n v="2732581.78"/>
    <n v="2732581.78"/>
    <n v="1751.6549871794871"/>
    <m/>
    <d v="2026-10-28T00:00:00"/>
    <n v="44"/>
    <x v="1006"/>
    <x v="0"/>
  </r>
  <r>
    <x v="48"/>
    <x v="286"/>
    <s v="saldo rejillas planta de aceite + Adicional"/>
    <s v="Total"/>
    <x v="1"/>
    <x v="0"/>
    <x v="0"/>
    <x v="0"/>
    <n v="2188850.6800000002"/>
    <n v="2188850.6800000002"/>
    <n v="1403.1094102564105"/>
    <s v="$1188850.68 Transf. $1000000 CH 23/04"/>
    <m/>
    <s v="16"/>
    <x v="1007"/>
    <x v="0"/>
  </r>
  <r>
    <x v="0"/>
    <x v="286"/>
    <s v="Saldo Portones planta de aceite"/>
    <s v="Total"/>
    <x v="1"/>
    <x v="0"/>
    <x v="1"/>
    <x v="0"/>
    <n v="2249692.5"/>
    <n v="2249692.5"/>
    <n v="1442.1105769230769"/>
    <s v="CH 23/6"/>
    <d v="2025-06-23T00:00:00"/>
    <n v="26"/>
    <x v="0"/>
    <x v="0"/>
  </r>
  <r>
    <x v="24"/>
    <x v="287"/>
    <s v="Correa prensa bodega"/>
    <s v="Total"/>
    <x v="1"/>
    <x v="0"/>
    <x v="1"/>
    <x v="0"/>
    <n v="353745.5"/>
    <n v="353745.5"/>
    <n v="226.75993589743589"/>
    <m/>
    <d v="2026-04-30T00:00:00"/>
    <n v="18"/>
    <x v="1008"/>
    <x v="0"/>
  </r>
  <r>
    <x v="24"/>
    <x v="287"/>
    <s v="Correa prensa bodega"/>
    <s v="Total"/>
    <x v="1"/>
    <x v="0"/>
    <x v="1"/>
    <x v="0"/>
    <n v="1390.1"/>
    <n v="1390.1"/>
    <n v="0.89108974358974358"/>
    <s v="Retenciones"/>
    <m/>
    <s v="14"/>
    <x v="1008"/>
    <x v="0"/>
  </r>
  <r>
    <x v="50"/>
    <x v="288"/>
    <s v="Servicio de grua - Cava"/>
    <s v="Total"/>
    <x v="1"/>
    <x v="0"/>
    <x v="1"/>
    <x v="0"/>
    <n v="325780"/>
    <n v="325780"/>
    <n v="208.83333333333334"/>
    <m/>
    <d v="2026-02-05T00:00:00"/>
    <n v="6"/>
    <x v="1009"/>
    <x v="0"/>
  </r>
  <r>
    <x v="62"/>
    <x v="289"/>
    <s v="Alquiler Grua - Planta de aceite - Cava (7horas)"/>
    <s v="Total"/>
    <x v="1"/>
    <x v="0"/>
    <x v="1"/>
    <x v="0"/>
    <n v="1004080"/>
    <n v="1004080"/>
    <n v="643.64102564102564"/>
    <m/>
    <d v="2026-06-05T00:00:00"/>
    <n v="23"/>
    <x v="1010"/>
    <x v="0"/>
  </r>
  <r>
    <x v="62"/>
    <x v="289"/>
    <s v="Alquiler Grua - Planta de aceite - Cava (7horas)"/>
    <s v="Total"/>
    <x v="1"/>
    <x v="0"/>
    <x v="1"/>
    <x v="0"/>
    <n v="12320"/>
    <n v="12320"/>
    <n v="7.8974358974358978"/>
    <s v="Retenciones"/>
    <m/>
    <s v="19"/>
    <x v="1010"/>
    <x v="0"/>
  </r>
  <r>
    <x v="45"/>
    <x v="289"/>
    <s v="Alquiler de grua - traslado de panque bodega a planta de aceite"/>
    <s v="Total"/>
    <x v="1"/>
    <x v="0"/>
    <x v="1"/>
    <x v="0"/>
    <n v="575680"/>
    <n v="575680"/>
    <n v="369.02564102564105"/>
    <m/>
    <d v="2026-07-18T00:00:00"/>
    <n v="29"/>
    <x v="1011"/>
    <x v="0"/>
  </r>
  <r>
    <x v="45"/>
    <x v="289"/>
    <s v="Alquiler de grua - traslado de panque bodega a planta de aceite"/>
    <s v="Total"/>
    <x v="1"/>
    <x v="0"/>
    <x v="1"/>
    <x v="0"/>
    <n v="5120"/>
    <n v="5120"/>
    <n v="3.2820512820512819"/>
    <s v="Retenciones"/>
    <m/>
    <s v="25"/>
    <x v="1011"/>
    <x v="0"/>
  </r>
  <r>
    <x v="30"/>
    <x v="290"/>
    <m/>
    <s v="Total"/>
    <x v="4"/>
    <x v="1"/>
    <x v="1"/>
    <x v="0"/>
    <n v="500000"/>
    <n v="500000"/>
    <n v="320.5128205128205"/>
    <m/>
    <d v="2025-10-10T00:00:00"/>
    <n v="41"/>
    <x v="1012"/>
    <x v="0"/>
  </r>
  <r>
    <x v="30"/>
    <x v="290"/>
    <m/>
    <s v="Total"/>
    <x v="4"/>
    <x v="1"/>
    <x v="1"/>
    <x v="0"/>
    <n v="855750"/>
    <n v="855750"/>
    <n v="548.55769230769226"/>
    <m/>
    <d v="2025-11-15T00:00:00"/>
    <n v="46"/>
    <x v="1012"/>
    <x v="0"/>
  </r>
  <r>
    <x v="29"/>
    <x v="290"/>
    <s v="Campaña 2025"/>
    <s v="Total"/>
    <x v="1"/>
    <x v="0"/>
    <x v="1"/>
    <x v="0"/>
    <n v="1643970.72"/>
    <n v="1643970.72"/>
    <n v="1053.8273846153845"/>
    <m/>
    <m/>
    <s v="42"/>
    <x v="1013"/>
    <x v="0"/>
  </r>
  <r>
    <x v="19"/>
    <x v="290"/>
    <s v="Campaña 2025"/>
    <s v="Total"/>
    <x v="4"/>
    <x v="0"/>
    <x v="2"/>
    <x v="0"/>
    <n v="984480"/>
    <n v="984480"/>
    <n v="631.07692307692309"/>
    <m/>
    <m/>
    <s v="50"/>
    <x v="1014"/>
    <x v="0"/>
  </r>
  <r>
    <x v="74"/>
    <x v="290"/>
    <s v="Campaña 2025"/>
    <s v="Total"/>
    <x v="4"/>
    <x v="0"/>
    <x v="1"/>
    <x v="0"/>
    <n v="750000"/>
    <n v="750000"/>
    <n v="480.76923076923077"/>
    <m/>
    <d v="2025-12-19T00:00:00"/>
    <n v="51"/>
    <x v="1015"/>
    <x v="0"/>
  </r>
  <r>
    <x v="74"/>
    <x v="290"/>
    <s v="Campaña 2025"/>
    <s v="Total"/>
    <x v="4"/>
    <x v="0"/>
    <x v="1"/>
    <x v="0"/>
    <n v="1100000"/>
    <n v="1100000"/>
    <n v="705.12820512820508"/>
    <m/>
    <d v="2026-02-12T00:00:00"/>
    <n v="7"/>
    <x v="1015"/>
    <x v="0"/>
  </r>
  <r>
    <x v="74"/>
    <x v="290"/>
    <s v="Campaña 2025"/>
    <s v="Total"/>
    <x v="4"/>
    <x v="0"/>
    <x v="1"/>
    <x v="0"/>
    <n v="1100000"/>
    <n v="1100000"/>
    <n v="705.12820512820508"/>
    <m/>
    <d v="2026-02-17T00:00:00"/>
    <n v="8"/>
    <x v="1015"/>
    <x v="0"/>
  </r>
  <r>
    <x v="74"/>
    <x v="290"/>
    <s v="Campaña 2025"/>
    <s v="Total"/>
    <x v="4"/>
    <x v="0"/>
    <x v="1"/>
    <x v="0"/>
    <n v="1144000"/>
    <n v="1144000"/>
    <n v="733.33333333333337"/>
    <m/>
    <d v="2026-02-05T00:00:00"/>
    <n v="6"/>
    <x v="1015"/>
    <x v="0"/>
  </r>
  <r>
    <x v="85"/>
    <x v="290"/>
    <s v="Campaña 2025"/>
    <s v="Total"/>
    <x v="2"/>
    <x v="0"/>
    <x v="2"/>
    <x v="0"/>
    <n v="2000000"/>
    <n v="2000000"/>
    <n v="1282.051282051282"/>
    <m/>
    <m/>
    <s v="05"/>
    <x v="1016"/>
    <x v="0"/>
  </r>
  <r>
    <x v="56"/>
    <x v="290"/>
    <s v="Campaña 2025"/>
    <s v="Total"/>
    <x v="4"/>
    <x v="0"/>
    <x v="2"/>
    <x v="0"/>
    <n v="500000"/>
    <n v="500000"/>
    <n v="320.5128205128205"/>
    <m/>
    <m/>
    <s v="11"/>
    <x v="1017"/>
    <x v="0"/>
  </r>
  <r>
    <x v="20"/>
    <x v="290"/>
    <s v="Campaña 2025"/>
    <s v="Total"/>
    <x v="2"/>
    <x v="0"/>
    <x v="2"/>
    <x v="0"/>
    <n v="500000"/>
    <n v="500000"/>
    <n v="320.5128205128205"/>
    <m/>
    <m/>
    <s v="15"/>
    <x v="1018"/>
    <x v="0"/>
  </r>
  <r>
    <x v="20"/>
    <x v="290"/>
    <s v="Campaña 2025"/>
    <s v="Total"/>
    <x v="2"/>
    <x v="0"/>
    <x v="2"/>
    <x v="0"/>
    <n v="5520"/>
    <n v="5520"/>
    <n v="3.5384615384615383"/>
    <s v="Retenciones"/>
    <m/>
    <s v="15"/>
    <x v="1018"/>
    <x v="0"/>
  </r>
  <r>
    <x v="3"/>
    <x v="257"/>
    <s v="Embases "/>
    <s v="Total"/>
    <x v="0"/>
    <x v="0"/>
    <x v="1"/>
    <x v="0"/>
    <n v="0"/>
    <n v="0"/>
    <n v="0"/>
    <m/>
    <m/>
    <s v="44"/>
    <x v="0"/>
    <x v="1"/>
  </r>
  <r>
    <x v="55"/>
    <x v="291"/>
    <s v="Malla anti helada "/>
    <s v="Total"/>
    <x v="1"/>
    <x v="0"/>
    <x v="0"/>
    <x v="0"/>
    <n v="2875613.4"/>
    <n v="2875613.4"/>
    <n v="1843.341923076923"/>
    <m/>
    <m/>
    <s v="19"/>
    <x v="616"/>
    <x v="0"/>
  </r>
  <r>
    <x v="63"/>
    <x v="292"/>
    <s v="Cilindro hidraulico para volcadores de bines (50% anticipo)"/>
    <s v="Total"/>
    <x v="1"/>
    <x v="0"/>
    <x v="1"/>
    <x v="0"/>
    <n v="884234.33"/>
    <n v="884234.33"/>
    <n v="566.81687820512821"/>
    <m/>
    <d v="2025-12-05T00:00:00"/>
    <n v="49"/>
    <x v="1019"/>
    <x v="0"/>
  </r>
  <r>
    <x v="63"/>
    <x v="292"/>
    <s v="Cilindro hidraulico para volcadores de bines (50% anticipo)"/>
    <s v="Total"/>
    <x v="1"/>
    <x v="0"/>
    <x v="1"/>
    <x v="0"/>
    <n v="581163.32999999996"/>
    <n v="581163.32999999996"/>
    <n v="372.54059615384614"/>
    <m/>
    <d v="2025-12-05T00:00:00"/>
    <n v="49"/>
    <x v="1019"/>
    <x v="0"/>
  </r>
  <r>
    <x v="63"/>
    <x v="292"/>
    <s v="Cilindro hidraulico para volcadores de bines (50% anticipo)"/>
    <s v="Total"/>
    <x v="1"/>
    <x v="0"/>
    <x v="0"/>
    <x v="0"/>
    <n v="35459.870000000003"/>
    <n v="35459.870000000003"/>
    <n v="22.730685897435897"/>
    <m/>
    <m/>
    <s v="44"/>
    <x v="1019"/>
    <x v="0"/>
  </r>
  <r>
    <x v="7"/>
    <x v="292"/>
    <s v="Reparacion de 2 cilindros hidraulicos (anticipo 50%)"/>
    <s v="Total"/>
    <x v="1"/>
    <x v="0"/>
    <x v="1"/>
    <x v="0"/>
    <n v="1757601.15"/>
    <n v="1757601.15"/>
    <n v="1126.6674038461538"/>
    <m/>
    <m/>
    <s v="46"/>
    <x v="1020"/>
    <x v="0"/>
  </r>
  <r>
    <x v="19"/>
    <x v="292"/>
    <s v="Saldo 50% fabricacion cilindro hidraulico - Planta"/>
    <s v="Total"/>
    <x v="1"/>
    <x v="0"/>
    <x v="1"/>
    <x v="0"/>
    <n v="450768.96"/>
    <n v="450768.96"/>
    <n v="288.95446153846154"/>
    <m/>
    <d v="2025-12-21T00:00:00"/>
    <n v="52"/>
    <x v="1021"/>
    <x v="0"/>
  </r>
  <r>
    <x v="19"/>
    <x v="292"/>
    <s v="Saldo 50% reparación 2  cilindro hidraulico - Planta"/>
    <s v="Total"/>
    <x v="1"/>
    <x v="0"/>
    <x v="1"/>
    <x v="0"/>
    <n v="2500000"/>
    <n v="2500000"/>
    <n v="1602.5641025641025"/>
    <m/>
    <d v="2026-01-21T00:00:00"/>
    <n v="4"/>
    <x v="1021"/>
    <x v="0"/>
  </r>
  <r>
    <x v="19"/>
    <x v="292"/>
    <s v="Saldo 50% reparación 2  cilindro hidraulico - Planta"/>
    <s v="Total"/>
    <x v="1"/>
    <x v="0"/>
    <x v="1"/>
    <x v="0"/>
    <n v="263943.77"/>
    <n v="263943.77"/>
    <n v="169.19472435897438"/>
    <m/>
    <d v="2026-01-12T00:00:00"/>
    <n v="3"/>
    <x v="1021"/>
    <x v="0"/>
  </r>
  <r>
    <x v="41"/>
    <x v="292"/>
    <s v="Fabricacion de cilindro hidraulico COE - Anticipo"/>
    <s v="Total"/>
    <x v="1"/>
    <x v="0"/>
    <x v="1"/>
    <x v="0"/>
    <n v="802876.75"/>
    <n v="802876.75"/>
    <n v="514.66458333333333"/>
    <m/>
    <d v="2026-03-15T00:00:00"/>
    <n v="12"/>
    <x v="1022"/>
    <x v="0"/>
  </r>
  <r>
    <x v="41"/>
    <x v="292"/>
    <s v="Fabricacion de cilindro hidraulico COE - Anticipo"/>
    <s v="Total"/>
    <x v="1"/>
    <x v="0"/>
    <x v="1"/>
    <x v="0"/>
    <n v="802876.75"/>
    <n v="802876.75"/>
    <n v="514.66458333333333"/>
    <m/>
    <d v="2026-03-30T00:00:00"/>
    <n v="14"/>
    <x v="1022"/>
    <x v="0"/>
  </r>
  <r>
    <x v="41"/>
    <x v="292"/>
    <s v="Fabricacion de cilindro hidraulico COE - Anticipo"/>
    <s v="Total"/>
    <x v="1"/>
    <x v="0"/>
    <x v="1"/>
    <x v="0"/>
    <n v="802876.75"/>
    <n v="802876.75"/>
    <n v="514.66458333333333"/>
    <m/>
    <d v="2026-02-28T00:00:00"/>
    <n v="9"/>
    <x v="1022"/>
    <x v="0"/>
  </r>
  <r>
    <x v="32"/>
    <x v="292"/>
    <s v="Empaquetaduras cilindro hidraulico COE"/>
    <s v="Total"/>
    <x v="1"/>
    <x v="0"/>
    <x v="1"/>
    <x v="0"/>
    <n v="331785.01"/>
    <n v="331785.01"/>
    <n v="212.68269871794871"/>
    <m/>
    <d v="2026-03-14T00:00:00"/>
    <n v="11"/>
    <x v="1023"/>
    <x v="0"/>
  </r>
  <r>
    <x v="56"/>
    <x v="292"/>
    <s v="Fabricacion de cilindro hidraulico COE - Saldo"/>
    <s v="Total"/>
    <x v="1"/>
    <x v="0"/>
    <x v="1"/>
    <x v="0"/>
    <n v="1205176.83"/>
    <n v="1205176.83"/>
    <n v="772.54925000000003"/>
    <m/>
    <d v="2026-04-12T00:00:00"/>
    <n v="16"/>
    <x v="1024"/>
    <x v="0"/>
  </r>
  <r>
    <x v="56"/>
    <x v="292"/>
    <s v="Fabricacion de cilindro hidraulico COE - Saldo"/>
    <s v="Total"/>
    <x v="1"/>
    <x v="0"/>
    <x v="1"/>
    <x v="0"/>
    <n v="1205176.83"/>
    <n v="1205176.83"/>
    <n v="772.54925000000003"/>
    <m/>
    <d v="2026-04-26T00:00:00"/>
    <n v="18"/>
    <x v="1024"/>
    <x v="0"/>
  </r>
  <r>
    <x v="56"/>
    <x v="292"/>
    <s v="Fabricacion de cilindro hidraulico COE - Saldo"/>
    <s v="Total"/>
    <x v="1"/>
    <x v="0"/>
    <x v="1"/>
    <x v="0"/>
    <n v="1205176.83"/>
    <n v="35954.86"/>
    <n v="23.04798717948718"/>
    <m/>
    <m/>
    <s v="11"/>
    <x v="1024"/>
    <x v="0"/>
  </r>
  <r>
    <x v="38"/>
    <x v="292"/>
    <s v="Fabricación de cilindro hidraulico - volcador de bines"/>
    <s v="Total"/>
    <x v="1"/>
    <x v="0"/>
    <x v="1"/>
    <x v="0"/>
    <n v="3006276.13"/>
    <n v="3006276.13"/>
    <n v="1927.1000833333333"/>
    <m/>
    <d v="2026-10-07T00:00:00"/>
    <n v="41"/>
    <x v="1025"/>
    <x v="0"/>
  </r>
  <r>
    <x v="38"/>
    <x v="292"/>
    <s v="Fabricación de cilindro hidraulico - volcador de bines"/>
    <s v="Total"/>
    <x v="1"/>
    <x v="0"/>
    <x v="1"/>
    <x v="0"/>
    <n v="45970.31"/>
    <n v="45970.31"/>
    <n v="29.468147435897436"/>
    <s v="Retenciones"/>
    <m/>
    <s v="32"/>
    <x v="1025"/>
    <x v="0"/>
  </r>
  <r>
    <x v="23"/>
    <x v="293"/>
    <s v="Estudio radiologico"/>
    <s v="Total"/>
    <x v="1"/>
    <x v="0"/>
    <x v="0"/>
    <x v="0"/>
    <n v="100000"/>
    <n v="100000"/>
    <n v="64.102564102564102"/>
    <m/>
    <m/>
    <s v="18"/>
    <x v="1026"/>
    <x v="0"/>
  </r>
  <r>
    <x v="59"/>
    <x v="294"/>
    <s v="Mangueras - pedido Planta"/>
    <s v="Total"/>
    <x v="1"/>
    <x v="0"/>
    <x v="1"/>
    <x v="0"/>
    <n v="1021266.15"/>
    <n v="1021266.15"/>
    <n v="654.65778846153853"/>
    <m/>
    <d v="2026-03-07T00:00:00"/>
    <n v="10"/>
    <x v="1027"/>
    <x v="0"/>
  </r>
  <r>
    <x v="59"/>
    <x v="294"/>
    <s v="Acople - pedido Planta"/>
    <s v="Total"/>
    <x v="1"/>
    <x v="0"/>
    <x v="1"/>
    <x v="0"/>
    <n v="2470173.2999999998"/>
    <n v="2470173.2999999998"/>
    <n v="1583.4444230769229"/>
    <m/>
    <d v="2026-03-07T00:00:00"/>
    <n v="10"/>
    <x v="1028"/>
    <x v="0"/>
  </r>
  <r>
    <x v="60"/>
    <x v="295"/>
    <s v="Pedido bodega - Turbidimetro"/>
    <s v="Total"/>
    <x v="1"/>
    <x v="0"/>
    <x v="1"/>
    <x v="0"/>
    <n v="1265777.5"/>
    <n v="1265777.5"/>
    <n v="811.39583333333337"/>
    <s v="CH 30 días"/>
    <d v="2025-10-10T00:00:00"/>
    <n v="41"/>
    <x v="1029"/>
    <x v="0"/>
  </r>
  <r>
    <x v="63"/>
    <x v="296"/>
    <s v="Analisis"/>
    <s v="Total"/>
    <x v="1"/>
    <x v="0"/>
    <x v="0"/>
    <x v="0"/>
    <n v="42002.15"/>
    <n v="42002.15"/>
    <n v="26.924455128205128"/>
    <m/>
    <m/>
    <s v="44"/>
    <x v="0"/>
    <x v="0"/>
  </r>
  <r>
    <x v="31"/>
    <x v="297"/>
    <s v="Perforacion (Rapachioli)"/>
    <s v="Total"/>
    <x v="1"/>
    <x v="0"/>
    <x v="1"/>
    <x v="0"/>
    <n v="750000"/>
    <n v="750000"/>
    <n v="480.76923076923077"/>
    <m/>
    <d v="2025-11-22T00:00:00"/>
    <n v="47"/>
    <x v="1030"/>
    <x v="0"/>
  </r>
  <r>
    <x v="31"/>
    <x v="297"/>
    <s v="Perforacion (Rapachioli)"/>
    <s v="Total"/>
    <x v="1"/>
    <x v="0"/>
    <x v="1"/>
    <x v="0"/>
    <n v="912465"/>
    <n v="912465"/>
    <n v="584.91346153846155"/>
    <m/>
    <d v="2025-11-29T00:00:00"/>
    <n v="48"/>
    <x v="1030"/>
    <x v="0"/>
  </r>
  <r>
    <x v="31"/>
    <x v="297"/>
    <s v="Perforacion (Rapachioli)"/>
    <s v="Total"/>
    <x v="1"/>
    <x v="0"/>
    <x v="1"/>
    <x v="0"/>
    <n v="2506000"/>
    <n v="2506000"/>
    <n v="1606.4102564102564"/>
    <m/>
    <d v="2025-11-29T00:00:00"/>
    <n v="48"/>
    <x v="1030"/>
    <x v="0"/>
  </r>
  <r>
    <x v="75"/>
    <x v="297"/>
    <s v="Preforacion poso - Pago se entrego a combustibles Barceló"/>
    <s v="Total"/>
    <x v="1"/>
    <x v="0"/>
    <x v="1"/>
    <x v="0"/>
    <n v="660255"/>
    <n v="660255"/>
    <n v="423.24038461538464"/>
    <m/>
    <d v="2025-12-19T00:00:00"/>
    <n v="51"/>
    <x v="1031"/>
    <x v="0"/>
  </r>
  <r>
    <x v="75"/>
    <x v="297"/>
    <s v="Preforacion poso - Pago se entrego a combustibles Barceló"/>
    <s v="Total"/>
    <x v="1"/>
    <x v="0"/>
    <x v="1"/>
    <x v="0"/>
    <n v="534232"/>
    <n v="534232"/>
    <n v="342.45641025641027"/>
    <m/>
    <d v="2025-12-19T00:00:00"/>
    <n v="51"/>
    <x v="1031"/>
    <x v="0"/>
  </r>
  <r>
    <x v="75"/>
    <x v="297"/>
    <s v="Preforacion poso - Pago se entrego a combustibles Barceló"/>
    <s v="Total"/>
    <x v="1"/>
    <x v="0"/>
    <x v="1"/>
    <x v="0"/>
    <n v="154031"/>
    <n v="154031"/>
    <n v="98.73782051282052"/>
    <m/>
    <d v="2025-12-19T00:00:00"/>
    <n v="51"/>
    <x v="1031"/>
    <x v="0"/>
  </r>
  <r>
    <x v="75"/>
    <x v="297"/>
    <s v="Preforacion poso - Pago se entrego a combustibles Barceló"/>
    <s v="Total"/>
    <x v="1"/>
    <x v="0"/>
    <x v="1"/>
    <x v="0"/>
    <n v="376660"/>
    <n v="376660"/>
    <n v="241.44871794871796"/>
    <m/>
    <d v="2025-12-19T00:00:00"/>
    <n v="51"/>
    <x v="1031"/>
    <x v="0"/>
  </r>
  <r>
    <x v="32"/>
    <x v="297"/>
    <s v="Pozo finca 6"/>
    <s v="Total"/>
    <x v="1"/>
    <x v="0"/>
    <x v="1"/>
    <x v="0"/>
    <n v="3000000"/>
    <n v="3000000"/>
    <n v="1923.0769230769231"/>
    <m/>
    <m/>
    <s v="09"/>
    <x v="1032"/>
    <x v="0"/>
  </r>
  <r>
    <x v="32"/>
    <x v="297"/>
    <s v="Pozo finca 6"/>
    <s v="Total"/>
    <x v="1"/>
    <x v="0"/>
    <x v="1"/>
    <x v="0"/>
    <n v="3000000"/>
    <n v="3000000"/>
    <n v="1923.0769230769231"/>
    <m/>
    <m/>
    <s v="09"/>
    <x v="1032"/>
    <x v="0"/>
  </r>
  <r>
    <x v="32"/>
    <x v="297"/>
    <s v="Pozo finca 6"/>
    <s v="Total"/>
    <x v="1"/>
    <x v="0"/>
    <x v="1"/>
    <x v="0"/>
    <n v="1919600"/>
    <n v="1919600"/>
    <n v="1230.5128205128206"/>
    <m/>
    <m/>
    <s v="09"/>
    <x v="1032"/>
    <x v="0"/>
  </r>
  <r>
    <x v="3"/>
    <x v="264"/>
    <s v="Fabricacion de tolvas"/>
    <s v="Total"/>
    <x v="0"/>
    <x v="1"/>
    <x v="1"/>
    <x v="0"/>
    <n v="162040"/>
    <n v="162040"/>
    <n v="103.87179487179488"/>
    <m/>
    <m/>
    <s v="44"/>
    <x v="0"/>
    <x v="1"/>
  </r>
  <r>
    <x v="19"/>
    <x v="298"/>
    <s v="Garrafa R22 - Bodega"/>
    <s v="Total"/>
    <x v="1"/>
    <x v="0"/>
    <x v="0"/>
    <x v="0"/>
    <n v="380428.13"/>
    <n v="380428.13"/>
    <n v="243.8641858974359"/>
    <m/>
    <m/>
    <s v="50"/>
    <x v="1033"/>
    <x v="0"/>
  </r>
  <r>
    <x v="68"/>
    <x v="299"/>
    <s v="Etiquetas"/>
    <s v="Parcial"/>
    <x v="1"/>
    <x v="0"/>
    <x v="1"/>
    <x v="0"/>
    <n v="470017.94"/>
    <n v="470017.94"/>
    <n v="301.29355128205128"/>
    <s v="Pago 02/07/2025"/>
    <m/>
    <s v="23"/>
    <x v="1034"/>
    <x v="0"/>
  </r>
  <r>
    <x v="2"/>
    <x v="299"/>
    <s v="Etiquetas - pedido de planta "/>
    <s v="Total"/>
    <x v="1"/>
    <x v="0"/>
    <x v="1"/>
    <x v="0"/>
    <n v="650862.21"/>
    <n v="650862.21"/>
    <n v="417.21936538461534"/>
    <s v="CH 30 días"/>
    <d v="2025-09-06T00:00:00"/>
    <n v="36"/>
    <x v="1035"/>
    <x v="0"/>
  </r>
  <r>
    <x v="56"/>
    <x v="299"/>
    <s v="Etiquetas"/>
    <s v="Total"/>
    <x v="1"/>
    <x v="0"/>
    <x v="1"/>
    <x v="0"/>
    <n v="209918.77"/>
    <n v="209918.77"/>
    <n v="134.56331410256411"/>
    <m/>
    <d v="2026-04-10T00:00:00"/>
    <n v="15"/>
    <x v="1036"/>
    <x v="0"/>
  </r>
  <r>
    <x v="74"/>
    <x v="300"/>
    <s v="Etiquetas 100x150 + ribons"/>
    <s v="Total"/>
    <x v="1"/>
    <x v="0"/>
    <x v="1"/>
    <x v="0"/>
    <n v="640039.93000000005"/>
    <n v="640039.93000000005"/>
    <n v="410.28200641025643"/>
    <m/>
    <m/>
    <s v="03"/>
    <x v="1037"/>
    <x v="0"/>
  </r>
  <r>
    <x v="23"/>
    <x v="300"/>
    <s v="Pedido de embalaje - planta"/>
    <s v="Total"/>
    <x v="1"/>
    <x v="0"/>
    <x v="1"/>
    <x v="0"/>
    <n v="1572557.02"/>
    <n v="1572557.02"/>
    <n v="1008.0493717948718"/>
    <m/>
    <m/>
    <s v="18"/>
    <x v="1038"/>
    <x v="0"/>
  </r>
  <r>
    <x v="42"/>
    <x v="301"/>
    <s v="Etiquetas + Ribon"/>
    <s v="Total"/>
    <x v="1"/>
    <x v="0"/>
    <x v="1"/>
    <x v="0"/>
    <n v="968566.16"/>
    <n v="968566.16"/>
    <n v="620.87574358974359"/>
    <m/>
    <d v="2026-07-09T00:00:00"/>
    <n v="28"/>
    <x v="1039"/>
    <x v="0"/>
  </r>
  <r>
    <x v="42"/>
    <x v="301"/>
    <s v="Etiquetas + Ribon"/>
    <s v="Total"/>
    <x v="1"/>
    <x v="0"/>
    <x v="1"/>
    <x v="0"/>
    <n v="11723.13"/>
    <n v="11723.13"/>
    <n v="7.5148269230769227"/>
    <s v="Retenciones"/>
    <m/>
    <s v="24"/>
    <x v="1039"/>
    <x v="0"/>
  </r>
  <r>
    <x v="71"/>
    <x v="301"/>
    <s v="Etiquetas 10 x 15"/>
    <s v="Total"/>
    <x v="1"/>
    <x v="0"/>
    <x v="1"/>
    <x v="0"/>
    <n v="242807.6"/>
    <n v="242807.6"/>
    <n v="155.64589743589744"/>
    <m/>
    <d v="2026-09-17T00:00:00"/>
    <n v="38"/>
    <x v="1040"/>
    <x v="0"/>
  </r>
  <r>
    <x v="71"/>
    <x v="301"/>
    <s v="Etiquetas 10 x 15"/>
    <s v="Total"/>
    <x v="1"/>
    <x v="0"/>
    <x v="1"/>
    <x v="0"/>
    <n v="500000"/>
    <n v="500000"/>
    <n v="320.5128205128205"/>
    <m/>
    <d v="2026-09-15T00:00:00"/>
    <n v="38"/>
    <x v="1040"/>
    <x v="0"/>
  </r>
  <r>
    <x v="71"/>
    <x v="301"/>
    <s v="Etiquetas 10 x 15"/>
    <s v="Total"/>
    <x v="1"/>
    <x v="0"/>
    <x v="1"/>
    <x v="0"/>
    <n v="10376.15"/>
    <n v="10376.15"/>
    <n v="6.6513782051282053"/>
    <s v="Retenciones"/>
    <m/>
    <s v="36"/>
    <x v="1040"/>
    <x v="0"/>
  </r>
  <r>
    <x v="1"/>
    <x v="302"/>
    <s v="Analisis Multiresiduos"/>
    <s v="Total"/>
    <x v="1"/>
    <x v="0"/>
    <x v="1"/>
    <x v="0"/>
    <n v="338134.5"/>
    <n v="338134.5"/>
    <n v="216.7528846153846"/>
    <s v="CH 30 días"/>
    <m/>
    <s v="21"/>
    <x v="1041"/>
    <x v="0"/>
  </r>
  <r>
    <x v="70"/>
    <x v="302"/>
    <s v="Analisis nueces"/>
    <s v="Total"/>
    <x v="1"/>
    <x v="0"/>
    <x v="0"/>
    <x v="0"/>
    <n v="164408.75"/>
    <n v="164408.75"/>
    <n v="105.39022435897436"/>
    <m/>
    <m/>
    <s v="36"/>
    <x v="1042"/>
    <x v="0"/>
  </r>
  <r>
    <x v="64"/>
    <x v="302"/>
    <s v="Analisis  aceite"/>
    <s v="Total"/>
    <x v="1"/>
    <x v="0"/>
    <x v="1"/>
    <x v="0"/>
    <n v="1098861.3600000001"/>
    <n v="1098861.3600000001"/>
    <n v="704.39830769230775"/>
    <m/>
    <d v="2026-06-03T00:00:00"/>
    <n v="23"/>
    <x v="1043"/>
    <x v="0"/>
  </r>
  <r>
    <x v="64"/>
    <x v="302"/>
    <s v="Analisis  aceite"/>
    <s v="Total"/>
    <x v="1"/>
    <x v="0"/>
    <x v="1"/>
    <x v="0"/>
    <n v="17102.28"/>
    <n v="17102.28"/>
    <n v="10.962999999999999"/>
    <s v="Retenciones"/>
    <m/>
    <s v="22"/>
    <x v="1043"/>
    <x v="0"/>
  </r>
  <r>
    <x v="44"/>
    <x v="302"/>
    <s v="Analisis Ocratoxina - Pasas de Uva"/>
    <s v="Total"/>
    <x v="1"/>
    <x v="0"/>
    <x v="0"/>
    <x v="0"/>
    <n v="249734.48"/>
    <n v="249734.48"/>
    <n v="160.08620512820514"/>
    <m/>
    <m/>
    <s v="31"/>
    <x v="1044"/>
    <x v="0"/>
  </r>
  <r>
    <x v="44"/>
    <x v="302"/>
    <s v="Analisis Ocratoxina - Pasas de Uva"/>
    <s v="Total"/>
    <x v="1"/>
    <x v="0"/>
    <x v="0"/>
    <x v="0"/>
    <n v="2831.24"/>
    <n v="2831.24"/>
    <n v="1.8148974358974357"/>
    <s v="Retenciones"/>
    <m/>
    <s v="31"/>
    <x v="1044"/>
    <x v="0"/>
  </r>
  <r>
    <x v="16"/>
    <x v="302"/>
    <s v="Analisis Ocratoxina - Pasas de Uva"/>
    <s v="Total"/>
    <x v="0"/>
    <x v="0"/>
    <x v="0"/>
    <x v="0"/>
    <n v="498125.56"/>
    <n v="498125.56"/>
    <n v="319.31125641025642"/>
    <m/>
    <m/>
    <s v="43"/>
    <x v="1045"/>
    <x v="0"/>
  </r>
  <r>
    <x v="16"/>
    <x v="302"/>
    <s v="Analisis Ocratoxina - Pasas de Uva"/>
    <s v="Total"/>
    <x v="0"/>
    <x v="0"/>
    <x v="0"/>
    <x v="0"/>
    <n v="7005.88"/>
    <n v="7005.88"/>
    <n v="4.4909487179487177"/>
    <s v="Retenciones"/>
    <m/>
    <s v="43"/>
    <x v="1045"/>
    <x v="0"/>
  </r>
  <r>
    <x v="63"/>
    <x v="303"/>
    <s v="Trabajo casa luciano"/>
    <s v="Total"/>
    <x v="2"/>
    <x v="1"/>
    <x v="2"/>
    <x v="0"/>
    <n v="350000"/>
    <n v="350000"/>
    <n v="224.35897435897436"/>
    <m/>
    <m/>
    <s v="44"/>
    <x v="1046"/>
    <x v="0"/>
  </r>
  <r>
    <x v="61"/>
    <x v="304"/>
    <s v="Trabajo planta - linea de envasado "/>
    <s v="Total"/>
    <x v="1"/>
    <x v="1"/>
    <x v="2"/>
    <x v="0"/>
    <n v="1000000"/>
    <n v="1000000"/>
    <n v="641.02564102564099"/>
    <m/>
    <m/>
    <s v="30"/>
    <x v="1047"/>
    <x v="0"/>
  </r>
  <r>
    <x v="42"/>
    <x v="305"/>
    <s v="Cunas 8.5"/>
    <s v="Total"/>
    <x v="1"/>
    <x v="0"/>
    <x v="1"/>
    <x v="0"/>
    <n v="1779434.82"/>
    <n v="1779434.82"/>
    <n v="1140.6633461538463"/>
    <m/>
    <d v="2026-07-30T00:00:00"/>
    <n v="31"/>
    <x v="1048"/>
    <x v="0"/>
  </r>
  <r>
    <x v="42"/>
    <x v="305"/>
    <s v="Cunas 8.5"/>
    <s v="Total"/>
    <x v="1"/>
    <x v="0"/>
    <x v="1"/>
    <x v="0"/>
    <n v="556969.18000000005"/>
    <n v="556969.18000000005"/>
    <n v="357.03152564102567"/>
    <m/>
    <d v="2026-07-25T00:00:00"/>
    <n v="30"/>
    <x v="1048"/>
    <x v="0"/>
  </r>
  <r>
    <x v="42"/>
    <x v="305"/>
    <s v="Cunas 8.5"/>
    <s v="Total"/>
    <x v="1"/>
    <x v="0"/>
    <x v="1"/>
    <x v="0"/>
    <n v="34712"/>
    <n v="34712"/>
    <n v="22.25128205128205"/>
    <s v="Retenciones"/>
    <m/>
    <s v="24"/>
    <x v="1048"/>
    <x v="0"/>
  </r>
  <r>
    <x v="13"/>
    <x v="306"/>
    <s v="Almohadas pinza coe"/>
    <s v="Total"/>
    <x v="1"/>
    <x v="0"/>
    <x v="1"/>
    <x v="0"/>
    <n v="3226256.6"/>
    <n v="3226256.6"/>
    <n v="2068.1132051282052"/>
    <m/>
    <d v="2026-03-30T00:00:00"/>
    <n v="14"/>
    <x v="1049"/>
    <x v="0"/>
  </r>
  <r>
    <x v="66"/>
    <x v="307"/>
    <s v="Pedido Casa Doctor"/>
    <s v="Total"/>
    <x v="2"/>
    <x v="0"/>
    <x v="2"/>
    <x v="0"/>
    <n v="3200"/>
    <n v="3200"/>
    <n v="2.0512820512820511"/>
    <m/>
    <m/>
    <s v="34"/>
    <x v="1050"/>
    <x v="0"/>
  </r>
  <r>
    <x v="55"/>
    <x v="308"/>
    <s v="Aceituna Fresca"/>
    <s v="Total"/>
    <x v="1"/>
    <x v="0"/>
    <x v="0"/>
    <x v="0"/>
    <n v="16664480"/>
    <n v="16664480"/>
    <n v="10682.358974358975"/>
    <m/>
    <m/>
    <s v="19"/>
    <x v="1051"/>
    <x v="0"/>
  </r>
  <r>
    <x v="0"/>
    <x v="308"/>
    <s v="Fruta fresca (2024)"/>
    <s v="Fijo"/>
    <x v="4"/>
    <x v="0"/>
    <x v="0"/>
    <x v="0"/>
    <n v="24148313.52"/>
    <n v="24148313.52"/>
    <n v="15479.688153846153"/>
    <m/>
    <m/>
    <s v="22"/>
    <x v="1052"/>
    <x v="0"/>
  </r>
  <r>
    <x v="25"/>
    <x v="308"/>
    <s v="Fruta fresca  "/>
    <s v="Total"/>
    <x v="4"/>
    <x v="0"/>
    <x v="0"/>
    <x v="0"/>
    <n v="10000000"/>
    <n v="10000000"/>
    <n v="6410.2564102564102"/>
    <m/>
    <m/>
    <s v="27"/>
    <x v="1053"/>
    <x v="0"/>
  </r>
  <r>
    <x v="25"/>
    <x v="308"/>
    <s v="Fruta fresca"/>
    <s v="Total"/>
    <x v="4"/>
    <x v="0"/>
    <x v="0"/>
    <x v="0"/>
    <n v="10000000"/>
    <n v="10000000"/>
    <n v="6410.2564102564102"/>
    <m/>
    <m/>
    <s v="27"/>
    <x v="0"/>
    <x v="0"/>
  </r>
  <r>
    <x v="21"/>
    <x v="308"/>
    <s v="Fruta Fresca"/>
    <s v="Parcial"/>
    <x v="4"/>
    <x v="0"/>
    <x v="0"/>
    <x v="0"/>
    <n v="6000000"/>
    <n v="6000000"/>
    <n v="3846.1538461538462"/>
    <m/>
    <m/>
    <s v="28"/>
    <x v="1054"/>
    <x v="0"/>
  </r>
  <r>
    <x v="2"/>
    <x v="308"/>
    <s v="Fruta fresca"/>
    <s v="Total"/>
    <x v="4"/>
    <x v="0"/>
    <x v="0"/>
    <x v="0"/>
    <n v="9804480"/>
    <n v="9804480"/>
    <n v="6284.9230769230771"/>
    <m/>
    <m/>
    <s v="32"/>
    <x v="34"/>
    <x v="0"/>
  </r>
  <r>
    <x v="70"/>
    <x v="308"/>
    <s v="Campaña 2025"/>
    <s v="Total"/>
    <x v="4"/>
    <x v="0"/>
    <x v="0"/>
    <x v="0"/>
    <n v="9804480"/>
    <n v="9804480"/>
    <n v="6284.9230769230771"/>
    <m/>
    <m/>
    <s v="36"/>
    <x v="1055"/>
    <x v="0"/>
  </r>
  <r>
    <x v="60"/>
    <x v="308"/>
    <s v="Frura fresca "/>
    <s v="Total"/>
    <x v="4"/>
    <x v="0"/>
    <x v="0"/>
    <x v="0"/>
    <n v="9800000"/>
    <n v="9800000"/>
    <n v="6282.0512820512822"/>
    <m/>
    <m/>
    <s v="37"/>
    <x v="1056"/>
    <x v="0"/>
  </r>
  <r>
    <x v="28"/>
    <x v="308"/>
    <s v="Frura fresca "/>
    <s v="Total"/>
    <x v="4"/>
    <x v="0"/>
    <x v="0"/>
    <x v="0"/>
    <n v="2944480"/>
    <n v="2944480"/>
    <n v="1887.4871794871794"/>
    <m/>
    <m/>
    <s v="40"/>
    <x v="1057"/>
    <x v="0"/>
  </r>
  <r>
    <x v="6"/>
    <x v="308"/>
    <s v="Campaña 2025"/>
    <s v="Total"/>
    <x v="4"/>
    <x v="0"/>
    <x v="0"/>
    <x v="0"/>
    <n v="2940000"/>
    <n v="2940000"/>
    <n v="1884.6153846153845"/>
    <m/>
    <m/>
    <s v="41"/>
    <x v="1058"/>
    <x v="0"/>
  </r>
  <r>
    <x v="30"/>
    <x v="308"/>
    <s v="Campaña 2025"/>
    <s v="Total"/>
    <x v="4"/>
    <x v="0"/>
    <x v="0"/>
    <x v="0"/>
    <n v="15950000"/>
    <n v="15950000"/>
    <n v="10224.358974358975"/>
    <m/>
    <m/>
    <s v="43"/>
    <x v="1059"/>
    <x v="0"/>
  </r>
  <r>
    <x v="15"/>
    <x v="308"/>
    <s v="Campaña 2025"/>
    <s v="Total"/>
    <x v="4"/>
    <x v="0"/>
    <x v="0"/>
    <x v="0"/>
    <n v="7844480"/>
    <n v="7844480"/>
    <n v="5028.5128205128203"/>
    <m/>
    <m/>
    <s v="49"/>
    <x v="1060"/>
    <x v="0"/>
  </r>
  <r>
    <x v="9"/>
    <x v="308"/>
    <s v="Campaña 2025"/>
    <s v="Total"/>
    <x v="4"/>
    <x v="0"/>
    <x v="0"/>
    <x v="0"/>
    <n v="7500000"/>
    <n v="7500000"/>
    <n v="4807.6923076923076"/>
    <m/>
    <m/>
    <s v="05"/>
    <x v="1061"/>
    <x v="0"/>
  </r>
  <r>
    <x v="59"/>
    <x v="308"/>
    <s v="Campaña 2025"/>
    <s v="Total"/>
    <x v="4"/>
    <x v="0"/>
    <x v="0"/>
    <x v="0"/>
    <n v="14091980"/>
    <n v="14091980"/>
    <n v="9033.3205128205136"/>
    <m/>
    <m/>
    <s v="06"/>
    <x v="1062"/>
    <x v="0"/>
  </r>
  <r>
    <x v="41"/>
    <x v="308"/>
    <s v="Campaña 2025"/>
    <s v="Total"/>
    <x v="4"/>
    <x v="0"/>
    <x v="0"/>
    <x v="0"/>
    <n v="11076000"/>
    <n v="11076000"/>
    <n v="7100"/>
    <m/>
    <m/>
    <s v="08"/>
    <x v="1063"/>
    <x v="0"/>
  </r>
  <r>
    <x v="73"/>
    <x v="308"/>
    <s v="Campaña 2025"/>
    <s v="Total"/>
    <x v="4"/>
    <x v="0"/>
    <x v="0"/>
    <x v="0"/>
    <n v="14000000"/>
    <n v="14000000"/>
    <n v="8974.3589743589746"/>
    <m/>
    <m/>
    <s v="10"/>
    <x v="1064"/>
    <x v="0"/>
  </r>
  <r>
    <x v="56"/>
    <x v="308"/>
    <s v="Campaña 2025"/>
    <s v="Total"/>
    <x v="4"/>
    <x v="0"/>
    <x v="1"/>
    <x v="0"/>
    <n v="1222975"/>
    <n v="1222975"/>
    <n v="783.95833333333337"/>
    <m/>
    <d v="2026-02-20T00:00:00"/>
    <n v="8"/>
    <x v="1065"/>
    <x v="0"/>
  </r>
  <r>
    <x v="56"/>
    <x v="308"/>
    <s v="Campaña 2025"/>
    <s v="Total"/>
    <x v="4"/>
    <x v="0"/>
    <x v="1"/>
    <x v="0"/>
    <n v="4200000"/>
    <n v="4200000"/>
    <n v="2692.3076923076924"/>
    <m/>
    <d v="2026-02-20T00:00:00"/>
    <n v="8"/>
    <x v="1065"/>
    <x v="0"/>
  </r>
  <r>
    <x v="3"/>
    <x v="266"/>
    <s v="Combustible"/>
    <s v="Total"/>
    <x v="2"/>
    <x v="0"/>
    <x v="2"/>
    <x v="0"/>
    <n v="80000.02"/>
    <n v="80000.02"/>
    <n v="51.282064102564107"/>
    <m/>
    <m/>
    <s v="44"/>
    <x v="1066"/>
    <x v="0"/>
  </r>
  <r>
    <x v="66"/>
    <x v="309"/>
    <s v="Punzones arponados"/>
    <s v="Total"/>
    <x v="1"/>
    <x v="0"/>
    <x v="1"/>
    <x v="0"/>
    <n v="2000000"/>
    <n v="2000000"/>
    <n v="1282.051282051282"/>
    <m/>
    <d v="2026-10-03T00:00:00"/>
    <n v="40"/>
    <x v="1067"/>
    <x v="0"/>
  </r>
  <r>
    <x v="66"/>
    <x v="309"/>
    <s v="Punzones arponados"/>
    <s v="Total"/>
    <x v="1"/>
    <x v="0"/>
    <x v="1"/>
    <x v="0"/>
    <n v="2088345"/>
    <n v="2088345"/>
    <n v="1338.6826923076924"/>
    <m/>
    <d v="2026-10-23T00:00:00"/>
    <n v="43"/>
    <x v="1067"/>
    <x v="0"/>
  </r>
  <r>
    <x v="66"/>
    <x v="309"/>
    <s v="Punzones arponados"/>
    <s v="Total"/>
    <x v="1"/>
    <x v="0"/>
    <x v="1"/>
    <x v="0"/>
    <n v="2000000"/>
    <n v="2000000"/>
    <n v="1282.051282051282"/>
    <m/>
    <d v="2026-10-16T00:00:00"/>
    <n v="42"/>
    <x v="1067"/>
    <x v="0"/>
  </r>
  <r>
    <x v="66"/>
    <x v="309"/>
    <s v="Punzones arponados"/>
    <s v="Total"/>
    <x v="1"/>
    <x v="0"/>
    <x v="1"/>
    <x v="0"/>
    <n v="2362295"/>
    <n v="2362295"/>
    <n v="1514.2916666666667"/>
    <m/>
    <d v="2026-10-23T00:00:00"/>
    <n v="43"/>
    <x v="1067"/>
    <x v="0"/>
  </r>
  <r>
    <x v="76"/>
    <x v="310"/>
    <s v="Insumos planta conserva (Sal a Granel y en Bolsa)"/>
    <s v="Total"/>
    <x v="1"/>
    <x v="0"/>
    <x v="1"/>
    <x v="0"/>
    <n v="9988780.9000000004"/>
    <n v="9988780.9000000004"/>
    <n v="6403.06467948718"/>
    <s v="30-60-90"/>
    <m/>
    <s v="12"/>
    <x v="1068"/>
    <x v="0"/>
  </r>
  <r>
    <x v="60"/>
    <x v="310"/>
    <s v="Sal"/>
    <s v="Total"/>
    <x v="1"/>
    <x v="0"/>
    <x v="0"/>
    <x v="0"/>
    <n v="2205929.89"/>
    <n v="2205929.89"/>
    <n v="1414.0576217948719"/>
    <s v="CH 30 días"/>
    <m/>
    <s v="37"/>
    <x v="1069"/>
    <x v="0"/>
  </r>
  <r>
    <x v="6"/>
    <x v="310"/>
    <s v="Sal "/>
    <s v="Total"/>
    <x v="1"/>
    <x v="0"/>
    <x v="1"/>
    <x v="0"/>
    <n v="4000000"/>
    <n v="4000000"/>
    <n v="2564.102564102564"/>
    <m/>
    <d v="2025-11-10T00:00:00"/>
    <n v="46"/>
    <x v="1070"/>
    <x v="0"/>
  </r>
  <r>
    <x v="6"/>
    <x v="310"/>
    <s v="Sal "/>
    <s v="Total"/>
    <x v="1"/>
    <x v="0"/>
    <x v="1"/>
    <x v="0"/>
    <n v="550000"/>
    <n v="550000"/>
    <n v="352.56410256410254"/>
    <m/>
    <d v="2025-11-20T00:00:00"/>
    <n v="47"/>
    <x v="1070"/>
    <x v="0"/>
  </r>
  <r>
    <x v="6"/>
    <x v="310"/>
    <s v="Sal "/>
    <s v="Total"/>
    <x v="1"/>
    <x v="0"/>
    <x v="1"/>
    <x v="0"/>
    <n v="550000"/>
    <n v="550000"/>
    <n v="352.56410256410254"/>
    <m/>
    <d v="2025-11-21T00:00:00"/>
    <n v="47"/>
    <x v="1070"/>
    <x v="0"/>
  </r>
  <r>
    <x v="10"/>
    <x v="310"/>
    <s v="Sal "/>
    <s v="Total"/>
    <x v="0"/>
    <x v="0"/>
    <x v="1"/>
    <x v="0"/>
    <n v="1950000"/>
    <n v="1950000"/>
    <n v="1250"/>
    <m/>
    <d v="2025-12-29T00:00:00"/>
    <n v="53"/>
    <x v="1071"/>
    <x v="0"/>
  </r>
  <r>
    <x v="10"/>
    <x v="310"/>
    <s v="Sal "/>
    <s v="Total"/>
    <x v="0"/>
    <x v="0"/>
    <x v="1"/>
    <x v="0"/>
    <n v="1950000"/>
    <n v="1950000"/>
    <n v="1250"/>
    <m/>
    <d v="2026-01-02T00:00:00"/>
    <n v="1"/>
    <x v="1071"/>
    <x v="0"/>
  </r>
  <r>
    <x v="74"/>
    <x v="310"/>
    <s v="Sal "/>
    <s v="Total"/>
    <x v="0"/>
    <x v="0"/>
    <x v="1"/>
    <x v="0"/>
    <n v="810000"/>
    <n v="810000"/>
    <n v="519.23076923076928"/>
    <m/>
    <d v="2026-01-15T00:00:00"/>
    <n v="3"/>
    <x v="1072"/>
    <x v="0"/>
  </r>
  <r>
    <x v="74"/>
    <x v="310"/>
    <s v="Sal "/>
    <s v="Total"/>
    <x v="0"/>
    <x v="0"/>
    <x v="2"/>
    <x v="0"/>
    <n v="3997.62"/>
    <n v="3997.62"/>
    <n v="2.5625769230769229"/>
    <s v="CH 30 días"/>
    <m/>
    <s v="03"/>
    <x v="1072"/>
    <x v="0"/>
  </r>
  <r>
    <x v="9"/>
    <x v="310"/>
    <s v="Equipo de Sal"/>
    <s v="Total"/>
    <x v="0"/>
    <x v="0"/>
    <x v="1"/>
    <x v="0"/>
    <n v="4026619.9"/>
    <n v="4026619.9"/>
    <n v="2581.1666025641025"/>
    <m/>
    <d v="2026-03-06T00:00:00"/>
    <n v="10"/>
    <x v="1073"/>
    <x v="0"/>
  </r>
  <r>
    <x v="13"/>
    <x v="310"/>
    <s v="Equipo de sal a granel"/>
    <s v="Total"/>
    <x v="1"/>
    <x v="0"/>
    <x v="1"/>
    <x v="0"/>
    <n v="2635574.2000000002"/>
    <n v="2635574.2000000002"/>
    <n v="1689.470641025641"/>
    <m/>
    <d v="2026-03-09T00:00:00"/>
    <n v="11"/>
    <x v="1074"/>
    <x v="0"/>
  </r>
  <r>
    <x v="13"/>
    <x v="310"/>
    <s v="Equipo de sal a granel"/>
    <s v="Total"/>
    <x v="1"/>
    <x v="0"/>
    <x v="1"/>
    <x v="0"/>
    <n v="2635574.2000000002"/>
    <n v="2635574.2000000002"/>
    <n v="1689.470641025641"/>
    <m/>
    <d v="2026-04-09T00:00:00"/>
    <n v="15"/>
    <x v="1074"/>
    <x v="0"/>
  </r>
  <r>
    <x v="13"/>
    <x v="310"/>
    <s v="Equipo de sal a granel"/>
    <s v="Total"/>
    <x v="1"/>
    <x v="0"/>
    <x v="1"/>
    <x v="0"/>
    <n v="2635574.2000000002"/>
    <n v="2635574.2000000002"/>
    <n v="1689.470641025641"/>
    <m/>
    <d v="2026-02-09T00:00:00"/>
    <n v="7"/>
    <x v="1074"/>
    <x v="0"/>
  </r>
  <r>
    <x v="56"/>
    <x v="310"/>
    <s v="Equipos de sal"/>
    <s v="Total"/>
    <x v="0"/>
    <x v="0"/>
    <x v="1"/>
    <x v="0"/>
    <n v="7128593.7300000004"/>
    <n v="7128593.7300000004"/>
    <n v="4569.611365384616"/>
    <m/>
    <d v="2026-04-12T00:00:00"/>
    <n v="16"/>
    <x v="1075"/>
    <x v="0"/>
  </r>
  <r>
    <x v="56"/>
    <x v="310"/>
    <s v="Equipos de sal"/>
    <s v="Total"/>
    <x v="0"/>
    <x v="0"/>
    <x v="1"/>
    <x v="0"/>
    <n v="7128593.7300000004"/>
    <n v="7128593.7300000004"/>
    <n v="4569.611365384616"/>
    <m/>
    <d v="2026-05-12T00:00:00"/>
    <n v="20"/>
    <x v="1075"/>
    <x v="0"/>
  </r>
  <r>
    <x v="56"/>
    <x v="310"/>
    <s v="Equipos de sal"/>
    <s v="Total"/>
    <x v="0"/>
    <x v="0"/>
    <x v="1"/>
    <x v="0"/>
    <n v="7128593.7400000002"/>
    <n v="7128593.7400000002"/>
    <n v="4569.611371794872"/>
    <m/>
    <d v="2026-06-12T00:00:00"/>
    <n v="24"/>
    <x v="1075"/>
    <x v="0"/>
  </r>
  <r>
    <x v="56"/>
    <x v="310"/>
    <s v="Equipos de sal"/>
    <s v="Total"/>
    <x v="0"/>
    <x v="0"/>
    <x v="1"/>
    <x v="0"/>
    <n v="354889.6"/>
    <n v="354889.6"/>
    <n v="227.49333333333331"/>
    <m/>
    <m/>
    <s v="11"/>
    <x v="1075"/>
    <x v="0"/>
  </r>
  <r>
    <x v="33"/>
    <x v="310"/>
    <s v="Sal a granel"/>
    <s v="Total"/>
    <x v="1"/>
    <x v="0"/>
    <x v="1"/>
    <x v="0"/>
    <n v="1758980.65"/>
    <n v="1758980.65"/>
    <n v="1127.5516987179487"/>
    <m/>
    <d v="2026-04-17T00:00:00"/>
    <n v="16"/>
    <x v="1076"/>
    <x v="0"/>
  </r>
  <r>
    <x v="33"/>
    <x v="310"/>
    <s v="Sal a granel"/>
    <s v="Total"/>
    <x v="1"/>
    <x v="0"/>
    <x v="1"/>
    <x v="0"/>
    <n v="1758980.65"/>
    <n v="1758980.65"/>
    <n v="1127.5516987179487"/>
    <m/>
    <d v="2026-05-17T00:00:00"/>
    <n v="21"/>
    <x v="1076"/>
    <x v="0"/>
  </r>
  <r>
    <x v="33"/>
    <x v="310"/>
    <s v="Sal a granel"/>
    <s v="Total"/>
    <x v="1"/>
    <x v="0"/>
    <x v="1"/>
    <x v="0"/>
    <n v="1758980.65"/>
    <n v="1758980.65"/>
    <n v="1127.5516987179487"/>
    <m/>
    <d v="2026-06-17T00:00:00"/>
    <n v="25"/>
    <x v="1076"/>
    <x v="0"/>
  </r>
  <r>
    <x v="33"/>
    <x v="310"/>
    <s v="Sal a granel"/>
    <s v="Total"/>
    <x v="1"/>
    <x v="0"/>
    <x v="1"/>
    <x v="0"/>
    <n v="1758980.65"/>
    <n v="1758980.65"/>
    <n v="1127.5516987179487"/>
    <m/>
    <d v="2026-07-17T00:00:00"/>
    <n v="29"/>
    <x v="1076"/>
    <x v="0"/>
  </r>
  <r>
    <x v="33"/>
    <x v="310"/>
    <s v="Sal a granel"/>
    <s v="Total"/>
    <x v="1"/>
    <x v="0"/>
    <x v="1"/>
    <x v="0"/>
    <n v="1040244.45"/>
    <n v="1040244.45"/>
    <n v="666.82336538461539"/>
    <m/>
    <d v="2026-04-19T00:00:00"/>
    <n v="17"/>
    <x v="1077"/>
    <x v="0"/>
  </r>
  <r>
    <x v="33"/>
    <x v="310"/>
    <s v="Sal a granel"/>
    <s v="Total"/>
    <x v="1"/>
    <x v="0"/>
    <x v="1"/>
    <x v="0"/>
    <n v="1040244.45"/>
    <n v="1040244.45"/>
    <n v="666.82336538461539"/>
    <m/>
    <d v="2026-05-19T00:00:00"/>
    <n v="21"/>
    <x v="1077"/>
    <x v="0"/>
  </r>
  <r>
    <x v="33"/>
    <x v="310"/>
    <s v="Sal a granel"/>
    <s v="Total"/>
    <x v="1"/>
    <x v="0"/>
    <x v="1"/>
    <x v="0"/>
    <n v="1040244.45"/>
    <n v="1040244.45"/>
    <n v="666.82336538461539"/>
    <m/>
    <d v="2026-06-19T00:00:00"/>
    <n v="25"/>
    <x v="1077"/>
    <x v="0"/>
  </r>
  <r>
    <x v="33"/>
    <x v="310"/>
    <s v="Sal a granel"/>
    <s v="Total"/>
    <x v="1"/>
    <x v="0"/>
    <x v="1"/>
    <x v="0"/>
    <n v="1040244.45"/>
    <n v="1040244.45"/>
    <n v="666.82336538461539"/>
    <m/>
    <d v="2026-07-19T00:00:00"/>
    <n v="30"/>
    <x v="1077"/>
    <x v="0"/>
  </r>
  <r>
    <x v="33"/>
    <x v="310"/>
    <s v="Sal a granel"/>
    <s v="Total"/>
    <x v="1"/>
    <x v="0"/>
    <x v="1"/>
    <x v="0"/>
    <n v="69932.399999999994"/>
    <n v="69932.399999999994"/>
    <n v="44.828461538461532"/>
    <s v="Retenciones"/>
    <m/>
    <s v="12"/>
    <x v="1077"/>
    <x v="0"/>
  </r>
  <r>
    <x v="24"/>
    <x v="310"/>
    <s v="Insumos Campaña 2026"/>
    <s v="Total"/>
    <x v="1"/>
    <x v="0"/>
    <x v="1"/>
    <x v="0"/>
    <n v="3218191.37"/>
    <n v="3218191.37"/>
    <n v="2062.9431858974358"/>
    <m/>
    <d v="2026-04-30T00:00:00"/>
    <n v="18"/>
    <x v="1078"/>
    <x v="0"/>
  </r>
  <r>
    <x v="24"/>
    <x v="310"/>
    <s v="Insumos Campaña 2026"/>
    <s v="Total"/>
    <x v="1"/>
    <x v="0"/>
    <x v="1"/>
    <x v="0"/>
    <n v="3218191.37"/>
    <n v="3218191.37"/>
    <n v="2062.9431858974358"/>
    <m/>
    <d v="2026-05-31T00:00:00"/>
    <n v="23"/>
    <x v="1078"/>
    <x v="0"/>
  </r>
  <r>
    <x v="24"/>
    <x v="310"/>
    <s v="Insumos Campaña 2026"/>
    <s v="Total"/>
    <x v="1"/>
    <x v="0"/>
    <x v="1"/>
    <x v="0"/>
    <n v="3218191.37"/>
    <n v="3218191.37"/>
    <n v="2062.9431858974358"/>
    <m/>
    <d v="2026-06-30T00:00:00"/>
    <n v="27"/>
    <x v="1078"/>
    <x v="0"/>
  </r>
  <r>
    <x v="24"/>
    <x v="310"/>
    <s v="Insumos Campaña 2026"/>
    <s v="Total"/>
    <x v="1"/>
    <x v="0"/>
    <x v="1"/>
    <x v="0"/>
    <n v="3218191.39"/>
    <n v="3218191.39"/>
    <n v="2062.9431987179487"/>
    <m/>
    <d v="2026-07-31T00:00:00"/>
    <n v="31"/>
    <x v="1078"/>
    <x v="0"/>
  </r>
  <r>
    <x v="24"/>
    <x v="310"/>
    <s v="Insumos Campaña 2026"/>
    <s v="Total"/>
    <x v="1"/>
    <x v="0"/>
    <x v="1"/>
    <x v="0"/>
    <n v="216349"/>
    <n v="216349"/>
    <n v="138.68525641025641"/>
    <s v="Retenciones"/>
    <m/>
    <s v="14"/>
    <x v="1078"/>
    <x v="0"/>
  </r>
  <r>
    <x v="20"/>
    <x v="310"/>
    <s v="Equipos de sal"/>
    <s v="Total"/>
    <x v="1"/>
    <x v="0"/>
    <x v="1"/>
    <x v="0"/>
    <n v="3385497.85"/>
    <n v="3385497.85"/>
    <n v="2170.1909294871793"/>
    <m/>
    <d v="2026-05-09T00:00:00"/>
    <n v="19"/>
    <x v="1079"/>
    <x v="0"/>
  </r>
  <r>
    <x v="20"/>
    <x v="310"/>
    <s v="Equipos de sal"/>
    <s v="Total"/>
    <x v="1"/>
    <x v="0"/>
    <x v="1"/>
    <x v="0"/>
    <n v="3385497.85"/>
    <n v="3385497.85"/>
    <n v="2170.1909294871793"/>
    <m/>
    <d v="2026-06-09T00:00:00"/>
    <n v="24"/>
    <x v="1079"/>
    <x v="0"/>
  </r>
  <r>
    <x v="20"/>
    <x v="310"/>
    <s v="Equipos de sal"/>
    <s v="Total"/>
    <x v="1"/>
    <x v="0"/>
    <x v="1"/>
    <x v="0"/>
    <n v="3385497.85"/>
    <n v="3385497.85"/>
    <n v="2170.1909294871793"/>
    <m/>
    <d v="2026-07-09T00:00:00"/>
    <n v="28"/>
    <x v="1079"/>
    <x v="0"/>
  </r>
  <r>
    <x v="20"/>
    <x v="310"/>
    <s v="Equipos de sal"/>
    <s v="Total"/>
    <x v="1"/>
    <x v="0"/>
    <x v="1"/>
    <x v="0"/>
    <n v="3385497.85"/>
    <n v="3385497.85"/>
    <n v="2170.1909294871793"/>
    <m/>
    <d v="2026-08-09T00:00:00"/>
    <n v="33"/>
    <x v="1079"/>
    <x v="0"/>
  </r>
  <r>
    <x v="20"/>
    <x v="310"/>
    <s v="Equipos de sal"/>
    <s v="Total"/>
    <x v="1"/>
    <x v="0"/>
    <x v="1"/>
    <x v="0"/>
    <n v="223041.2"/>
    <n v="223041.2"/>
    <n v="142.97512820512821"/>
    <s v="Retenciones"/>
    <m/>
    <s v="15"/>
    <x v="1079"/>
    <x v="0"/>
  </r>
  <r>
    <x v="57"/>
    <x v="310"/>
    <s v="Equipo de sal"/>
    <s v="Total"/>
    <x v="1"/>
    <x v="0"/>
    <x v="1"/>
    <x v="0"/>
    <n v="2239499.67"/>
    <n v="2239499.67"/>
    <n v="1435.5767115384615"/>
    <m/>
    <d v="2026-05-14T00:00:00"/>
    <n v="20"/>
    <x v="1080"/>
    <x v="0"/>
  </r>
  <r>
    <x v="57"/>
    <x v="310"/>
    <s v="Equipo de sal"/>
    <s v="Total"/>
    <x v="1"/>
    <x v="0"/>
    <x v="1"/>
    <x v="0"/>
    <n v="2239499.67"/>
    <n v="2239499.67"/>
    <n v="1435.5767115384615"/>
    <m/>
    <d v="2026-06-14T00:00:00"/>
    <n v="25"/>
    <x v="1080"/>
    <x v="0"/>
  </r>
  <r>
    <x v="57"/>
    <x v="310"/>
    <s v="Equipo de sal"/>
    <s v="Total"/>
    <x v="1"/>
    <x v="0"/>
    <x v="1"/>
    <x v="0"/>
    <n v="2239499.67"/>
    <n v="2239499.67"/>
    <n v="1435.5767115384615"/>
    <m/>
    <d v="2026-07-14T00:00:00"/>
    <n v="29"/>
    <x v="1080"/>
    <x v="0"/>
  </r>
  <r>
    <x v="57"/>
    <x v="310"/>
    <s v="Equipo de sal"/>
    <s v="Total"/>
    <x v="1"/>
    <x v="0"/>
    <x v="1"/>
    <x v="0"/>
    <n v="2239499.69"/>
    <n v="2239499.69"/>
    <n v="1435.5767243589744"/>
    <m/>
    <d v="2026-08-14T00:00:00"/>
    <n v="33"/>
    <x v="1080"/>
    <x v="0"/>
  </r>
  <r>
    <x v="57"/>
    <x v="310"/>
    <s v="Equipo de sal"/>
    <s v="Total"/>
    <x v="1"/>
    <x v="0"/>
    <x v="1"/>
    <x v="0"/>
    <n v="150554.6"/>
    <n v="150554.6"/>
    <n v="96.509358974358975"/>
    <s v="Retenciones"/>
    <m/>
    <s v="16"/>
    <x v="1080"/>
    <x v="0"/>
  </r>
  <r>
    <x v="57"/>
    <x v="310"/>
    <s v="Equipo de sal"/>
    <s v="Total"/>
    <x v="1"/>
    <x v="0"/>
    <x v="1"/>
    <x v="0"/>
    <n v="1090376.17"/>
    <n v="1090376.17"/>
    <n v="698.9590833333333"/>
    <m/>
    <d v="2026-06-14T00:00:00"/>
    <n v="25"/>
    <x v="1081"/>
    <x v="0"/>
  </r>
  <r>
    <x v="57"/>
    <x v="310"/>
    <s v="Equipo de sal"/>
    <s v="Total"/>
    <x v="1"/>
    <x v="0"/>
    <x v="1"/>
    <x v="0"/>
    <n v="1090376.17"/>
    <n v="1090376.17"/>
    <n v="698.9590833333333"/>
    <m/>
    <d v="2026-05-14T00:00:00"/>
    <n v="20"/>
    <x v="1081"/>
    <x v="0"/>
  </r>
  <r>
    <x v="57"/>
    <x v="310"/>
    <s v="Equipo de sal"/>
    <s v="Total"/>
    <x v="1"/>
    <x v="0"/>
    <x v="1"/>
    <x v="0"/>
    <n v="1090376.17"/>
    <n v="1090376.17"/>
    <n v="698.9590833333333"/>
    <m/>
    <d v="2026-08-14T00:00:00"/>
    <n v="33"/>
    <x v="1081"/>
    <x v="0"/>
  </r>
  <r>
    <x v="57"/>
    <x v="310"/>
    <s v="Equipo de sal"/>
    <s v="Total"/>
    <x v="1"/>
    <x v="0"/>
    <x v="1"/>
    <x v="0"/>
    <n v="1090376.19"/>
    <n v="1090376.19"/>
    <n v="698.95909615384608"/>
    <m/>
    <d v="2026-07-14T00:00:00"/>
    <n v="29"/>
    <x v="1081"/>
    <x v="0"/>
  </r>
  <r>
    <x v="57"/>
    <x v="310"/>
    <s v="Equipo de sal"/>
    <s v="Total"/>
    <x v="1"/>
    <x v="0"/>
    <x v="1"/>
    <x v="0"/>
    <n v="73302.600000000006"/>
    <n v="73302.600000000006"/>
    <n v="46.988846153846154"/>
    <s v="Retenciones"/>
    <m/>
    <s v="16"/>
    <x v="1081"/>
    <x v="0"/>
  </r>
  <r>
    <x v="53"/>
    <x v="310"/>
    <s v="Equipos de sal"/>
    <s v="Total"/>
    <x v="1"/>
    <x v="0"/>
    <x v="1"/>
    <x v="0"/>
    <n v="215708.4"/>
    <n v="215708.4"/>
    <n v="138.27461538461537"/>
    <s v="Retenciones"/>
    <m/>
    <s v="17"/>
    <x v="1082"/>
    <x v="0"/>
  </r>
  <r>
    <x v="53"/>
    <x v="310"/>
    <s v="Equipos de sal"/>
    <s v="Total"/>
    <x v="1"/>
    <x v="0"/>
    <x v="1"/>
    <x v="0"/>
    <n v="3208662.45"/>
    <n v="3208662.45"/>
    <n v="2056.8349038461538"/>
    <m/>
    <d v="2026-08-21T00:00:00"/>
    <n v="34"/>
    <x v="1082"/>
    <x v="0"/>
  </r>
  <r>
    <x v="53"/>
    <x v="310"/>
    <s v="Equipos de sal"/>
    <s v="Total"/>
    <x v="1"/>
    <x v="0"/>
    <x v="1"/>
    <x v="0"/>
    <n v="3208662.45"/>
    <n v="3208662.45"/>
    <n v="2056.8349038461538"/>
    <m/>
    <d v="2026-07-21T00:00:00"/>
    <n v="30"/>
    <x v="1082"/>
    <x v="0"/>
  </r>
  <r>
    <x v="53"/>
    <x v="310"/>
    <s v="Equipos de sal"/>
    <s v="Total"/>
    <x v="1"/>
    <x v="0"/>
    <x v="1"/>
    <x v="0"/>
    <n v="3208662.45"/>
    <n v="3208662.45"/>
    <n v="2056.8349038461538"/>
    <m/>
    <d v="2026-06-21T00:00:00"/>
    <n v="26"/>
    <x v="1082"/>
    <x v="0"/>
  </r>
  <r>
    <x v="53"/>
    <x v="310"/>
    <s v="Equipos de sal"/>
    <s v="Total"/>
    <x v="1"/>
    <x v="0"/>
    <x v="1"/>
    <x v="0"/>
    <n v="3208662.45"/>
    <n v="3208662.45"/>
    <n v="2056.8349038461538"/>
    <m/>
    <d v="2026-05-21T00:00:00"/>
    <n v="21"/>
    <x v="1082"/>
    <x v="0"/>
  </r>
  <r>
    <x v="34"/>
    <x v="310"/>
    <s v="Equipos de sal"/>
    <s v="Total"/>
    <x v="0"/>
    <x v="0"/>
    <x v="1"/>
    <x v="0"/>
    <n v="1213200"/>
    <n v="1213200"/>
    <n v="777.69230769230774"/>
    <m/>
    <d v="2026-08-08T00:00:00"/>
    <n v="32"/>
    <x v="1083"/>
    <x v="0"/>
  </r>
  <r>
    <x v="34"/>
    <x v="310"/>
    <s v="Equipos de sal"/>
    <s v="Total"/>
    <x v="0"/>
    <x v="0"/>
    <x v="1"/>
    <x v="0"/>
    <n v="1214000"/>
    <n v="1214000"/>
    <n v="778.20512820512818"/>
    <m/>
    <d v="2026-07-31T00:00:00"/>
    <n v="31"/>
    <x v="1083"/>
    <x v="0"/>
  </r>
  <r>
    <x v="34"/>
    <x v="310"/>
    <s v="Equipos de sal"/>
    <s v="Total"/>
    <x v="0"/>
    <x v="0"/>
    <x v="1"/>
    <x v="0"/>
    <n v="1214000"/>
    <n v="1214000"/>
    <n v="778.20512820512818"/>
    <m/>
    <d v="2026-07-25T00:00:00"/>
    <n v="30"/>
    <x v="1083"/>
    <x v="0"/>
  </r>
  <r>
    <x v="34"/>
    <x v="310"/>
    <s v="Equipos de sal"/>
    <s v="Total"/>
    <x v="0"/>
    <x v="0"/>
    <x v="1"/>
    <x v="0"/>
    <n v="55705.120000000003"/>
    <n v="55705.120000000003"/>
    <n v="35.708410256410261"/>
    <s v="Retenciones"/>
    <m/>
    <s v="21"/>
    <x v="1083"/>
    <x v="0"/>
  </r>
  <r>
    <x v="64"/>
    <x v="310"/>
    <s v="Equipos de sal"/>
    <s v="Total"/>
    <x v="0"/>
    <x v="0"/>
    <x v="1"/>
    <x v="0"/>
    <n v="4000000"/>
    <n v="4000000"/>
    <n v="2564.102564102564"/>
    <m/>
    <d v="2026-06-27T00:00:00"/>
    <n v="26"/>
    <x v="1084"/>
    <x v="0"/>
  </r>
  <r>
    <x v="64"/>
    <x v="310"/>
    <s v="Equipos de sal"/>
    <s v="Total"/>
    <x v="0"/>
    <x v="0"/>
    <x v="1"/>
    <x v="0"/>
    <n v="4000000"/>
    <n v="4000000"/>
    <n v="2564.102564102564"/>
    <m/>
    <d v="2026-07-27T00:00:00"/>
    <n v="31"/>
    <x v="1084"/>
    <x v="0"/>
  </r>
  <r>
    <x v="64"/>
    <x v="310"/>
    <s v="Equipos de sal"/>
    <s v="Total"/>
    <x v="0"/>
    <x v="0"/>
    <x v="1"/>
    <x v="0"/>
    <n v="4000000"/>
    <n v="4000000"/>
    <n v="2564.102564102564"/>
    <m/>
    <d v="2026-08-27T00:00:00"/>
    <n v="35"/>
    <x v="1084"/>
    <x v="0"/>
  </r>
  <r>
    <x v="64"/>
    <x v="310"/>
    <s v="Equipos de sal"/>
    <s v="Total"/>
    <x v="0"/>
    <x v="0"/>
    <x v="1"/>
    <x v="0"/>
    <n v="3508452.2"/>
    <n v="3508452.2"/>
    <n v="2249.0078205128207"/>
    <m/>
    <d v="2026-09-27T00:00:00"/>
    <n v="40"/>
    <x v="1084"/>
    <x v="0"/>
  </r>
  <r>
    <x v="64"/>
    <x v="310"/>
    <s v="Equipos de sal"/>
    <s v="Total"/>
    <x v="0"/>
    <x v="0"/>
    <x v="1"/>
    <x v="0"/>
    <n v="261582.48"/>
    <n v="261582.48"/>
    <n v="167.68107692307694"/>
    <s v="Retenciones"/>
    <m/>
    <s v="22"/>
    <x v="1084"/>
    <x v="0"/>
  </r>
  <r>
    <x v="64"/>
    <x v="310"/>
    <s v="Reposición de cheque"/>
    <s v="Total"/>
    <x v="1"/>
    <x v="0"/>
    <x v="0"/>
    <x v="0"/>
    <n v="1370166"/>
    <n v="1370166"/>
    <n v="878.31153846153848"/>
    <m/>
    <m/>
    <s v="22"/>
    <x v="1085"/>
    <x v="0"/>
  </r>
  <r>
    <x v="42"/>
    <x v="310"/>
    <s v="Equipos de sal"/>
    <s v="Total"/>
    <x v="0"/>
    <x v="0"/>
    <x v="1"/>
    <x v="0"/>
    <n v="7228369"/>
    <n v="7228369"/>
    <n v="4633.5698717948717"/>
    <m/>
    <d v="2026-07-11T00:00:00"/>
    <n v="28"/>
    <x v="1086"/>
    <x v="0"/>
  </r>
  <r>
    <x v="42"/>
    <x v="310"/>
    <s v="Equipos de sal"/>
    <s v="Total"/>
    <x v="0"/>
    <x v="0"/>
    <x v="1"/>
    <x v="0"/>
    <n v="114997.17"/>
    <n v="114997.17"/>
    <n v="73.716134615384618"/>
    <m/>
    <m/>
    <s v="24"/>
    <x v="1086"/>
    <x v="0"/>
  </r>
  <r>
    <x v="35"/>
    <x v="310"/>
    <s v="Reposición de chueque sin fondos"/>
    <s v="Total"/>
    <x v="1"/>
    <x v="0"/>
    <x v="0"/>
    <x v="0"/>
    <n v="4324632.55"/>
    <n v="4324632.55"/>
    <n v="2772.2003525641026"/>
    <m/>
    <m/>
    <s v="27"/>
    <x v="1087"/>
    <x v="0"/>
  </r>
  <r>
    <x v="66"/>
    <x v="310"/>
    <s v="Equipos de sal"/>
    <s v="Total"/>
    <x v="0"/>
    <x v="0"/>
    <x v="1"/>
    <x v="0"/>
    <n v="4700000"/>
    <n v="4700000"/>
    <n v="3012.8205128205127"/>
    <m/>
    <d v="2026-10-09T00:00:00"/>
    <n v="41"/>
    <x v="1088"/>
    <x v="0"/>
  </r>
  <r>
    <x v="66"/>
    <x v="310"/>
    <s v="Equipos de sal"/>
    <s v="Total"/>
    <x v="0"/>
    <x v="0"/>
    <x v="1"/>
    <x v="0"/>
    <n v="4700000"/>
    <n v="4700000"/>
    <n v="3012.8205128205127"/>
    <m/>
    <d v="2026-10-16T00:00:00"/>
    <n v="42"/>
    <x v="1088"/>
    <x v="0"/>
  </r>
  <r>
    <x v="66"/>
    <x v="310"/>
    <s v="Equipos de sal"/>
    <s v="Total"/>
    <x v="0"/>
    <x v="0"/>
    <x v="1"/>
    <x v="0"/>
    <n v="4700000"/>
    <n v="4700000"/>
    <n v="3012.8205128205127"/>
    <m/>
    <d v="2026-10-23T00:00:00"/>
    <n v="43"/>
    <x v="1088"/>
    <x v="0"/>
  </r>
  <r>
    <x v="66"/>
    <x v="310"/>
    <s v="Equipos de sal"/>
    <s v="Total"/>
    <x v="0"/>
    <x v="0"/>
    <x v="1"/>
    <x v="0"/>
    <n v="4700000"/>
    <n v="4700000"/>
    <n v="3012.8205128205127"/>
    <m/>
    <d v="2026-08-30T00:00:00"/>
    <n v="36"/>
    <x v="1088"/>
    <x v="0"/>
  </r>
  <r>
    <x v="66"/>
    <x v="310"/>
    <s v="Equipos de sal"/>
    <s v="Total"/>
    <x v="0"/>
    <x v="0"/>
    <x v="1"/>
    <x v="0"/>
    <n v="4438280.78"/>
    <n v="4438280.78"/>
    <n v="2845.0517820512823"/>
    <m/>
    <d v="2026-11-06T00:00:00"/>
    <n v="45"/>
    <x v="1088"/>
    <x v="0"/>
  </r>
  <r>
    <x v="66"/>
    <x v="310"/>
    <s v="Equipos de sal"/>
    <s v="Total"/>
    <x v="0"/>
    <x v="0"/>
    <x v="1"/>
    <x v="0"/>
    <n v="386004.05"/>
    <n v="386004.05"/>
    <n v="247.43849358974359"/>
    <s v="Retenciones"/>
    <m/>
    <s v="34"/>
    <x v="1088"/>
    <x v="0"/>
  </r>
  <r>
    <x v="16"/>
    <x v="311"/>
    <s v="Cheuques rechasados"/>
    <s v="Total"/>
    <x v="0"/>
    <x v="0"/>
    <x v="1"/>
    <x v="0"/>
    <n v="2208874.86"/>
    <n v="2208874.86"/>
    <n v="1415.9454230769229"/>
    <m/>
    <d v="2026-12-21T00:00:00"/>
    <n v="52"/>
    <x v="1089"/>
    <x v="0"/>
  </r>
  <r>
    <x v="16"/>
    <x v="311"/>
    <s v="Cheuques rechasados"/>
    <s v="Total"/>
    <x v="0"/>
    <x v="0"/>
    <x v="1"/>
    <x v="0"/>
    <n v="2400000"/>
    <n v="2400000"/>
    <n v="1538.4615384615386"/>
    <m/>
    <d v="2026-12-16T00:00:00"/>
    <n v="51"/>
    <x v="1089"/>
    <x v="0"/>
  </r>
  <r>
    <x v="16"/>
    <x v="311"/>
    <s v="Cheuques rechasados"/>
    <s v="Total"/>
    <x v="0"/>
    <x v="0"/>
    <x v="1"/>
    <x v="0"/>
    <n v="2400000"/>
    <n v="2400000"/>
    <n v="1538.4615384615386"/>
    <m/>
    <d v="2026-12-18T00:00:00"/>
    <n v="51"/>
    <x v="1089"/>
    <x v="0"/>
  </r>
  <r>
    <x v="16"/>
    <x v="311"/>
    <s v="Cheuques rechasados"/>
    <s v="Total"/>
    <x v="0"/>
    <x v="0"/>
    <x v="1"/>
    <x v="0"/>
    <n v="835099.89"/>
    <n v="835099.89"/>
    <n v="535.32044230769236"/>
    <m/>
    <m/>
    <s v="43"/>
    <x v="1089"/>
    <x v="0"/>
  </r>
  <r>
    <x v="16"/>
    <x v="311"/>
    <s v="Pago Cheque rechazado 499"/>
    <s v="Total"/>
    <x v="0"/>
    <x v="0"/>
    <x v="1"/>
    <x v="0"/>
    <n v="2208874.86"/>
    <n v="2208874.86"/>
    <n v="1415.9454230769229"/>
    <m/>
    <m/>
    <s v="43"/>
    <x v="1089"/>
    <x v="0"/>
  </r>
  <r>
    <x v="16"/>
    <x v="311"/>
    <s v="Pago Cheque rechazado 499"/>
    <s v="Total"/>
    <x v="0"/>
    <x v="0"/>
    <x v="1"/>
    <x v="0"/>
    <n v="2400000"/>
    <n v="2400000"/>
    <n v="1538.4615384615386"/>
    <m/>
    <m/>
    <s v="43"/>
    <x v="1089"/>
    <x v="0"/>
  </r>
  <r>
    <x v="16"/>
    <x v="311"/>
    <s v="Pago Cheque rechazado 499"/>
    <s v="Total"/>
    <x v="0"/>
    <x v="0"/>
    <x v="1"/>
    <x v="0"/>
    <n v="2400000"/>
    <n v="2400000"/>
    <n v="1538.4615384615386"/>
    <m/>
    <m/>
    <s v="43"/>
    <x v="1089"/>
    <x v="0"/>
  </r>
  <r>
    <x v="16"/>
    <x v="311"/>
    <s v="Pago Cheque rechazado 499"/>
    <s v="Total"/>
    <x v="0"/>
    <x v="0"/>
    <x v="0"/>
    <x v="0"/>
    <n v="835099.89"/>
    <n v="835099.89"/>
    <n v="535.32044230769236"/>
    <m/>
    <m/>
    <s v="43"/>
    <x v="1089"/>
    <x v="0"/>
  </r>
  <r>
    <x v="38"/>
    <x v="312"/>
    <s v="Torta Selva Negra - Pedido casa LH"/>
    <s v="Total"/>
    <x v="2"/>
    <x v="1"/>
    <x v="2"/>
    <x v="0"/>
    <n v="41961.03"/>
    <n v="41961.03"/>
    <n v="26.898096153846154"/>
    <m/>
    <m/>
    <s v="32"/>
    <x v="1090"/>
    <x v="0"/>
  </r>
  <r>
    <x v="74"/>
    <x v="313"/>
    <s v="Abono internet Campana"/>
    <s v="Total"/>
    <x v="3"/>
    <x v="0"/>
    <x v="0"/>
    <x v="0"/>
    <n v="11804"/>
    <n v="11804"/>
    <n v="7.5666666666666664"/>
    <m/>
    <m/>
    <s v="03"/>
    <x v="1091"/>
    <x v="0"/>
  </r>
  <r>
    <x v="13"/>
    <x v="313"/>
    <m/>
    <s v="Total"/>
    <x v="3"/>
    <x v="0"/>
    <x v="0"/>
    <x v="0"/>
    <n v="13527"/>
    <n v="13527"/>
    <n v="8.671153846153846"/>
    <m/>
    <m/>
    <s v="07"/>
    <x v="1092"/>
    <x v="0"/>
  </r>
  <r>
    <x v="56"/>
    <x v="313"/>
    <s v="Servicio Internet - Campana"/>
    <s v="Total"/>
    <x v="3"/>
    <x v="0"/>
    <x v="0"/>
    <x v="0"/>
    <n v="13648"/>
    <n v="13648"/>
    <n v="8.7487179487179478"/>
    <m/>
    <m/>
    <s v="11"/>
    <x v="1093"/>
    <x v="0"/>
  </r>
  <r>
    <x v="57"/>
    <x v="313"/>
    <s v="Servicio internet campana"/>
    <s v="Total"/>
    <x v="3"/>
    <x v="0"/>
    <x v="0"/>
    <x v="0"/>
    <n v="13656"/>
    <n v="13656"/>
    <n v="8.7538461538461547"/>
    <m/>
    <m/>
    <s v="16"/>
    <x v="1094"/>
    <x v="0"/>
  </r>
  <r>
    <x v="12"/>
    <x v="313"/>
    <s v="Internet Campana"/>
    <s v="Total"/>
    <x v="3"/>
    <x v="0"/>
    <x v="0"/>
    <x v="0"/>
    <n v="14749"/>
    <n v="14749"/>
    <n v="9.4544871794871792"/>
    <m/>
    <m/>
    <s v="33"/>
    <x v="1095"/>
    <x v="0"/>
  </r>
  <r>
    <x v="12"/>
    <x v="313"/>
    <s v="Internet Campana"/>
    <s v="Total"/>
    <x v="3"/>
    <x v="0"/>
    <x v="0"/>
    <x v="0"/>
    <n v="14749"/>
    <n v="14749"/>
    <n v="9.4544871794871792"/>
    <m/>
    <m/>
    <s v="33"/>
    <x v="1096"/>
    <x v="0"/>
  </r>
  <r>
    <x v="12"/>
    <x v="313"/>
    <s v="Internet Campana"/>
    <s v="Total"/>
    <x v="3"/>
    <x v="0"/>
    <x v="0"/>
    <x v="0"/>
    <n v="14744"/>
    <n v="14744"/>
    <n v="9.4512820512820515"/>
    <m/>
    <m/>
    <s v="33"/>
    <x v="1097"/>
    <x v="0"/>
  </r>
  <r>
    <x v="3"/>
    <x v="269"/>
    <s v="Pedido de planta - Reparación de bines"/>
    <s v="Total"/>
    <x v="1"/>
    <x v="0"/>
    <x v="1"/>
    <x v="0"/>
    <n v="6160795.0700000003"/>
    <n v="6160795.0700000003"/>
    <n v="3949.2276089743591"/>
    <m/>
    <m/>
    <s v="44"/>
    <x v="0"/>
    <x v="1"/>
  </r>
  <r>
    <x v="68"/>
    <x v="314"/>
    <s v="Cubiertas 195/65/15 - Camioneta bordo"/>
    <s v="Parcial"/>
    <x v="1"/>
    <x v="0"/>
    <x v="1"/>
    <x v="0"/>
    <n v="380000"/>
    <n v="380000"/>
    <n v="243.58974358974359"/>
    <s v="CH 60 días"/>
    <d v="2025-08-03T00:00:00"/>
    <n v="32"/>
    <x v="0"/>
    <x v="0"/>
  </r>
  <r>
    <x v="75"/>
    <x v="315"/>
    <s v="Etiquetas vinos - Bodega"/>
    <s v="Total"/>
    <x v="1"/>
    <x v="0"/>
    <x v="1"/>
    <x v="0"/>
    <n v="2849687.32"/>
    <n v="2849687.32"/>
    <n v="1826.722641025641"/>
    <m/>
    <d v="2026-02-27T00:00:00"/>
    <n v="9"/>
    <x v="1098"/>
    <x v="0"/>
  </r>
  <r>
    <x v="75"/>
    <x v="315"/>
    <s v="Etiquetas vinos - Bodega"/>
    <s v="Total"/>
    <x v="1"/>
    <x v="0"/>
    <x v="1"/>
    <x v="0"/>
    <n v="946328.49"/>
    <n v="946328.49"/>
    <n v="606.62082692307695"/>
    <m/>
    <d v="2026-01-02T00:00:00"/>
    <n v="1"/>
    <x v="1098"/>
    <x v="0"/>
  </r>
  <r>
    <x v="75"/>
    <x v="315"/>
    <s v="Etiquetas vinos - Bodega"/>
    <s v="Total"/>
    <x v="1"/>
    <x v="0"/>
    <x v="1"/>
    <x v="0"/>
    <n v="2500000"/>
    <n v="2500000"/>
    <n v="1602.5641025641025"/>
    <m/>
    <d v="2026-01-31T00:00:00"/>
    <n v="5"/>
    <x v="1098"/>
    <x v="0"/>
  </r>
  <r>
    <x v="75"/>
    <x v="315"/>
    <s v="Etiquetas vinos - Bodega"/>
    <s v="Total"/>
    <x v="1"/>
    <x v="0"/>
    <x v="1"/>
    <x v="0"/>
    <n v="887436.69"/>
    <n v="887436.69"/>
    <n v="568.86967307692305"/>
    <m/>
    <d v="2026-02-02T00:00:00"/>
    <n v="6"/>
    <x v="1098"/>
    <x v="0"/>
  </r>
  <r>
    <x v="9"/>
    <x v="315"/>
    <s v="Etiquetas"/>
    <s v="Total"/>
    <x v="1"/>
    <x v="0"/>
    <x v="1"/>
    <x v="0"/>
    <n v="2500000"/>
    <n v="2500000"/>
    <n v="1602.5641025641025"/>
    <m/>
    <d v="2026-03-27T00:00:00"/>
    <n v="13"/>
    <x v="1099"/>
    <x v="0"/>
  </r>
  <r>
    <x v="3"/>
    <x v="273"/>
    <s v="Pimenton"/>
    <s v="Total"/>
    <x v="0"/>
    <x v="1"/>
    <x v="2"/>
    <x v="0"/>
    <n v="500000"/>
    <n v="500000"/>
    <n v="320.5128205128205"/>
    <m/>
    <m/>
    <s v="44"/>
    <x v="0"/>
    <x v="1"/>
  </r>
  <r>
    <x v="74"/>
    <x v="316"/>
    <s v="Soda Caustica - Insumo campaña"/>
    <s v="Total"/>
    <x v="1"/>
    <x v="0"/>
    <x v="1"/>
    <x v="0"/>
    <n v="15835445.060000001"/>
    <n v="15835445.060000001"/>
    <n v="10150.926320512821"/>
    <m/>
    <d v="2026-02-02T00:00:00"/>
    <n v="6"/>
    <x v="1100"/>
    <x v="0"/>
  </r>
  <r>
    <x v="74"/>
    <x v="316"/>
    <s v="Soda Caustica - Insumo campaña"/>
    <s v="Total"/>
    <x v="1"/>
    <x v="0"/>
    <x v="1"/>
    <x v="0"/>
    <n v="15000000"/>
    <n v="15000000"/>
    <n v="9615.3846153846152"/>
    <m/>
    <d v="2026-02-15T00:00:00"/>
    <n v="8"/>
    <x v="1100"/>
    <x v="0"/>
  </r>
  <r>
    <x v="47"/>
    <x v="317"/>
    <s v="Insumos Planta - Soda caustica p/ devolución SDM"/>
    <s v="Total"/>
    <x v="2"/>
    <x v="0"/>
    <x v="1"/>
    <x v="0"/>
    <n v="1634754.05"/>
    <n v="1634754.05"/>
    <n v="1047.9192628205128"/>
    <m/>
    <d v="2026-06-12T00:00:00"/>
    <n v="24"/>
    <x v="1101"/>
    <x v="0"/>
  </r>
  <r>
    <x v="47"/>
    <x v="317"/>
    <s v="Insumos Planta - Soda caustica p/ devolución SDM"/>
    <s v="Total"/>
    <x v="2"/>
    <x v="0"/>
    <x v="1"/>
    <x v="0"/>
    <n v="1634754.05"/>
    <n v="1634754.05"/>
    <n v="1047.9192628205128"/>
    <m/>
    <d v="2026-07-12T00:00:00"/>
    <n v="29"/>
    <x v="1101"/>
    <x v="0"/>
  </r>
  <r>
    <x v="47"/>
    <x v="317"/>
    <s v="Insumos Planta - Soda caustica p/ devolución SDM"/>
    <s v="Total"/>
    <x v="2"/>
    <x v="0"/>
    <x v="1"/>
    <x v="0"/>
    <n v="1634754.05"/>
    <n v="1634754.05"/>
    <n v="1047.9192628205128"/>
    <m/>
    <d v="2026-08-12T00:00:00"/>
    <n v="33"/>
    <x v="1101"/>
    <x v="0"/>
  </r>
  <r>
    <x v="47"/>
    <x v="317"/>
    <s v="Insumos Planta - Soda caustica p/ devolución SDM"/>
    <s v="Total"/>
    <x v="2"/>
    <x v="0"/>
    <x v="1"/>
    <x v="0"/>
    <n v="77869.279999999999"/>
    <n v="77869.279999999999"/>
    <n v="49.916205128205128"/>
    <s v="Retenciones"/>
    <m/>
    <s v="20"/>
    <x v="1101"/>
    <x v="0"/>
  </r>
  <r>
    <x v="34"/>
    <x v="317"/>
    <s v="Insumos campaña 2026"/>
    <s v="Total"/>
    <x v="0"/>
    <x v="0"/>
    <x v="1"/>
    <x v="0"/>
    <n v="300000"/>
    <n v="300000"/>
    <n v="192.30769230769232"/>
    <m/>
    <m/>
    <s v="21"/>
    <x v="1102"/>
    <x v="0"/>
  </r>
  <r>
    <x v="34"/>
    <x v="317"/>
    <s v="Insumos campaña 2026"/>
    <s v="Total"/>
    <x v="0"/>
    <x v="0"/>
    <x v="1"/>
    <x v="0"/>
    <n v="6974.98"/>
    <n v="6974.98"/>
    <n v="4.4711410256410256"/>
    <s v="Retenciones"/>
    <m/>
    <s v="21"/>
    <x v="1102"/>
    <x v="0"/>
  </r>
  <r>
    <x v="3"/>
    <x v="290"/>
    <s v="Campaña 2025"/>
    <s v="Total"/>
    <x v="7"/>
    <x v="0"/>
    <x v="1"/>
    <x v="1"/>
    <n v="0"/>
    <n v="0"/>
    <n v="0"/>
    <m/>
    <m/>
    <s v="44"/>
    <x v="0"/>
    <x v="1"/>
  </r>
  <r>
    <x v="5"/>
    <x v="318"/>
    <s v="Pedido de campo  "/>
    <s v="Total"/>
    <x v="1"/>
    <x v="0"/>
    <x v="0"/>
    <x v="0"/>
    <n v="45554.080000000002"/>
    <n v="45554.080000000002"/>
    <n v="29.201333333333334"/>
    <m/>
    <m/>
    <s v="34"/>
    <x v="1103"/>
    <x v="0"/>
  </r>
  <r>
    <x v="18"/>
    <x v="318"/>
    <s v="Insumos campo - Conectores"/>
    <s v="Total"/>
    <x v="1"/>
    <x v="0"/>
    <x v="1"/>
    <x v="0"/>
    <n v="300000"/>
    <n v="300000"/>
    <n v="192.30769230769232"/>
    <m/>
    <m/>
    <s v="39"/>
    <x v="1104"/>
    <x v="0"/>
  </r>
  <r>
    <x v="29"/>
    <x v="318"/>
    <s v="Insumos campo - Conectores"/>
    <s v="Total"/>
    <x v="1"/>
    <x v="0"/>
    <x v="1"/>
    <x v="0"/>
    <n v="270000"/>
    <n v="270000"/>
    <n v="173.07692307692307"/>
    <m/>
    <m/>
    <s v="42"/>
    <x v="1105"/>
    <x v="0"/>
  </r>
  <r>
    <x v="63"/>
    <x v="318"/>
    <s v="Pedido campo"/>
    <s v="Total"/>
    <x v="1"/>
    <x v="0"/>
    <x v="1"/>
    <x v="0"/>
    <n v="302439.88"/>
    <n v="302439.88"/>
    <n v="193.87171794871796"/>
    <m/>
    <d v="2025-11-25T00:00:00"/>
    <n v="48"/>
    <x v="1106"/>
    <x v="0"/>
  </r>
  <r>
    <x v="35"/>
    <x v="319"/>
    <s v="Pedido administración"/>
    <s v="Total"/>
    <x v="2"/>
    <x v="0"/>
    <x v="2"/>
    <x v="0"/>
    <n v="39509.919999999998"/>
    <n v="39509.919999999998"/>
    <n v="25.326871794871792"/>
    <m/>
    <m/>
    <s v="27"/>
    <x v="1107"/>
    <x v="0"/>
  </r>
  <r>
    <x v="52"/>
    <x v="320"/>
    <s v="Materiales reparacion casa Luciano H"/>
    <s v="Total"/>
    <x v="1"/>
    <x v="0"/>
    <x v="1"/>
    <x v="0"/>
    <n v="135720"/>
    <n v="135720"/>
    <n v="87"/>
    <m/>
    <d v="2025-10-24T00:00:00"/>
    <n v="43"/>
    <x v="1108"/>
    <x v="0"/>
  </r>
  <r>
    <x v="63"/>
    <x v="320"/>
    <s v="Materiales casa Luciano"/>
    <s v="Total"/>
    <x v="1"/>
    <x v="0"/>
    <x v="0"/>
    <x v="0"/>
    <n v="196588"/>
    <n v="196588"/>
    <n v="126.01794871794871"/>
    <m/>
    <m/>
    <s v="44"/>
    <x v="1109"/>
    <x v="0"/>
  </r>
  <r>
    <x v="10"/>
    <x v="320"/>
    <s v="Materiales planta de aceite"/>
    <s v="Total"/>
    <x v="0"/>
    <x v="0"/>
    <x v="0"/>
    <x v="0"/>
    <n v="593930.36"/>
    <n v="593930.36"/>
    <n v="380.72458974358972"/>
    <m/>
    <d v="2025-12-23T00:00:00"/>
    <n v="52"/>
    <x v="1110"/>
    <x v="0"/>
  </r>
  <r>
    <x v="4"/>
    <x v="320"/>
    <s v="Materiales Cava"/>
    <s v="Total"/>
    <x v="1"/>
    <x v="0"/>
    <x v="1"/>
    <x v="0"/>
    <n v="300500"/>
    <n v="300500"/>
    <n v="192.62820512820514"/>
    <m/>
    <d v="2025-12-27T00:00:00"/>
    <n v="52"/>
    <x v="1111"/>
    <x v="0"/>
  </r>
  <r>
    <x v="4"/>
    <x v="320"/>
    <s v="Materiales Cava"/>
    <s v="Total"/>
    <x v="1"/>
    <x v="0"/>
    <x v="1"/>
    <x v="0"/>
    <n v="980000"/>
    <n v="980000"/>
    <n v="628.20512820512818"/>
    <m/>
    <d v="2026-01-18T00:00:00"/>
    <n v="4"/>
    <x v="1112"/>
    <x v="0"/>
  </r>
  <r>
    <x v="4"/>
    <x v="320"/>
    <s v="Materiales Cava"/>
    <s v="Total"/>
    <x v="1"/>
    <x v="0"/>
    <x v="1"/>
    <x v="0"/>
    <n v="378300"/>
    <n v="378300"/>
    <n v="242.5"/>
    <m/>
    <d v="2025-12-27T00:00:00"/>
    <n v="52"/>
    <x v="1113"/>
    <x v="0"/>
  </r>
  <r>
    <x v="4"/>
    <x v="320"/>
    <s v="Materiales Cava"/>
    <s v="Total"/>
    <x v="0"/>
    <x v="0"/>
    <x v="0"/>
    <x v="0"/>
    <n v="110000"/>
    <n v="110000"/>
    <n v="70.512820512820511"/>
    <m/>
    <m/>
    <s v="51"/>
    <x v="1114"/>
    <x v="0"/>
  </r>
  <r>
    <x v="59"/>
    <x v="320"/>
    <s v="Materiales Cava"/>
    <s v="Total"/>
    <x v="1"/>
    <x v="0"/>
    <x v="1"/>
    <x v="0"/>
    <n v="492281.65"/>
    <n v="492281.65"/>
    <n v="315.56516025641025"/>
    <m/>
    <d v="2026-03-04T00:00:00"/>
    <n v="10"/>
    <x v="1115"/>
    <x v="0"/>
  </r>
  <r>
    <x v="59"/>
    <x v="320"/>
    <s v="Materiales Cava"/>
    <s v="Total"/>
    <x v="1"/>
    <x v="0"/>
    <x v="1"/>
    <x v="0"/>
    <n v="400641"/>
    <n v="400641"/>
    <n v="256.82115384615383"/>
    <m/>
    <m/>
    <s v="06"/>
    <x v="1116"/>
    <x v="0"/>
  </r>
  <r>
    <x v="32"/>
    <x v="320"/>
    <s v="Pedido materiales Cava"/>
    <s v="Total"/>
    <x v="1"/>
    <x v="0"/>
    <x v="1"/>
    <x v="0"/>
    <n v="167417"/>
    <n v="167417"/>
    <n v="107.31858974358974"/>
    <m/>
    <d v="2026-03-14T00:00:00"/>
    <n v="11"/>
    <x v="1117"/>
    <x v="0"/>
  </r>
  <r>
    <x v="16"/>
    <x v="320"/>
    <s v="Pedido Finca Lolita"/>
    <s v="Total"/>
    <x v="0"/>
    <x v="0"/>
    <x v="2"/>
    <x v="0"/>
    <n v="326389.75"/>
    <n v="326389.75"/>
    <n v="209.22419871794872"/>
    <m/>
    <m/>
    <s v="43"/>
    <x v="1118"/>
    <x v="0"/>
  </r>
  <r>
    <x v="16"/>
    <x v="320"/>
    <s v="Pedido Finca Lolita"/>
    <s v="Total"/>
    <x v="0"/>
    <x v="0"/>
    <x v="2"/>
    <x v="0"/>
    <n v="930.25"/>
    <n v="930.25"/>
    <n v="0.59631410256410255"/>
    <m/>
    <m/>
    <s v="43"/>
    <x v="1118"/>
    <x v="0"/>
  </r>
  <r>
    <x v="76"/>
    <x v="321"/>
    <s v="Pago saldo fruta"/>
    <s v="Total"/>
    <x v="1"/>
    <x v="1"/>
    <x v="1"/>
    <x v="0"/>
    <n v="3819860"/>
    <n v="3819860"/>
    <n v="2448.6282051282051"/>
    <m/>
    <m/>
    <s v="12"/>
    <x v="0"/>
    <x v="0"/>
  </r>
  <r>
    <x v="0"/>
    <x v="321"/>
    <s v="Fruta fresca 2025"/>
    <s v="Total"/>
    <x v="4"/>
    <x v="1"/>
    <x v="2"/>
    <x v="0"/>
    <n v="500000"/>
    <n v="500000"/>
    <n v="320.5128205128205"/>
    <m/>
    <m/>
    <s v="22"/>
    <x v="1119"/>
    <x v="0"/>
  </r>
  <r>
    <x v="67"/>
    <x v="321"/>
    <s v="Fruta fresca campaña 2025"/>
    <s v="Total"/>
    <x v="4"/>
    <x v="1"/>
    <x v="2"/>
    <x v="0"/>
    <n v="500000"/>
    <n v="500000"/>
    <n v="320.5128205128205"/>
    <m/>
    <m/>
    <s v="24"/>
    <x v="0"/>
    <x v="0"/>
  </r>
  <r>
    <x v="17"/>
    <x v="321"/>
    <s v="Fruta Fresca"/>
    <s v="Total"/>
    <x v="4"/>
    <x v="1"/>
    <x v="2"/>
    <x v="0"/>
    <n v="500000"/>
    <n v="500000"/>
    <n v="320.5128205128205"/>
    <m/>
    <m/>
    <s v="26"/>
    <x v="1120"/>
    <x v="0"/>
  </r>
  <r>
    <x v="25"/>
    <x v="321"/>
    <s v="Fruta fresca  "/>
    <s v="Total"/>
    <x v="4"/>
    <x v="1"/>
    <x v="2"/>
    <x v="0"/>
    <n v="500000"/>
    <n v="500000"/>
    <n v="320.5128205128205"/>
    <m/>
    <m/>
    <s v="27"/>
    <x v="1121"/>
    <x v="0"/>
  </r>
  <r>
    <x v="21"/>
    <x v="321"/>
    <s v="Fruta fresca  "/>
    <s v="Total"/>
    <x v="4"/>
    <x v="1"/>
    <x v="2"/>
    <x v="0"/>
    <n v="500000"/>
    <n v="500000"/>
    <n v="320.5128205128205"/>
    <m/>
    <m/>
    <s v="28"/>
    <x v="1122"/>
    <x v="0"/>
  </r>
  <r>
    <x v="26"/>
    <x v="321"/>
    <s v="Fruta fresca  "/>
    <s v="Total"/>
    <x v="4"/>
    <x v="1"/>
    <x v="2"/>
    <x v="0"/>
    <n v="500000"/>
    <n v="500000"/>
    <n v="320.5128205128205"/>
    <m/>
    <m/>
    <s v="29"/>
    <x v="1123"/>
    <x v="0"/>
  </r>
  <r>
    <x v="27"/>
    <x v="321"/>
    <s v="Fruta Frersca campaña 2025"/>
    <s v="Total"/>
    <x v="4"/>
    <x v="1"/>
    <x v="2"/>
    <x v="0"/>
    <n v="1000000"/>
    <n v="1000000"/>
    <n v="641.02564102564099"/>
    <m/>
    <m/>
    <s v="35"/>
    <x v="34"/>
    <x v="0"/>
  </r>
  <r>
    <x v="40"/>
    <x v="322"/>
    <s v="Compra Macarena"/>
    <s v="Total"/>
    <x v="1"/>
    <x v="0"/>
    <x v="0"/>
    <x v="0"/>
    <n v="543630.92000000004"/>
    <n v="543630.92000000004"/>
    <n v="348.48135897435901"/>
    <m/>
    <m/>
    <s v="40"/>
    <x v="1124"/>
    <x v="0"/>
  </r>
  <r>
    <x v="40"/>
    <x v="322"/>
    <s v="Compra Macarena"/>
    <s v="Total"/>
    <x v="1"/>
    <x v="0"/>
    <x v="0"/>
    <x v="0"/>
    <n v="4581.43"/>
    <n v="4581.43"/>
    <n v="2.9368141025641026"/>
    <s v="Retenciones"/>
    <m/>
    <s v="40"/>
    <x v="1124"/>
    <x v="0"/>
  </r>
  <r>
    <x v="20"/>
    <x v="323"/>
    <s v="Bolsones Big Bag"/>
    <s v="Total"/>
    <x v="2"/>
    <x v="1"/>
    <x v="2"/>
    <x v="0"/>
    <n v="336000"/>
    <n v="336000"/>
    <n v="215.38461538461539"/>
    <m/>
    <m/>
    <s v="15"/>
    <x v="1125"/>
    <x v="0"/>
  </r>
  <r>
    <x v="35"/>
    <x v="324"/>
    <m/>
    <s v="Total"/>
    <x v="1"/>
    <x v="0"/>
    <x v="0"/>
    <x v="0"/>
    <n v="140000"/>
    <n v="140000"/>
    <n v="89.743589743589737"/>
    <m/>
    <m/>
    <s v="27"/>
    <x v="1126"/>
    <x v="0"/>
  </r>
  <r>
    <x v="3"/>
    <x v="297"/>
    <s v="Pozo finca 6"/>
    <s v="Total"/>
    <x v="0"/>
    <x v="0"/>
    <x v="1"/>
    <x v="1"/>
    <n v="67738.342610000007"/>
    <n v="105671814.47160001"/>
    <n v="67738.342610000007"/>
    <n v="67738.342606149337"/>
    <m/>
    <s v="44"/>
    <x v="0"/>
    <x v="2"/>
  </r>
  <r>
    <x v="2"/>
    <x v="325"/>
    <s v="Viaticos consultores"/>
    <s v="Total"/>
    <x v="3"/>
    <x v="0"/>
    <x v="0"/>
    <x v="0"/>
    <n v="54004.99"/>
    <n v="54004.99"/>
    <n v="34.618583333333333"/>
    <m/>
    <m/>
    <s v="32"/>
    <x v="0"/>
    <x v="0"/>
  </r>
  <r>
    <x v="19"/>
    <x v="326"/>
    <s v="Pozo 19 los cerrillos"/>
    <s v="Total"/>
    <x v="1"/>
    <x v="0"/>
    <x v="1"/>
    <x v="0"/>
    <n v="926247.49"/>
    <n v="926247.49"/>
    <n v="593.74839102564101"/>
    <m/>
    <d v="2026-01-09T00:00:00"/>
    <n v="2"/>
    <x v="1127"/>
    <x v="0"/>
  </r>
  <r>
    <x v="19"/>
    <x v="326"/>
    <s v="Pozo 19 los cerrillos"/>
    <s v="Total"/>
    <x v="1"/>
    <x v="0"/>
    <x v="1"/>
    <x v="0"/>
    <n v="836295.91"/>
    <n v="836295.91"/>
    <n v="536.08712179487179"/>
    <m/>
    <d v="2025-12-12T00:00:00"/>
    <n v="50"/>
    <x v="1127"/>
    <x v="0"/>
  </r>
  <r>
    <x v="40"/>
    <x v="326"/>
    <s v="Colocación bomba Pozo N°4"/>
    <s v="Total"/>
    <x v="0"/>
    <x v="0"/>
    <x v="1"/>
    <x v="0"/>
    <n v="980000"/>
    <n v="980000"/>
    <n v="628.20512820512818"/>
    <m/>
    <d v="2026-08-31T00:00:00"/>
    <n v="36"/>
    <x v="1128"/>
    <x v="0"/>
  </r>
  <r>
    <x v="40"/>
    <x v="326"/>
    <s v="Colocación bomba Pozo N°4"/>
    <s v="Total"/>
    <x v="0"/>
    <x v="0"/>
    <x v="1"/>
    <x v="0"/>
    <n v="14854.95"/>
    <n v="14854.95"/>
    <n v="9.5224038461538463"/>
    <s v="Retenciones"/>
    <m/>
    <s v="40"/>
    <x v="1128"/>
    <x v="0"/>
  </r>
  <r>
    <x v="69"/>
    <x v="327"/>
    <s v="Pedido planta - canilla con temporizador"/>
    <s v="Total"/>
    <x v="2"/>
    <x v="0"/>
    <x v="2"/>
    <x v="0"/>
    <n v="65000"/>
    <n v="65000"/>
    <n v="41.666666666666664"/>
    <m/>
    <m/>
    <s v="31"/>
    <x v="1129"/>
    <x v="0"/>
  </r>
  <r>
    <x v="5"/>
    <x v="327"/>
    <s v="Pedido Julio / planta / bodega"/>
    <s v="Total"/>
    <x v="2"/>
    <x v="0"/>
    <x v="2"/>
    <x v="0"/>
    <n v="42100"/>
    <n v="42100"/>
    <n v="26.987179487179485"/>
    <m/>
    <m/>
    <s v="34"/>
    <x v="1130"/>
    <x v="0"/>
  </r>
  <r>
    <x v="53"/>
    <x v="328"/>
    <s v="Pedido aAdministración "/>
    <s v="Total"/>
    <x v="2"/>
    <x v="0"/>
    <x v="2"/>
    <x v="0"/>
    <n v="54700.01"/>
    <n v="54700.01"/>
    <n v="35.064108974358973"/>
    <m/>
    <m/>
    <s v="17"/>
    <x v="1131"/>
    <x v="0"/>
  </r>
  <r>
    <x v="53"/>
    <x v="328"/>
    <s v="Pedido Casa Doctor"/>
    <s v="Total"/>
    <x v="2"/>
    <x v="0"/>
    <x v="2"/>
    <x v="0"/>
    <n v="13200.01"/>
    <n v="13200.01"/>
    <n v="8.4615448717948727"/>
    <m/>
    <m/>
    <s v="17"/>
    <x v="1132"/>
    <x v="0"/>
  </r>
  <r>
    <x v="34"/>
    <x v="328"/>
    <s v="Pedido Casa Doctor"/>
    <s v="Total"/>
    <x v="2"/>
    <x v="0"/>
    <x v="2"/>
    <x v="0"/>
    <n v="15750.02"/>
    <n v="15750.02"/>
    <n v="10.096166666666667"/>
    <m/>
    <m/>
    <s v="21"/>
    <x v="1133"/>
    <x v="0"/>
  </r>
  <r>
    <x v="47"/>
    <x v="328"/>
    <s v="Insumos administración"/>
    <s v="Total"/>
    <x v="2"/>
    <x v="0"/>
    <x v="2"/>
    <x v="0"/>
    <n v="19700"/>
    <n v="19700"/>
    <n v="12.628205128205128"/>
    <m/>
    <m/>
    <s v="20"/>
    <x v="1134"/>
    <x v="0"/>
  </r>
  <r>
    <x v="22"/>
    <x v="328"/>
    <s v="Gastos casa "/>
    <s v="Total"/>
    <x v="2"/>
    <x v="0"/>
    <x v="2"/>
    <x v="0"/>
    <n v="16000"/>
    <n v="16000"/>
    <n v="10.256410256410257"/>
    <m/>
    <m/>
    <s v="23"/>
    <x v="1135"/>
    <x v="0"/>
  </r>
  <r>
    <x v="22"/>
    <x v="328"/>
    <s v="Compra administración"/>
    <s v="Total"/>
    <x v="2"/>
    <x v="0"/>
    <x v="2"/>
    <x v="0"/>
    <n v="67300.02"/>
    <n v="67300.02"/>
    <n v="43.141038461538464"/>
    <m/>
    <m/>
    <s v="23"/>
    <x v="1136"/>
    <x v="0"/>
  </r>
  <r>
    <x v="42"/>
    <x v="328"/>
    <s v="Papel higienico"/>
    <s v="Total"/>
    <x v="2"/>
    <x v="0"/>
    <x v="2"/>
    <x v="0"/>
    <n v="14500.01"/>
    <n v="14500.01"/>
    <n v="9.2948782051282048"/>
    <m/>
    <m/>
    <s v="24"/>
    <x v="1137"/>
    <x v="0"/>
  </r>
  <r>
    <x v="45"/>
    <x v="328"/>
    <s v="Pedido Casa Doctor"/>
    <s v="Total"/>
    <x v="2"/>
    <x v="0"/>
    <x v="2"/>
    <x v="0"/>
    <n v="9599.99"/>
    <n v="9599.99"/>
    <n v="6.1538397435897432"/>
    <m/>
    <m/>
    <s v="25"/>
    <x v="1138"/>
    <x v="0"/>
  </r>
  <r>
    <x v="43"/>
    <x v="328"/>
    <s v="Pedido Casa Doctor"/>
    <s v="Total"/>
    <x v="2"/>
    <x v="0"/>
    <x v="2"/>
    <x v="0"/>
    <n v="6900.01"/>
    <n v="6900.01"/>
    <n v="4.4230833333333335"/>
    <m/>
    <m/>
    <s v="26"/>
    <x v="1139"/>
    <x v="0"/>
  </r>
  <r>
    <x v="35"/>
    <x v="328"/>
    <s v="Pedido de administración - planta - bodega"/>
    <s v="Total"/>
    <x v="2"/>
    <x v="0"/>
    <x v="2"/>
    <x v="0"/>
    <n v="70600"/>
    <n v="70600"/>
    <n v="45.256410256410255"/>
    <m/>
    <m/>
    <s v="27"/>
    <x v="1140"/>
    <x v="0"/>
  </r>
  <r>
    <x v="36"/>
    <x v="328"/>
    <s v="Pedido Casa Doctor"/>
    <s v="Total"/>
    <x v="2"/>
    <x v="0"/>
    <x v="2"/>
    <x v="0"/>
    <n v="26300.02"/>
    <n v="26300.02"/>
    <n v="16.85898717948718"/>
    <m/>
    <m/>
    <s v="28"/>
    <x v="1141"/>
    <x v="0"/>
  </r>
  <r>
    <x v="36"/>
    <x v="328"/>
    <s v="Pedido Casa Doctor"/>
    <s v="Total"/>
    <x v="2"/>
    <x v="0"/>
    <x v="2"/>
    <x v="0"/>
    <n v="44100.02"/>
    <n v="44100.02"/>
    <n v="28.269243589743589"/>
    <m/>
    <m/>
    <s v="28"/>
    <x v="1142"/>
    <x v="0"/>
  </r>
  <r>
    <x v="37"/>
    <x v="328"/>
    <s v="Pedido Administración"/>
    <s v="Total"/>
    <x v="2"/>
    <x v="0"/>
    <x v="2"/>
    <x v="0"/>
    <n v="49299.97"/>
    <n v="49299.97"/>
    <n v="31.602544871794873"/>
    <m/>
    <m/>
    <s v="29"/>
    <x v="1143"/>
    <x v="0"/>
  </r>
  <r>
    <x v="37"/>
    <x v="328"/>
    <s v="Pedido Casa Doctor"/>
    <s v="Total"/>
    <x v="2"/>
    <x v="0"/>
    <x v="2"/>
    <x v="0"/>
    <n v="14400"/>
    <n v="14400"/>
    <n v="9.2307692307692299"/>
    <m/>
    <m/>
    <s v="29"/>
    <x v="1144"/>
    <x v="0"/>
  </r>
  <r>
    <x v="58"/>
    <x v="328"/>
    <s v="Pedido Casa Doctor"/>
    <s v="Total"/>
    <x v="2"/>
    <x v="0"/>
    <x v="2"/>
    <x v="0"/>
    <n v="26499.99"/>
    <n v="26499.99"/>
    <n v="16.987173076923078"/>
    <m/>
    <m/>
    <s v="30"/>
    <x v="1145"/>
    <x v="0"/>
  </r>
  <r>
    <x v="38"/>
    <x v="328"/>
    <s v="Pedido Casa Doctor"/>
    <s v="Total"/>
    <x v="2"/>
    <x v="0"/>
    <x v="2"/>
    <x v="0"/>
    <n v="38800.01"/>
    <n v="38800.01"/>
    <n v="24.871801282051283"/>
    <m/>
    <m/>
    <s v="32"/>
    <x v="1146"/>
    <x v="0"/>
  </r>
  <r>
    <x v="38"/>
    <x v="328"/>
    <s v="Pedido Casa Doctor"/>
    <s v="Total"/>
    <x v="2"/>
    <x v="0"/>
    <x v="2"/>
    <x v="0"/>
    <n v="11600"/>
    <n v="11600"/>
    <n v="7.4358974358974361"/>
    <m/>
    <m/>
    <s v="32"/>
    <x v="1147"/>
    <x v="0"/>
  </r>
  <r>
    <x v="38"/>
    <x v="328"/>
    <s v="Pedido Casa Doctor"/>
    <s v="Total"/>
    <x v="2"/>
    <x v="0"/>
    <x v="2"/>
    <x v="0"/>
    <n v="6700"/>
    <n v="6700"/>
    <n v="4.2948717948717947"/>
    <m/>
    <m/>
    <s v="32"/>
    <x v="1148"/>
    <x v="0"/>
  </r>
  <r>
    <x v="38"/>
    <x v="328"/>
    <s v="Pedido Casa Doctor"/>
    <s v="Total"/>
    <x v="2"/>
    <x v="0"/>
    <x v="2"/>
    <x v="0"/>
    <n v="14000.01"/>
    <n v="14000.01"/>
    <n v="8.9743653846153855"/>
    <m/>
    <m/>
    <s v="32"/>
    <x v="1149"/>
    <x v="0"/>
  </r>
  <r>
    <x v="77"/>
    <x v="328"/>
    <s v="Pedido Casa Doctor"/>
    <s v="Total"/>
    <x v="2"/>
    <x v="0"/>
    <x v="2"/>
    <x v="0"/>
    <n v="24000"/>
    <n v="24000"/>
    <n v="15.384615384615385"/>
    <m/>
    <m/>
    <s v="35"/>
    <x v="1150"/>
    <x v="0"/>
  </r>
  <r>
    <x v="77"/>
    <x v="328"/>
    <s v="Administración"/>
    <s v="Total"/>
    <x v="2"/>
    <x v="0"/>
    <x v="2"/>
    <x v="0"/>
    <n v="18400"/>
    <n v="18400"/>
    <n v="11.794871794871796"/>
    <m/>
    <m/>
    <s v="35"/>
    <x v="1151"/>
    <x v="0"/>
  </r>
  <r>
    <x v="71"/>
    <x v="328"/>
    <s v="Pedido administración"/>
    <s v="Total"/>
    <x v="2"/>
    <x v="0"/>
    <x v="2"/>
    <x v="0"/>
    <n v="58099.99"/>
    <n v="58099.99"/>
    <n v="37.243583333333333"/>
    <m/>
    <m/>
    <s v="36"/>
    <x v="1152"/>
    <x v="0"/>
  </r>
  <r>
    <x v="71"/>
    <x v="328"/>
    <s v="Pedido Casa Doctor"/>
    <s v="Total"/>
    <x v="2"/>
    <x v="0"/>
    <x v="2"/>
    <x v="0"/>
    <n v="7200.01"/>
    <n v="7200.01"/>
    <n v="4.615391025641026"/>
    <m/>
    <m/>
    <s v="36"/>
    <x v="1153"/>
    <x v="0"/>
  </r>
  <r>
    <x v="11"/>
    <x v="328"/>
    <s v="Pedido Casa Doctor"/>
    <s v="Total"/>
    <x v="2"/>
    <x v="0"/>
    <x v="2"/>
    <x v="0"/>
    <n v="16299.99"/>
    <n v="16299.99"/>
    <n v="10.448711538461538"/>
    <m/>
    <m/>
    <s v="37"/>
    <x v="1154"/>
    <x v="0"/>
  </r>
  <r>
    <x v="11"/>
    <x v="328"/>
    <s v="Pedido administración"/>
    <s v="Total"/>
    <x v="2"/>
    <x v="0"/>
    <x v="2"/>
    <x v="0"/>
    <n v="148099.95000000001"/>
    <n v="148099.95000000001"/>
    <n v="94.935865384615397"/>
    <m/>
    <m/>
    <s v="37"/>
    <x v="1155"/>
    <x v="0"/>
  </r>
  <r>
    <x v="54"/>
    <x v="328"/>
    <s v="Pedido Casa Doctor"/>
    <s v="Total"/>
    <x v="2"/>
    <x v="0"/>
    <x v="2"/>
    <x v="0"/>
    <n v="4400"/>
    <n v="4400"/>
    <n v="2.8205128205128207"/>
    <m/>
    <m/>
    <s v="41"/>
    <x v="1156"/>
    <x v="0"/>
  </r>
  <r>
    <x v="54"/>
    <x v="328"/>
    <s v="Pedido Casa Doctor"/>
    <s v="Total"/>
    <x v="2"/>
    <x v="0"/>
    <x v="2"/>
    <x v="0"/>
    <n v="16299.99"/>
    <n v="16299.99"/>
    <n v="10.448711538461538"/>
    <m/>
    <m/>
    <s v="41"/>
    <x v="1157"/>
    <x v="0"/>
  </r>
  <r>
    <x v="40"/>
    <x v="329"/>
    <s v="Compra Macarena - Servicio Sommelier"/>
    <s v="Total"/>
    <x v="1"/>
    <x v="0"/>
    <x v="0"/>
    <x v="0"/>
    <n v="560000"/>
    <n v="560000"/>
    <n v="358.97435897435895"/>
    <m/>
    <m/>
    <s v="40"/>
    <x v="1158"/>
    <x v="0"/>
  </r>
  <r>
    <x v="76"/>
    <x v="330"/>
    <s v="Flete de fruta (aceitunas)"/>
    <s v="Total"/>
    <x v="1"/>
    <x v="0"/>
    <x v="0"/>
    <x v="0"/>
    <n v="1694000"/>
    <n v="1694000"/>
    <n v="1085.8974358974358"/>
    <s v="Saldo Transf. $1000000"/>
    <m/>
    <s v="12"/>
    <x v="1159"/>
    <x v="0"/>
  </r>
  <r>
    <x v="48"/>
    <x v="330"/>
    <s v="Flete de fruta (aceitunas) Factura 2-631"/>
    <s v="Total"/>
    <x v="1"/>
    <x v="0"/>
    <x v="1"/>
    <x v="0"/>
    <n v="2040000"/>
    <n v="2040000"/>
    <n v="1307.6923076923076"/>
    <s v="CH 7/15/30/45"/>
    <m/>
    <s v="16"/>
    <x v="1160"/>
    <x v="0"/>
  </r>
  <r>
    <x v="51"/>
    <x v="330"/>
    <s v="Flete Frutas frescas"/>
    <s v="Total"/>
    <x v="1"/>
    <x v="0"/>
    <x v="1"/>
    <x v="0"/>
    <n v="3847800"/>
    <n v="3847800"/>
    <n v="2466.5384615384614"/>
    <s v="CH 15/30/45 días"/>
    <m/>
    <s v="17"/>
    <x v="1161"/>
    <x v="0"/>
  </r>
  <r>
    <x v="37"/>
    <x v="331"/>
    <s v="Pedido para Botquin Planta"/>
    <s v="Total"/>
    <x v="2"/>
    <x v="0"/>
    <x v="2"/>
    <x v="0"/>
    <n v="2800"/>
    <n v="2800"/>
    <n v="1.7948717948717949"/>
    <m/>
    <m/>
    <s v="29"/>
    <x v="1162"/>
    <x v="0"/>
  </r>
  <r>
    <x v="37"/>
    <x v="331"/>
    <s v="Pedido para Botquin Planta"/>
    <s v="Total"/>
    <x v="2"/>
    <x v="0"/>
    <x v="2"/>
    <x v="0"/>
    <n v="23800"/>
    <n v="23800"/>
    <n v="15.256410256410257"/>
    <m/>
    <m/>
    <s v="29"/>
    <x v="1163"/>
    <x v="0"/>
  </r>
  <r>
    <x v="49"/>
    <x v="332"/>
    <s v="Construccion de mangueras hidraulicas / campo"/>
    <s v="Total"/>
    <x v="1"/>
    <x v="0"/>
    <x v="1"/>
    <x v="0"/>
    <n v="343007.17"/>
    <n v="343007.17"/>
    <n v="219.87639102564103"/>
    <s v="CH 20 días"/>
    <d v="2025-07-11T00:00:00"/>
    <n v="28"/>
    <x v="1164"/>
    <x v="0"/>
  </r>
  <r>
    <x v="51"/>
    <x v="332"/>
    <s v="Reparaciones Varias taller"/>
    <s v="Total"/>
    <x v="1"/>
    <x v="0"/>
    <x v="1"/>
    <x v="0"/>
    <n v="639890.35"/>
    <n v="639890.35"/>
    <n v="410.18612179487178"/>
    <s v="CH 20 dias"/>
    <m/>
    <s v="17"/>
    <x v="1165"/>
    <x v="0"/>
  </r>
  <r>
    <x v="5"/>
    <x v="332"/>
    <s v="Fabricación de mangueras varias"/>
    <s v="Total"/>
    <x v="1"/>
    <x v="0"/>
    <x v="1"/>
    <x v="0"/>
    <n v="474247.4"/>
    <n v="474247.4"/>
    <n v="304.00474358974361"/>
    <m/>
    <m/>
    <s v="34"/>
    <x v="1166"/>
    <x v="0"/>
  </r>
  <r>
    <x v="4"/>
    <x v="332"/>
    <s v="Reparaciones mangueras hidraulicas planta campo"/>
    <s v="Total"/>
    <x v="1"/>
    <x v="0"/>
    <x v="1"/>
    <x v="0"/>
    <n v="107630"/>
    <n v="107630"/>
    <n v="68.993589743589737"/>
    <m/>
    <d v="2025-12-19T00:00:00"/>
    <n v="51"/>
    <x v="1167"/>
    <x v="0"/>
  </r>
  <r>
    <x v="4"/>
    <x v="332"/>
    <s v="Reparaciones mangueras hidraulicas planta campo"/>
    <s v="Total"/>
    <x v="1"/>
    <x v="0"/>
    <x v="1"/>
    <x v="0"/>
    <n v="150000"/>
    <n v="150000"/>
    <n v="96.15384615384616"/>
    <m/>
    <d v="2025-01-02T00:00:00"/>
    <n v="1"/>
    <x v="1167"/>
    <x v="0"/>
  </r>
  <r>
    <x v="4"/>
    <x v="332"/>
    <s v="Reparaciones mangueras hidraulicas planta campo"/>
    <s v="Total"/>
    <x v="1"/>
    <x v="0"/>
    <x v="1"/>
    <x v="0"/>
    <n v="223424.67"/>
    <n v="223424.67"/>
    <n v="143.22094230769233"/>
    <m/>
    <d v="2025-12-16T00:00:00"/>
    <n v="51"/>
    <x v="1167"/>
    <x v="0"/>
  </r>
  <r>
    <x v="4"/>
    <x v="332"/>
    <s v="Reparaciones mangueras hidraulicas planta campo"/>
    <s v="Total"/>
    <x v="1"/>
    <x v="0"/>
    <x v="0"/>
    <x v="0"/>
    <n v="239699.66"/>
    <n v="239699.66"/>
    <n v="153.6536282051282"/>
    <m/>
    <m/>
    <s v="51"/>
    <x v="1167"/>
    <x v="0"/>
  </r>
  <r>
    <x v="41"/>
    <x v="332"/>
    <s v="Trabajos  varios - reparacion y fabricación mangueras hidraulicas"/>
    <s v="Total"/>
    <x v="1"/>
    <x v="0"/>
    <x v="1"/>
    <x v="0"/>
    <n v="1134701.78"/>
    <n v="1134701.78"/>
    <n v="727.37293589743592"/>
    <m/>
    <d v="2026-03-04T00:00:00"/>
    <n v="10"/>
    <x v="1168"/>
    <x v="0"/>
  </r>
  <r>
    <x v="73"/>
    <x v="332"/>
    <s v="Mangueras Hidraulicas Coe"/>
    <s v="Total"/>
    <x v="1"/>
    <x v="0"/>
    <x v="1"/>
    <x v="0"/>
    <n v="825197.12"/>
    <n v="825197.12"/>
    <n v="528.97251282051286"/>
    <m/>
    <d v="2026-03-26T00:00:00"/>
    <n v="13"/>
    <x v="1169"/>
    <x v="0"/>
  </r>
  <r>
    <x v="73"/>
    <x v="332"/>
    <s v="Mangueras Hidraulicas Coe"/>
    <s v="Total"/>
    <x v="1"/>
    <x v="0"/>
    <x v="1"/>
    <x v="0"/>
    <n v="1676765.97"/>
    <n v="825197.11"/>
    <n v="528.97250641025641"/>
    <m/>
    <d v="2026-04-06T00:00:00"/>
    <n v="15"/>
    <x v="1169"/>
    <x v="0"/>
  </r>
  <r>
    <x v="20"/>
    <x v="332"/>
    <s v="Trabajos varios"/>
    <s v="Total"/>
    <x v="1"/>
    <x v="0"/>
    <x v="1"/>
    <x v="0"/>
    <n v="799698.39"/>
    <n v="799698.39"/>
    <n v="512.6271730769231"/>
    <m/>
    <d v="2026-04-30T00:00:00"/>
    <n v="18"/>
    <x v="1170"/>
    <x v="0"/>
  </r>
  <r>
    <x v="20"/>
    <x v="332"/>
    <s v="Trabajos varios"/>
    <s v="Total"/>
    <x v="1"/>
    <x v="0"/>
    <x v="1"/>
    <x v="0"/>
    <n v="799698.39"/>
    <n v="799698.39"/>
    <n v="512.6271730769231"/>
    <m/>
    <d v="2026-05-10T00:00:00"/>
    <n v="20"/>
    <x v="1170"/>
    <x v="0"/>
  </r>
  <r>
    <x v="20"/>
    <x v="332"/>
    <s v="Trabajos varios"/>
    <s v="Total"/>
    <x v="1"/>
    <x v="0"/>
    <x v="1"/>
    <x v="0"/>
    <n v="25514.639999999999"/>
    <n v="25514.639999999999"/>
    <n v="16.355538461538462"/>
    <s v="Retenciones"/>
    <m/>
    <s v="15"/>
    <x v="1170"/>
    <x v="0"/>
  </r>
  <r>
    <x v="35"/>
    <x v="332"/>
    <s v="Reposición de chueque sin fondos"/>
    <s v="Total"/>
    <x v="1"/>
    <x v="0"/>
    <x v="0"/>
    <x v="0"/>
    <n v="1186719.71"/>
    <n v="1186719.71"/>
    <n v="760.7177628205128"/>
    <m/>
    <m/>
    <s v="27"/>
    <x v="1171"/>
    <x v="0"/>
  </r>
  <r>
    <x v="66"/>
    <x v="332"/>
    <s v="Construcción de mangueras hidraulicas - Campo / Planta"/>
    <s v="Total"/>
    <x v="1"/>
    <x v="0"/>
    <x v="1"/>
    <x v="0"/>
    <n v="675018.69"/>
    <n v="675018.69"/>
    <n v="432.70428846153845"/>
    <m/>
    <d v="2026-09-25T00:00:00"/>
    <n v="39"/>
    <x v="1172"/>
    <x v="0"/>
  </r>
  <r>
    <x v="66"/>
    <x v="332"/>
    <s v="Construcción de mangueras hidraulicas - Campo / Planta"/>
    <s v="Total"/>
    <x v="1"/>
    <x v="0"/>
    <x v="1"/>
    <x v="0"/>
    <n v="9813.93"/>
    <n v="9813.93"/>
    <n v="6.2909807692307691"/>
    <s v="Retenciones"/>
    <m/>
    <s v="34"/>
    <x v="1172"/>
    <x v="0"/>
  </r>
  <r>
    <x v="54"/>
    <x v="332"/>
    <s v="Construcción de mangueras hidraulicas - Campo / Planta"/>
    <s v="Total"/>
    <x v="0"/>
    <x v="0"/>
    <x v="1"/>
    <x v="0"/>
    <n v="430180.34"/>
    <n v="430180.34"/>
    <n v="275.75662820512821"/>
    <m/>
    <m/>
    <s v="41"/>
    <x v="1173"/>
    <x v="0"/>
  </r>
  <r>
    <x v="54"/>
    <x v="332"/>
    <s v="Construcción de mangueras hidraulicas - Campo / Planta"/>
    <s v="Total"/>
    <x v="0"/>
    <x v="0"/>
    <x v="1"/>
    <x v="0"/>
    <n v="176254.2"/>
    <n v="176254.2"/>
    <n v="112.98346153846154"/>
    <m/>
    <m/>
    <s v="41"/>
    <x v="1173"/>
    <x v="0"/>
  </r>
  <r>
    <x v="54"/>
    <x v="332"/>
    <s v="Construcción de mangueras hidraulicas - Campo / Planta"/>
    <s v="Total"/>
    <x v="0"/>
    <x v="0"/>
    <x v="1"/>
    <x v="0"/>
    <n v="14508.97"/>
    <n v="14508.97"/>
    <n v="9.3006217948717946"/>
    <m/>
    <m/>
    <s v="41"/>
    <x v="1173"/>
    <x v="0"/>
  </r>
  <r>
    <x v="3"/>
    <x v="308"/>
    <s v="Campaña 2025"/>
    <s v="Total"/>
    <x v="7"/>
    <x v="0"/>
    <x v="1"/>
    <x v="1"/>
    <n v="25354"/>
    <n v="39552240"/>
    <n v="25354"/>
    <m/>
    <m/>
    <s v="44"/>
    <x v="0"/>
    <x v="1"/>
  </r>
  <r>
    <x v="51"/>
    <x v="333"/>
    <s v="Flete Frutas frescas"/>
    <s v="Total"/>
    <x v="1"/>
    <x v="0"/>
    <x v="1"/>
    <x v="0"/>
    <n v="1515865"/>
    <n v="1515865"/>
    <n v="971.70833333333337"/>
    <s v="CH 15/30/45 días"/>
    <m/>
    <s v="17"/>
    <x v="1174"/>
    <x v="0"/>
  </r>
  <r>
    <x v="57"/>
    <x v="334"/>
    <s v="Flete aceituna 2026- - Chancalay Daniel"/>
    <s v="Total"/>
    <x v="1"/>
    <x v="0"/>
    <x v="1"/>
    <x v="0"/>
    <n v="9804480"/>
    <n v="9804480"/>
    <n v="6284.9230769230771"/>
    <m/>
    <d v="2026-05-06T00:00:00"/>
    <n v="19"/>
    <x v="1175"/>
    <x v="0"/>
  </r>
  <r>
    <x v="57"/>
    <x v="334"/>
    <s v="Flete aceituna 2026- - Chancalay Daniel"/>
    <s v="Total"/>
    <x v="1"/>
    <x v="0"/>
    <x v="1"/>
    <x v="0"/>
    <n v="195520"/>
    <n v="195520"/>
    <n v="125.33333333333333"/>
    <s v="Retenciones"/>
    <m/>
    <s v="16"/>
    <x v="1175"/>
    <x v="0"/>
  </r>
  <r>
    <x v="19"/>
    <x v="335"/>
    <s v="Combustilble"/>
    <s v="Total"/>
    <x v="1"/>
    <x v="0"/>
    <x v="1"/>
    <x v="0"/>
    <n v="509032.71"/>
    <n v="509032.71"/>
    <n v="326.30301923076922"/>
    <m/>
    <d v="2025-12-10T00:00:00"/>
    <n v="50"/>
    <x v="1176"/>
    <x v="0"/>
  </r>
  <r>
    <x v="19"/>
    <x v="335"/>
    <s v="Combustilble"/>
    <s v="Total"/>
    <x v="1"/>
    <x v="0"/>
    <x v="1"/>
    <x v="0"/>
    <n v="650000"/>
    <n v="650000"/>
    <n v="416.66666666666669"/>
    <m/>
    <d v="2025-12-09T00:00:00"/>
    <n v="50"/>
    <x v="1176"/>
    <x v="0"/>
  </r>
  <r>
    <x v="19"/>
    <x v="335"/>
    <s v="Combustilble"/>
    <s v="Total"/>
    <x v="1"/>
    <x v="0"/>
    <x v="1"/>
    <x v="0"/>
    <n v="2500000"/>
    <n v="2500000"/>
    <n v="1602.5641025641025"/>
    <m/>
    <d v="2025-12-13T00:00:00"/>
    <n v="50"/>
    <x v="1176"/>
    <x v="0"/>
  </r>
  <r>
    <x v="19"/>
    <x v="335"/>
    <s v="Garrafa x 10KG"/>
    <s v="Total"/>
    <x v="2"/>
    <x v="0"/>
    <x v="2"/>
    <x v="0"/>
    <n v="24000"/>
    <n v="24000"/>
    <n v="15.384615384615385"/>
    <m/>
    <m/>
    <s v="50"/>
    <x v="286"/>
    <x v="0"/>
  </r>
  <r>
    <x v="19"/>
    <x v="335"/>
    <s v="Gasoil Combi Kia - Antonio"/>
    <s v="Total"/>
    <x v="2"/>
    <x v="0"/>
    <x v="2"/>
    <x v="0"/>
    <n v="20000"/>
    <n v="20000"/>
    <n v="12.820512820512821"/>
    <m/>
    <m/>
    <s v="50"/>
    <x v="1177"/>
    <x v="0"/>
  </r>
  <r>
    <x v="50"/>
    <x v="335"/>
    <s v="Lubricantes"/>
    <s v="Total"/>
    <x v="1"/>
    <x v="0"/>
    <x v="1"/>
    <x v="0"/>
    <n v="593044.12"/>
    <n v="593044.12"/>
    <n v="380.15648717948716"/>
    <m/>
    <d v="2026-02-14T00:00:00"/>
    <n v="7"/>
    <x v="1178"/>
    <x v="0"/>
  </r>
  <r>
    <x v="50"/>
    <x v="335"/>
    <s v="Lubricantes"/>
    <s v="Total"/>
    <x v="1"/>
    <x v="0"/>
    <x v="1"/>
    <x v="0"/>
    <n v="672835.66"/>
    <n v="672835.66"/>
    <n v="431.30491025641027"/>
    <m/>
    <d v="2026-02-17T00:00:00"/>
    <n v="8"/>
    <x v="1178"/>
    <x v="0"/>
  </r>
  <r>
    <x v="50"/>
    <x v="335"/>
    <s v="Lubricantes"/>
    <s v="Total"/>
    <x v="1"/>
    <x v="0"/>
    <x v="1"/>
    <x v="0"/>
    <n v="672835.66"/>
    <n v="672835.66"/>
    <n v="431.30491025641027"/>
    <m/>
    <d v="2026-02-20T00:00:00"/>
    <n v="8"/>
    <x v="1178"/>
    <x v="0"/>
  </r>
  <r>
    <x v="41"/>
    <x v="335"/>
    <s v="Combustible"/>
    <s v="Total"/>
    <x v="1"/>
    <x v="0"/>
    <x v="1"/>
    <x v="0"/>
    <n v="2679260"/>
    <n v="2679260"/>
    <n v="1717.4743589743589"/>
    <m/>
    <d v="2026-03-11T00:00:00"/>
    <n v="11"/>
    <x v="1179"/>
    <x v="0"/>
  </r>
  <r>
    <x v="41"/>
    <x v="335"/>
    <s v="Combustible"/>
    <s v="Total"/>
    <x v="1"/>
    <x v="0"/>
    <x v="0"/>
    <x v="0"/>
    <n v="2679260"/>
    <n v="2679260"/>
    <n v="1717.4743589743589"/>
    <m/>
    <d v="2026-03-13T00:00:00"/>
    <n v="11"/>
    <x v="1179"/>
    <x v="0"/>
  </r>
  <r>
    <x v="56"/>
    <x v="335"/>
    <s v="Combustible"/>
    <s v="Total"/>
    <x v="1"/>
    <x v="0"/>
    <x v="0"/>
    <x v="0"/>
    <n v="14448000"/>
    <n v="14448000"/>
    <n v="9261.538461538461"/>
    <m/>
    <m/>
    <s v="11"/>
    <x v="1180"/>
    <x v="0"/>
  </r>
  <r>
    <x v="56"/>
    <x v="335"/>
    <s v="Combustible / lubricantes"/>
    <s v="Total"/>
    <x v="1"/>
    <x v="0"/>
    <x v="1"/>
    <x v="0"/>
    <n v="7136533.6100000003"/>
    <n v="7136533.6100000003"/>
    <n v="4574.7010320512827"/>
    <m/>
    <d v="2026-02-28T00:00:00"/>
    <n v="9"/>
    <x v="1181"/>
    <x v="0"/>
  </r>
  <r>
    <x v="24"/>
    <x v="335"/>
    <s v="Deuda facturas "/>
    <s v="Total"/>
    <x v="1"/>
    <x v="0"/>
    <x v="1"/>
    <x v="0"/>
    <n v="4404623.6500000004"/>
    <n v="4404623.6500000004"/>
    <n v="2823.4766987179491"/>
    <m/>
    <d v="2026-04-20T00:00:00"/>
    <n v="17"/>
    <x v="1182"/>
    <x v="0"/>
  </r>
  <r>
    <x v="24"/>
    <x v="335"/>
    <s v="Deuda facturas "/>
    <s v="Total"/>
    <x v="1"/>
    <x v="0"/>
    <x v="1"/>
    <x v="0"/>
    <n v="97376.35"/>
    <n v="97376.35"/>
    <n v="62.420737179487183"/>
    <s v="Retenciones"/>
    <m/>
    <s v="14"/>
    <x v="1182"/>
    <x v="0"/>
  </r>
  <r>
    <x v="66"/>
    <x v="335"/>
    <s v="Combustible campo"/>
    <s v="Total"/>
    <x v="1"/>
    <x v="0"/>
    <x v="0"/>
    <x v="0"/>
    <n v="5000000"/>
    <n v="5000000"/>
    <n v="3205.1282051282051"/>
    <m/>
    <m/>
    <s v="34"/>
    <x v="1183"/>
    <x v="0"/>
  </r>
  <r>
    <x v="16"/>
    <x v="335"/>
    <s v="Combustible campo"/>
    <s v="Total"/>
    <x v="1"/>
    <x v="0"/>
    <x v="0"/>
    <x v="0"/>
    <n v="6000000"/>
    <n v="6000000"/>
    <n v="3846.1538461538462"/>
    <s v="Agro Nacion"/>
    <m/>
    <s v="43"/>
    <x v="1184"/>
    <x v="0"/>
  </r>
  <r>
    <x v="64"/>
    <x v="336"/>
    <s v="Lubricante - Hidraulico 68 - XV300"/>
    <s v="Total"/>
    <x v="1"/>
    <x v="0"/>
    <x v="1"/>
    <x v="0"/>
    <n v="2994685.84"/>
    <n v="2994685.84"/>
    <n v="1919.6704102564102"/>
    <m/>
    <d v="2026-06-29T00:00:00"/>
    <n v="27"/>
    <x v="1185"/>
    <x v="0"/>
  </r>
  <r>
    <x v="64"/>
    <x v="336"/>
    <s v="Lubricante - Hidraulico 68 - XV300"/>
    <s v="Total"/>
    <x v="1"/>
    <x v="0"/>
    <x v="1"/>
    <x v="0"/>
    <n v="68714.16"/>
    <n v="68714.16"/>
    <n v="44.047538461538466"/>
    <s v="Retenciones"/>
    <m/>
    <s v="22"/>
    <x v="1185"/>
    <x v="0"/>
  </r>
  <r>
    <x v="39"/>
    <x v="336"/>
    <s v="Combustible Taller"/>
    <s v="Total"/>
    <x v="2"/>
    <x v="0"/>
    <x v="2"/>
    <x v="0"/>
    <n v="190000.06"/>
    <n v="190000.06"/>
    <n v="121.79491025641026"/>
    <m/>
    <m/>
    <s v="38"/>
    <x v="1186"/>
    <x v="0"/>
  </r>
  <r>
    <x v="72"/>
    <x v="336"/>
    <s v="Gasoil - Campo"/>
    <s v="Total"/>
    <x v="1"/>
    <x v="0"/>
    <x v="0"/>
    <x v="0"/>
    <n v="2285149.4300000002"/>
    <n v="2285149.4300000002"/>
    <n v="1464.8393782051282"/>
    <m/>
    <m/>
    <s v="39"/>
    <x v="1187"/>
    <x v="0"/>
  </r>
  <r>
    <x v="72"/>
    <x v="336"/>
    <s v="Gasoil - Campo"/>
    <s v="Total"/>
    <x v="1"/>
    <x v="0"/>
    <x v="0"/>
    <x v="0"/>
    <n v="33850.58"/>
    <n v="33850.58"/>
    <n v="21.699089743589745"/>
    <m/>
    <m/>
    <s v="39"/>
    <x v="1187"/>
    <x v="0"/>
  </r>
  <r>
    <x v="42"/>
    <x v="337"/>
    <s v="Combustible - Campo"/>
    <s v="Total"/>
    <x v="1"/>
    <x v="0"/>
    <x v="1"/>
    <x v="0"/>
    <n v="4651640"/>
    <n v="4651640"/>
    <n v="2981.8205128205127"/>
    <m/>
    <d v="2026-06-29T00:00:00"/>
    <n v="27"/>
    <x v="1188"/>
    <x v="0"/>
  </r>
  <r>
    <x v="42"/>
    <x v="337"/>
    <s v="Combustible - Campo"/>
    <s v="Total"/>
    <x v="1"/>
    <x v="0"/>
    <x v="1"/>
    <x v="0"/>
    <n v="90360"/>
    <n v="90360"/>
    <n v="57.92307692307692"/>
    <m/>
    <m/>
    <s v="|"/>
    <x v="1188"/>
    <x v="0"/>
  </r>
  <r>
    <x v="45"/>
    <x v="337"/>
    <s v="Compra combustible -  campo"/>
    <s v="Total"/>
    <x v="1"/>
    <x v="0"/>
    <x v="1"/>
    <x v="0"/>
    <n v="6970740"/>
    <n v="6970740"/>
    <n v="4468.4230769230771"/>
    <m/>
    <d v="2026-06-30T00:00:00"/>
    <n v="27"/>
    <x v="1189"/>
    <x v="0"/>
  </r>
  <r>
    <x v="45"/>
    <x v="337"/>
    <s v="Compra combustible -  campo"/>
    <s v="Total"/>
    <x v="1"/>
    <x v="0"/>
    <x v="1"/>
    <x v="0"/>
    <n v="142260"/>
    <n v="142260"/>
    <n v="91.192307692307693"/>
    <s v="Retenciones"/>
    <m/>
    <s v="25"/>
    <x v="1189"/>
    <x v="0"/>
  </r>
  <r>
    <x v="35"/>
    <x v="337"/>
    <s v="Reposición de chueque sin fondos"/>
    <s v="Total"/>
    <x v="1"/>
    <x v="0"/>
    <x v="0"/>
    <x v="0"/>
    <n v="93032.8"/>
    <n v="93032.8"/>
    <n v="59.636410256410258"/>
    <m/>
    <m/>
    <s v="27"/>
    <x v="1190"/>
    <x v="0"/>
  </r>
  <r>
    <x v="35"/>
    <x v="337"/>
    <s v="Reposición de chueque sin fondos"/>
    <s v="Total"/>
    <x v="1"/>
    <x v="0"/>
    <x v="0"/>
    <x v="0"/>
    <n v="4651640"/>
    <n v="4651640"/>
    <n v="2981.8205128205127"/>
    <m/>
    <m/>
    <s v="27"/>
    <x v="1191"/>
    <x v="0"/>
  </r>
  <r>
    <x v="35"/>
    <x v="337"/>
    <m/>
    <s v="Total"/>
    <x v="1"/>
    <x v="0"/>
    <x v="1"/>
    <x v="0"/>
    <n v="4000000"/>
    <n v="4000000"/>
    <n v="2564.102564102564"/>
    <m/>
    <d v="2026-06-23T00:00:00"/>
    <n v="26"/>
    <x v="1192"/>
    <x v="0"/>
  </r>
  <r>
    <x v="35"/>
    <x v="337"/>
    <m/>
    <s v="Total"/>
    <x v="1"/>
    <x v="0"/>
    <x v="1"/>
    <x v="0"/>
    <n v="80000"/>
    <n v="80000"/>
    <n v="51.282051282051285"/>
    <s v="Retenciones"/>
    <m/>
    <s v="27"/>
    <x v="1192"/>
    <x v="0"/>
  </r>
  <r>
    <x v="36"/>
    <x v="337"/>
    <s v="Combustible campo"/>
    <s v="Total"/>
    <x v="1"/>
    <x v="0"/>
    <x v="1"/>
    <x v="0"/>
    <n v="6973682.2699999996"/>
    <n v="6973682.2699999996"/>
    <n v="4470.3091474358971"/>
    <m/>
    <d v="2026-07-27T00:00:00"/>
    <n v="31"/>
    <x v="1193"/>
    <x v="0"/>
  </r>
  <r>
    <x v="36"/>
    <x v="337"/>
    <s v="Combustible campo"/>
    <s v="Total"/>
    <x v="1"/>
    <x v="0"/>
    <x v="1"/>
    <x v="0"/>
    <n v="139317.73000000001"/>
    <n v="139317.73000000001"/>
    <n v="89.306237179487184"/>
    <s v="Retenciones"/>
    <m/>
    <s v="28"/>
    <x v="1193"/>
    <x v="0"/>
  </r>
  <r>
    <x v="44"/>
    <x v="337"/>
    <s v="Combustible campo"/>
    <s v="Total"/>
    <x v="2"/>
    <x v="0"/>
    <x v="2"/>
    <x v="0"/>
    <n v="500000"/>
    <n v="500000"/>
    <n v="320.5128205128205"/>
    <m/>
    <m/>
    <s v="31"/>
    <x v="1194"/>
    <x v="0"/>
  </r>
  <r>
    <x v="44"/>
    <x v="337"/>
    <s v="Combustible campo"/>
    <s v="Total"/>
    <x v="2"/>
    <x v="0"/>
    <x v="2"/>
    <x v="0"/>
    <n v="11670.24"/>
    <n v="11670.24"/>
    <n v="7.4809230769230766"/>
    <s v="Retenciones"/>
    <m/>
    <s v="31"/>
    <x v="1194"/>
    <x v="0"/>
  </r>
  <r>
    <x v="38"/>
    <x v="337"/>
    <s v="Gasoil - Campo"/>
    <s v="Total"/>
    <x v="1"/>
    <x v="0"/>
    <x v="1"/>
    <x v="0"/>
    <n v="443526.2"/>
    <n v="443526.2"/>
    <n v="284.31166666666667"/>
    <m/>
    <d v="2026-08-20T00:00:00"/>
    <n v="34"/>
    <x v="1195"/>
    <x v="0"/>
  </r>
  <r>
    <x v="38"/>
    <x v="337"/>
    <s v="Gasoil - Campo"/>
    <s v="Total"/>
    <x v="1"/>
    <x v="0"/>
    <x v="1"/>
    <x v="0"/>
    <n v="1466400"/>
    <n v="1466400"/>
    <n v="940"/>
    <m/>
    <d v="2026-08-14T00:00:00"/>
    <n v="33"/>
    <x v="1195"/>
    <x v="0"/>
  </r>
  <r>
    <x v="38"/>
    <x v="337"/>
    <s v="Gasoil - Campo"/>
    <s v="Total"/>
    <x v="1"/>
    <x v="0"/>
    <x v="1"/>
    <x v="0"/>
    <n v="33718.519999999997"/>
    <n v="33718.519999999997"/>
    <n v="21.614435897435897"/>
    <s v="Retenciones"/>
    <m/>
    <s v="32"/>
    <x v="1195"/>
    <x v="0"/>
  </r>
  <r>
    <x v="38"/>
    <x v="337"/>
    <s v="Combstible - Campo"/>
    <s v="Total"/>
    <x v="1"/>
    <x v="1"/>
    <x v="1"/>
    <x v="0"/>
    <n v="120000"/>
    <n v="120000"/>
    <n v="76.92307692307692"/>
    <m/>
    <d v="2026-08-26T00:00:00"/>
    <n v="35"/>
    <x v="1196"/>
    <x v="0"/>
  </r>
  <r>
    <x v="38"/>
    <x v="337"/>
    <s v="Combstible - Campo"/>
    <s v="Total"/>
    <x v="1"/>
    <x v="1"/>
    <x v="1"/>
    <x v="0"/>
    <n v="120000"/>
    <n v="120000"/>
    <n v="76.92307692307692"/>
    <m/>
    <d v="2026-08-09T00:00:00"/>
    <n v="33"/>
    <x v="1196"/>
    <x v="0"/>
  </r>
  <r>
    <x v="12"/>
    <x v="337"/>
    <s v="Combustible"/>
    <s v="Total"/>
    <x v="1"/>
    <x v="0"/>
    <x v="1"/>
    <x v="0"/>
    <n v="1420930"/>
    <n v="1420930"/>
    <n v="910.85256410256409"/>
    <m/>
    <d v="2026-08-29T00:00:00"/>
    <n v="35"/>
    <x v="1197"/>
    <x v="0"/>
  </r>
  <r>
    <x v="12"/>
    <x v="337"/>
    <s v="Combustible"/>
    <s v="Total"/>
    <x v="1"/>
    <x v="0"/>
    <x v="1"/>
    <x v="0"/>
    <n v="2000000"/>
    <n v="2000000"/>
    <n v="1282.051282051282"/>
    <m/>
    <d v="2026-08-29T00:00:00"/>
    <n v="35"/>
    <x v="1197"/>
    <x v="0"/>
  </r>
  <r>
    <x v="12"/>
    <x v="337"/>
    <s v="Combustible"/>
    <s v="Total"/>
    <x v="1"/>
    <x v="0"/>
    <x v="1"/>
    <x v="0"/>
    <n v="68753.03"/>
    <n v="68753.03"/>
    <n v="44.072455128205128"/>
    <s v="Retenciones"/>
    <m/>
    <s v="33"/>
    <x v="1197"/>
    <x v="0"/>
  </r>
  <r>
    <x v="36"/>
    <x v="337"/>
    <s v="Combustible Camppo"/>
    <s v="Total"/>
    <x v="1"/>
    <x v="0"/>
    <x v="1"/>
    <x v="0"/>
    <n v="101430"/>
    <n v="101430"/>
    <n v="65.019230769230774"/>
    <m/>
    <d v="2026-09-26T00:00:00"/>
    <n v="39"/>
    <x v="1198"/>
    <x v="0"/>
  </r>
  <r>
    <x v="36"/>
    <x v="337"/>
    <s v="Combustible Camppo"/>
    <s v="Total"/>
    <x v="1"/>
    <x v="0"/>
    <x v="1"/>
    <x v="0"/>
    <n v="142260"/>
    <n v="142260"/>
    <n v="91.192307692307693"/>
    <m/>
    <d v="2026-09-23T00:00:00"/>
    <n v="39"/>
    <x v="1198"/>
    <x v="0"/>
  </r>
  <r>
    <x v="36"/>
    <x v="337"/>
    <s v="Combustible Camppo"/>
    <s v="Total"/>
    <x v="1"/>
    <x v="0"/>
    <x v="1"/>
    <x v="0"/>
    <n v="238180"/>
    <n v="238180"/>
    <n v="152.67948717948718"/>
    <m/>
    <d v="2026-09-25T00:00:00"/>
    <n v="39"/>
    <x v="1198"/>
    <x v="0"/>
  </r>
  <r>
    <x v="36"/>
    <x v="337"/>
    <s v="Combustible Camppo"/>
    <s v="Total"/>
    <x v="1"/>
    <x v="0"/>
    <x v="1"/>
    <x v="0"/>
    <n v="238180"/>
    <n v="238180"/>
    <n v="152.67948717948718"/>
    <m/>
    <d v="2026-09-27T00:00:00"/>
    <n v="40"/>
    <x v="1198"/>
    <x v="0"/>
  </r>
  <r>
    <x v="36"/>
    <x v="337"/>
    <s v="Combustible Camppo"/>
    <s v="Total"/>
    <x v="1"/>
    <x v="0"/>
    <x v="1"/>
    <x v="0"/>
    <n v="9921"/>
    <n v="9921"/>
    <n v="6.3596153846153847"/>
    <s v="Retenciones"/>
    <m/>
    <s v="28"/>
    <x v="1198"/>
    <x v="0"/>
  </r>
  <r>
    <x v="1"/>
    <x v="338"/>
    <s v="Cuota Camioneta - Abril / Mayo"/>
    <s v="Total"/>
    <x v="1"/>
    <x v="0"/>
    <x v="0"/>
    <x v="0"/>
    <n v="615000"/>
    <n v="615000"/>
    <n v="394.23076923076923"/>
    <m/>
    <m/>
    <s v="21"/>
    <x v="0"/>
    <x v="0"/>
  </r>
  <r>
    <x v="1"/>
    <x v="339"/>
    <s v="Calzado"/>
    <s v="Total"/>
    <x v="1"/>
    <x v="0"/>
    <x v="1"/>
    <x v="0"/>
    <n v="4229011.71"/>
    <n v="4229011.71"/>
    <n v="2710.9049423076922"/>
    <s v="CH 30/45 días"/>
    <m/>
    <s v="21"/>
    <x v="0"/>
    <x v="0"/>
  </r>
  <r>
    <x v="8"/>
    <x v="339"/>
    <s v="Camperas - Campo"/>
    <s v="Total"/>
    <x v="1"/>
    <x v="0"/>
    <x v="1"/>
    <x v="0"/>
    <n v="317331"/>
    <n v="317331"/>
    <n v="203.4173076923077"/>
    <s v="CH 30 días"/>
    <d v="2025-08-30T00:00:00"/>
    <n v="35"/>
    <x v="0"/>
    <x v="0"/>
  </r>
  <r>
    <x v="3"/>
    <x v="313"/>
    <s v="Abril"/>
    <s v="Total"/>
    <x v="3"/>
    <x v="0"/>
    <x v="0"/>
    <x v="0"/>
    <n v="44019"/>
    <n v="44019"/>
    <n v="28.217307692307692"/>
    <m/>
    <m/>
    <s v="44"/>
    <x v="0"/>
    <x v="2"/>
  </r>
  <r>
    <x v="51"/>
    <x v="340"/>
    <s v="Fenolicos + tirantes (Cava)"/>
    <s v="Total"/>
    <x v="1"/>
    <x v="0"/>
    <x v="0"/>
    <x v="0"/>
    <n v="5152301"/>
    <n v="5152301"/>
    <n v="3302.7570512820512"/>
    <m/>
    <m/>
    <s v="17"/>
    <x v="0"/>
    <x v="0"/>
  </r>
  <r>
    <x v="61"/>
    <x v="340"/>
    <s v="Fenolicos  (Cava)"/>
    <s v="Total"/>
    <x v="1"/>
    <x v="0"/>
    <x v="1"/>
    <x v="0"/>
    <n v="4449036.2699999996"/>
    <n v="4449036.2699999996"/>
    <n v="2851.9463269230764"/>
    <s v="CH 30 dias"/>
    <d v="2025-08-11T00:00:00"/>
    <n v="33"/>
    <x v="1199"/>
    <x v="0"/>
  </r>
  <r>
    <x v="4"/>
    <x v="341"/>
    <s v="Insumos laboratorio bodega"/>
    <s v="Total"/>
    <x v="1"/>
    <x v="0"/>
    <x v="0"/>
    <x v="0"/>
    <n v="109906.96"/>
    <n v="109906.96"/>
    <n v="70.453179487179497"/>
    <m/>
    <m/>
    <s v="51"/>
    <x v="1200"/>
    <x v="0"/>
  </r>
  <r>
    <x v="4"/>
    <x v="341"/>
    <s v="Insumos laboratorio bodega"/>
    <s v="Total"/>
    <x v="1"/>
    <x v="0"/>
    <x v="1"/>
    <x v="0"/>
    <n v="450762.96"/>
    <n v="450762.96"/>
    <n v="288.95061538461539"/>
    <m/>
    <d v="2025-12-23T00:00:00"/>
    <n v="52"/>
    <x v="1200"/>
    <x v="0"/>
  </r>
  <r>
    <x v="74"/>
    <x v="341"/>
    <s v="Insumos laboratorio planta"/>
    <s v="Total"/>
    <x v="1"/>
    <x v="0"/>
    <x v="0"/>
    <x v="0"/>
    <n v="704312.14"/>
    <n v="704312.14"/>
    <n v="451.48214102564106"/>
    <m/>
    <m/>
    <s v="03"/>
    <x v="1201"/>
    <x v="0"/>
  </r>
  <r>
    <x v="50"/>
    <x v="341"/>
    <s v="Insumos bodega"/>
    <s v="Total"/>
    <x v="1"/>
    <x v="0"/>
    <x v="1"/>
    <x v="0"/>
    <n v="1286236.8600000001"/>
    <n v="1286236.8600000001"/>
    <n v="824.51080769230771"/>
    <m/>
    <d v="2026-02-11T00:00:00"/>
    <n v="7"/>
    <x v="1202"/>
    <x v="0"/>
  </r>
  <r>
    <x v="9"/>
    <x v="341"/>
    <s v="Insumos / instrumental laboratorio planta"/>
    <s v="Total"/>
    <x v="1"/>
    <x v="0"/>
    <x v="1"/>
    <x v="0"/>
    <n v="905719.24"/>
    <n v="905719.24"/>
    <n v="580.58925641025644"/>
    <m/>
    <d v="2026-02-20T00:00:00"/>
    <n v="8"/>
    <x v="1203"/>
    <x v="0"/>
  </r>
  <r>
    <x v="73"/>
    <x v="341"/>
    <s v="Pedido Laboratorio "/>
    <s v="Total"/>
    <x v="1"/>
    <x v="0"/>
    <x v="1"/>
    <x v="0"/>
    <n v="351932.25"/>
    <n v="351932.25"/>
    <n v="225.59759615384615"/>
    <m/>
    <m/>
    <s v="10"/>
    <x v="1204"/>
    <x v="0"/>
  </r>
  <r>
    <x v="20"/>
    <x v="341"/>
    <s v="Pedido Laboratorio planta / bodega"/>
    <s v="Total"/>
    <x v="1"/>
    <x v="0"/>
    <x v="1"/>
    <x v="0"/>
    <n v="1271252.81"/>
    <n v="1271252.81"/>
    <n v="814.90564743589744"/>
    <m/>
    <d v="2026-05-10T00:00:00"/>
    <n v="20"/>
    <x v="1205"/>
    <x v="0"/>
  </r>
  <r>
    <x v="20"/>
    <x v="341"/>
    <s v="Pedido Laboratorio planta / bodega"/>
    <s v="Total"/>
    <x v="1"/>
    <x v="0"/>
    <x v="1"/>
    <x v="0"/>
    <n v="16810.39"/>
    <n v="16810.39"/>
    <n v="10.775891025641025"/>
    <s v="Retenciones"/>
    <m/>
    <s v="15"/>
    <x v="1205"/>
    <x v="0"/>
  </r>
  <r>
    <x v="45"/>
    <x v="341"/>
    <s v="Insumos laboratorio planta de aceite / bodega"/>
    <s v="Total"/>
    <x v="1"/>
    <x v="0"/>
    <x v="1"/>
    <x v="0"/>
    <n v="701221.78"/>
    <n v="701221.78"/>
    <n v="449.50114102564106"/>
    <m/>
    <d v="2026-07-19T00:00:00"/>
    <n v="30"/>
    <x v="1206"/>
    <x v="0"/>
  </r>
  <r>
    <x v="45"/>
    <x v="341"/>
    <s v="Insumos laboratorio planta de aceite / bodega"/>
    <s v="Total"/>
    <x v="1"/>
    <x v="0"/>
    <x v="1"/>
    <x v="0"/>
    <n v="7230.02"/>
    <n v="7230.02"/>
    <n v="4.6346282051282053"/>
    <s v="Retenciones"/>
    <m/>
    <s v="25"/>
    <x v="1206"/>
    <x v="0"/>
  </r>
  <r>
    <x v="16"/>
    <x v="342"/>
    <s v="Honorarios"/>
    <s v="Total"/>
    <x v="0"/>
    <x v="0"/>
    <x v="0"/>
    <x v="0"/>
    <n v="1452000"/>
    <n v="1452000"/>
    <n v="930.76923076923072"/>
    <m/>
    <m/>
    <s v="43"/>
    <x v="1207"/>
    <x v="0"/>
  </r>
  <r>
    <x v="49"/>
    <x v="343"/>
    <s v="Honorarios"/>
    <s v="Total"/>
    <x v="3"/>
    <x v="0"/>
    <x v="0"/>
    <x v="0"/>
    <n v="519090"/>
    <n v="519090"/>
    <n v="332.75"/>
    <m/>
    <m/>
    <s v="25"/>
    <x v="1208"/>
    <x v="0"/>
  </r>
  <r>
    <x v="48"/>
    <x v="343"/>
    <s v="Combustible"/>
    <s v="Total"/>
    <x v="1"/>
    <x v="0"/>
    <x v="2"/>
    <x v="0"/>
    <n v="60000"/>
    <n v="60000"/>
    <n v="38.46153846153846"/>
    <m/>
    <m/>
    <s v="16"/>
    <x v="0"/>
    <x v="0"/>
  </r>
  <r>
    <x v="80"/>
    <x v="343"/>
    <s v="Combustible"/>
    <s v="Total"/>
    <x v="1"/>
    <x v="0"/>
    <x v="2"/>
    <x v="0"/>
    <n v="60000"/>
    <n v="60000"/>
    <n v="38.46153846153846"/>
    <m/>
    <m/>
    <s v="20"/>
    <x v="1209"/>
    <x v="0"/>
  </r>
  <r>
    <x v="68"/>
    <x v="343"/>
    <s v="Honorarios"/>
    <s v="Total"/>
    <x v="3"/>
    <x v="0"/>
    <x v="0"/>
    <x v="0"/>
    <n v="519090"/>
    <n v="519090"/>
    <n v="332.75"/>
    <m/>
    <m/>
    <s v="23"/>
    <x v="1210"/>
    <x v="0"/>
  </r>
  <r>
    <x v="21"/>
    <x v="343"/>
    <s v="Combustible"/>
    <s v="Total"/>
    <x v="2"/>
    <x v="0"/>
    <x v="2"/>
    <x v="0"/>
    <n v="60000"/>
    <n v="60000"/>
    <n v="38.46153846153846"/>
    <m/>
    <m/>
    <s v="28"/>
    <x v="1211"/>
    <x v="0"/>
  </r>
  <r>
    <x v="21"/>
    <x v="343"/>
    <s v="Combustible"/>
    <s v="Total"/>
    <x v="2"/>
    <x v="0"/>
    <x v="2"/>
    <x v="0"/>
    <n v="60000"/>
    <n v="60000"/>
    <n v="38.46153846153846"/>
    <m/>
    <m/>
    <s v="28"/>
    <x v="1212"/>
    <x v="0"/>
  </r>
  <r>
    <x v="26"/>
    <x v="343"/>
    <s v="Honorarios"/>
    <s v="Total"/>
    <x v="3"/>
    <x v="0"/>
    <x v="0"/>
    <x v="0"/>
    <n v="519090"/>
    <n v="519090"/>
    <n v="332.75"/>
    <m/>
    <m/>
    <s v="29"/>
    <x v="1213"/>
    <x v="0"/>
  </r>
  <r>
    <x v="61"/>
    <x v="343"/>
    <s v="Combustible"/>
    <s v="Total"/>
    <x v="2"/>
    <x v="0"/>
    <x v="2"/>
    <x v="0"/>
    <n v="60000"/>
    <n v="60000"/>
    <n v="38.46153846153846"/>
    <m/>
    <m/>
    <s v="30"/>
    <x v="1214"/>
    <x v="0"/>
  </r>
  <r>
    <x v="5"/>
    <x v="343"/>
    <s v="Honorarios profesionales"/>
    <s v="Total"/>
    <x v="3"/>
    <x v="0"/>
    <x v="0"/>
    <x v="0"/>
    <n v="511853.4"/>
    <n v="511853.4"/>
    <n v="328.11115384615385"/>
    <m/>
    <m/>
    <s v="34"/>
    <x v="1215"/>
    <x v="0"/>
  </r>
  <r>
    <x v="27"/>
    <x v="343"/>
    <s v="Combustible"/>
    <s v="Total"/>
    <x v="2"/>
    <x v="0"/>
    <x v="2"/>
    <x v="0"/>
    <n v="68029.5"/>
    <n v="68029.5"/>
    <n v="43.60865384615385"/>
    <m/>
    <m/>
    <s v="35"/>
    <x v="34"/>
    <x v="0"/>
  </r>
  <r>
    <x v="18"/>
    <x v="343"/>
    <s v="Honorarios profesionales"/>
    <s v="Total"/>
    <x v="3"/>
    <x v="0"/>
    <x v="0"/>
    <x v="0"/>
    <n v="519090"/>
    <n v="519090"/>
    <n v="332.75"/>
    <m/>
    <m/>
    <s v="39"/>
    <x v="1216"/>
    <x v="0"/>
  </r>
  <r>
    <x v="6"/>
    <x v="343"/>
    <s v="Honorarios profesionales"/>
    <s v="Total"/>
    <x v="3"/>
    <x v="0"/>
    <x v="0"/>
    <x v="0"/>
    <n v="519090"/>
    <n v="519090"/>
    <n v="332.75"/>
    <m/>
    <m/>
    <s v="41"/>
    <x v="1217"/>
    <x v="0"/>
  </r>
  <r>
    <x v="14"/>
    <x v="343"/>
    <s v="Combustible"/>
    <s v="Total"/>
    <x v="2"/>
    <x v="0"/>
    <x v="2"/>
    <x v="0"/>
    <n v="72600"/>
    <n v="72600"/>
    <n v="46.53846153846154"/>
    <m/>
    <m/>
    <s v="47"/>
    <x v="1218"/>
    <x v="0"/>
  </r>
  <r>
    <x v="19"/>
    <x v="343"/>
    <m/>
    <s v="Total"/>
    <x v="3"/>
    <x v="0"/>
    <x v="0"/>
    <x v="0"/>
    <n v="511853.4"/>
    <n v="511853.4"/>
    <n v="328.11115384615385"/>
    <m/>
    <m/>
    <s v="50"/>
    <x v="1219"/>
    <x v="0"/>
  </r>
  <r>
    <x v="4"/>
    <x v="343"/>
    <s v="Combustible (2 facturas)"/>
    <s v="Total"/>
    <x v="2"/>
    <x v="0"/>
    <x v="2"/>
    <x v="0"/>
    <n v="80000"/>
    <n v="80000"/>
    <n v="51.282051282051285"/>
    <m/>
    <m/>
    <s v="51"/>
    <x v="1220"/>
    <x v="0"/>
  </r>
  <r>
    <x v="4"/>
    <x v="343"/>
    <s v="Combustible (2 facturas)"/>
    <s v="Total"/>
    <x v="2"/>
    <x v="0"/>
    <x v="2"/>
    <x v="0"/>
    <n v="78000"/>
    <n v="78000"/>
    <n v="50"/>
    <m/>
    <m/>
    <s v="51"/>
    <x v="1221"/>
    <x v="0"/>
  </r>
  <r>
    <x v="4"/>
    <x v="343"/>
    <s v="Honorarios profesionales"/>
    <s v="Total"/>
    <x v="3"/>
    <x v="0"/>
    <x v="0"/>
    <x v="0"/>
    <n v="726000"/>
    <n v="726000"/>
    <n v="465.38461538461536"/>
    <m/>
    <m/>
    <s v="51"/>
    <x v="1222"/>
    <x v="0"/>
  </r>
  <r>
    <x v="13"/>
    <x v="343"/>
    <s v="Honorarios profesionales "/>
    <s v="Total"/>
    <x v="3"/>
    <x v="0"/>
    <x v="0"/>
    <x v="0"/>
    <n v="726000"/>
    <n v="726000"/>
    <n v="465.38461538461536"/>
    <m/>
    <m/>
    <s v="07"/>
    <x v="1223"/>
    <x v="0"/>
  </r>
  <r>
    <x v="73"/>
    <x v="343"/>
    <s v="Combustible"/>
    <s v="Total"/>
    <x v="3"/>
    <x v="0"/>
    <x v="2"/>
    <x v="0"/>
    <n v="80520.009999999995"/>
    <n v="80520.009999999995"/>
    <n v="51.615391025641024"/>
    <m/>
    <m/>
    <s v="10"/>
    <x v="1224"/>
    <x v="0"/>
  </r>
  <r>
    <x v="73"/>
    <x v="343"/>
    <s v="Combustible"/>
    <s v="Total"/>
    <x v="3"/>
    <x v="0"/>
    <x v="2"/>
    <x v="0"/>
    <n v="82029.75"/>
    <n v="82029.75"/>
    <n v="52.583173076923075"/>
    <m/>
    <m/>
    <s v="10"/>
    <x v="1225"/>
    <x v="0"/>
  </r>
  <r>
    <x v="65"/>
    <x v="343"/>
    <s v="Combustible"/>
    <s v="Total"/>
    <x v="3"/>
    <x v="0"/>
    <x v="0"/>
    <x v="0"/>
    <n v="93006.52"/>
    <n v="93006.52"/>
    <n v="59.619564102564105"/>
    <m/>
    <m/>
    <s v="13"/>
    <x v="1226"/>
    <x v="0"/>
  </r>
  <r>
    <x v="24"/>
    <x v="343"/>
    <s v="Honorarios Profesionales"/>
    <s v="Total"/>
    <x v="3"/>
    <x v="0"/>
    <x v="0"/>
    <x v="0"/>
    <n v="726000"/>
    <n v="726000"/>
    <n v="465.38461538461536"/>
    <m/>
    <m/>
    <s v="14"/>
    <x v="1223"/>
    <x v="0"/>
  </r>
  <r>
    <x v="20"/>
    <x v="343"/>
    <s v="Febrero"/>
    <s v="Total"/>
    <x v="3"/>
    <x v="0"/>
    <x v="0"/>
    <x v="0"/>
    <n v="715343.4"/>
    <n v="715343.4"/>
    <n v="458.55346153846153"/>
    <m/>
    <m/>
    <s v="15"/>
    <x v="1227"/>
    <x v="0"/>
  </r>
  <r>
    <x v="22"/>
    <x v="343"/>
    <s v="Marzo"/>
    <s v="Total"/>
    <x v="3"/>
    <x v="0"/>
    <x v="0"/>
    <x v="0"/>
    <n v="715343.4"/>
    <n v="715343.4"/>
    <n v="458.55346153846153"/>
    <m/>
    <m/>
    <s v="23"/>
    <x v="1228"/>
    <x v="0"/>
  </r>
  <r>
    <x v="22"/>
    <x v="343"/>
    <s v="Marzo"/>
    <s v="Total"/>
    <x v="3"/>
    <x v="0"/>
    <x v="0"/>
    <x v="0"/>
    <n v="10656.6"/>
    <n v="10656.6"/>
    <n v="6.8311538461538461"/>
    <s v="Retenciones"/>
    <m/>
    <s v="23"/>
    <x v="1228"/>
    <x v="0"/>
  </r>
  <r>
    <x v="35"/>
    <x v="343"/>
    <s v="Combustible"/>
    <s v="Total"/>
    <x v="2"/>
    <x v="0"/>
    <x v="2"/>
    <x v="0"/>
    <n v="97960.01"/>
    <n v="97960.01"/>
    <n v="62.7948782051282"/>
    <m/>
    <m/>
    <s v="27"/>
    <x v="1229"/>
    <x v="0"/>
  </r>
  <r>
    <x v="35"/>
    <x v="343"/>
    <s v="Combustible"/>
    <s v="Total"/>
    <x v="2"/>
    <x v="0"/>
    <x v="2"/>
    <x v="0"/>
    <n v="97800"/>
    <n v="97800"/>
    <n v="62.692307692307693"/>
    <m/>
    <m/>
    <s v="27"/>
    <x v="1230"/>
    <x v="0"/>
  </r>
  <r>
    <x v="35"/>
    <x v="343"/>
    <s v="Combustible"/>
    <s v="Total"/>
    <x v="2"/>
    <x v="0"/>
    <x v="2"/>
    <x v="0"/>
    <n v="98160"/>
    <n v="98160"/>
    <n v="62.92307692307692"/>
    <m/>
    <m/>
    <s v="27"/>
    <x v="1231"/>
    <x v="0"/>
  </r>
  <r>
    <x v="36"/>
    <x v="343"/>
    <s v="Combustible"/>
    <s v="Total"/>
    <x v="2"/>
    <x v="0"/>
    <x v="2"/>
    <x v="0"/>
    <n v="149509.01999999999"/>
    <n v="149509.01999999999"/>
    <n v="95.839115384615383"/>
    <m/>
    <m/>
    <s v="28"/>
    <x v="1232"/>
    <x v="0"/>
  </r>
  <r>
    <x v="36"/>
    <x v="343"/>
    <s v="Combustible"/>
    <s v="Total"/>
    <x v="2"/>
    <x v="0"/>
    <x v="2"/>
    <x v="0"/>
    <n v="49060"/>
    <n v="49060"/>
    <n v="31.448717948717949"/>
    <m/>
    <m/>
    <s v="28"/>
    <x v="1233"/>
    <x v="0"/>
  </r>
  <r>
    <x v="58"/>
    <x v="343"/>
    <s v="Combustible"/>
    <s v="Total"/>
    <x v="2"/>
    <x v="0"/>
    <x v="2"/>
    <x v="0"/>
    <n v="98520"/>
    <n v="98520"/>
    <n v="63.153846153846153"/>
    <m/>
    <m/>
    <s v="30"/>
    <x v="1234"/>
    <x v="0"/>
  </r>
  <r>
    <x v="71"/>
    <x v="343"/>
    <s v="Combustible"/>
    <s v="Total"/>
    <x v="2"/>
    <x v="0"/>
    <x v="2"/>
    <x v="0"/>
    <n v="200000.02"/>
    <n v="200000.02"/>
    <n v="128.20514102564101"/>
    <m/>
    <m/>
    <s v="36"/>
    <x v="1235"/>
    <x v="0"/>
  </r>
  <r>
    <x v="39"/>
    <x v="343"/>
    <s v="Honorarios"/>
    <s v="Total"/>
    <x v="3"/>
    <x v="0"/>
    <x v="0"/>
    <x v="0"/>
    <n v="726000"/>
    <n v="726000"/>
    <n v="465.38461538461536"/>
    <m/>
    <m/>
    <s v="38"/>
    <x v="1236"/>
    <x v="0"/>
  </r>
  <r>
    <x v="40"/>
    <x v="343"/>
    <s v="Combustible"/>
    <s v="Total"/>
    <x v="2"/>
    <x v="0"/>
    <x v="2"/>
    <x v="0"/>
    <n v="93018.52"/>
    <n v="93018.52"/>
    <n v="59.627256410256415"/>
    <m/>
    <m/>
    <s v="40"/>
    <x v="1237"/>
    <x v="0"/>
  </r>
  <r>
    <x v="40"/>
    <x v="343"/>
    <s v="Combustible"/>
    <s v="Total"/>
    <x v="2"/>
    <x v="0"/>
    <x v="2"/>
    <x v="0"/>
    <n v="100007.82"/>
    <n v="100007.82"/>
    <n v="64.107576923076934"/>
    <m/>
    <m/>
    <s v="40"/>
    <x v="1238"/>
    <x v="0"/>
  </r>
  <r>
    <x v="46"/>
    <x v="343"/>
    <s v="Comision por venta de aveite Zucardi"/>
    <s v="Total"/>
    <x v="3"/>
    <x v="0"/>
    <x v="0"/>
    <x v="0"/>
    <n v="1822800"/>
    <n v="1822800"/>
    <n v="1168.4615384615386"/>
    <m/>
    <d v="2026-11-03T00:00:00"/>
    <n v="45"/>
    <x v="1239"/>
    <x v="0"/>
  </r>
  <r>
    <x v="46"/>
    <x v="343"/>
    <s v="Comision por venta de aveite Zucardi"/>
    <s v="Total"/>
    <x v="3"/>
    <x v="0"/>
    <x v="0"/>
    <x v="0"/>
    <n v="28785.53"/>
    <n v="28785.53"/>
    <n v="18.452262820512821"/>
    <s v="Retenciones"/>
    <m/>
    <s v="42"/>
    <x v="1239"/>
    <x v="0"/>
  </r>
  <r>
    <x v="46"/>
    <x v="343"/>
    <s v="Comision por venta de aveite Zucardi"/>
    <s v="Total"/>
    <x v="3"/>
    <x v="0"/>
    <x v="0"/>
    <x v="0"/>
    <n v="2400000"/>
    <n v="2400000"/>
    <n v="1538.4615384615386"/>
    <m/>
    <d v="2026-11-27T00:00:00"/>
    <n v="48"/>
    <x v="1240"/>
    <x v="0"/>
  </r>
  <r>
    <x v="46"/>
    <x v="343"/>
    <s v="Comision por venta de aveite Zucardi"/>
    <s v="Total"/>
    <x v="3"/>
    <x v="0"/>
    <x v="0"/>
    <x v="0"/>
    <n v="40145.21"/>
    <n v="40145.21"/>
    <n v="25.734108974358975"/>
    <s v="Retenciones"/>
    <m/>
    <s v="42"/>
    <x v="1240"/>
    <x v="0"/>
  </r>
  <r>
    <x v="3"/>
    <x v="315"/>
    <s v="Etiquetas Vino"/>
    <s v="Total"/>
    <x v="0"/>
    <x v="0"/>
    <x v="1"/>
    <x v="0"/>
    <n v="3507894.19"/>
    <n v="3507894.19"/>
    <n v="2248.6501217948717"/>
    <m/>
    <m/>
    <s v="44"/>
    <x v="0"/>
    <x v="1"/>
  </r>
  <r>
    <x v="3"/>
    <x v="317"/>
    <s v="Insumos campaña 2026"/>
    <s v="Total"/>
    <x v="0"/>
    <x v="0"/>
    <x v="1"/>
    <x v="1"/>
    <n v="0"/>
    <n v="0"/>
    <n v="0"/>
    <m/>
    <m/>
    <s v="44"/>
    <x v="0"/>
    <x v="1"/>
  </r>
  <r>
    <x v="3"/>
    <x v="344"/>
    <s v="3 Motos Keller 150 Miracle"/>
    <s v="Total"/>
    <x v="0"/>
    <x v="0"/>
    <x v="1"/>
    <x v="0"/>
    <n v="2500000"/>
    <n v="2500000"/>
    <n v="1602.5641025641025"/>
    <m/>
    <m/>
    <s v="44"/>
    <x v="0"/>
    <x v="1"/>
  </r>
  <r>
    <x v="3"/>
    <x v="328"/>
    <s v="Pedido Limpieza Administracion - Campo"/>
    <s v="Total"/>
    <x v="2"/>
    <x v="0"/>
    <x v="2"/>
    <x v="0"/>
    <n v="43000.01"/>
    <n v="43000.01"/>
    <n v="27.564108974358977"/>
    <m/>
    <m/>
    <s v="44"/>
    <x v="1241"/>
    <x v="0"/>
  </r>
  <r>
    <x v="26"/>
    <x v="345"/>
    <s v="Cigüeñal Deuts"/>
    <s v="Total"/>
    <x v="1"/>
    <x v="0"/>
    <x v="0"/>
    <x v="0"/>
    <n v="736000"/>
    <n v="736000"/>
    <n v="471.79487179487177"/>
    <m/>
    <d v="2025-08-08T00:00:00"/>
    <n v="32"/>
    <x v="1242"/>
    <x v="0"/>
  </r>
  <r>
    <x v="26"/>
    <x v="345"/>
    <s v="Cigüeñal Deuts"/>
    <s v="Total"/>
    <x v="1"/>
    <x v="0"/>
    <x v="0"/>
    <x v="0"/>
    <n v="736000"/>
    <n v="736000"/>
    <n v="471.79487179487177"/>
    <m/>
    <d v="2025-08-28T00:00:00"/>
    <n v="35"/>
    <x v="1242"/>
    <x v="0"/>
  </r>
  <r>
    <x v="63"/>
    <x v="345"/>
    <s v="Reparacion tapa de cilindro Toyota"/>
    <s v="Total"/>
    <x v="1"/>
    <x v="0"/>
    <x v="1"/>
    <x v="0"/>
    <n v="142446.20000000001"/>
    <n v="142446.20000000001"/>
    <n v="91.311666666666667"/>
    <m/>
    <d v="2025-11-29T00:00:00"/>
    <n v="48"/>
    <x v="1243"/>
    <x v="0"/>
  </r>
  <r>
    <x v="63"/>
    <x v="345"/>
    <s v="Reparacion tapa de cilindro Toyota"/>
    <s v="Total"/>
    <x v="1"/>
    <x v="0"/>
    <x v="1"/>
    <x v="0"/>
    <n v="675824.16"/>
    <n v="675824.16"/>
    <n v="433.22061538461543"/>
    <m/>
    <d v="2025-12-02T00:00:00"/>
    <n v="49"/>
    <x v="1243"/>
    <x v="0"/>
  </r>
  <r>
    <x v="63"/>
    <x v="345"/>
    <s v="Reparacion tapa de cilindro Toyota"/>
    <s v="Total"/>
    <x v="1"/>
    <x v="0"/>
    <x v="0"/>
    <x v="0"/>
    <n v="41829.480000000003"/>
    <n v="41829.480000000003"/>
    <n v="26.813769230769232"/>
    <m/>
    <m/>
    <s v="44"/>
    <x v="1243"/>
    <x v="0"/>
  </r>
  <r>
    <x v="74"/>
    <x v="346"/>
    <s v="Calzado Olmos"/>
    <s v="Total"/>
    <x v="1"/>
    <x v="0"/>
    <x v="0"/>
    <x v="0"/>
    <n v="67128"/>
    <n v="67128"/>
    <n v="43.030769230769231"/>
    <m/>
    <m/>
    <s v="03"/>
    <x v="1244"/>
    <x v="0"/>
  </r>
  <r>
    <x v="62"/>
    <x v="346"/>
    <s v="Bota N°42 - pedido planta"/>
    <s v="Total"/>
    <x v="2"/>
    <x v="0"/>
    <x v="2"/>
    <x v="0"/>
    <n v="22500"/>
    <n v="22500"/>
    <n v="14.423076923076923"/>
    <m/>
    <m/>
    <s v="19"/>
    <x v="1245"/>
    <x v="0"/>
  </r>
  <r>
    <x v="3"/>
    <x v="332"/>
    <s v="Construcción de mangueras hidraulicas - Campo / Planta"/>
    <s v="Total"/>
    <x v="0"/>
    <x v="0"/>
    <x v="1"/>
    <x v="0"/>
    <n v="176254.2"/>
    <n v="176254.2"/>
    <n v="112.98346153846154"/>
    <m/>
    <m/>
    <s v="44"/>
    <x v="0"/>
    <x v="2"/>
  </r>
  <r>
    <x v="32"/>
    <x v="347"/>
    <s v="Correas tractor  - Campo"/>
    <s v="Total"/>
    <x v="1"/>
    <x v="0"/>
    <x v="0"/>
    <x v="0"/>
    <n v="261000"/>
    <n v="261000"/>
    <n v="167.30769230769232"/>
    <m/>
    <m/>
    <s v="09"/>
    <x v="1246"/>
    <x v="0"/>
  </r>
  <r>
    <x v="5"/>
    <x v="348"/>
    <s v="Kit de filtros Pauny 250A"/>
    <s v="Total"/>
    <x v="1"/>
    <x v="0"/>
    <x v="0"/>
    <x v="0"/>
    <n v="37757.74"/>
    <n v="37757.74"/>
    <n v="24.203679487179485"/>
    <m/>
    <m/>
    <s v="34"/>
    <x v="1247"/>
    <x v="0"/>
  </r>
  <r>
    <x v="5"/>
    <x v="348"/>
    <s v="Kit de filtros Pauny 250A"/>
    <s v="Total"/>
    <x v="1"/>
    <x v="0"/>
    <x v="1"/>
    <x v="0"/>
    <n v="82443.509999999995"/>
    <n v="82443.509999999995"/>
    <n v="52.848403846153843"/>
    <m/>
    <d v="2025-08-16T00:00:00"/>
    <n v="33"/>
    <x v="1247"/>
    <x v="0"/>
  </r>
  <r>
    <x v="5"/>
    <x v="348"/>
    <s v="Kit de filtros Pauny 250A"/>
    <s v="Total"/>
    <x v="1"/>
    <x v="0"/>
    <x v="1"/>
    <x v="0"/>
    <n v="213798.75"/>
    <n v="213798.75"/>
    <n v="137.05048076923077"/>
    <m/>
    <d v="2025-08-25T00:00:00"/>
    <n v="35"/>
    <x v="1247"/>
    <x v="0"/>
  </r>
  <r>
    <x v="74"/>
    <x v="349"/>
    <m/>
    <s v="Total"/>
    <x v="1"/>
    <x v="0"/>
    <x v="0"/>
    <x v="0"/>
    <n v="774806.3"/>
    <n v="774806.3"/>
    <n v="496.67070512820516"/>
    <m/>
    <m/>
    <s v="03"/>
    <x v="1248"/>
    <x v="0"/>
  </r>
  <r>
    <x v="22"/>
    <x v="350"/>
    <s v="Gastos casa "/>
    <s v="Total"/>
    <x v="2"/>
    <x v="0"/>
    <x v="2"/>
    <x v="0"/>
    <n v="188821.25"/>
    <n v="188821.25"/>
    <n v="121.03926282051282"/>
    <m/>
    <m/>
    <s v="23"/>
    <x v="1249"/>
    <x v="0"/>
  </r>
  <r>
    <x v="22"/>
    <x v="350"/>
    <s v="Gastos casa "/>
    <s v="Total"/>
    <x v="2"/>
    <x v="0"/>
    <x v="2"/>
    <x v="0"/>
    <n v="174599"/>
    <n v="174599"/>
    <n v="111.9224358974359"/>
    <m/>
    <m/>
    <s v="23"/>
    <x v="1250"/>
    <x v="0"/>
  </r>
  <r>
    <x v="86"/>
    <x v="350"/>
    <s v="Pedido Casa Doctor"/>
    <s v="Total"/>
    <x v="2"/>
    <x v="0"/>
    <x v="2"/>
    <x v="0"/>
    <n v="159041"/>
    <n v="159041"/>
    <n v="101.94935897435897"/>
    <m/>
    <m/>
    <s v="24"/>
    <x v="1251"/>
    <x v="0"/>
  </r>
  <r>
    <x v="20"/>
    <x v="351"/>
    <s v="Compras Casa "/>
    <s v="Total"/>
    <x v="2"/>
    <x v="0"/>
    <x v="2"/>
    <x v="0"/>
    <n v="84896"/>
    <n v="84896"/>
    <n v="54.420512820512819"/>
    <m/>
    <m/>
    <s v="15"/>
    <x v="1252"/>
    <x v="0"/>
  </r>
  <r>
    <x v="57"/>
    <x v="351"/>
    <s v="Compra administracón"/>
    <s v="Total"/>
    <x v="2"/>
    <x v="0"/>
    <x v="2"/>
    <x v="0"/>
    <n v="138484.5"/>
    <n v="138484.5"/>
    <n v="88.77211538461539"/>
    <m/>
    <m/>
    <s v="16"/>
    <x v="1253"/>
    <x v="0"/>
  </r>
  <r>
    <x v="53"/>
    <x v="351"/>
    <s v="Pedido Casa Doctor"/>
    <s v="Total"/>
    <x v="2"/>
    <x v="0"/>
    <x v="2"/>
    <x v="0"/>
    <n v="133567"/>
    <n v="133567"/>
    <n v="85.619871794871798"/>
    <m/>
    <m/>
    <s v="17"/>
    <x v="1254"/>
    <x v="0"/>
  </r>
  <r>
    <x v="53"/>
    <x v="351"/>
    <s v="Pedido Casa Doctor"/>
    <s v="Total"/>
    <x v="2"/>
    <x v="0"/>
    <x v="2"/>
    <x v="0"/>
    <n v="127699.98"/>
    <n v="127699.98"/>
    <n v="81.858961538461543"/>
    <m/>
    <m/>
    <s v="17"/>
    <x v="1255"/>
    <x v="0"/>
  </r>
  <r>
    <x v="23"/>
    <x v="351"/>
    <s v="Pedido Casa Doctor"/>
    <s v="Total"/>
    <x v="2"/>
    <x v="0"/>
    <x v="2"/>
    <x v="0"/>
    <n v="800"/>
    <n v="800"/>
    <n v="0.51282051282051277"/>
    <m/>
    <m/>
    <s v="18"/>
    <x v="1256"/>
    <x v="0"/>
  </r>
  <r>
    <x v="34"/>
    <x v="351"/>
    <s v="Pedido Casa Doctor"/>
    <s v="Total"/>
    <x v="2"/>
    <x v="0"/>
    <x v="2"/>
    <x v="0"/>
    <n v="211451.5"/>
    <n v="211451.5"/>
    <n v="135.54583333333332"/>
    <m/>
    <m/>
    <s v="21"/>
    <x v="1257"/>
    <x v="0"/>
  </r>
  <r>
    <x v="45"/>
    <x v="351"/>
    <s v="Pedido Casa Doctor"/>
    <s v="Total"/>
    <x v="2"/>
    <x v="0"/>
    <x v="2"/>
    <x v="0"/>
    <n v="84370"/>
    <n v="84370"/>
    <n v="54.083333333333336"/>
    <m/>
    <m/>
    <s v="25"/>
    <x v="1258"/>
    <x v="0"/>
  </r>
  <r>
    <x v="42"/>
    <x v="351"/>
    <s v="Compras casa Doctor"/>
    <s v="Total"/>
    <x v="2"/>
    <x v="0"/>
    <x v="2"/>
    <x v="0"/>
    <n v="27427.5"/>
    <n v="27427.5"/>
    <n v="17.58173076923077"/>
    <m/>
    <m/>
    <s v="24"/>
    <x v="1259"/>
    <x v="0"/>
  </r>
  <r>
    <x v="43"/>
    <x v="351"/>
    <s v="Pedido Casa Doctor"/>
    <s v="Total"/>
    <x v="2"/>
    <x v="0"/>
    <x v="2"/>
    <x v="0"/>
    <n v="179895"/>
    <n v="179895"/>
    <n v="115.31730769230769"/>
    <m/>
    <m/>
    <s v="26"/>
    <x v="1260"/>
    <x v="0"/>
  </r>
  <r>
    <x v="35"/>
    <x v="351"/>
    <s v="Pedido Casa Doctor"/>
    <s v="Total"/>
    <x v="2"/>
    <x v="0"/>
    <x v="2"/>
    <x v="0"/>
    <n v="112050.25"/>
    <n v="112050.25"/>
    <n v="71.827083333333334"/>
    <m/>
    <m/>
    <s v="27"/>
    <x v="1261"/>
    <x v="0"/>
  </r>
  <r>
    <x v="36"/>
    <x v="351"/>
    <s v="Pedido Casa Doctor"/>
    <s v="Total"/>
    <x v="2"/>
    <x v="0"/>
    <x v="2"/>
    <x v="0"/>
    <n v="110828.25"/>
    <n v="110828.25"/>
    <n v="71.043750000000003"/>
    <m/>
    <m/>
    <s v="28"/>
    <x v="1262"/>
    <x v="0"/>
  </r>
  <r>
    <x v="36"/>
    <x v="351"/>
    <s v="Pedido Casa Doctor"/>
    <s v="Total"/>
    <x v="2"/>
    <x v="0"/>
    <x v="2"/>
    <x v="0"/>
    <n v="68779.5"/>
    <n v="68779.5"/>
    <n v="44.089423076923076"/>
    <m/>
    <m/>
    <s v="28"/>
    <x v="1263"/>
    <x v="0"/>
  </r>
  <r>
    <x v="36"/>
    <x v="351"/>
    <s v="Pedido Casa Doctor"/>
    <s v="Total"/>
    <x v="2"/>
    <x v="0"/>
    <x v="2"/>
    <x v="0"/>
    <n v="202313.75"/>
    <n v="202313.75"/>
    <n v="129.68830128205127"/>
    <m/>
    <m/>
    <s v="28"/>
    <x v="1264"/>
    <x v="0"/>
  </r>
  <r>
    <x v="37"/>
    <x v="351"/>
    <s v="Pedido Administración - Almuerzo"/>
    <s v="Total"/>
    <x v="2"/>
    <x v="0"/>
    <x v="2"/>
    <x v="0"/>
    <n v="3700"/>
    <n v="3700"/>
    <n v="2.3717948717948718"/>
    <m/>
    <m/>
    <s v="29"/>
    <x v="1265"/>
    <x v="0"/>
  </r>
  <r>
    <x v="37"/>
    <x v="351"/>
    <s v="Pedido Casa Doctor"/>
    <s v="Total"/>
    <x v="2"/>
    <x v="0"/>
    <x v="2"/>
    <x v="0"/>
    <n v="124120"/>
    <n v="124120"/>
    <n v="79.564102564102569"/>
    <m/>
    <m/>
    <s v="29"/>
    <x v="1266"/>
    <x v="0"/>
  </r>
  <r>
    <x v="44"/>
    <x v="351"/>
    <s v="Pedido Casa Doctor"/>
    <s v="Total"/>
    <x v="2"/>
    <x v="0"/>
    <x v="2"/>
    <x v="0"/>
    <n v="159844"/>
    <n v="159844"/>
    <n v="102.46410256410256"/>
    <m/>
    <m/>
    <s v="31"/>
    <x v="1267"/>
    <x v="0"/>
  </r>
  <r>
    <x v="38"/>
    <x v="351"/>
    <s v="Pedido Casa Doctor"/>
    <s v="Total"/>
    <x v="2"/>
    <x v="0"/>
    <x v="2"/>
    <x v="0"/>
    <n v="142657"/>
    <n v="142657"/>
    <n v="91.446794871794879"/>
    <m/>
    <m/>
    <s v="32"/>
    <x v="1268"/>
    <x v="0"/>
  </r>
  <r>
    <x v="38"/>
    <x v="351"/>
    <s v="Pedido Casa Doctor"/>
    <s v="Total"/>
    <x v="2"/>
    <x v="0"/>
    <x v="2"/>
    <x v="0"/>
    <n v="143108"/>
    <n v="143108"/>
    <n v="91.735897435897442"/>
    <m/>
    <m/>
    <s v="32"/>
    <x v="1269"/>
    <x v="0"/>
  </r>
  <r>
    <x v="12"/>
    <x v="351"/>
    <s v="Pedido Casa Doctor"/>
    <s v="Total"/>
    <x v="2"/>
    <x v="0"/>
    <x v="2"/>
    <x v="0"/>
    <n v="131899.5"/>
    <n v="131899.5"/>
    <n v="84.550961538461536"/>
    <m/>
    <m/>
    <s v="33"/>
    <x v="1270"/>
    <x v="0"/>
  </r>
  <r>
    <x v="66"/>
    <x v="351"/>
    <s v="Pedido Casa Doctor"/>
    <s v="Total"/>
    <x v="1"/>
    <x v="0"/>
    <x v="0"/>
    <x v="0"/>
    <n v="193833"/>
    <n v="193833"/>
    <n v="124.25192307692308"/>
    <m/>
    <m/>
    <s v="34"/>
    <x v="1271"/>
    <x v="0"/>
  </r>
  <r>
    <x v="77"/>
    <x v="351"/>
    <s v="Pedido Casa Doctor"/>
    <s v="Total"/>
    <x v="2"/>
    <x v="0"/>
    <x v="2"/>
    <x v="0"/>
    <n v="99104.25"/>
    <n v="99104.25"/>
    <n v="63.528365384615384"/>
    <m/>
    <m/>
    <s v="35"/>
    <x v="1272"/>
    <x v="0"/>
  </r>
  <r>
    <x v="77"/>
    <x v="351"/>
    <s v="Pedido Casa Doctor"/>
    <s v="Total"/>
    <x v="2"/>
    <x v="0"/>
    <x v="2"/>
    <x v="0"/>
    <n v="85807.5"/>
    <n v="85807.5"/>
    <n v="55.004807692307693"/>
    <m/>
    <m/>
    <s v="35"/>
    <x v="1273"/>
    <x v="0"/>
  </r>
  <r>
    <x v="71"/>
    <x v="351"/>
    <s v="Pedido Casa Doctor"/>
    <s v="Total"/>
    <x v="2"/>
    <x v="0"/>
    <x v="2"/>
    <x v="0"/>
    <n v="134500.5"/>
    <n v="134500.5"/>
    <n v="86.218269230769238"/>
    <m/>
    <m/>
    <s v="36"/>
    <x v="1274"/>
    <x v="0"/>
  </r>
  <r>
    <x v="11"/>
    <x v="351"/>
    <s v="Pedido Casa Doctor"/>
    <s v="Total"/>
    <x v="2"/>
    <x v="0"/>
    <x v="2"/>
    <x v="0"/>
    <n v="112763.5"/>
    <n v="112763.5"/>
    <n v="72.28429487179487"/>
    <m/>
    <m/>
    <s v="37"/>
    <x v="1154"/>
    <x v="0"/>
  </r>
  <r>
    <x v="39"/>
    <x v="351"/>
    <s v="Pedido cas "/>
    <s v="Total"/>
    <x v="2"/>
    <x v="0"/>
    <x v="2"/>
    <x v="0"/>
    <n v="135945.25"/>
    <n v="135945.25"/>
    <n v="87.144391025641028"/>
    <m/>
    <m/>
    <s v="38"/>
    <x v="1275"/>
    <x v="0"/>
  </r>
  <r>
    <x v="72"/>
    <x v="351"/>
    <s v="Pedido Casa Doctor"/>
    <s v="Total"/>
    <x v="2"/>
    <x v="0"/>
    <x v="2"/>
    <x v="0"/>
    <n v="132129"/>
    <n v="132129"/>
    <n v="84.698076923076925"/>
    <m/>
    <m/>
    <s v="39"/>
    <x v="1276"/>
    <x v="0"/>
  </r>
  <r>
    <x v="54"/>
    <x v="351"/>
    <s v="Pedido Casa Doctor"/>
    <s v="Total"/>
    <x v="2"/>
    <x v="0"/>
    <x v="2"/>
    <x v="0"/>
    <n v="119152"/>
    <n v="119152"/>
    <n v="76.379487179487185"/>
    <m/>
    <m/>
    <s v="41"/>
    <x v="1277"/>
    <x v="0"/>
  </r>
  <r>
    <x v="54"/>
    <x v="351"/>
    <s v="Pedido Casa Doctor"/>
    <s v="Total"/>
    <x v="2"/>
    <x v="0"/>
    <x v="2"/>
    <x v="0"/>
    <n v="199484"/>
    <n v="199484"/>
    <n v="127.87435897435897"/>
    <m/>
    <m/>
    <s v="41"/>
    <x v="1278"/>
    <x v="0"/>
  </r>
  <r>
    <x v="46"/>
    <x v="351"/>
    <s v="Pedido Casa Doctor"/>
    <s v="Total"/>
    <x v="2"/>
    <x v="0"/>
    <x v="0"/>
    <x v="0"/>
    <n v="95385.5"/>
    <n v="95385.5"/>
    <n v="61.144551282051282"/>
    <m/>
    <m/>
    <s v="42"/>
    <x v="1279"/>
    <x v="0"/>
  </r>
  <r>
    <x v="16"/>
    <x v="351"/>
    <s v="Pedido Casa Doctor"/>
    <s v="Total"/>
    <x v="2"/>
    <x v="0"/>
    <x v="2"/>
    <x v="0"/>
    <n v="177971"/>
    <n v="177971"/>
    <n v="114.08397435897436"/>
    <m/>
    <m/>
    <s v="43"/>
    <x v="1280"/>
    <x v="0"/>
  </r>
  <r>
    <x v="53"/>
    <x v="352"/>
    <s v="Pedido Casa Doctor"/>
    <s v="Total"/>
    <x v="2"/>
    <x v="0"/>
    <x v="2"/>
    <x v="0"/>
    <n v="17600"/>
    <n v="17600"/>
    <n v="11.282051282051283"/>
    <m/>
    <m/>
    <s v="17"/>
    <x v="1281"/>
    <x v="0"/>
  </r>
  <r>
    <x v="35"/>
    <x v="352"/>
    <s v="Pedido Casa Doctor"/>
    <s v="Total"/>
    <x v="2"/>
    <x v="0"/>
    <x v="2"/>
    <x v="0"/>
    <n v="30825"/>
    <n v="30825"/>
    <n v="19.759615384615383"/>
    <m/>
    <m/>
    <s v="27"/>
    <x v="1282"/>
    <x v="0"/>
  </r>
  <r>
    <x v="37"/>
    <x v="352"/>
    <s v="Pedido Administración - Almuerzo"/>
    <s v="Total"/>
    <x v="2"/>
    <x v="0"/>
    <x v="2"/>
    <x v="0"/>
    <n v="100375"/>
    <n v="100375"/>
    <n v="64.342948717948715"/>
    <m/>
    <m/>
    <s v="29"/>
    <x v="1283"/>
    <x v="0"/>
  </r>
  <r>
    <x v="44"/>
    <x v="352"/>
    <s v="Compras casa Doctor"/>
    <s v="Total"/>
    <x v="2"/>
    <x v="0"/>
    <x v="2"/>
    <x v="0"/>
    <n v="79135"/>
    <n v="79135"/>
    <n v="50.727564102564102"/>
    <m/>
    <m/>
    <s v="31"/>
    <x v="1284"/>
    <x v="0"/>
  </r>
  <r>
    <x v="12"/>
    <x v="352"/>
    <s v="Pedido Casa Doctor"/>
    <s v="Total"/>
    <x v="2"/>
    <x v="0"/>
    <x v="2"/>
    <x v="0"/>
    <n v="90400"/>
    <n v="90400"/>
    <n v="57.948717948717949"/>
    <m/>
    <m/>
    <s v="33"/>
    <x v="1285"/>
    <x v="0"/>
  </r>
  <r>
    <x v="10"/>
    <x v="353"/>
    <s v="Carne - almuerzo fin de capacitacón"/>
    <s v="Total"/>
    <x v="1"/>
    <x v="0"/>
    <x v="0"/>
    <x v="0"/>
    <n v="302123"/>
    <n v="302123"/>
    <n v="193.66858974358973"/>
    <m/>
    <m/>
    <s v="48"/>
    <x v="1286"/>
    <x v="0"/>
  </r>
  <r>
    <x v="19"/>
    <x v="353"/>
    <s v="Cena Fin de año"/>
    <s v="Total"/>
    <x v="1"/>
    <x v="0"/>
    <x v="0"/>
    <x v="0"/>
    <n v="1762397.99"/>
    <n v="1762397.99"/>
    <n v="1129.7423012820514"/>
    <m/>
    <m/>
    <s v="50"/>
    <x v="1287"/>
    <x v="0"/>
  </r>
  <r>
    <x v="4"/>
    <x v="353"/>
    <s v="Cena fin de año"/>
    <s v="Total"/>
    <x v="1"/>
    <x v="0"/>
    <x v="0"/>
    <x v="0"/>
    <n v="109600"/>
    <n v="109600"/>
    <n v="70.256410256410263"/>
    <m/>
    <m/>
    <s v="51"/>
    <x v="1288"/>
    <x v="0"/>
  </r>
  <r>
    <x v="73"/>
    <x v="353"/>
    <s v="Pedido Casa Doctor"/>
    <s v="Total"/>
    <x v="2"/>
    <x v="0"/>
    <x v="2"/>
    <x v="0"/>
    <n v="152000.01999999999"/>
    <n v="152000.01999999999"/>
    <n v="97.435910256410253"/>
    <m/>
    <m/>
    <s v="10"/>
    <x v="1289"/>
    <x v="0"/>
  </r>
  <r>
    <x v="42"/>
    <x v="354"/>
    <s v="Diseño caja"/>
    <s v="Total"/>
    <x v="1"/>
    <x v="0"/>
    <x v="1"/>
    <x v="0"/>
    <n v="465010"/>
    <n v="465010"/>
    <n v="298.08333333333331"/>
    <m/>
    <m/>
    <s v="24"/>
    <x v="1290"/>
    <x v="0"/>
  </r>
  <r>
    <x v="42"/>
    <x v="354"/>
    <s v="Diseño caja"/>
    <s v="Total"/>
    <x v="1"/>
    <x v="0"/>
    <x v="1"/>
    <x v="0"/>
    <n v="3260"/>
    <n v="3260"/>
    <n v="2.0897435897435899"/>
    <s v="Retenciones"/>
    <m/>
    <s v="24"/>
    <x v="1290"/>
    <x v="0"/>
  </r>
  <r>
    <x v="45"/>
    <x v="354"/>
    <s v="Grafica - saldo"/>
    <s v="Total"/>
    <x v="1"/>
    <x v="0"/>
    <x v="0"/>
    <x v="0"/>
    <n v="460530"/>
    <n v="460530"/>
    <n v="295.21153846153845"/>
    <m/>
    <m/>
    <s v="25"/>
    <x v="1291"/>
    <x v="0"/>
  </r>
  <r>
    <x v="45"/>
    <x v="354"/>
    <s v="Grafica - saldo"/>
    <s v="Total"/>
    <x v="1"/>
    <x v="0"/>
    <x v="0"/>
    <x v="0"/>
    <n v="7740"/>
    <n v="7740"/>
    <n v="4.9615384615384617"/>
    <s v="Retenciones"/>
    <m/>
    <s v="25"/>
    <x v="1291"/>
    <x v="0"/>
  </r>
  <r>
    <x v="58"/>
    <x v="354"/>
    <s v="Glorificador con cenefa"/>
    <s v="Total"/>
    <x v="1"/>
    <x v="0"/>
    <x v="0"/>
    <x v="0"/>
    <n v="742083.31"/>
    <n v="742083.31"/>
    <n v="475.69442948717955"/>
    <m/>
    <m/>
    <s v="30"/>
    <x v="1292"/>
    <x v="0"/>
  </r>
  <r>
    <x v="58"/>
    <x v="354"/>
    <s v="Glorificador con cenefa"/>
    <s v="Total"/>
    <x v="1"/>
    <x v="0"/>
    <x v="0"/>
    <x v="0"/>
    <n v="7916.69"/>
    <n v="7916.69"/>
    <n v="5.0748012820512818"/>
    <s v="Retenciones"/>
    <m/>
    <s v="30"/>
    <x v="1292"/>
    <x v="0"/>
  </r>
  <r>
    <x v="44"/>
    <x v="354"/>
    <s v="Glorificador con cenefa"/>
    <s v="Total"/>
    <x v="1"/>
    <x v="0"/>
    <x v="0"/>
    <x v="0"/>
    <n v="775481.69"/>
    <n v="775481.69"/>
    <n v="497.10364743589741"/>
    <m/>
    <m/>
    <s v="31"/>
    <x v="1293"/>
    <x v="0"/>
  </r>
  <r>
    <x v="44"/>
    <x v="354"/>
    <s v="Glorificador con cenefa"/>
    <s v="Total"/>
    <x v="1"/>
    <x v="0"/>
    <x v="0"/>
    <x v="0"/>
    <n v="13033.31"/>
    <n v="13033.31"/>
    <n v="8.354685897435898"/>
    <s v="Retenciones"/>
    <m/>
    <s v="31"/>
    <x v="1293"/>
    <x v="0"/>
  </r>
  <r>
    <x v="4"/>
    <x v="355"/>
    <s v="Reparacion tractor John Deere Macarena"/>
    <s v="Total"/>
    <x v="1"/>
    <x v="0"/>
    <x v="1"/>
    <x v="0"/>
    <n v="1950000"/>
    <n v="1950000"/>
    <n v="1250"/>
    <m/>
    <m/>
    <s v="51"/>
    <x v="1294"/>
    <x v="0"/>
  </r>
  <r>
    <x v="4"/>
    <x v="355"/>
    <s v="Reparacion tractor John Deere Macarena"/>
    <s v="Total"/>
    <x v="1"/>
    <x v="0"/>
    <x v="0"/>
    <x v="0"/>
    <n v="196480"/>
    <n v="196480"/>
    <n v="125.94871794871794"/>
    <m/>
    <m/>
    <s v="51"/>
    <x v="1294"/>
    <x v="0"/>
  </r>
  <r>
    <x v="68"/>
    <x v="356"/>
    <s v="Discos Toping"/>
    <s v="Fijo"/>
    <x v="1"/>
    <x v="0"/>
    <x v="1"/>
    <x v="0"/>
    <n v="2678940"/>
    <n v="2678940"/>
    <n v="1717.2692307692307"/>
    <s v="Urgente!"/>
    <m/>
    <s v="23"/>
    <x v="0"/>
    <x v="0"/>
  </r>
  <r>
    <x v="64"/>
    <x v="357"/>
    <s v="Discos Toping"/>
    <s v="Total"/>
    <x v="1"/>
    <x v="0"/>
    <x v="1"/>
    <x v="0"/>
    <n v="563801"/>
    <n v="563801"/>
    <n v="361.41089743589743"/>
    <m/>
    <d v="2026-06-28T00:00:00"/>
    <n v="27"/>
    <x v="1295"/>
    <x v="0"/>
  </r>
  <r>
    <x v="64"/>
    <x v="357"/>
    <s v="Discos Toping"/>
    <s v="Total"/>
    <x v="1"/>
    <x v="0"/>
    <x v="1"/>
    <x v="0"/>
    <n v="563801"/>
    <n v="563801"/>
    <n v="361.41089743589743"/>
    <m/>
    <d v="2026-07-02T00:00:00"/>
    <n v="27"/>
    <x v="1295"/>
    <x v="0"/>
  </r>
  <r>
    <x v="64"/>
    <x v="357"/>
    <s v="Discos Toping"/>
    <s v="Total"/>
    <x v="1"/>
    <x v="0"/>
    <x v="1"/>
    <x v="0"/>
    <n v="14396"/>
    <n v="14396"/>
    <n v="9.2282051282051274"/>
    <s v="Retenciones"/>
    <m/>
    <s v="22"/>
    <x v="1295"/>
    <x v="0"/>
  </r>
  <r>
    <x v="35"/>
    <x v="357"/>
    <s v="Reposición de chueque sin fondos"/>
    <s v="Total"/>
    <x v="1"/>
    <x v="0"/>
    <x v="0"/>
    <x v="0"/>
    <n v="563801"/>
    <n v="563801"/>
    <n v="361.41089743589743"/>
    <m/>
    <m/>
    <s v="27"/>
    <x v="1296"/>
    <x v="0"/>
  </r>
  <r>
    <x v="10"/>
    <x v="358"/>
    <s v="Tapas Frascos"/>
    <s v="Total"/>
    <x v="1"/>
    <x v="0"/>
    <x v="0"/>
    <x v="0"/>
    <n v="123904"/>
    <n v="123904"/>
    <n v="79.425641025641028"/>
    <m/>
    <m/>
    <s v="48"/>
    <x v="1297"/>
    <x v="0"/>
  </r>
  <r>
    <x v="17"/>
    <x v="359"/>
    <s v="Mangas Descartables - Pedido de planta "/>
    <s v="Total"/>
    <x v="1"/>
    <x v="0"/>
    <x v="0"/>
    <x v="0"/>
    <n v="50000"/>
    <n v="50000"/>
    <n v="32.051282051282051"/>
    <m/>
    <m/>
    <s v="26"/>
    <x v="0"/>
    <x v="0"/>
  </r>
  <r>
    <x v="55"/>
    <x v="360"/>
    <s v="Articulos de limpieza Planta / campo / bodega"/>
    <s v="Total"/>
    <x v="1"/>
    <x v="0"/>
    <x v="2"/>
    <x v="0"/>
    <n v="49500"/>
    <n v="49500"/>
    <n v="31.73076923076923"/>
    <m/>
    <m/>
    <s v="19"/>
    <x v="1298"/>
    <x v="0"/>
  </r>
  <r>
    <x v="83"/>
    <x v="360"/>
    <s v="Productos de limpieza - Planta / Campo / Bodega"/>
    <s v="Total"/>
    <x v="1"/>
    <x v="0"/>
    <x v="0"/>
    <x v="0"/>
    <n v="444000.12"/>
    <n v="444000.12"/>
    <n v="284.61546153846155"/>
    <s v="Transf. 50% 01/04 -50% 08/04"/>
    <m/>
    <s v="14"/>
    <x v="0"/>
    <x v="0"/>
  </r>
  <r>
    <x v="84"/>
    <x v="360"/>
    <s v="Productos de limpieza - Planta / Campo "/>
    <s v="Total"/>
    <x v="1"/>
    <x v="0"/>
    <x v="0"/>
    <x v="0"/>
    <n v="41800.080000000002"/>
    <n v="41800.080000000002"/>
    <n v="26.794923076923077"/>
    <m/>
    <m/>
    <s v="18"/>
    <x v="1299"/>
    <x v="0"/>
  </r>
  <r>
    <x v="25"/>
    <x v="360"/>
    <s v="Productos de limpieza - Planta - Campo"/>
    <s v="Total"/>
    <x v="2"/>
    <x v="0"/>
    <x v="2"/>
    <x v="0"/>
    <n v="35200"/>
    <n v="35200"/>
    <n v="22.564102564102566"/>
    <m/>
    <m/>
    <s v="27"/>
    <x v="1300"/>
    <x v="0"/>
  </r>
  <r>
    <x v="53"/>
    <x v="361"/>
    <s v="Pedido limpieza - Planta - campo -  ventas"/>
    <s v="Total"/>
    <x v="2"/>
    <x v="0"/>
    <x v="2"/>
    <x v="0"/>
    <n v="43400.01"/>
    <n v="43400.01"/>
    <n v="27.820519230769232"/>
    <m/>
    <m/>
    <s v="17"/>
    <x v="1301"/>
    <x v="0"/>
  </r>
  <r>
    <x v="60"/>
    <x v="362"/>
    <s v="Pedido de campo - herramientas"/>
    <s v="Total"/>
    <x v="1"/>
    <x v="0"/>
    <x v="1"/>
    <x v="0"/>
    <n v="715638.72"/>
    <n v="715638.72"/>
    <n v="458.74276923076923"/>
    <m/>
    <d v="2025-10-10T00:00:00"/>
    <n v="41"/>
    <x v="1302"/>
    <x v="0"/>
  </r>
  <r>
    <x v="68"/>
    <x v="363"/>
    <s v="Honorario"/>
    <s v="Total"/>
    <x v="3"/>
    <x v="0"/>
    <x v="0"/>
    <x v="0"/>
    <n v="245000"/>
    <n v="245000"/>
    <n v="157.05128205128204"/>
    <m/>
    <m/>
    <s v="23"/>
    <x v="1303"/>
    <x v="0"/>
  </r>
  <r>
    <x v="26"/>
    <x v="363"/>
    <s v="Honorarios profesionales"/>
    <s v="Total"/>
    <x v="3"/>
    <x v="0"/>
    <x v="0"/>
    <x v="0"/>
    <n v="245000"/>
    <n v="245000"/>
    <n v="157.05128205128204"/>
    <m/>
    <m/>
    <s v="29"/>
    <x v="1304"/>
    <x v="0"/>
  </r>
  <r>
    <x v="5"/>
    <x v="363"/>
    <s v="Servicio control factura energia"/>
    <s v="Total"/>
    <x v="3"/>
    <x v="0"/>
    <x v="0"/>
    <x v="0"/>
    <n v="245000"/>
    <n v="245000"/>
    <n v="157.05128205128204"/>
    <m/>
    <m/>
    <s v="34"/>
    <x v="1305"/>
    <x v="0"/>
  </r>
  <r>
    <x v="18"/>
    <x v="363"/>
    <s v="Servicio control factura energia"/>
    <s v="Total"/>
    <x v="3"/>
    <x v="0"/>
    <x v="0"/>
    <x v="0"/>
    <n v="245000"/>
    <n v="245000"/>
    <n v="157.05128205128204"/>
    <m/>
    <m/>
    <s v="39"/>
    <x v="1306"/>
    <x v="0"/>
  </r>
  <r>
    <x v="30"/>
    <x v="363"/>
    <s v="Analisis Facturas Edelar"/>
    <s v="Total"/>
    <x v="3"/>
    <x v="0"/>
    <x v="0"/>
    <x v="0"/>
    <n v="245000"/>
    <n v="245000"/>
    <n v="157.05128205128204"/>
    <m/>
    <m/>
    <s v="43"/>
    <x v="1307"/>
    <x v="0"/>
  </r>
  <r>
    <x v="7"/>
    <x v="363"/>
    <m/>
    <s v="Total"/>
    <x v="3"/>
    <x v="0"/>
    <x v="0"/>
    <x v="0"/>
    <n v="245000"/>
    <n v="245000"/>
    <n v="157.05128205128204"/>
    <m/>
    <m/>
    <s v="46"/>
    <x v="1308"/>
    <x v="0"/>
  </r>
  <r>
    <x v="13"/>
    <x v="363"/>
    <m/>
    <s v="Total"/>
    <x v="3"/>
    <x v="0"/>
    <x v="0"/>
    <x v="0"/>
    <n v="245000"/>
    <n v="245000"/>
    <n v="157.05128205128204"/>
    <m/>
    <m/>
    <s v="07"/>
    <x v="1309"/>
    <x v="0"/>
  </r>
  <r>
    <x v="33"/>
    <x v="363"/>
    <s v="Correción de factor de potencia"/>
    <s v="Total"/>
    <x v="3"/>
    <x v="0"/>
    <x v="1"/>
    <x v="0"/>
    <n v="3000000"/>
    <n v="3000000"/>
    <n v="1923.0769230769231"/>
    <m/>
    <d v="2026-04-24T00:00:00"/>
    <n v="17"/>
    <x v="1310"/>
    <x v="0"/>
  </r>
  <r>
    <x v="20"/>
    <x v="363"/>
    <s v="Honorarios profesionales"/>
    <s v="Total"/>
    <x v="3"/>
    <x v="0"/>
    <x v="0"/>
    <x v="0"/>
    <n v="245000"/>
    <n v="245000"/>
    <n v="157.05128205128204"/>
    <m/>
    <m/>
    <s v="15"/>
    <x v="1311"/>
    <x v="0"/>
  </r>
  <r>
    <x v="22"/>
    <x v="363"/>
    <s v="Honorarios profesionales"/>
    <s v="Total"/>
    <x v="3"/>
    <x v="0"/>
    <x v="0"/>
    <x v="0"/>
    <n v="490000"/>
    <n v="490000"/>
    <n v="314.10256410256409"/>
    <m/>
    <m/>
    <s v="23"/>
    <x v="1312"/>
    <x v="0"/>
  </r>
  <r>
    <x v="39"/>
    <x v="363"/>
    <s v="Honorarios profesionales"/>
    <s v="Total"/>
    <x v="3"/>
    <x v="0"/>
    <x v="0"/>
    <x v="0"/>
    <n v="928325.52"/>
    <n v="928325.52"/>
    <n v="595.08046153846158"/>
    <m/>
    <d v="2026-10-17T00:00:00"/>
    <n v="42"/>
    <x v="1313"/>
    <x v="0"/>
  </r>
  <r>
    <x v="39"/>
    <x v="363"/>
    <s v="Honorarios profesionales"/>
    <s v="Total"/>
    <x v="3"/>
    <x v="0"/>
    <x v="0"/>
    <x v="0"/>
    <n v="51674.48"/>
    <n v="51674.48"/>
    <n v="33.12466666666667"/>
    <m/>
    <m/>
    <s v="38"/>
    <x v="1313"/>
    <x v="0"/>
  </r>
  <r>
    <x v="54"/>
    <x v="363"/>
    <s v="Cheque rechazado"/>
    <s v="Total"/>
    <x v="0"/>
    <x v="0"/>
    <x v="0"/>
    <x v="0"/>
    <n v="1000000"/>
    <n v="1000000"/>
    <n v="641.02564102564099"/>
    <m/>
    <m/>
    <s v="41"/>
    <x v="1314"/>
    <x v="0"/>
  </r>
  <r>
    <x v="54"/>
    <x v="363"/>
    <s v="Cheque rechazado"/>
    <s v="Total"/>
    <x v="0"/>
    <x v="0"/>
    <x v="0"/>
    <x v="0"/>
    <n v="2031307.53"/>
    <n v="2031307.53"/>
    <n v="1302.1202115384615"/>
    <m/>
    <m/>
    <s v="41"/>
    <x v="1314"/>
    <x v="0"/>
  </r>
  <r>
    <x v="3"/>
    <x v="364"/>
    <s v="Placas fenolico  (11) pedido planta"/>
    <s v="Total"/>
    <x v="0"/>
    <x v="0"/>
    <x v="1"/>
    <x v="0"/>
    <n v="1497338.29"/>
    <n v="1497338.29"/>
    <n v="959.83223717948715"/>
    <m/>
    <m/>
    <s v="44"/>
    <x v="0"/>
    <x v="1"/>
  </r>
  <r>
    <x v="16"/>
    <x v="363"/>
    <s v="Honorarios"/>
    <s v="Total"/>
    <x v="0"/>
    <x v="0"/>
    <x v="0"/>
    <x v="0"/>
    <n v="245000"/>
    <n v="245000"/>
    <n v="157.05128205128204"/>
    <m/>
    <m/>
    <s v="43"/>
    <x v="1315"/>
    <x v="0"/>
  </r>
  <r>
    <x v="52"/>
    <x v="365"/>
    <s v="Cubiertas Fiat Toro"/>
    <s v="Total"/>
    <x v="1"/>
    <x v="0"/>
    <x v="1"/>
    <x v="0"/>
    <n v="225927.23"/>
    <n v="225927.23"/>
    <n v="144.82514743589743"/>
    <m/>
    <d v="2025-10-17T00:00:00"/>
    <n v="42"/>
    <x v="1316"/>
    <x v="0"/>
  </r>
  <r>
    <x v="11"/>
    <x v="366"/>
    <s v="Camaras KM24"/>
    <s v="Total"/>
    <x v="1"/>
    <x v="0"/>
    <x v="0"/>
    <x v="0"/>
    <n v="229900"/>
    <n v="229900"/>
    <n v="147.37179487179486"/>
    <m/>
    <m/>
    <s v="37"/>
    <x v="1317"/>
    <x v="0"/>
  </r>
  <r>
    <x v="76"/>
    <x v="367"/>
    <s v="Obra Planta de Aceite  contrapiso/cierre/adicionales"/>
    <s v="Total"/>
    <x v="1"/>
    <x v="1"/>
    <x v="2"/>
    <x v="0"/>
    <n v="7000000"/>
    <n v="7000000"/>
    <n v="4487.1794871794873"/>
    <m/>
    <m/>
    <s v="12"/>
    <x v="0"/>
    <x v="0"/>
  </r>
  <r>
    <x v="78"/>
    <x v="367"/>
    <s v="Pago por trabajos planta de aceite "/>
    <s v="Total"/>
    <x v="1"/>
    <x v="1"/>
    <x v="2"/>
    <x v="0"/>
    <n v="5000000"/>
    <n v="5000000"/>
    <n v="3205.1282051282051"/>
    <m/>
    <m/>
    <s v="13"/>
    <x v="0"/>
    <x v="0"/>
  </r>
  <r>
    <x v="78"/>
    <x v="367"/>
    <s v="Pago por trabajos planta de aceite "/>
    <s v="Total"/>
    <x v="1"/>
    <x v="1"/>
    <x v="1"/>
    <x v="0"/>
    <n v="5000000"/>
    <n v="5000000"/>
    <n v="3205.1282051282051"/>
    <m/>
    <m/>
    <s v="13"/>
    <x v="0"/>
    <x v="0"/>
  </r>
  <r>
    <x v="83"/>
    <x v="367"/>
    <s v="Pago por trabajos planta de aceite "/>
    <s v="Total"/>
    <x v="1"/>
    <x v="1"/>
    <x v="2"/>
    <x v="0"/>
    <n v="5000000"/>
    <n v="5000000"/>
    <n v="3205.1282051282051"/>
    <m/>
    <m/>
    <s v="14"/>
    <x v="0"/>
    <x v="0"/>
  </r>
  <r>
    <x v="83"/>
    <x v="367"/>
    <s v="Pago por trabajos planta de aceite "/>
    <s v="Total"/>
    <x v="1"/>
    <x v="1"/>
    <x v="1"/>
    <x v="0"/>
    <n v="5000000"/>
    <n v="5000000"/>
    <n v="3205.1282051282051"/>
    <m/>
    <m/>
    <s v="14"/>
    <x v="0"/>
    <x v="0"/>
  </r>
  <r>
    <x v="1"/>
    <x v="367"/>
    <s v="Cava  "/>
    <s v="Total"/>
    <x v="1"/>
    <x v="1"/>
    <x v="1"/>
    <x v="0"/>
    <n v="1988800"/>
    <n v="1988800"/>
    <n v="1274.8717948717949"/>
    <m/>
    <m/>
    <s v="21"/>
    <x v="0"/>
    <x v="0"/>
  </r>
  <r>
    <x v="68"/>
    <x v="367"/>
    <s v="Obra Cava"/>
    <s v="Total"/>
    <x v="0"/>
    <x v="1"/>
    <x v="1"/>
    <x v="0"/>
    <n v="5910245.2699999996"/>
    <n v="5910245.2699999996"/>
    <n v="3788.6187628205125"/>
    <s v="Cheque 03/06"/>
    <d v="2025-06-03T00:00:00"/>
    <n v="23"/>
    <x v="0"/>
    <x v="0"/>
  </r>
  <r>
    <x v="17"/>
    <x v="367"/>
    <s v="Fruta Fresca campaña 2025"/>
    <s v="Total"/>
    <x v="4"/>
    <x v="1"/>
    <x v="1"/>
    <x v="0"/>
    <n v="1100000"/>
    <n v="1100000"/>
    <n v="705.12820512820508"/>
    <m/>
    <s v="25/07/2025"/>
    <n v="30"/>
    <x v="0"/>
    <x v="0"/>
  </r>
  <r>
    <x v="17"/>
    <x v="367"/>
    <s v="Fruta Fresca campaña 2025"/>
    <s v="Total"/>
    <x v="4"/>
    <x v="1"/>
    <x v="1"/>
    <x v="0"/>
    <n v="1684000"/>
    <n v="1684000"/>
    <n v="1079.4871794871794"/>
    <m/>
    <s v="20/07/2025"/>
    <n v="30"/>
    <x v="0"/>
    <x v="0"/>
  </r>
  <r>
    <x v="17"/>
    <x v="367"/>
    <s v="Fruta Fresca campaña 2025"/>
    <s v="Total"/>
    <x v="4"/>
    <x v="1"/>
    <x v="1"/>
    <x v="0"/>
    <n v="1700000"/>
    <n v="1700000"/>
    <n v="1089.7435897435898"/>
    <m/>
    <s v="21/07/2025"/>
    <n v="30"/>
    <x v="0"/>
    <x v="0"/>
  </r>
  <r>
    <x v="17"/>
    <x v="367"/>
    <s v="Fruta Fresca campaña 2025"/>
    <s v="Total"/>
    <x v="4"/>
    <x v="1"/>
    <x v="1"/>
    <x v="0"/>
    <n v="2224319"/>
    <n v="2224319"/>
    <n v="1425.8455128205128"/>
    <m/>
    <s v="20/07/2025"/>
    <n v="30"/>
    <x v="0"/>
    <x v="0"/>
  </r>
  <r>
    <x v="17"/>
    <x v="367"/>
    <s v="Fruta Fresca campaña 2025"/>
    <s v="Total"/>
    <x v="4"/>
    <x v="1"/>
    <x v="2"/>
    <x v="0"/>
    <n v="1500000"/>
    <n v="1500000"/>
    <n v="961.53846153846155"/>
    <m/>
    <m/>
    <s v="26"/>
    <x v="1318"/>
    <x v="0"/>
  </r>
  <r>
    <x v="17"/>
    <x v="367"/>
    <s v="Fruta Fresca campaña 2025"/>
    <s v="Total"/>
    <x v="4"/>
    <x v="1"/>
    <x v="0"/>
    <x v="0"/>
    <n v="1500000"/>
    <n v="1500000"/>
    <n v="961.53846153846155"/>
    <m/>
    <m/>
    <s v="26"/>
    <x v="1319"/>
    <x v="0"/>
  </r>
  <r>
    <x v="17"/>
    <x v="367"/>
    <s v="Fruta Fresca campaña 2025"/>
    <s v="Total"/>
    <x v="4"/>
    <x v="1"/>
    <x v="1"/>
    <x v="0"/>
    <n v="660000"/>
    <n v="660000"/>
    <n v="423.07692307692309"/>
    <m/>
    <d v="2025-07-29T00:00:00"/>
    <n v="31"/>
    <x v="1319"/>
    <x v="0"/>
  </r>
  <r>
    <x v="17"/>
    <x v="367"/>
    <s v="Fruta Fresca campaña 2025"/>
    <s v="Total"/>
    <x v="4"/>
    <x v="1"/>
    <x v="1"/>
    <x v="0"/>
    <n v="2500000"/>
    <n v="2500000"/>
    <n v="1602.5641025641025"/>
    <m/>
    <d v="2025-07-20T00:00:00"/>
    <n v="30"/>
    <x v="1319"/>
    <x v="0"/>
  </r>
  <r>
    <x v="48"/>
    <x v="367"/>
    <s v="Planta de aceite   "/>
    <s v="Total"/>
    <x v="1"/>
    <x v="1"/>
    <x v="2"/>
    <x v="0"/>
    <n v="5000000"/>
    <n v="5000000"/>
    <n v="3205.1282051282051"/>
    <m/>
    <m/>
    <s v="16"/>
    <x v="0"/>
    <x v="0"/>
  </r>
  <r>
    <x v="48"/>
    <x v="367"/>
    <s v="Planta de aceite   "/>
    <s v="Total"/>
    <x v="1"/>
    <x v="1"/>
    <x v="1"/>
    <x v="0"/>
    <n v="10000000"/>
    <n v="10000000"/>
    <n v="6410.2564102564102"/>
    <m/>
    <m/>
    <s v="16"/>
    <x v="0"/>
    <x v="0"/>
  </r>
  <r>
    <x v="51"/>
    <x v="367"/>
    <s v="Cava / Planta Aceite"/>
    <s v="Total"/>
    <x v="1"/>
    <x v="0"/>
    <x v="2"/>
    <x v="0"/>
    <n v="5000000"/>
    <n v="5000000"/>
    <n v="3205.1282051282051"/>
    <m/>
    <m/>
    <s v="17"/>
    <x v="0"/>
    <x v="0"/>
  </r>
  <r>
    <x v="84"/>
    <x v="367"/>
    <s v="Cava / Planta Aceite"/>
    <s v="Total"/>
    <x v="1"/>
    <x v="0"/>
    <x v="2"/>
    <x v="0"/>
    <n v="1000000"/>
    <n v="1000000"/>
    <n v="641.02564102564099"/>
    <m/>
    <m/>
    <s v="18"/>
    <x v="1320"/>
    <x v="0"/>
  </r>
  <r>
    <x v="84"/>
    <x v="367"/>
    <s v="Trabajo rio Cerrillos"/>
    <s v="Total"/>
    <x v="1"/>
    <x v="1"/>
    <x v="1"/>
    <x v="0"/>
    <n v="800000"/>
    <n v="800000"/>
    <n v="512.82051282051282"/>
    <m/>
    <m/>
    <s v="18"/>
    <x v="1320"/>
    <x v="0"/>
  </r>
  <r>
    <x v="67"/>
    <x v="367"/>
    <s v="Obra Cava"/>
    <s v="Total"/>
    <x v="1"/>
    <x v="1"/>
    <x v="2"/>
    <x v="0"/>
    <n v="2000000"/>
    <n v="2000000"/>
    <n v="1282.051282051282"/>
    <m/>
    <m/>
    <s v="24"/>
    <x v="1321"/>
    <x v="0"/>
  </r>
  <r>
    <x v="5"/>
    <x v="368"/>
    <s v="Reparación camara de frio famatina"/>
    <s v="Total"/>
    <x v="1"/>
    <x v="0"/>
    <x v="1"/>
    <x v="0"/>
    <n v="459543"/>
    <n v="459543"/>
    <n v="294.57884615384614"/>
    <m/>
    <m/>
    <s v="34"/>
    <x v="1322"/>
    <x v="0"/>
  </r>
  <r>
    <x v="5"/>
    <x v="368"/>
    <s v="Reparación camara de frio famatina"/>
    <s v="Total"/>
    <x v="1"/>
    <x v="0"/>
    <x v="1"/>
    <x v="0"/>
    <n v="95000"/>
    <n v="95000"/>
    <n v="60.897435897435898"/>
    <m/>
    <m/>
    <s v="34"/>
    <x v="1322"/>
    <x v="0"/>
  </r>
  <r>
    <x v="5"/>
    <x v="368"/>
    <s v="Reparación camara de frio famatina"/>
    <s v="Total"/>
    <x v="1"/>
    <x v="0"/>
    <x v="0"/>
    <x v="0"/>
    <n v="400000"/>
    <n v="400000"/>
    <n v="256.41025641025641"/>
    <m/>
    <m/>
    <s v="34"/>
    <x v="1322"/>
    <x v="0"/>
  </r>
  <r>
    <x v="5"/>
    <x v="368"/>
    <s v="Reparación camara de frio famatina"/>
    <s v="Total"/>
    <x v="1"/>
    <x v="0"/>
    <x v="1"/>
    <x v="0"/>
    <n v="250000"/>
    <n v="250000"/>
    <n v="160.25641025641025"/>
    <m/>
    <m/>
    <s v="34"/>
    <x v="1322"/>
    <x v="0"/>
  </r>
  <r>
    <x v="31"/>
    <x v="369"/>
    <s v="Materiales intalacion de aire compras"/>
    <s v="Total"/>
    <x v="1"/>
    <x v="0"/>
    <x v="0"/>
    <x v="0"/>
    <n v="64387"/>
    <n v="64387"/>
    <n v="41.273717948717952"/>
    <m/>
    <m/>
    <s v="45"/>
    <x v="1323"/>
    <x v="0"/>
  </r>
  <r>
    <x v="67"/>
    <x v="370"/>
    <s v="Mesada e unstalacion de baño salon de ventas"/>
    <s v="Total"/>
    <x v="1"/>
    <x v="0"/>
    <x v="0"/>
    <x v="0"/>
    <n v="342500"/>
    <n v="342500"/>
    <n v="219.55128205128204"/>
    <m/>
    <m/>
    <s v="24"/>
    <x v="0"/>
    <x v="0"/>
  </r>
  <r>
    <x v="84"/>
    <x v="371"/>
    <s v="Alquiler Baños quimicos"/>
    <s v="Total"/>
    <x v="1"/>
    <x v="0"/>
    <x v="1"/>
    <x v="0"/>
    <n v="600000"/>
    <n v="600000"/>
    <n v="384.61538461538464"/>
    <s v="CH 20 dias"/>
    <m/>
    <s v="18"/>
    <x v="1324"/>
    <x v="0"/>
  </r>
  <r>
    <x v="84"/>
    <x v="371"/>
    <s v="Alquiler Baños quimicos"/>
    <s v="Total"/>
    <x v="1"/>
    <x v="0"/>
    <x v="0"/>
    <x v="0"/>
    <n v="600000"/>
    <n v="600000"/>
    <n v="384.61538461538464"/>
    <m/>
    <m/>
    <s v="18"/>
    <x v="1325"/>
    <x v="0"/>
  </r>
  <r>
    <x v="49"/>
    <x v="372"/>
    <s v="Combustible"/>
    <s v="Total"/>
    <x v="1"/>
    <x v="0"/>
    <x v="2"/>
    <x v="0"/>
    <n v="108000"/>
    <n v="108000"/>
    <n v="69.230769230769226"/>
    <m/>
    <m/>
    <s v="25"/>
    <x v="0"/>
    <x v="0"/>
  </r>
  <r>
    <x v="76"/>
    <x v="372"/>
    <s v="Combustible"/>
    <s v="Total"/>
    <x v="2"/>
    <x v="0"/>
    <x v="2"/>
    <x v="0"/>
    <n v="120000"/>
    <n v="120000"/>
    <n v="76.92307692307692"/>
    <m/>
    <m/>
    <s v="12"/>
    <x v="1326"/>
    <x v="0"/>
  </r>
  <r>
    <x v="83"/>
    <x v="372"/>
    <s v="Combustible"/>
    <s v="Total"/>
    <x v="2"/>
    <x v="0"/>
    <x v="2"/>
    <x v="0"/>
    <n v="120000"/>
    <n v="120000"/>
    <n v="76.92307692307692"/>
    <m/>
    <m/>
    <s v="14"/>
    <x v="0"/>
    <x v="0"/>
  </r>
  <r>
    <x v="51"/>
    <x v="372"/>
    <s v="Combustible"/>
    <s v="Total"/>
    <x v="2"/>
    <x v="0"/>
    <x v="2"/>
    <x v="0"/>
    <n v="120000"/>
    <n v="120000"/>
    <n v="76.92307692307692"/>
    <m/>
    <m/>
    <s v="17"/>
    <x v="0"/>
    <x v="0"/>
  </r>
  <r>
    <x v="78"/>
    <x v="372"/>
    <s v="Combustrible"/>
    <s v="Total"/>
    <x v="2"/>
    <x v="0"/>
    <x v="2"/>
    <x v="0"/>
    <n v="122010"/>
    <n v="122010"/>
    <n v="78.211538461538467"/>
    <m/>
    <m/>
    <s v="13"/>
    <x v="0"/>
    <x v="0"/>
  </r>
  <r>
    <x v="82"/>
    <x v="372"/>
    <s v="Combustible"/>
    <s v="Total"/>
    <x v="2"/>
    <x v="0"/>
    <x v="2"/>
    <x v="0"/>
    <n v="120000"/>
    <n v="120000"/>
    <n v="76.92307692307692"/>
    <m/>
    <m/>
    <s v="15"/>
    <x v="0"/>
    <x v="0"/>
  </r>
  <r>
    <x v="55"/>
    <x v="372"/>
    <s v="Combustible"/>
    <s v="Total"/>
    <x v="2"/>
    <x v="0"/>
    <x v="2"/>
    <x v="0"/>
    <n v="112004.98"/>
    <n v="112004.98"/>
    <n v="71.798064102564098"/>
    <m/>
    <m/>
    <s v="19"/>
    <x v="0"/>
    <x v="0"/>
  </r>
  <r>
    <x v="1"/>
    <x v="372"/>
    <s v="Combustible"/>
    <s v="Total"/>
    <x v="2"/>
    <x v="0"/>
    <x v="2"/>
    <x v="0"/>
    <n v="120000"/>
    <n v="120000"/>
    <n v="76.92307692307692"/>
    <m/>
    <m/>
    <s v="21"/>
    <x v="0"/>
    <x v="0"/>
  </r>
  <r>
    <x v="68"/>
    <x v="372"/>
    <s v="Combustible"/>
    <s v="Total"/>
    <x v="2"/>
    <x v="0"/>
    <x v="2"/>
    <x v="0"/>
    <n v="109004.01"/>
    <n v="109004.01"/>
    <n v="69.874365384615388"/>
    <m/>
    <m/>
    <s v="23"/>
    <x v="0"/>
    <x v="0"/>
  </r>
  <r>
    <x v="21"/>
    <x v="372"/>
    <s v="Combustible"/>
    <s v="Total"/>
    <x v="2"/>
    <x v="0"/>
    <x v="2"/>
    <x v="0"/>
    <n v="121095.94"/>
    <n v="121095.94"/>
    <n v="77.625602564102564"/>
    <m/>
    <m/>
    <s v="28"/>
    <x v="1327"/>
    <x v="0"/>
  </r>
  <r>
    <x v="21"/>
    <x v="372"/>
    <s v="Botas Operario"/>
    <s v="Total"/>
    <x v="2"/>
    <x v="0"/>
    <x v="2"/>
    <x v="0"/>
    <n v="59000"/>
    <n v="59000"/>
    <n v="37.820512820512818"/>
    <m/>
    <m/>
    <s v="28"/>
    <x v="1328"/>
    <x v="0"/>
  </r>
  <r>
    <x v="7"/>
    <x v="372"/>
    <s v="Combustible"/>
    <s v="Total"/>
    <x v="2"/>
    <x v="0"/>
    <x v="2"/>
    <x v="0"/>
    <n v="140000"/>
    <n v="140000"/>
    <n v="89.743589743589737"/>
    <m/>
    <m/>
    <s v="46"/>
    <x v="1329"/>
    <x v="0"/>
  </r>
  <r>
    <x v="4"/>
    <x v="373"/>
    <s v="Combustible"/>
    <s v="Total"/>
    <x v="2"/>
    <x v="0"/>
    <x v="2"/>
    <x v="0"/>
    <n v="140000"/>
    <n v="140000"/>
    <n v="89.743589743589737"/>
    <m/>
    <m/>
    <s v="51"/>
    <x v="1330"/>
    <x v="0"/>
  </r>
  <r>
    <x v="50"/>
    <x v="373"/>
    <s v="Combustible"/>
    <s v="Total"/>
    <x v="2"/>
    <x v="0"/>
    <x v="2"/>
    <x v="0"/>
    <n v="140004"/>
    <n v="140004"/>
    <n v="89.746153846153845"/>
    <m/>
    <m/>
    <s v="04"/>
    <x v="1331"/>
    <x v="0"/>
  </r>
  <r>
    <x v="9"/>
    <x v="373"/>
    <s v="Combustible"/>
    <s v="Total"/>
    <x v="2"/>
    <x v="0"/>
    <x v="2"/>
    <x v="0"/>
    <n v="140000"/>
    <n v="140000"/>
    <n v="89.743589743589737"/>
    <m/>
    <m/>
    <s v="05"/>
    <x v="1332"/>
    <x v="0"/>
  </r>
  <r>
    <x v="41"/>
    <x v="373"/>
    <s v="Combustible"/>
    <s v="Total"/>
    <x v="2"/>
    <x v="0"/>
    <x v="2"/>
    <x v="0"/>
    <n v="137000"/>
    <n v="137000"/>
    <n v="87.820512820512818"/>
    <m/>
    <m/>
    <s v="08"/>
    <x v="1333"/>
    <x v="0"/>
  </r>
  <r>
    <x v="73"/>
    <x v="373"/>
    <s v="Combustible"/>
    <s v="Total"/>
    <x v="2"/>
    <x v="0"/>
    <x v="2"/>
    <x v="0"/>
    <n v="147006"/>
    <n v="147006"/>
    <n v="94.234615384615381"/>
    <m/>
    <m/>
    <s v="10"/>
    <x v="1334"/>
    <x v="0"/>
  </r>
  <r>
    <x v="65"/>
    <x v="373"/>
    <s v="Combustible"/>
    <s v="Total"/>
    <x v="2"/>
    <x v="0"/>
    <x v="2"/>
    <x v="0"/>
    <n v="160000"/>
    <n v="160000"/>
    <n v="102.56410256410257"/>
    <m/>
    <m/>
    <s v="13"/>
    <x v="1335"/>
    <x v="0"/>
  </r>
  <r>
    <x v="20"/>
    <x v="373"/>
    <s v="Combustible"/>
    <s v="Total"/>
    <x v="2"/>
    <x v="0"/>
    <x v="2"/>
    <x v="0"/>
    <n v="183999.06"/>
    <n v="183999.06"/>
    <n v="117.94811538461538"/>
    <m/>
    <m/>
    <s v="15"/>
    <x v="1336"/>
    <x v="0"/>
  </r>
  <r>
    <x v="47"/>
    <x v="373"/>
    <s v="Combustible"/>
    <s v="Total"/>
    <x v="2"/>
    <x v="0"/>
    <x v="2"/>
    <x v="0"/>
    <n v="176030.88"/>
    <n v="176030.88"/>
    <n v="112.84030769230769"/>
    <m/>
    <m/>
    <s v="20"/>
    <x v="1337"/>
    <x v="0"/>
  </r>
  <r>
    <x v="47"/>
    <x v="373"/>
    <s v="Combustible"/>
    <s v="Total"/>
    <x v="2"/>
    <x v="0"/>
    <x v="2"/>
    <x v="0"/>
    <n v="190006.02"/>
    <n v="190006.02"/>
    <n v="121.79873076923076"/>
    <m/>
    <m/>
    <s v="20"/>
    <x v="1338"/>
    <x v="0"/>
  </r>
  <r>
    <x v="34"/>
    <x v="373"/>
    <s v="Colocacion de cubiertas / alineado y valanceado "/>
    <s v="Total"/>
    <x v="2"/>
    <x v="0"/>
    <x v="2"/>
    <x v="0"/>
    <n v="60000"/>
    <n v="60000"/>
    <n v="38.46153846153846"/>
    <m/>
    <m/>
    <s v="21"/>
    <x v="109"/>
    <x v="0"/>
  </r>
  <r>
    <x v="22"/>
    <x v="373"/>
    <s v="Combustible"/>
    <s v="Total"/>
    <x v="2"/>
    <x v="0"/>
    <x v="2"/>
    <x v="0"/>
    <n v="190008.89"/>
    <n v="190008.89"/>
    <n v="121.80057051282053"/>
    <m/>
    <m/>
    <s v="23"/>
    <x v="1339"/>
    <x v="0"/>
  </r>
  <r>
    <x v="36"/>
    <x v="373"/>
    <s v="Combustible"/>
    <s v="Total"/>
    <x v="2"/>
    <x v="0"/>
    <x v="2"/>
    <x v="0"/>
    <n v="185012.93"/>
    <n v="185012.93"/>
    <n v="118.59803205128205"/>
    <m/>
    <m/>
    <s v="28"/>
    <x v="1340"/>
    <x v="0"/>
  </r>
  <r>
    <x v="58"/>
    <x v="373"/>
    <s v="Combustible"/>
    <s v="Total"/>
    <x v="2"/>
    <x v="0"/>
    <x v="2"/>
    <x v="0"/>
    <n v="191006.89"/>
    <n v="191006.89"/>
    <n v="122.44031410256412"/>
    <m/>
    <m/>
    <s v="30"/>
    <x v="1341"/>
    <x v="0"/>
  </r>
  <r>
    <x v="77"/>
    <x v="373"/>
    <s v="Combustible"/>
    <s v="Total"/>
    <x v="2"/>
    <x v="0"/>
    <x v="2"/>
    <x v="0"/>
    <n v="200001.08"/>
    <n v="200001.08"/>
    <n v="128.20582051282051"/>
    <m/>
    <m/>
    <s v="35"/>
    <x v="1342"/>
    <x v="0"/>
  </r>
  <r>
    <x v="71"/>
    <x v="373"/>
    <s v="Combustible"/>
    <s v="Total"/>
    <x v="2"/>
    <x v="0"/>
    <x v="2"/>
    <x v="0"/>
    <n v="195019.09"/>
    <n v="195019.09"/>
    <n v="125.01223717948717"/>
    <m/>
    <m/>
    <s v="36"/>
    <x v="1343"/>
    <x v="0"/>
  </r>
  <r>
    <x v="72"/>
    <x v="373"/>
    <s v="Comustible"/>
    <s v="Total"/>
    <x v="2"/>
    <x v="0"/>
    <x v="2"/>
    <x v="0"/>
    <n v="192008"/>
    <n v="192008"/>
    <n v="123.08205128205128"/>
    <m/>
    <m/>
    <s v="39"/>
    <x v="1344"/>
    <x v="0"/>
  </r>
  <r>
    <x v="54"/>
    <x v="373"/>
    <s v="Combustible"/>
    <s v="Total"/>
    <x v="2"/>
    <x v="0"/>
    <x v="2"/>
    <x v="0"/>
    <n v="195004.13"/>
    <n v="195004.13"/>
    <n v="125.00264743589744"/>
    <m/>
    <m/>
    <s v="41"/>
    <x v="1345"/>
    <x v="0"/>
  </r>
  <r>
    <x v="3"/>
    <x v="343"/>
    <s v="Honorarios"/>
    <s v="Total"/>
    <x v="3"/>
    <x v="0"/>
    <x v="0"/>
    <x v="0"/>
    <n v="2896000"/>
    <n v="2896000"/>
    <n v="1856.4102564102564"/>
    <m/>
    <m/>
    <s v="44"/>
    <x v="0"/>
    <x v="2"/>
  </r>
  <r>
    <x v="14"/>
    <x v="374"/>
    <s v="Reparacion arranque suave pozo 19"/>
    <s v="Total"/>
    <x v="1"/>
    <x v="0"/>
    <x v="1"/>
    <x v="0"/>
    <n v="791061.25"/>
    <n v="791061.25"/>
    <n v="507.09054487179486"/>
    <m/>
    <d v="2025-12-19T00:00:00"/>
    <n v="51"/>
    <x v="1346"/>
    <x v="0"/>
  </r>
  <r>
    <x v="9"/>
    <x v="374"/>
    <s v="Reparacion arranque suave pozo 19"/>
    <s v="Total"/>
    <x v="1"/>
    <x v="0"/>
    <x v="0"/>
    <x v="0"/>
    <n v="804356.44"/>
    <n v="804356.44"/>
    <n v="515.61310256410252"/>
    <m/>
    <m/>
    <s v="05"/>
    <x v="1347"/>
    <x v="0"/>
  </r>
  <r>
    <x v="42"/>
    <x v="375"/>
    <s v="Deposito envio china"/>
    <s v="Total"/>
    <x v="1"/>
    <x v="0"/>
    <x v="0"/>
    <x v="0"/>
    <n v="505803.3"/>
    <n v="505803.3"/>
    <n v="324.23288461538459"/>
    <m/>
    <m/>
    <s v="24"/>
    <x v="1348"/>
    <x v="0"/>
  </r>
  <r>
    <x v="42"/>
    <x v="375"/>
    <s v="Deposito envio china"/>
    <s v="Total"/>
    <x v="1"/>
    <x v="0"/>
    <x v="0"/>
    <x v="0"/>
    <n v="8951.7000000000007"/>
    <n v="8951.7000000000007"/>
    <n v="5.7382692307692311"/>
    <s v="Retenciones"/>
    <m/>
    <s v="24"/>
    <x v="1348"/>
    <x v="0"/>
  </r>
  <r>
    <x v="51"/>
    <x v="376"/>
    <s v="Reparacion Lagard Bodega / 50%"/>
    <s v="Total"/>
    <x v="2"/>
    <x v="1"/>
    <x v="1"/>
    <x v="0"/>
    <n v="850000"/>
    <n v="850000"/>
    <n v="544.87179487179492"/>
    <s v="CH día"/>
    <m/>
    <s v="17"/>
    <x v="0"/>
    <x v="0"/>
  </r>
  <r>
    <x v="1"/>
    <x v="376"/>
    <s v="Reparacion Lagard Bodega / saldo"/>
    <s v="Total"/>
    <x v="2"/>
    <x v="1"/>
    <x v="2"/>
    <x v="0"/>
    <n v="250000"/>
    <n v="250000"/>
    <n v="160.25641025641025"/>
    <m/>
    <m/>
    <s v="21"/>
    <x v="1349"/>
    <x v="0"/>
  </r>
  <r>
    <x v="17"/>
    <x v="376"/>
    <s v="Trabajo en planta de aceite (bajada de pontencia a tablero)"/>
    <s v="Total"/>
    <x v="1"/>
    <x v="1"/>
    <x v="2"/>
    <x v="0"/>
    <n v="1580000"/>
    <n v="1580000"/>
    <n v="1012.8205128205128"/>
    <m/>
    <m/>
    <s v="26"/>
    <x v="0"/>
    <x v="0"/>
  </r>
  <r>
    <x v="52"/>
    <x v="376"/>
    <s v="Combustible - Retiro Ballerini"/>
    <s v="Total"/>
    <x v="2"/>
    <x v="0"/>
    <x v="2"/>
    <x v="0"/>
    <n v="110000"/>
    <n v="110000"/>
    <n v="70.512820512820511"/>
    <m/>
    <m/>
    <s v="38"/>
    <x v="1350"/>
    <x v="0"/>
  </r>
  <r>
    <x v="18"/>
    <x v="376"/>
    <s v="Trabajo iluminacion Salon de ventas"/>
    <s v="Total"/>
    <x v="2"/>
    <x v="1"/>
    <x v="2"/>
    <x v="0"/>
    <n v="70000"/>
    <n v="70000"/>
    <n v="44.871794871794869"/>
    <m/>
    <m/>
    <s v="39"/>
    <x v="1351"/>
    <x v="0"/>
  </r>
  <r>
    <x v="15"/>
    <x v="376"/>
    <s v="Trabajo en bodega - reparacion de moledora y bomba a tornillo VELO150"/>
    <s v="Total"/>
    <x v="1"/>
    <x v="1"/>
    <x v="2"/>
    <x v="0"/>
    <n v="200000"/>
    <n v="200000"/>
    <n v="128.2051282051282"/>
    <m/>
    <m/>
    <s v="49"/>
    <x v="1352"/>
    <x v="0"/>
  </r>
  <r>
    <x v="19"/>
    <x v="376"/>
    <s v="Trabajo en bodega - reparacion de moledora y bomba a tornillo VELO150"/>
    <s v="Total"/>
    <x v="1"/>
    <x v="1"/>
    <x v="1"/>
    <x v="0"/>
    <n v="300000"/>
    <n v="300000"/>
    <n v="192.30769230769232"/>
    <m/>
    <m/>
    <s v="50"/>
    <x v="1353"/>
    <x v="0"/>
  </r>
  <r>
    <x v="4"/>
    <x v="376"/>
    <s v="Trabajo en bodega - reparacion de moledora y bomba a tornillo VELO150"/>
    <s v="Total"/>
    <x v="1"/>
    <x v="1"/>
    <x v="2"/>
    <x v="0"/>
    <n v="850000"/>
    <n v="850000"/>
    <n v="544.87179487179492"/>
    <m/>
    <m/>
    <s v="51"/>
    <x v="1354"/>
    <x v="0"/>
  </r>
  <r>
    <x v="9"/>
    <x v="376"/>
    <s v="Combustible"/>
    <s v="Total"/>
    <x v="2"/>
    <x v="0"/>
    <x v="2"/>
    <x v="0"/>
    <n v="140000"/>
    <n v="140000"/>
    <n v="89.743589743589737"/>
    <m/>
    <m/>
    <s v="05"/>
    <x v="1355"/>
    <x v="0"/>
  </r>
  <r>
    <x v="13"/>
    <x v="376"/>
    <s v="Repacaion equipo de frio 2"/>
    <s v="Total"/>
    <x v="1"/>
    <x v="1"/>
    <x v="2"/>
    <x v="0"/>
    <n v="450000"/>
    <n v="450000"/>
    <n v="288.46153846153845"/>
    <m/>
    <m/>
    <s v="07"/>
    <x v="1356"/>
    <x v="0"/>
  </r>
  <r>
    <x v="41"/>
    <x v="376"/>
    <s v="Combustible"/>
    <s v="Total"/>
    <x v="2"/>
    <x v="0"/>
    <x v="2"/>
    <x v="0"/>
    <n v="155001"/>
    <n v="155001"/>
    <n v="99.359615384615381"/>
    <m/>
    <m/>
    <s v="08"/>
    <x v="1357"/>
    <x v="0"/>
  </r>
  <r>
    <x v="73"/>
    <x v="376"/>
    <s v="Repacaion equipo de frio 1 bodega"/>
    <s v="Total"/>
    <x v="0"/>
    <x v="1"/>
    <x v="2"/>
    <x v="0"/>
    <n v="680000"/>
    <n v="680000"/>
    <n v="435.89743589743591"/>
    <m/>
    <m/>
    <s v="10"/>
    <x v="1358"/>
    <x v="0"/>
  </r>
  <r>
    <x v="33"/>
    <x v="376"/>
    <s v="Trabajo service compresor planta (Mano de obra)"/>
    <s v="Total"/>
    <x v="0"/>
    <x v="1"/>
    <x v="1"/>
    <x v="0"/>
    <n v="550000"/>
    <n v="550000"/>
    <n v="352.56410256410254"/>
    <m/>
    <d v="2026-03-06T00:00:00"/>
    <n v="10"/>
    <x v="1359"/>
    <x v="0"/>
  </r>
  <r>
    <x v="65"/>
    <x v="376"/>
    <s v="Combustible - Autoriza Moyano Adrián"/>
    <s v="Total"/>
    <x v="2"/>
    <x v="0"/>
    <x v="2"/>
    <x v="0"/>
    <n v="166000"/>
    <n v="166000"/>
    <n v="106.41025641025641"/>
    <m/>
    <m/>
    <s v="13"/>
    <x v="1360"/>
    <x v="0"/>
  </r>
  <r>
    <x v="47"/>
    <x v="376"/>
    <s v="Combustible"/>
    <s v="Total"/>
    <x v="2"/>
    <x v="0"/>
    <x v="2"/>
    <x v="0"/>
    <n v="180005.99"/>
    <n v="180005.99"/>
    <n v="115.38845512820512"/>
    <m/>
    <m/>
    <s v="20"/>
    <x v="1361"/>
    <x v="0"/>
  </r>
  <r>
    <x v="34"/>
    <x v="376"/>
    <s v="Repacaiones varias bodega"/>
    <s v="Total"/>
    <x v="2"/>
    <x v="1"/>
    <x v="1"/>
    <x v="0"/>
    <n v="617866"/>
    <n v="617866"/>
    <n v="396.0679487179487"/>
    <m/>
    <d v="2026-06-20T00:00:00"/>
    <n v="25"/>
    <x v="1362"/>
    <x v="0"/>
  </r>
  <r>
    <x v="42"/>
    <x v="376"/>
    <s v="Trabajo service compresor planta (Mano de obra)"/>
    <s v="Total"/>
    <x v="2"/>
    <x v="1"/>
    <x v="2"/>
    <x v="0"/>
    <n v="800000"/>
    <n v="800000"/>
    <n v="512.82051282051282"/>
    <m/>
    <m/>
    <s v="24"/>
    <x v="1363"/>
    <x v="0"/>
  </r>
  <r>
    <x v="43"/>
    <x v="376"/>
    <s v="Combustible"/>
    <s v="Total"/>
    <x v="2"/>
    <x v="0"/>
    <x v="2"/>
    <x v="0"/>
    <n v="190001.08"/>
    <n v="190001.08"/>
    <n v="121.7955641025641"/>
    <m/>
    <m/>
    <s v="26"/>
    <x v="1364"/>
    <x v="0"/>
  </r>
  <r>
    <x v="35"/>
    <x v="376"/>
    <s v="Trabajos realizados de elecricidad"/>
    <s v="Total"/>
    <x v="2"/>
    <x v="1"/>
    <x v="2"/>
    <x v="0"/>
    <n v="500000"/>
    <n v="500000"/>
    <n v="320.5128205128205"/>
    <m/>
    <m/>
    <s v="27"/>
    <x v="1365"/>
    <x v="0"/>
  </r>
  <r>
    <x v="36"/>
    <x v="376"/>
    <s v="Combustible"/>
    <s v="Total"/>
    <x v="2"/>
    <x v="0"/>
    <x v="2"/>
    <x v="0"/>
    <n v="195012.93"/>
    <n v="195012.93"/>
    <n v="125.00828846153846"/>
    <m/>
    <m/>
    <s v="28"/>
    <x v="1366"/>
    <x v="0"/>
  </r>
  <r>
    <x v="58"/>
    <x v="376"/>
    <s v="Trabajo realizado"/>
    <s v="Total"/>
    <x v="2"/>
    <x v="1"/>
    <x v="2"/>
    <x v="0"/>
    <n v="500000"/>
    <n v="500000"/>
    <n v="320.5128205128205"/>
    <m/>
    <m/>
    <s v="30"/>
    <x v="1367"/>
    <x v="0"/>
  </r>
  <r>
    <x v="44"/>
    <x v="376"/>
    <s v="Repacaiones varias bodega"/>
    <s v="Total"/>
    <x v="0"/>
    <x v="1"/>
    <x v="2"/>
    <x v="0"/>
    <n v="500000"/>
    <n v="500000"/>
    <n v="320.5128205128205"/>
    <m/>
    <m/>
    <s v="31"/>
    <x v="1368"/>
    <x v="0"/>
  </r>
  <r>
    <x v="71"/>
    <x v="376"/>
    <s v="Combustible"/>
    <s v="Total"/>
    <x v="2"/>
    <x v="0"/>
    <x v="2"/>
    <x v="0"/>
    <n v="189034.91"/>
    <n v="189034.91"/>
    <n v="121.17622435897437"/>
    <m/>
    <m/>
    <s v="36"/>
    <x v="1369"/>
    <x v="0"/>
  </r>
  <r>
    <x v="40"/>
    <x v="376"/>
    <s v="Combustible "/>
    <s v="Total"/>
    <x v="0"/>
    <x v="0"/>
    <x v="2"/>
    <x v="0"/>
    <n v="190003.04"/>
    <n v="190003.04"/>
    <n v="121.79682051282052"/>
    <m/>
    <m/>
    <s v="40"/>
    <x v="1370"/>
    <x v="0"/>
  </r>
  <r>
    <x v="54"/>
    <x v="376"/>
    <s v="Reparación Tanque inox planta de aceite"/>
    <s v="Total"/>
    <x v="2"/>
    <x v="1"/>
    <x v="2"/>
    <x v="0"/>
    <n v="500000"/>
    <n v="500000"/>
    <n v="320.5128205128205"/>
    <m/>
    <m/>
    <s v="41"/>
    <x v="1371"/>
    <x v="0"/>
  </r>
  <r>
    <x v="3"/>
    <x v="343"/>
    <s v="Comision por venta de aveite Zucardi"/>
    <s v="Total"/>
    <x v="3"/>
    <x v="0"/>
    <x v="0"/>
    <x v="0"/>
    <n v="3652500.0599999996"/>
    <n v="3652500.0599999996"/>
    <n v="2341.346192307692"/>
    <m/>
    <m/>
    <s v="44"/>
    <x v="0"/>
    <x v="1"/>
  </r>
  <r>
    <x v="3"/>
    <x v="343"/>
    <s v="Combustible"/>
    <s v="Total"/>
    <x v="2"/>
    <x v="0"/>
    <x v="2"/>
    <x v="0"/>
    <n v="100000.06"/>
    <n v="100000.06"/>
    <n v="64.102602564102568"/>
    <m/>
    <m/>
    <s v="44"/>
    <x v="1372"/>
    <x v="0"/>
  </r>
  <r>
    <x v="3"/>
    <x v="343"/>
    <s v="Combustible"/>
    <s v="Total"/>
    <x v="2"/>
    <x v="0"/>
    <x v="2"/>
    <x v="0"/>
    <n v="100000.07"/>
    <n v="100000.07"/>
    <n v="64.102608974358972"/>
    <m/>
    <m/>
    <s v="44"/>
    <x v="1373"/>
    <x v="0"/>
  </r>
  <r>
    <x v="10"/>
    <x v="377"/>
    <s v="Postre almuerzo fin de capacitacón"/>
    <s v="Total"/>
    <x v="1"/>
    <x v="0"/>
    <x v="0"/>
    <x v="0"/>
    <n v="120000"/>
    <n v="120000"/>
    <n v="76.92307692307692"/>
    <m/>
    <m/>
    <s v="48"/>
    <x v="1374"/>
    <x v="0"/>
  </r>
  <r>
    <x v="57"/>
    <x v="377"/>
    <s v="Torta"/>
    <s v="Total"/>
    <x v="2"/>
    <x v="0"/>
    <x v="2"/>
    <x v="0"/>
    <n v="34200"/>
    <n v="34200"/>
    <n v="21.923076923076923"/>
    <m/>
    <m/>
    <s v="16"/>
    <x v="1375"/>
    <x v="0"/>
  </r>
  <r>
    <x v="47"/>
    <x v="377"/>
    <s v="Torta compleaños"/>
    <s v="Total"/>
    <x v="2"/>
    <x v="0"/>
    <x v="2"/>
    <x v="0"/>
    <n v="33000"/>
    <n v="33000"/>
    <n v="21.153846153846153"/>
    <m/>
    <m/>
    <s v="20"/>
    <x v="1376"/>
    <x v="0"/>
  </r>
  <r>
    <x v="51"/>
    <x v="378"/>
    <s v="Flete Frutas frescas"/>
    <s v="Total"/>
    <x v="1"/>
    <x v="1"/>
    <x v="2"/>
    <x v="0"/>
    <n v="1000000"/>
    <n v="1000000"/>
    <n v="641.02564102564099"/>
    <m/>
    <m/>
    <s v="17"/>
    <x v="1377"/>
    <x v="0"/>
  </r>
  <r>
    <x v="55"/>
    <x v="378"/>
    <s v="Flete Frutas frescas"/>
    <s v="Total"/>
    <x v="1"/>
    <x v="1"/>
    <x v="1"/>
    <x v="0"/>
    <n v="2828440.6"/>
    <n v="2828440.6"/>
    <n v="1813.1029487179487"/>
    <m/>
    <m/>
    <s v="19"/>
    <x v="1378"/>
    <x v="0"/>
  </r>
  <r>
    <x v="0"/>
    <x v="378"/>
    <s v="Flete fruta fresca cosecha 2025"/>
    <s v="Parcial"/>
    <x v="0"/>
    <x v="1"/>
    <x v="1"/>
    <x v="0"/>
    <n v="2755082.84"/>
    <n v="2755082.84"/>
    <n v="1766.0787435897435"/>
    <s v="CH 20 días"/>
    <d v="2025-06-23T00:00:00"/>
    <n v="26"/>
    <x v="21"/>
    <x v="0"/>
  </r>
  <r>
    <x v="17"/>
    <x v="379"/>
    <s v="Flete Plantas olivo "/>
    <s v="Parcial"/>
    <x v="0"/>
    <x v="0"/>
    <x v="0"/>
    <x v="0"/>
    <n v="883300"/>
    <n v="883300"/>
    <n v="566.21794871794873"/>
    <s v="CH 20 Días"/>
    <d v="2025-06-23T00:00:00"/>
    <n v="26"/>
    <x v="1379"/>
    <x v="0"/>
  </r>
  <r>
    <x v="27"/>
    <x v="379"/>
    <s v="Flete pasas Valle sol / agropecuaria"/>
    <s v="Total"/>
    <x v="1"/>
    <x v="0"/>
    <x v="0"/>
    <x v="0"/>
    <n v="278300"/>
    <n v="278300"/>
    <n v="178.39743589743588"/>
    <m/>
    <m/>
    <s v="35"/>
    <x v="34"/>
    <x v="0"/>
  </r>
  <r>
    <x v="65"/>
    <x v="379"/>
    <s v="Flete  4 COE Aimurai"/>
    <s v="Total"/>
    <x v="1"/>
    <x v="1"/>
    <x v="2"/>
    <x v="0"/>
    <n v="700000"/>
    <n v="700000"/>
    <n v="448.71794871794873"/>
    <m/>
    <m/>
    <s v="13"/>
    <x v="1380"/>
    <x v="0"/>
  </r>
  <r>
    <x v="45"/>
    <x v="379"/>
    <s v="Flete Bidones "/>
    <s v="Total"/>
    <x v="2"/>
    <x v="1"/>
    <x v="2"/>
    <x v="0"/>
    <n v="350000"/>
    <n v="350000"/>
    <n v="224.35897435897436"/>
    <m/>
    <m/>
    <s v="25"/>
    <x v="1381"/>
    <x v="0"/>
  </r>
  <r>
    <x v="5"/>
    <x v="380"/>
    <s v="Honorarios profesionales"/>
    <s v="Total"/>
    <x v="3"/>
    <x v="0"/>
    <x v="0"/>
    <x v="0"/>
    <n v="130000"/>
    <n v="130000"/>
    <n v="83.333333333333329"/>
    <m/>
    <m/>
    <s v="34"/>
    <x v="1382"/>
    <x v="0"/>
  </r>
  <r>
    <x v="70"/>
    <x v="381"/>
    <s v="Cubiertas Kia"/>
    <s v="Total"/>
    <x v="2"/>
    <x v="0"/>
    <x v="2"/>
    <x v="0"/>
    <n v="123963.39"/>
    <n v="123963.39"/>
    <n v="79.463711538461538"/>
    <m/>
    <m/>
    <s v="36"/>
    <x v="1383"/>
    <x v="0"/>
  </r>
  <r>
    <x v="70"/>
    <x v="381"/>
    <s v="Cubiertas Kia"/>
    <s v="Total"/>
    <x v="1"/>
    <x v="0"/>
    <x v="1"/>
    <x v="0"/>
    <n v="290000"/>
    <n v="290000"/>
    <n v="185.89743589743588"/>
    <s v="CH 30 días"/>
    <d v="2025-10-03T00:00:00"/>
    <n v="40"/>
    <x v="1383"/>
    <x v="0"/>
  </r>
  <r>
    <x v="3"/>
    <x v="382"/>
    <s v="Pago Selectora"/>
    <s v="Total"/>
    <x v="0"/>
    <x v="0"/>
    <x v="1"/>
    <x v="2"/>
    <n v="110845.98"/>
    <n v="197305844.40000001"/>
    <n v="126478.1053846154"/>
    <n v="110845.98"/>
    <m/>
    <s v="44"/>
    <x v="0"/>
    <x v="1"/>
  </r>
  <r>
    <x v="19"/>
    <x v="383"/>
    <m/>
    <s v="Total"/>
    <x v="3"/>
    <x v="0"/>
    <x v="0"/>
    <x v="0"/>
    <n v="1130000"/>
    <n v="1130000"/>
    <n v="724.35897435897436"/>
    <m/>
    <m/>
    <s v="50"/>
    <x v="1384"/>
    <x v="0"/>
  </r>
  <r>
    <x v="70"/>
    <x v="384"/>
    <s v="Honorarios profesionales - capacitación"/>
    <s v="Total"/>
    <x v="3"/>
    <x v="0"/>
    <x v="0"/>
    <x v="0"/>
    <n v="1300000"/>
    <n v="1300000"/>
    <n v="833.33333333333337"/>
    <m/>
    <m/>
    <s v="36"/>
    <x v="1385"/>
    <x v="0"/>
  </r>
  <r>
    <x v="6"/>
    <x v="384"/>
    <s v="Asesoría - capacitación"/>
    <s v="Total"/>
    <x v="3"/>
    <x v="0"/>
    <x v="0"/>
    <x v="0"/>
    <n v="1130000"/>
    <n v="1130000"/>
    <n v="724.35897435897436"/>
    <m/>
    <m/>
    <s v="41"/>
    <x v="1386"/>
    <x v="0"/>
  </r>
  <r>
    <x v="31"/>
    <x v="384"/>
    <s v="Honorarios consultora"/>
    <s v="Total"/>
    <x v="3"/>
    <x v="0"/>
    <x v="0"/>
    <x v="0"/>
    <n v="1130000"/>
    <n v="1130000"/>
    <n v="724.35897435897436"/>
    <m/>
    <m/>
    <s v="45"/>
    <x v="1387"/>
    <x v="0"/>
  </r>
  <r>
    <x v="63"/>
    <x v="385"/>
    <s v="Cubiertas Camioneta 4x2 - 235/70R16  usadas"/>
    <s v="Total"/>
    <x v="2"/>
    <x v="1"/>
    <x v="2"/>
    <x v="0"/>
    <n v="380000"/>
    <n v="380000"/>
    <n v="243.58974358974359"/>
    <m/>
    <m/>
    <s v="44"/>
    <x v="1388"/>
    <x v="0"/>
  </r>
  <r>
    <x v="26"/>
    <x v="386"/>
    <s v="Cosecha Mecanica Olivos"/>
    <s v="Total"/>
    <x v="1"/>
    <x v="0"/>
    <x v="0"/>
    <x v="0"/>
    <n v="5827823.75"/>
    <n v="5827823.75"/>
    <n v="3735.7844551282051"/>
    <m/>
    <m/>
    <s v="29"/>
    <x v="1389"/>
    <x v="0"/>
  </r>
  <r>
    <x v="26"/>
    <x v="386"/>
    <s v="Cosecha Mecanica Olivos"/>
    <s v="Total"/>
    <x v="1"/>
    <x v="0"/>
    <x v="1"/>
    <x v="0"/>
    <n v="2853664"/>
    <n v="2853664"/>
    <n v="1829.2717948717948"/>
    <m/>
    <d v="2025-07-17T00:00:00"/>
    <n v="29"/>
    <x v="1389"/>
    <x v="0"/>
  </r>
  <r>
    <x v="26"/>
    <x v="386"/>
    <s v="Cosecha Mecanica Olivos"/>
    <s v="Total"/>
    <x v="1"/>
    <x v="0"/>
    <x v="1"/>
    <x v="0"/>
    <n v="5118635.68"/>
    <n v="5118635.68"/>
    <n v="3281.1767179487179"/>
    <m/>
    <d v="2025-08-15T00:00:00"/>
    <n v="33"/>
    <x v="1389"/>
    <x v="0"/>
  </r>
  <r>
    <x v="61"/>
    <x v="386"/>
    <s v="Cosecha Mecanica Olivos"/>
    <s v="Total"/>
    <x v="1"/>
    <x v="0"/>
    <x v="0"/>
    <x v="0"/>
    <n v="11774290.220000001"/>
    <n v="11774290.220000001"/>
    <n v="7547.6219358974367"/>
    <m/>
    <m/>
    <s v="30"/>
    <x v="1390"/>
    <x v="0"/>
  </r>
  <r>
    <x v="29"/>
    <x v="387"/>
    <s v="Comisionista"/>
    <s v="Total"/>
    <x v="3"/>
    <x v="0"/>
    <x v="0"/>
    <x v="0"/>
    <n v="2195215.59"/>
    <n v="2195215.59"/>
    <n v="1407.1894807692306"/>
    <m/>
    <m/>
    <s v="42"/>
    <x v="1391"/>
    <x v="0"/>
  </r>
  <r>
    <x v="65"/>
    <x v="388"/>
    <s v="Pedido Casa Doctor"/>
    <s v="Total"/>
    <x v="2"/>
    <x v="0"/>
    <x v="2"/>
    <x v="0"/>
    <n v="104000"/>
    <n v="104000"/>
    <n v="66.666666666666671"/>
    <m/>
    <m/>
    <s v="13"/>
    <x v="1392"/>
    <x v="0"/>
  </r>
  <r>
    <x v="76"/>
    <x v="389"/>
    <s v="Service Nissan "/>
    <s v="Total"/>
    <x v="1"/>
    <x v="0"/>
    <x v="2"/>
    <x v="0"/>
    <n v="400000"/>
    <n v="400000"/>
    <n v="256.41025641025641"/>
    <m/>
    <m/>
    <s v="12"/>
    <x v="0"/>
    <x v="0"/>
  </r>
  <r>
    <x v="76"/>
    <x v="389"/>
    <s v="Combustible Nissan"/>
    <s v="Total"/>
    <x v="1"/>
    <x v="0"/>
    <x v="2"/>
    <x v="0"/>
    <n v="80000"/>
    <n v="80000"/>
    <n v="51.282051282051285"/>
    <m/>
    <m/>
    <s v="12"/>
    <x v="0"/>
    <x v="0"/>
  </r>
  <r>
    <x v="38"/>
    <x v="390"/>
    <s v="Construcción pozo negro casa L. Herrera"/>
    <s v="Total"/>
    <x v="1"/>
    <x v="1"/>
    <x v="1"/>
    <x v="0"/>
    <n v="2000000"/>
    <n v="2000000"/>
    <n v="1282.051282051282"/>
    <m/>
    <d v="2026-10-12T00:00:00"/>
    <n v="42"/>
    <x v="1393"/>
    <x v="0"/>
  </r>
  <r>
    <x v="64"/>
    <x v="391"/>
    <s v="Insumos campaña 2026"/>
    <s v="Total"/>
    <x v="1"/>
    <x v="0"/>
    <x v="1"/>
    <x v="0"/>
    <n v="1037200"/>
    <n v="1037200"/>
    <n v="664.87179487179492"/>
    <m/>
    <d v="2026-06-16T00:00:00"/>
    <n v="25"/>
    <x v="1394"/>
    <x v="0"/>
  </r>
  <r>
    <x v="64"/>
    <x v="391"/>
    <s v="Insumos campaña 2026"/>
    <s v="Total"/>
    <x v="1"/>
    <x v="0"/>
    <x v="1"/>
    <x v="0"/>
    <n v="12663.8"/>
    <n v="12663.8"/>
    <n v="8.1178205128205132"/>
    <s v="Retenciones"/>
    <m/>
    <s v="22"/>
    <x v="1394"/>
    <x v="0"/>
  </r>
  <r>
    <x v="42"/>
    <x v="391"/>
    <s v="Viñetas"/>
    <s v="Total"/>
    <x v="1"/>
    <x v="0"/>
    <x v="1"/>
    <x v="0"/>
    <n v="425197.32"/>
    <n v="425197.32"/>
    <n v="272.56238461538464"/>
    <m/>
    <d v="2026-07-12T00:00:00"/>
    <n v="29"/>
    <x v="1395"/>
    <x v="0"/>
  </r>
  <r>
    <x v="42"/>
    <x v="391"/>
    <s v="Viñetas"/>
    <s v="Total"/>
    <x v="1"/>
    <x v="0"/>
    <x v="1"/>
    <x v="0"/>
    <n v="2590.88"/>
    <n v="2590.88"/>
    <n v="1.6608205128205129"/>
    <s v="Retenciones"/>
    <m/>
    <s v="24"/>
    <x v="1395"/>
    <x v="0"/>
  </r>
  <r>
    <x v="13"/>
    <x v="392"/>
    <m/>
    <s v="Total"/>
    <x v="3"/>
    <x v="0"/>
    <x v="0"/>
    <x v="0"/>
    <n v="402500"/>
    <n v="402500"/>
    <n v="258.0128205128205"/>
    <m/>
    <m/>
    <s v="07"/>
    <x v="1396"/>
    <x v="0"/>
  </r>
  <r>
    <x v="16"/>
    <x v="392"/>
    <s v="Honorarios"/>
    <s v="Total"/>
    <x v="0"/>
    <x v="0"/>
    <x v="0"/>
    <x v="0"/>
    <n v="1251800"/>
    <n v="1251800"/>
    <n v="802.43589743589746"/>
    <m/>
    <m/>
    <s v="43"/>
    <x v="1397"/>
    <x v="0"/>
  </r>
  <r>
    <x v="19"/>
    <x v="393"/>
    <s v="INV"/>
    <s v="Total"/>
    <x v="3"/>
    <x v="0"/>
    <x v="0"/>
    <x v="0"/>
    <n v="190000"/>
    <n v="190000"/>
    <n v="121.7948717948718"/>
    <m/>
    <m/>
    <s v="50"/>
    <x v="1398"/>
    <x v="0"/>
  </r>
  <r>
    <x v="5"/>
    <x v="394"/>
    <m/>
    <s v="Total"/>
    <x v="1"/>
    <x v="0"/>
    <x v="1"/>
    <x v="0"/>
    <n v="657032.63"/>
    <n v="657032.63"/>
    <n v="421.1747628205128"/>
    <m/>
    <d v="2025-10-10T00:00:00"/>
    <n v="41"/>
    <x v="1399"/>
    <x v="0"/>
  </r>
  <r>
    <x v="33"/>
    <x v="395"/>
    <s v="Productos quimicos - pedido de campo"/>
    <s v="Total"/>
    <x v="0"/>
    <x v="0"/>
    <x v="1"/>
    <x v="0"/>
    <n v="1119700"/>
    <n v="1119700"/>
    <n v="717.75641025641028"/>
    <m/>
    <d v="2026-03-27T00:00:00"/>
    <n v="13"/>
    <x v="1400"/>
    <x v="0"/>
  </r>
  <r>
    <x v="33"/>
    <x v="395"/>
    <s v="Productos quimicos - pedido de campo"/>
    <s v="Total"/>
    <x v="0"/>
    <x v="0"/>
    <x v="1"/>
    <x v="0"/>
    <n v="14024.13"/>
    <n v="14024.13"/>
    <n v="8.9898269230769223"/>
    <s v="Retenciones"/>
    <m/>
    <s v="12"/>
    <x v="1400"/>
    <x v="0"/>
  </r>
  <r>
    <x v="43"/>
    <x v="395"/>
    <m/>
    <s v="Total"/>
    <x v="1"/>
    <x v="0"/>
    <x v="1"/>
    <x v="0"/>
    <n v="1217454.25"/>
    <n v="1217454.25"/>
    <n v="780.41939102564106"/>
    <m/>
    <d v="2026-07-23T00:00:00"/>
    <n v="30"/>
    <x v="1401"/>
    <x v="0"/>
  </r>
  <r>
    <x v="43"/>
    <x v="395"/>
    <m/>
    <s v="Total"/>
    <x v="1"/>
    <x v="0"/>
    <x v="1"/>
    <x v="0"/>
    <n v="15906.12"/>
    <n v="15906.12"/>
    <n v="10.19623076923077"/>
    <s v="Retenciones"/>
    <m/>
    <s v="26"/>
    <x v="1401"/>
    <x v="0"/>
  </r>
  <r>
    <x v="66"/>
    <x v="395"/>
    <s v="Productos quimicos - pedido de campo"/>
    <s v="Total"/>
    <x v="0"/>
    <x v="0"/>
    <x v="1"/>
    <x v="0"/>
    <n v="335014.40999999997"/>
    <n v="335014.40999999997"/>
    <n v="214.7528269230769"/>
    <m/>
    <d v="2026-09-17T00:00:00"/>
    <n v="38"/>
    <x v="1402"/>
    <x v="0"/>
  </r>
  <r>
    <x v="66"/>
    <x v="395"/>
    <s v="Productos quimicos - pedido de campo"/>
    <s v="Total"/>
    <x v="0"/>
    <x v="0"/>
    <x v="1"/>
    <x v="0"/>
    <n v="18759.41"/>
    <n v="18759.41"/>
    <n v="12.02526282051282"/>
    <m/>
    <m/>
    <s v="34"/>
    <x v="1402"/>
    <x v="0"/>
  </r>
  <r>
    <x v="66"/>
    <x v="395"/>
    <s v="Productos quimicos - pedido de campo"/>
    <s v="Total"/>
    <x v="0"/>
    <x v="0"/>
    <x v="1"/>
    <x v="0"/>
    <n v="1612.8"/>
    <n v="1612.8"/>
    <n v="1.0338461538461539"/>
    <s v="Retenciones"/>
    <m/>
    <s v="34"/>
    <x v="1402"/>
    <x v="0"/>
  </r>
  <r>
    <x v="63"/>
    <x v="396"/>
    <s v="Compra de fertilizantes "/>
    <s v="Total"/>
    <x v="1"/>
    <x v="0"/>
    <x v="1"/>
    <x v="0"/>
    <n v="5447469.8799999999"/>
    <n v="5447469.8799999999"/>
    <n v="3491.9678717948718"/>
    <m/>
    <m/>
    <s v="44"/>
    <x v="1403"/>
    <x v="0"/>
  </r>
  <r>
    <x v="63"/>
    <x v="396"/>
    <s v="Compra de fertilizantes "/>
    <s v="Total"/>
    <x v="1"/>
    <x v="0"/>
    <x v="1"/>
    <x v="0"/>
    <n v="1515728.5"/>
    <n v="1515728.5"/>
    <n v="971.62083333333328"/>
    <m/>
    <m/>
    <s v="44"/>
    <x v="1403"/>
    <x v="0"/>
  </r>
  <r>
    <x v="63"/>
    <x v="396"/>
    <s v="Compra de fertilizantes "/>
    <s v="Total"/>
    <x v="1"/>
    <x v="0"/>
    <x v="1"/>
    <x v="0"/>
    <n v="1364454"/>
    <n v="1364454"/>
    <n v="874.65"/>
    <m/>
    <m/>
    <s v="44"/>
    <x v="1403"/>
    <x v="0"/>
  </r>
  <r>
    <x v="63"/>
    <x v="396"/>
    <s v="Compra de fertilizantes "/>
    <s v="Total"/>
    <x v="1"/>
    <x v="0"/>
    <x v="1"/>
    <x v="0"/>
    <n v="11693472.380000001"/>
    <n v="11693472.380000001"/>
    <n v="7495.8156282051286"/>
    <m/>
    <d v="2025-12-17T00:00:00"/>
    <n v="51"/>
    <x v="1403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5-15T00:00:00"/>
    <n v="20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7-31T00:00:00"/>
    <n v="31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5-29T00:00:00"/>
    <n v="22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9-05-22T00:00:00"/>
    <n v="21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6-12T00:00:00"/>
    <n v="24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6-26T00:00:00"/>
    <n v="26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7-24T00:00:00"/>
    <n v="30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6-19T00:00:00"/>
    <n v="25"/>
    <x v="1404"/>
    <x v="0"/>
  </r>
  <r>
    <x v="7"/>
    <x v="396"/>
    <s v="Compra de fertilizantes "/>
    <s v="Total"/>
    <x v="1"/>
    <x v="0"/>
    <x v="1"/>
    <x v="0"/>
    <n v="14643168"/>
    <n v="14643168"/>
    <n v="9386.6461538461535"/>
    <m/>
    <d v="2026-07-17T00:00:00"/>
    <n v="29"/>
    <x v="1404"/>
    <x v="0"/>
  </r>
  <r>
    <x v="31"/>
    <x v="396"/>
    <s v="Paraquat"/>
    <s v="Total"/>
    <x v="1"/>
    <x v="0"/>
    <x v="0"/>
    <x v="0"/>
    <n v="63760.55"/>
    <n v="63760.55"/>
    <n v="40.872147435897439"/>
    <m/>
    <m/>
    <s v="45"/>
    <x v="1405"/>
    <x v="0"/>
  </r>
  <r>
    <x v="50"/>
    <x v="396"/>
    <s v="Compra de fertilizantes "/>
    <s v="Total"/>
    <x v="0"/>
    <x v="0"/>
    <x v="1"/>
    <x v="0"/>
    <n v="700000"/>
    <n v="700000"/>
    <n v="448.71794871794873"/>
    <m/>
    <d v="2026-03-23T00:00:00"/>
    <n v="13"/>
    <x v="1406"/>
    <x v="0"/>
  </r>
  <r>
    <x v="50"/>
    <x v="396"/>
    <s v="Compra de fertilizantes "/>
    <s v="Total"/>
    <x v="0"/>
    <x v="0"/>
    <x v="1"/>
    <x v="0"/>
    <n v="2534000"/>
    <n v="2534000"/>
    <n v="1624.3589743589744"/>
    <m/>
    <d v="2026-03-28T00:00:00"/>
    <n v="13"/>
    <x v="1406"/>
    <x v="0"/>
  </r>
  <r>
    <x v="50"/>
    <x v="396"/>
    <s v="Compra de fertilizantes "/>
    <s v="Total"/>
    <x v="0"/>
    <x v="0"/>
    <x v="1"/>
    <x v="0"/>
    <n v="5000000"/>
    <n v="5000000"/>
    <n v="3205.1282051282051"/>
    <m/>
    <d v="2026-04-10T00:00:00"/>
    <n v="15"/>
    <x v="1406"/>
    <x v="0"/>
  </r>
  <r>
    <x v="35"/>
    <x v="396"/>
    <s v="Reposición de chueque sin fondos"/>
    <s v="Total"/>
    <x v="1"/>
    <x v="0"/>
    <x v="0"/>
    <x v="0"/>
    <n v="14643168"/>
    <n v="14643168"/>
    <n v="9386.6461538461535"/>
    <m/>
    <m/>
    <s v="27"/>
    <x v="1407"/>
    <x v="0"/>
  </r>
  <r>
    <x v="58"/>
    <x v="396"/>
    <s v="Compra de fertilizantes "/>
    <s v="Total"/>
    <x v="0"/>
    <x v="0"/>
    <x v="1"/>
    <x v="0"/>
    <n v="2618474.5299999998"/>
    <n v="2618474.5299999998"/>
    <n v="1678.5093141025641"/>
    <m/>
    <d v="2026-09-08T00:00:00"/>
    <n v="37"/>
    <x v="1408"/>
    <x v="0"/>
  </r>
  <r>
    <x v="58"/>
    <x v="396"/>
    <s v="Compra de fertilizantes "/>
    <s v="Total"/>
    <x v="0"/>
    <x v="0"/>
    <x v="1"/>
    <x v="0"/>
    <n v="42913.2"/>
    <n v="42913.2"/>
    <n v="27.508461538461535"/>
    <s v="Retenciones"/>
    <m/>
    <s v="30"/>
    <x v="1408"/>
    <x v="0"/>
  </r>
  <r>
    <x v="39"/>
    <x v="396"/>
    <s v="Compra de fertilizantes "/>
    <s v="Total"/>
    <x v="0"/>
    <x v="0"/>
    <x v="1"/>
    <x v="0"/>
    <n v="11311397"/>
    <n v="11311397"/>
    <n v="7250.8955128205125"/>
    <m/>
    <d v="2026-10-14T00:00:00"/>
    <n v="42"/>
    <x v="1409"/>
    <x v="0"/>
  </r>
  <r>
    <x v="39"/>
    <x v="396"/>
    <s v="Compra de fertilizantes "/>
    <s v="Total"/>
    <x v="0"/>
    <x v="0"/>
    <x v="1"/>
    <x v="0"/>
    <n v="2808.77"/>
    <n v="2808.77"/>
    <n v="1.8004935897435896"/>
    <m/>
    <m/>
    <s v="38"/>
    <x v="1409"/>
    <x v="0"/>
  </r>
  <r>
    <x v="39"/>
    <x v="396"/>
    <s v="Compra de fertilizantes "/>
    <s v="Total"/>
    <x v="0"/>
    <x v="0"/>
    <x v="1"/>
    <x v="0"/>
    <n v="218576.14"/>
    <n v="218576.14"/>
    <n v="140.11291025641026"/>
    <s v="Retenciones"/>
    <m/>
    <s v="38"/>
    <x v="1409"/>
    <x v="0"/>
  </r>
  <r>
    <x v="39"/>
    <x v="396"/>
    <s v="Compra de fertilizantes "/>
    <s v="Total"/>
    <x v="0"/>
    <x v="0"/>
    <x v="1"/>
    <x v="0"/>
    <n v="9370210.1099999994"/>
    <n v="9370210.1099999994"/>
    <n v="6006.5449423076916"/>
    <m/>
    <d v="2026-10-16T00:00:00"/>
    <n v="42"/>
    <x v="1410"/>
    <x v="0"/>
  </r>
  <r>
    <x v="39"/>
    <x v="396"/>
    <s v="Compra de fertilizantes "/>
    <s v="Total"/>
    <x v="0"/>
    <x v="0"/>
    <x v="1"/>
    <x v="0"/>
    <n v="187404.21"/>
    <n v="187404.21"/>
    <n v="120.13090384615384"/>
    <s v="retenciones"/>
    <m/>
    <s v="38"/>
    <x v="1410"/>
    <x v="0"/>
  </r>
  <r>
    <x v="3"/>
    <x v="351"/>
    <s v="Pedido Casa Doctor"/>
    <s v="Total"/>
    <x v="2"/>
    <x v="0"/>
    <x v="2"/>
    <x v="0"/>
    <n v="114638"/>
    <n v="114638"/>
    <n v="73.485897435897442"/>
    <m/>
    <m/>
    <s v="44"/>
    <x v="1411"/>
    <x v="0"/>
  </r>
  <r>
    <x v="16"/>
    <x v="396"/>
    <s v="Compra de fertilizantes "/>
    <s v="Total"/>
    <x v="0"/>
    <x v="0"/>
    <x v="0"/>
    <x v="0"/>
    <n v="627210.11"/>
    <n v="627210.11"/>
    <n v="402.05776282051283"/>
    <m/>
    <m/>
    <s v="43"/>
    <x v="1412"/>
    <x v="0"/>
  </r>
  <r>
    <x v="16"/>
    <x v="396"/>
    <s v="Compra de fertilizantes "/>
    <s v="Total"/>
    <x v="0"/>
    <x v="0"/>
    <x v="0"/>
    <x v="0"/>
    <n v="8743000"/>
    <n v="8743000"/>
    <n v="5604.4871794871797"/>
    <m/>
    <d v="2027-01-07T00:00:00"/>
    <n v="2"/>
    <x v="1413"/>
    <x v="0"/>
  </r>
  <r>
    <x v="16"/>
    <x v="396"/>
    <s v="Compra de fertilizantes "/>
    <s v="Total"/>
    <x v="0"/>
    <x v="0"/>
    <x v="0"/>
    <x v="0"/>
    <n v="357784.2"/>
    <n v="357784.2"/>
    <n v="229.34884615384615"/>
    <s v="Retenciones"/>
    <m/>
    <s v="43"/>
    <x v="1413"/>
    <x v="0"/>
  </r>
  <r>
    <x v="16"/>
    <x v="396"/>
    <s v="Compra de fertilizantes "/>
    <s v="Total"/>
    <x v="0"/>
    <x v="0"/>
    <x v="1"/>
    <x v="0"/>
    <n v="3000000"/>
    <n v="3000000"/>
    <n v="1923.0769230769231"/>
    <m/>
    <m/>
    <s v="43"/>
    <x v="1414"/>
    <x v="0"/>
  </r>
  <r>
    <x v="16"/>
    <x v="396"/>
    <s v="Compra de fertilizantes "/>
    <s v="Total"/>
    <x v="0"/>
    <x v="0"/>
    <x v="1"/>
    <x v="0"/>
    <n v="3000000"/>
    <n v="3000000"/>
    <n v="1923.0769230769231"/>
    <m/>
    <m/>
    <s v="43"/>
    <x v="1414"/>
    <x v="0"/>
  </r>
  <r>
    <x v="16"/>
    <x v="396"/>
    <s v="Compra de fertilizantes "/>
    <s v="Total"/>
    <x v="0"/>
    <x v="0"/>
    <x v="0"/>
    <x v="0"/>
    <n v="2743000"/>
    <n v="2743000"/>
    <n v="1758.3333333333333"/>
    <m/>
    <m/>
    <s v="43"/>
    <x v="1414"/>
    <x v="0"/>
  </r>
  <r>
    <x v="11"/>
    <x v="397"/>
    <s v="Cheque rechazado 880"/>
    <s v="Total"/>
    <x v="0"/>
    <x v="0"/>
    <x v="0"/>
    <x v="0"/>
    <n v="582670.71"/>
    <n v="582670.71"/>
    <n v="373.50686538461537"/>
    <m/>
    <m/>
    <s v="37"/>
    <x v="1415"/>
    <x v="0"/>
  </r>
  <r>
    <x v="20"/>
    <x v="398"/>
    <s v="Envios tienda nube 2025"/>
    <s v="Total"/>
    <x v="0"/>
    <x v="0"/>
    <x v="0"/>
    <x v="0"/>
    <n v="448155.58"/>
    <n v="448155.58"/>
    <n v="287.27921794871799"/>
    <m/>
    <m/>
    <s v="15"/>
    <x v="1416"/>
    <x v="0"/>
  </r>
  <r>
    <x v="11"/>
    <x v="398"/>
    <s v="Servicio de envios"/>
    <s v="Total"/>
    <x v="0"/>
    <x v="0"/>
    <x v="0"/>
    <x v="0"/>
    <n v="296506.84000000003"/>
    <n v="296506.84000000003"/>
    <n v="190.06848717948719"/>
    <m/>
    <m/>
    <s v="37"/>
    <x v="1417"/>
    <x v="0"/>
  </r>
  <r>
    <x v="3"/>
    <x v="363"/>
    <s v="Cheque rechazado"/>
    <s v="Total"/>
    <x v="0"/>
    <x v="0"/>
    <x v="0"/>
    <x v="0"/>
    <n v="764793.46999999974"/>
    <n v="764793.46999999974"/>
    <n v="490.25222435897422"/>
    <m/>
    <m/>
    <s v="44"/>
    <x v="0"/>
    <x v="2"/>
  </r>
  <r>
    <x v="16"/>
    <x v="398"/>
    <s v="Envios salon de ventas"/>
    <s v="Total"/>
    <x v="1"/>
    <x v="0"/>
    <x v="0"/>
    <x v="0"/>
    <n v="781046.71"/>
    <n v="781046.71"/>
    <n v="500.67096794871793"/>
    <m/>
    <m/>
    <s v="43"/>
    <x v="1418"/>
    <x v="0"/>
  </r>
  <r>
    <x v="16"/>
    <x v="398"/>
    <s v="Envios salon de ventas"/>
    <s v="Total"/>
    <x v="1"/>
    <x v="0"/>
    <x v="0"/>
    <x v="0"/>
    <n v="11760.86"/>
    <n v="11760.86"/>
    <n v="7.5390128205128208"/>
    <s v="Retenciones"/>
    <m/>
    <s v="43"/>
    <x v="1418"/>
    <x v="0"/>
  </r>
  <r>
    <x v="27"/>
    <x v="399"/>
    <s v="Acesor"/>
    <s v="Total"/>
    <x v="3"/>
    <x v="1"/>
    <x v="2"/>
    <x v="0"/>
    <n v="440392.21"/>
    <n v="440392.21"/>
    <n v="282.30269871794872"/>
    <m/>
    <m/>
    <s v="35"/>
    <x v="34"/>
    <x v="0"/>
  </r>
  <r>
    <x v="18"/>
    <x v="399"/>
    <s v="Honorarios Profesionales"/>
    <s v="Total"/>
    <x v="3"/>
    <x v="1"/>
    <x v="2"/>
    <x v="0"/>
    <n v="448655.67"/>
    <n v="448655.67"/>
    <n v="287.59978846153842"/>
    <m/>
    <m/>
    <s v="39"/>
    <x v="1419"/>
    <x v="0"/>
  </r>
  <r>
    <x v="30"/>
    <x v="399"/>
    <s v="Servicios legales"/>
    <s v="Total"/>
    <x v="3"/>
    <x v="1"/>
    <x v="2"/>
    <x v="0"/>
    <n v="457970.93"/>
    <n v="457970.93"/>
    <n v="293.57110897435899"/>
    <m/>
    <m/>
    <s v="43"/>
    <x v="1420"/>
    <x v="0"/>
  </r>
  <r>
    <x v="4"/>
    <x v="399"/>
    <s v="Servicios legales"/>
    <s v="Total"/>
    <x v="3"/>
    <x v="0"/>
    <x v="2"/>
    <x v="0"/>
    <n v="460000"/>
    <n v="460000"/>
    <n v="294.87179487179486"/>
    <m/>
    <m/>
    <s v="51"/>
    <x v="1421"/>
    <x v="0"/>
  </r>
  <r>
    <x v="50"/>
    <x v="399"/>
    <s v="Honorarios profesionales"/>
    <s v="Total"/>
    <x v="3"/>
    <x v="1"/>
    <x v="2"/>
    <x v="0"/>
    <n v="488102"/>
    <n v="488102"/>
    <n v="312.88589743589745"/>
    <m/>
    <m/>
    <s v="04"/>
    <x v="1422"/>
    <x v="0"/>
  </r>
  <r>
    <x v="41"/>
    <x v="399"/>
    <s v="Honorarios profesionales"/>
    <s v="Total"/>
    <x v="3"/>
    <x v="1"/>
    <x v="2"/>
    <x v="0"/>
    <n v="502173.52"/>
    <n v="502173.52"/>
    <n v="321.90610256410258"/>
    <m/>
    <m/>
    <s v="08"/>
    <x v="1423"/>
    <x v="0"/>
  </r>
  <r>
    <x v="20"/>
    <x v="400"/>
    <s v="Honorarios"/>
    <s v="Total"/>
    <x v="2"/>
    <x v="1"/>
    <x v="2"/>
    <x v="0"/>
    <n v="511212.69"/>
    <n v="511212.69"/>
    <n v="327.7004423076923"/>
    <m/>
    <m/>
    <s v="15"/>
    <x v="1424"/>
    <x v="0"/>
  </r>
  <r>
    <x v="53"/>
    <x v="400"/>
    <s v="Honorarios Profesionales"/>
    <s v="Total"/>
    <x v="2"/>
    <x v="1"/>
    <x v="2"/>
    <x v="0"/>
    <n v="528506.82999999996"/>
    <n v="528506.82999999996"/>
    <n v="338.78642948717948"/>
    <m/>
    <m/>
    <s v="17"/>
    <x v="1425"/>
    <x v="0"/>
  </r>
  <r>
    <x v="42"/>
    <x v="400"/>
    <s v="Honorarios profesionales"/>
    <s v="Total"/>
    <x v="2"/>
    <x v="1"/>
    <x v="2"/>
    <x v="0"/>
    <n v="542151.63"/>
    <n v="542151.63"/>
    <n v="347.53309615384615"/>
    <m/>
    <m/>
    <s v="24"/>
    <x v="1426"/>
    <x v="0"/>
  </r>
  <r>
    <x v="36"/>
    <x v="400"/>
    <s v="Servicio"/>
    <s v="Total"/>
    <x v="2"/>
    <x v="1"/>
    <x v="2"/>
    <x v="0"/>
    <n v="553806.71"/>
    <n v="553806.71"/>
    <n v="355.00430128205124"/>
    <m/>
    <m/>
    <s v="28"/>
    <x v="1427"/>
    <x v="0"/>
  </r>
  <r>
    <x v="40"/>
    <x v="400"/>
    <s v="Servicio legal"/>
    <s v="Total"/>
    <x v="3"/>
    <x v="1"/>
    <x v="2"/>
    <x v="0"/>
    <n v="564254.68999999994"/>
    <n v="564254.68999999994"/>
    <n v="361.70172435897433"/>
    <m/>
    <m/>
    <s v="40"/>
    <x v="1428"/>
    <x v="0"/>
  </r>
  <r>
    <x v="40"/>
    <x v="400"/>
    <s v="Servicio legal"/>
    <s v="Total"/>
    <x v="3"/>
    <x v="1"/>
    <x v="2"/>
    <x v="0"/>
    <n v="276183.24"/>
    <n v="276183.24"/>
    <n v="177.04053846153846"/>
    <m/>
    <m/>
    <s v="40"/>
    <x v="1429"/>
    <x v="0"/>
  </r>
  <r>
    <x v="16"/>
    <x v="400"/>
    <s v="Servicios legales"/>
    <s v="Total"/>
    <x v="3"/>
    <x v="1"/>
    <x v="2"/>
    <x v="0"/>
    <n v="588363.96"/>
    <n v="588363.96"/>
    <n v="377.15638461538458"/>
    <m/>
    <m/>
    <s v="43"/>
    <x v="1430"/>
    <x v="0"/>
  </r>
  <r>
    <x v="63"/>
    <x v="401"/>
    <s v="Brazo Pitman F100 4x4 - Pedido taller campo"/>
    <s v="Total"/>
    <x v="1"/>
    <x v="0"/>
    <x v="0"/>
    <x v="0"/>
    <n v="144450"/>
    <n v="144450"/>
    <n v="92.59615384615384"/>
    <m/>
    <m/>
    <s v="44"/>
    <x v="1431"/>
    <x v="0"/>
  </r>
  <r>
    <x v="10"/>
    <x v="402"/>
    <s v="Trabajo contrapiso tolva planta de aceite"/>
    <s v="Total"/>
    <x v="1"/>
    <x v="0"/>
    <x v="1"/>
    <x v="0"/>
    <n v="40000"/>
    <n v="40000"/>
    <n v="25.641025641025642"/>
    <m/>
    <d v="2025-11-27T00:00:00"/>
    <n v="48"/>
    <x v="1432"/>
    <x v="0"/>
  </r>
  <r>
    <x v="10"/>
    <x v="402"/>
    <s v="Trabajo contrapiso tolva planta de aceite"/>
    <s v="Total"/>
    <x v="1"/>
    <x v="0"/>
    <x v="1"/>
    <x v="0"/>
    <n v="141170"/>
    <n v="141170"/>
    <n v="90.493589743589737"/>
    <m/>
    <d v="2025-11-27T00:00:00"/>
    <n v="48"/>
    <x v="1432"/>
    <x v="0"/>
  </r>
  <r>
    <x v="10"/>
    <x v="402"/>
    <s v="Trabajo contrapiso tolva planta de aceite"/>
    <s v="Total"/>
    <x v="1"/>
    <x v="0"/>
    <x v="1"/>
    <x v="0"/>
    <n v="143729.81"/>
    <n v="143729.81"/>
    <n v="92.134493589743585"/>
    <m/>
    <d v="2025-10-31T00:00:00"/>
    <n v="44"/>
    <x v="1432"/>
    <x v="0"/>
  </r>
  <r>
    <x v="10"/>
    <x v="402"/>
    <s v="Trabajo contrapiso tolva planta de aceite"/>
    <s v="Total"/>
    <x v="1"/>
    <x v="0"/>
    <x v="1"/>
    <x v="0"/>
    <n v="600000"/>
    <n v="600000"/>
    <n v="384.61538461538464"/>
    <m/>
    <d v="2025-10-30T00:00:00"/>
    <n v="44"/>
    <x v="1432"/>
    <x v="0"/>
  </r>
  <r>
    <x v="10"/>
    <x v="402"/>
    <s v="Trabajo contrapiso tolva planta de aceite"/>
    <s v="Total"/>
    <x v="1"/>
    <x v="0"/>
    <x v="0"/>
    <x v="0"/>
    <n v="494490.19"/>
    <n v="494490.19"/>
    <n v="316.98089102564103"/>
    <m/>
    <m/>
    <s v="48"/>
    <x v="1432"/>
    <x v="0"/>
  </r>
  <r>
    <x v="4"/>
    <x v="402"/>
    <s v="Base de ormigon tanque bodega"/>
    <s v="Total"/>
    <x v="1"/>
    <x v="0"/>
    <x v="1"/>
    <x v="0"/>
    <n v="750000"/>
    <n v="750000"/>
    <n v="480.76923076923077"/>
    <m/>
    <d v="2025-12-12T00:00:00"/>
    <n v="50"/>
    <x v="1433"/>
    <x v="0"/>
  </r>
  <r>
    <x v="4"/>
    <x v="402"/>
    <s v="Base de ormigon tanque bodega"/>
    <s v="Total"/>
    <x v="1"/>
    <x v="0"/>
    <x v="2"/>
    <x v="0"/>
    <n v="13000"/>
    <n v="13000"/>
    <n v="8.3333333333333339"/>
    <m/>
    <m/>
    <s v="51"/>
    <x v="1433"/>
    <x v="0"/>
  </r>
  <r>
    <x v="75"/>
    <x v="402"/>
    <s v="Desague pluvial planta de aceite 60% obra"/>
    <s v="Total"/>
    <x v="1"/>
    <x v="0"/>
    <x v="0"/>
    <x v="0"/>
    <n v="5325000"/>
    <n v="5325000"/>
    <n v="3413.4615384615386"/>
    <m/>
    <m/>
    <s v="52"/>
    <x v="1434"/>
    <x v="0"/>
  </r>
  <r>
    <x v="50"/>
    <x v="402"/>
    <s v="Tabajo canaletas planta de aceite"/>
    <s v="Total"/>
    <x v="0"/>
    <x v="0"/>
    <x v="0"/>
    <x v="0"/>
    <n v="1550000"/>
    <n v="1550000"/>
    <n v="993.58974358974353"/>
    <m/>
    <m/>
    <s v="04"/>
    <x v="1435"/>
    <x v="0"/>
  </r>
  <r>
    <x v="9"/>
    <x v="402"/>
    <s v="Tabajo canaletas planta de aceite"/>
    <s v="Total"/>
    <x v="0"/>
    <x v="0"/>
    <x v="1"/>
    <x v="0"/>
    <n v="2000000"/>
    <n v="2000000"/>
    <n v="1282.051282051282"/>
    <s v="Pagar"/>
    <m/>
    <s v="05"/>
    <x v="1436"/>
    <x v="0"/>
  </r>
  <r>
    <x v="32"/>
    <x v="402"/>
    <s v="Trabajo planta de aceite"/>
    <s v="Total"/>
    <x v="1"/>
    <x v="0"/>
    <x v="0"/>
    <x v="0"/>
    <n v="2740000"/>
    <n v="2740000"/>
    <n v="1756.4102564102564"/>
    <m/>
    <m/>
    <s v="09"/>
    <x v="1437"/>
    <x v="0"/>
  </r>
  <r>
    <x v="4"/>
    <x v="403"/>
    <s v="Sellos para etiquetas bodega"/>
    <s v="Total"/>
    <x v="1"/>
    <x v="0"/>
    <x v="0"/>
    <x v="0"/>
    <n v="90000"/>
    <n v="90000"/>
    <n v="57.692307692307693"/>
    <m/>
    <m/>
    <s v="51"/>
    <x v="1111"/>
    <x v="0"/>
  </r>
  <r>
    <x v="13"/>
    <x v="403"/>
    <m/>
    <s v="Total"/>
    <x v="3"/>
    <x v="0"/>
    <x v="0"/>
    <x v="0"/>
    <n v="17000"/>
    <n v="17000"/>
    <n v="10.897435897435898"/>
    <m/>
    <m/>
    <s v="07"/>
    <x v="1438"/>
    <x v="0"/>
  </r>
  <r>
    <x v="24"/>
    <x v="403"/>
    <s v="Sellos bodega"/>
    <s v="Total"/>
    <x v="2"/>
    <x v="0"/>
    <x v="2"/>
    <x v="0"/>
    <n v="60000"/>
    <n v="60000"/>
    <n v="38.46153846153846"/>
    <m/>
    <m/>
    <s v="14"/>
    <x v="1439"/>
    <x v="0"/>
  </r>
  <r>
    <x v="65"/>
    <x v="403"/>
    <s v="Tramitar"/>
    <s v="Total"/>
    <x v="2"/>
    <x v="0"/>
    <x v="2"/>
    <x v="0"/>
    <n v="20500"/>
    <n v="20500"/>
    <n v="13.141025641025641"/>
    <m/>
    <m/>
    <s v="13"/>
    <x v="1440"/>
    <x v="0"/>
  </r>
  <r>
    <x v="47"/>
    <x v="403"/>
    <s v="Remitos"/>
    <s v="Total"/>
    <x v="2"/>
    <x v="0"/>
    <x v="2"/>
    <x v="0"/>
    <n v="68000"/>
    <n v="68000"/>
    <n v="43.589743589743591"/>
    <m/>
    <m/>
    <s v="20"/>
    <x v="1441"/>
    <x v="0"/>
  </r>
  <r>
    <x v="37"/>
    <x v="403"/>
    <s v="Sellos cjas de pasas"/>
    <s v="Total"/>
    <x v="2"/>
    <x v="0"/>
    <x v="2"/>
    <x v="0"/>
    <n v="160000"/>
    <n v="160000"/>
    <n v="102.56410256410257"/>
    <m/>
    <m/>
    <s v="29"/>
    <x v="1442"/>
    <x v="0"/>
  </r>
  <r>
    <x v="37"/>
    <x v="403"/>
    <s v="Talonarios R - Planta"/>
    <s v="Total"/>
    <x v="2"/>
    <x v="0"/>
    <x v="2"/>
    <x v="0"/>
    <n v="160000"/>
    <n v="160000"/>
    <n v="102.56410256410257"/>
    <m/>
    <m/>
    <s v="29"/>
    <x v="1442"/>
    <x v="0"/>
  </r>
  <r>
    <x v="46"/>
    <x v="404"/>
    <s v="2 gomas"/>
    <s v="Total"/>
    <x v="1"/>
    <x v="0"/>
    <x v="0"/>
    <x v="0"/>
    <n v="107000"/>
    <n v="107000"/>
    <n v="68.589743589743591"/>
    <m/>
    <m/>
    <s v="42"/>
    <x v="1443"/>
    <x v="0"/>
  </r>
  <r>
    <x v="6"/>
    <x v="405"/>
    <s v="Armado de parreles fina del norte"/>
    <s v="Total"/>
    <x v="2"/>
    <x v="1"/>
    <x v="2"/>
    <x v="0"/>
    <n v="2000000"/>
    <n v="2000000"/>
    <n v="1282.051282051282"/>
    <m/>
    <m/>
    <s v="41"/>
    <x v="1444"/>
    <x v="0"/>
  </r>
  <r>
    <x v="30"/>
    <x v="405"/>
    <s v="Espalderos finca del norte"/>
    <s v="Total"/>
    <x v="1"/>
    <x v="1"/>
    <x v="2"/>
    <x v="0"/>
    <n v="4000000"/>
    <n v="4000000"/>
    <n v="2564.102564102564"/>
    <m/>
    <m/>
    <s v="43"/>
    <x v="1445"/>
    <x v="0"/>
  </r>
  <r>
    <x v="31"/>
    <x v="405"/>
    <s v="Trabajo realizado en Campana (Norte)"/>
    <s v="Total"/>
    <x v="1"/>
    <x v="1"/>
    <x v="2"/>
    <x v="0"/>
    <n v="4000000"/>
    <n v="4000000"/>
    <n v="2564.102564102564"/>
    <m/>
    <m/>
    <s v="45"/>
    <x v="1446"/>
    <x v="0"/>
  </r>
  <r>
    <x v="15"/>
    <x v="405"/>
    <s v="Trabajo realizado en Campana (Norte)"/>
    <s v="Total"/>
    <x v="0"/>
    <x v="1"/>
    <x v="1"/>
    <x v="0"/>
    <n v="327000"/>
    <n v="327000"/>
    <n v="209.61538461538461"/>
    <m/>
    <m/>
    <s v="49"/>
    <x v="1447"/>
    <x v="0"/>
  </r>
  <r>
    <x v="15"/>
    <x v="405"/>
    <s v="Trabajo realizado en Campana (Norte)"/>
    <s v="Total"/>
    <x v="0"/>
    <x v="1"/>
    <x v="1"/>
    <x v="0"/>
    <n v="10000000"/>
    <n v="10000000"/>
    <n v="6410.2564102564102"/>
    <m/>
    <d v="2026-01-13T00:00:00"/>
    <n v="3"/>
    <x v="1448"/>
    <x v="0"/>
  </r>
  <r>
    <x v="15"/>
    <x v="405"/>
    <s v="Trabajo realizado en Campana (Norte)"/>
    <s v="Total"/>
    <x v="0"/>
    <x v="1"/>
    <x v="2"/>
    <x v="0"/>
    <n v="2000000"/>
    <n v="2000000"/>
    <n v="1282.051282051282"/>
    <m/>
    <m/>
    <s v="49"/>
    <x v="1448"/>
    <x v="0"/>
  </r>
  <r>
    <x v="19"/>
    <x v="405"/>
    <s v="Trabajo realizado en Campana (Norte)"/>
    <s v="Total"/>
    <x v="0"/>
    <x v="1"/>
    <x v="2"/>
    <x v="0"/>
    <n v="2500000"/>
    <n v="2500000"/>
    <n v="1602.5641025641025"/>
    <m/>
    <m/>
    <s v="50"/>
    <x v="1449"/>
    <x v="0"/>
  </r>
  <r>
    <x v="4"/>
    <x v="405"/>
    <s v="Trabajo realizado en Campana (Norte)"/>
    <s v="Total"/>
    <x v="0"/>
    <x v="1"/>
    <x v="2"/>
    <x v="0"/>
    <n v="2500000"/>
    <n v="2500000"/>
    <n v="1602.5641025641025"/>
    <m/>
    <m/>
    <s v="51"/>
    <x v="1450"/>
    <x v="0"/>
  </r>
  <r>
    <x v="74"/>
    <x v="405"/>
    <s v="Trabajo en campo"/>
    <s v="Total"/>
    <x v="1"/>
    <x v="1"/>
    <x v="2"/>
    <x v="0"/>
    <n v="1140000"/>
    <n v="1140000"/>
    <n v="730.76923076923072"/>
    <m/>
    <m/>
    <s v="03"/>
    <x v="1451"/>
    <x v="0"/>
  </r>
  <r>
    <x v="12"/>
    <x v="405"/>
    <s v="Trabajo espalderos finca Lolita"/>
    <s v="Total"/>
    <x v="2"/>
    <x v="1"/>
    <x v="2"/>
    <x v="0"/>
    <n v="800000"/>
    <n v="800000"/>
    <n v="512.82051282051282"/>
    <m/>
    <m/>
    <s v="33"/>
    <x v="1452"/>
    <x v="0"/>
  </r>
  <r>
    <x v="77"/>
    <x v="405"/>
    <s v="Trabajo espalderos finca Lolita"/>
    <s v="Total"/>
    <x v="2"/>
    <x v="1"/>
    <x v="2"/>
    <x v="0"/>
    <n v="700000"/>
    <n v="700000"/>
    <n v="448.71794871794873"/>
    <m/>
    <m/>
    <s v="35"/>
    <x v="1324"/>
    <x v="0"/>
  </r>
  <r>
    <x v="71"/>
    <x v="405"/>
    <s v="Trabajo espalderos finca Lolita"/>
    <s v="Total"/>
    <x v="2"/>
    <x v="1"/>
    <x v="2"/>
    <x v="0"/>
    <n v="1000000"/>
    <n v="1000000"/>
    <n v="641.02564102564099"/>
    <m/>
    <m/>
    <s v="36"/>
    <x v="1453"/>
    <x v="0"/>
  </r>
  <r>
    <x v="11"/>
    <x v="405"/>
    <s v="Trabajo espalderos finca Lolita"/>
    <s v="Total"/>
    <x v="2"/>
    <x v="1"/>
    <x v="2"/>
    <x v="0"/>
    <n v="1000000"/>
    <n v="1000000"/>
    <n v="641.02564102564099"/>
    <m/>
    <m/>
    <s v="37"/>
    <x v="1454"/>
    <x v="0"/>
  </r>
  <r>
    <x v="39"/>
    <x v="405"/>
    <s v="Trabajo espalderos finca Lolita"/>
    <s v="Total"/>
    <x v="2"/>
    <x v="1"/>
    <x v="2"/>
    <x v="0"/>
    <n v="600000"/>
    <n v="600000"/>
    <n v="384.61538461538464"/>
    <m/>
    <m/>
    <s v="38"/>
    <x v="1455"/>
    <x v="0"/>
  </r>
  <r>
    <x v="72"/>
    <x v="405"/>
    <s v="Trabajo espalderos finca Lolita"/>
    <s v="Total"/>
    <x v="2"/>
    <x v="1"/>
    <x v="2"/>
    <x v="0"/>
    <n v="1000000"/>
    <n v="1000000"/>
    <n v="641.02564102564099"/>
    <m/>
    <m/>
    <s v="39"/>
    <x v="1456"/>
    <x v="0"/>
  </r>
  <r>
    <x v="40"/>
    <x v="405"/>
    <s v="Trabajo espalderos finca Lolita"/>
    <s v="Total"/>
    <x v="0"/>
    <x v="1"/>
    <x v="2"/>
    <x v="0"/>
    <n v="1000000"/>
    <n v="1000000"/>
    <n v="641.02564102564099"/>
    <m/>
    <m/>
    <s v="40"/>
    <x v="1457"/>
    <x v="0"/>
  </r>
  <r>
    <x v="46"/>
    <x v="405"/>
    <s v="Trabajo espalderos finca Lolita"/>
    <s v="Total"/>
    <x v="2"/>
    <x v="1"/>
    <x v="2"/>
    <x v="0"/>
    <n v="1000000"/>
    <n v="1000000"/>
    <n v="641.02564102564099"/>
    <m/>
    <m/>
    <s v="42"/>
    <x v="1458"/>
    <x v="0"/>
  </r>
  <r>
    <x v="3"/>
    <x v="373"/>
    <s v="Combustible"/>
    <s v="Total"/>
    <x v="2"/>
    <x v="0"/>
    <x v="2"/>
    <x v="0"/>
    <n v="204018.9"/>
    <n v="204018.9"/>
    <n v="130.78134615384616"/>
    <m/>
    <m/>
    <s v="44"/>
    <x v="1459"/>
    <x v="0"/>
  </r>
  <r>
    <x v="3"/>
    <x v="376"/>
    <s v="Combustible"/>
    <s v="Total"/>
    <x v="2"/>
    <x v="0"/>
    <x v="2"/>
    <x v="0"/>
    <n v="199997.99"/>
    <n v="199997.99"/>
    <n v="128.20383974358973"/>
    <m/>
    <m/>
    <s v="44"/>
    <x v="1460"/>
    <x v="0"/>
  </r>
  <r>
    <x v="28"/>
    <x v="406"/>
    <s v="Campaña 2025"/>
    <s v="Total"/>
    <x v="2"/>
    <x v="1"/>
    <x v="2"/>
    <x v="0"/>
    <n v="2000000"/>
    <n v="2000000"/>
    <n v="1282.051282051282"/>
    <m/>
    <m/>
    <s v="40"/>
    <x v="1461"/>
    <x v="0"/>
  </r>
  <r>
    <x v="24"/>
    <x v="407"/>
    <s v="Alambrado (Rio)"/>
    <s v="Total"/>
    <x v="2"/>
    <x v="1"/>
    <x v="2"/>
    <x v="0"/>
    <n v="200000"/>
    <n v="200000"/>
    <n v="128.2051282051282"/>
    <m/>
    <m/>
    <s v="14"/>
    <x v="1462"/>
    <x v="0"/>
  </r>
  <r>
    <x v="37"/>
    <x v="407"/>
    <s v="Alambrado"/>
    <s v="Total"/>
    <x v="2"/>
    <x v="1"/>
    <x v="2"/>
    <x v="0"/>
    <n v="500000"/>
    <n v="500000"/>
    <n v="320.5128205128205"/>
    <m/>
    <m/>
    <s v="29"/>
    <x v="1463"/>
    <x v="0"/>
  </r>
  <r>
    <x v="58"/>
    <x v="407"/>
    <s v="Alambrado"/>
    <s v="Total"/>
    <x v="2"/>
    <x v="1"/>
    <x v="2"/>
    <x v="0"/>
    <n v="500000"/>
    <n v="500000"/>
    <n v="320.5128205128205"/>
    <m/>
    <m/>
    <s v="30"/>
    <x v="1464"/>
    <x v="0"/>
  </r>
  <r>
    <x v="44"/>
    <x v="407"/>
    <s v="Alambrado"/>
    <s v="Total"/>
    <x v="0"/>
    <x v="1"/>
    <x v="2"/>
    <x v="0"/>
    <n v="500000"/>
    <n v="500000"/>
    <n v="320.5128205128205"/>
    <m/>
    <m/>
    <s v="31"/>
    <x v="1465"/>
    <x v="0"/>
  </r>
  <r>
    <x v="71"/>
    <x v="407"/>
    <s v="Alambrado"/>
    <s v="Total"/>
    <x v="0"/>
    <x v="1"/>
    <x v="2"/>
    <x v="0"/>
    <n v="300000"/>
    <n v="300000"/>
    <n v="192.30769230769232"/>
    <m/>
    <m/>
    <s v="36"/>
    <x v="1466"/>
    <x v="0"/>
  </r>
  <r>
    <x v="40"/>
    <x v="407"/>
    <s v="Alambrado"/>
    <s v="Total"/>
    <x v="0"/>
    <x v="1"/>
    <x v="2"/>
    <x v="0"/>
    <n v="648000"/>
    <n v="648000"/>
    <n v="415.38461538461536"/>
    <m/>
    <m/>
    <s v="40"/>
    <x v="1467"/>
    <x v="0"/>
  </r>
  <r>
    <x v="76"/>
    <x v="408"/>
    <s v="Reparación motor pauny ($2987000)"/>
    <s v="Total"/>
    <x v="1"/>
    <x v="1"/>
    <x v="2"/>
    <x v="0"/>
    <n v="500000"/>
    <n v="500000"/>
    <n v="320.5128205128205"/>
    <m/>
    <m/>
    <s v="12"/>
    <x v="0"/>
    <x v="0"/>
  </r>
  <r>
    <x v="83"/>
    <x v="408"/>
    <s v="Reparación motor pauny ($2987000)"/>
    <s v="Total"/>
    <x v="1"/>
    <x v="1"/>
    <x v="2"/>
    <x v="0"/>
    <n v="500000"/>
    <n v="500000"/>
    <n v="320.5128205128205"/>
    <m/>
    <m/>
    <s v="14"/>
    <x v="0"/>
    <x v="0"/>
  </r>
  <r>
    <x v="48"/>
    <x v="408"/>
    <s v="Reparación motor pauny ($2987000) s/$1487000"/>
    <s v="Total"/>
    <x v="1"/>
    <x v="1"/>
    <x v="2"/>
    <x v="0"/>
    <n v="500000"/>
    <n v="500000"/>
    <n v="320.5128205128205"/>
    <m/>
    <m/>
    <s v="16"/>
    <x v="0"/>
    <x v="0"/>
  </r>
  <r>
    <x v="84"/>
    <x v="408"/>
    <s v="Reparación motor pauny ($2987000) s/$987000"/>
    <s v="Total"/>
    <x v="1"/>
    <x v="1"/>
    <x v="2"/>
    <x v="0"/>
    <n v="500000"/>
    <n v="500000"/>
    <n v="320.5128205128205"/>
    <m/>
    <m/>
    <s v="18"/>
    <x v="1468"/>
    <x v="0"/>
  </r>
  <r>
    <x v="76"/>
    <x v="409"/>
    <s v="Combustible"/>
    <s v="Total"/>
    <x v="2"/>
    <x v="0"/>
    <x v="2"/>
    <x v="0"/>
    <n v="70000"/>
    <n v="70000"/>
    <n v="44.871794871794869"/>
    <m/>
    <m/>
    <s v="12"/>
    <x v="1326"/>
    <x v="0"/>
  </r>
  <r>
    <x v="78"/>
    <x v="409"/>
    <s v="Combustible"/>
    <s v="Total"/>
    <x v="2"/>
    <x v="0"/>
    <x v="2"/>
    <x v="0"/>
    <n v="70000"/>
    <n v="70000"/>
    <n v="44.871794871794869"/>
    <m/>
    <m/>
    <s v="13"/>
    <x v="0"/>
    <x v="0"/>
  </r>
  <r>
    <x v="83"/>
    <x v="409"/>
    <s v="Combustible"/>
    <s v="Total"/>
    <x v="2"/>
    <x v="0"/>
    <x v="2"/>
    <x v="0"/>
    <n v="70000"/>
    <n v="70000"/>
    <n v="44.871794871794869"/>
    <m/>
    <m/>
    <s v="14"/>
    <x v="0"/>
    <x v="0"/>
  </r>
  <r>
    <x v="82"/>
    <x v="409"/>
    <s v="Combustible"/>
    <s v="Total"/>
    <x v="2"/>
    <x v="0"/>
    <x v="2"/>
    <x v="0"/>
    <n v="60000"/>
    <n v="60000"/>
    <n v="38.46153846153846"/>
    <m/>
    <m/>
    <s v="15"/>
    <x v="0"/>
    <x v="0"/>
  </r>
  <r>
    <x v="70"/>
    <x v="410"/>
    <m/>
    <s v="Total"/>
    <x v="1"/>
    <x v="1"/>
    <x v="1"/>
    <x v="0"/>
    <m/>
    <n v="0"/>
    <n v="0"/>
    <m/>
    <d v="2025-08-19T00:00:00"/>
    <n v="34"/>
    <x v="1469"/>
    <x v="0"/>
  </r>
  <r>
    <x v="2"/>
    <x v="411"/>
    <s v="Carga de Nitrogeno / gas carbonico "/>
    <s v="Total"/>
    <x v="1"/>
    <x v="0"/>
    <x v="0"/>
    <x v="0"/>
    <n v="158000"/>
    <n v="158000"/>
    <n v="101.28205128205128"/>
    <m/>
    <m/>
    <s v="32"/>
    <x v="34"/>
    <x v="0"/>
  </r>
  <r>
    <x v="5"/>
    <x v="411"/>
    <s v="Carga de gas / nitrogeno"/>
    <s v="Total"/>
    <x v="1"/>
    <x v="0"/>
    <x v="0"/>
    <x v="0"/>
    <n v="188000"/>
    <n v="188000"/>
    <n v="120.51282051282051"/>
    <m/>
    <m/>
    <s v="34"/>
    <x v="1470"/>
    <x v="0"/>
  </r>
  <r>
    <x v="5"/>
    <x v="411"/>
    <s v="Carga de gas / nitrogeno"/>
    <s v="Total"/>
    <x v="1"/>
    <x v="0"/>
    <x v="0"/>
    <x v="0"/>
    <n v="144000"/>
    <n v="144000"/>
    <n v="92.307692307692307"/>
    <m/>
    <m/>
    <s v="34"/>
    <x v="1471"/>
    <x v="0"/>
  </r>
  <r>
    <x v="18"/>
    <x v="411"/>
    <s v="Pedido de bodega / fraccionado - Nitrogeno"/>
    <s v="Total"/>
    <x v="2"/>
    <x v="0"/>
    <x v="2"/>
    <x v="0"/>
    <n v="160000"/>
    <n v="160000"/>
    <n v="102.56410256410257"/>
    <m/>
    <m/>
    <s v="39"/>
    <x v="1472"/>
    <x v="0"/>
  </r>
  <r>
    <x v="29"/>
    <x v="411"/>
    <s v="Nitrogeno - bodega"/>
    <s v="Total"/>
    <x v="2"/>
    <x v="0"/>
    <x v="2"/>
    <x v="0"/>
    <n v="160000"/>
    <n v="160000"/>
    <n v="102.56410256410257"/>
    <m/>
    <m/>
    <s v="42"/>
    <x v="1473"/>
    <x v="0"/>
  </r>
  <r>
    <x v="9"/>
    <x v="411"/>
    <s v="Carga tubo nitrogeno"/>
    <s v="Total"/>
    <x v="1"/>
    <x v="0"/>
    <x v="0"/>
    <x v="0"/>
    <n v="190000"/>
    <n v="190000"/>
    <n v="121.7948717948718"/>
    <m/>
    <m/>
    <s v="05"/>
    <x v="1474"/>
    <x v="0"/>
  </r>
  <r>
    <x v="24"/>
    <x v="411"/>
    <s v="Nitrogeno - Bodega"/>
    <s v="Total"/>
    <x v="2"/>
    <x v="0"/>
    <x v="2"/>
    <x v="0"/>
    <n v="108000"/>
    <n v="108000"/>
    <n v="69.230769230769226"/>
    <m/>
    <m/>
    <s v="14"/>
    <x v="1475"/>
    <x v="0"/>
  </r>
  <r>
    <x v="22"/>
    <x v="412"/>
    <s v="Carga de Argon / nitrogeno"/>
    <s v="Total"/>
    <x v="1"/>
    <x v="0"/>
    <x v="0"/>
    <x v="0"/>
    <n v="332000"/>
    <n v="332000"/>
    <n v="212.82051282051282"/>
    <m/>
    <m/>
    <s v="23"/>
    <x v="1476"/>
    <x v="0"/>
  </r>
  <r>
    <x v="36"/>
    <x v="412"/>
    <s v="Carga de Argon - nitrogeno"/>
    <s v="Total"/>
    <x v="0"/>
    <x v="0"/>
    <x v="1"/>
    <x v="0"/>
    <n v="571543.89"/>
    <n v="571543.89"/>
    <n v="366.37428846153847"/>
    <m/>
    <d v="2026-10-15T00:00:00"/>
    <n v="42"/>
    <x v="1477"/>
    <x v="0"/>
  </r>
  <r>
    <x v="36"/>
    <x v="412"/>
    <s v="Carga de Argon - nitrogeno"/>
    <s v="Total"/>
    <x v="2"/>
    <x v="0"/>
    <x v="2"/>
    <x v="0"/>
    <n v="16451.11"/>
    <n v="16451.11"/>
    <n v="10.545583333333333"/>
    <m/>
    <m/>
    <s v="28"/>
    <x v="1477"/>
    <x v="0"/>
  </r>
  <r>
    <x v="24"/>
    <x v="413"/>
    <s v="Cartulina - Pedido planta"/>
    <s v="Total"/>
    <x v="2"/>
    <x v="0"/>
    <x v="2"/>
    <x v="0"/>
    <n v="12000"/>
    <n v="12000"/>
    <n v="7.6923076923076925"/>
    <m/>
    <m/>
    <s v="14"/>
    <x v="1478"/>
    <x v="0"/>
  </r>
  <r>
    <x v="11"/>
    <x v="414"/>
    <s v="Cheque rechazado 874"/>
    <s v="Total"/>
    <x v="0"/>
    <x v="0"/>
    <x v="0"/>
    <x v="0"/>
    <n v="2574256.6"/>
    <n v="2574256.6"/>
    <n v="1650.1644871794872"/>
    <m/>
    <m/>
    <s v="37"/>
    <x v="1479"/>
    <x v="0"/>
  </r>
  <r>
    <x v="35"/>
    <x v="415"/>
    <s v="Reposición de chueque sin fondos"/>
    <s v="Total"/>
    <x v="1"/>
    <x v="0"/>
    <x v="0"/>
    <x v="0"/>
    <n v="1335700"/>
    <n v="1335700"/>
    <n v="856.21794871794873"/>
    <m/>
    <m/>
    <s v="27"/>
    <x v="1480"/>
    <x v="0"/>
  </r>
  <r>
    <x v="49"/>
    <x v="416"/>
    <s v="Pedido Planta"/>
    <s v="Total"/>
    <x v="1"/>
    <x v="0"/>
    <x v="1"/>
    <x v="0"/>
    <n v="132132"/>
    <n v="132132"/>
    <n v="84.7"/>
    <s v="CH 30 días"/>
    <d v="2025-07-18T00:00:00"/>
    <n v="29"/>
    <x v="0"/>
    <x v="0"/>
  </r>
  <r>
    <x v="68"/>
    <x v="416"/>
    <s v="Articulos de embalaje - Pedido planta / bodega"/>
    <s v="Parcial"/>
    <x v="1"/>
    <x v="0"/>
    <x v="1"/>
    <x v="0"/>
    <n v="487707.92"/>
    <n v="487707.92"/>
    <n v="312.63328205128204"/>
    <s v="Pago 02/06/2025"/>
    <m/>
    <s v="23"/>
    <x v="1481"/>
    <x v="0"/>
  </r>
  <r>
    <x v="61"/>
    <x v="416"/>
    <s v="Pedido planta "/>
    <s v="Total"/>
    <x v="1"/>
    <x v="0"/>
    <x v="1"/>
    <x v="0"/>
    <n v="218845.44"/>
    <n v="218845.44"/>
    <n v="140.28553846153847"/>
    <m/>
    <d v="2025-08-23T00:00:00"/>
    <n v="34"/>
    <x v="1482"/>
    <x v="0"/>
  </r>
  <r>
    <x v="69"/>
    <x v="416"/>
    <s v="Pedido de planta -"/>
    <s v="Total"/>
    <x v="1"/>
    <x v="0"/>
    <x v="1"/>
    <x v="0"/>
    <n v="354970.44"/>
    <n v="354970.44"/>
    <n v="227.54515384615385"/>
    <m/>
    <m/>
    <s v="31"/>
    <x v="1483"/>
    <x v="0"/>
  </r>
  <r>
    <x v="8"/>
    <x v="417"/>
    <s v="Pedido Bodega - Esquineros"/>
    <s v="Total"/>
    <x v="1"/>
    <x v="0"/>
    <x v="1"/>
    <x v="0"/>
    <n v="136125"/>
    <n v="136125"/>
    <n v="87.259615384615387"/>
    <m/>
    <d v="2025-09-14T00:00:00"/>
    <n v="38"/>
    <x v="0"/>
    <x v="0"/>
  </r>
  <r>
    <x v="70"/>
    <x v="417"/>
    <s v="Insumos embalaje planta"/>
    <s v="Total"/>
    <x v="1"/>
    <x v="0"/>
    <x v="1"/>
    <x v="0"/>
    <n v="353838.76"/>
    <n v="353838.76"/>
    <n v="226.81971794871797"/>
    <m/>
    <d v="2025-10-10T00:00:00"/>
    <n v="41"/>
    <x v="1484"/>
    <x v="0"/>
  </r>
  <r>
    <x v="28"/>
    <x v="417"/>
    <s v="Materiales embalaje - Planta / salon de ventas"/>
    <s v="Total"/>
    <x v="1"/>
    <x v="0"/>
    <x v="1"/>
    <x v="0"/>
    <n v="300000"/>
    <n v="300000"/>
    <n v="192.30769230769232"/>
    <m/>
    <d v="2025-09-15T00:00:00"/>
    <n v="38"/>
    <x v="1485"/>
    <x v="0"/>
  </r>
  <r>
    <x v="28"/>
    <x v="417"/>
    <s v="Materiales embalaje - Planta / salon de ventas"/>
    <s v="Total"/>
    <x v="1"/>
    <x v="0"/>
    <x v="1"/>
    <x v="0"/>
    <n v="237838"/>
    <n v="237838"/>
    <n v="152.46025641025642"/>
    <m/>
    <d v="2025-10-09T00:00:00"/>
    <n v="41"/>
    <x v="1485"/>
    <x v="0"/>
  </r>
  <r>
    <x v="31"/>
    <x v="417"/>
    <s v="Pedido insumos embalaje - Planta / Bodega"/>
    <s v="Total"/>
    <x v="1"/>
    <x v="0"/>
    <x v="0"/>
    <x v="0"/>
    <n v="23516.27"/>
    <n v="23516.27"/>
    <n v="15.074532051282052"/>
    <m/>
    <m/>
    <s v="45"/>
    <x v="1486"/>
    <x v="0"/>
  </r>
  <r>
    <x v="31"/>
    <x v="417"/>
    <s v="Pedido insumos embalaje - Planta / Bodega"/>
    <s v="Total"/>
    <x v="1"/>
    <x v="0"/>
    <x v="1"/>
    <x v="0"/>
    <n v="468419.38"/>
    <n v="468419.38"/>
    <n v="300.26883333333336"/>
    <m/>
    <m/>
    <s v="45"/>
    <x v="1486"/>
    <x v="0"/>
  </r>
  <r>
    <x v="4"/>
    <x v="417"/>
    <s v="Pedido embaleje plata - bodega"/>
    <s v="Total"/>
    <x v="1"/>
    <x v="0"/>
    <x v="1"/>
    <x v="0"/>
    <n v="140471.32999999999"/>
    <n v="140471.32999999999"/>
    <n v="90.045724358974354"/>
    <m/>
    <m/>
    <s v="51"/>
    <x v="1487"/>
    <x v="0"/>
  </r>
  <r>
    <x v="74"/>
    <x v="417"/>
    <s v="Insumos embalaje planta"/>
    <s v="Total"/>
    <x v="1"/>
    <x v="0"/>
    <x v="1"/>
    <x v="0"/>
    <n v="333327.62"/>
    <n v="333327.62"/>
    <n v="213.67155128205127"/>
    <m/>
    <d v="2026-02-13T00:00:00"/>
    <n v="7"/>
    <x v="1488"/>
    <x v="0"/>
  </r>
  <r>
    <x v="9"/>
    <x v="417"/>
    <s v="Insumos embalaje planta"/>
    <s v="Total"/>
    <x v="1"/>
    <x v="0"/>
    <x v="1"/>
    <x v="0"/>
    <n v="136491.04"/>
    <n v="136491.04"/>
    <n v="87.494256410256412"/>
    <m/>
    <d v="2026-01-29T00:00:00"/>
    <n v="5"/>
    <x v="1436"/>
    <x v="0"/>
  </r>
  <r>
    <x v="32"/>
    <x v="417"/>
    <s v="Insumos embalaje planta"/>
    <s v="Total"/>
    <x v="1"/>
    <x v="0"/>
    <x v="1"/>
    <x v="0"/>
    <n v="238940.58"/>
    <n v="238940.58"/>
    <n v="153.16703846153845"/>
    <m/>
    <d v="2026-03-27T00:00:00"/>
    <n v="13"/>
    <x v="1489"/>
    <x v="0"/>
  </r>
  <r>
    <x v="56"/>
    <x v="417"/>
    <s v="Pedido Embalaje planta - bodega"/>
    <s v="Total"/>
    <x v="1"/>
    <x v="0"/>
    <x v="1"/>
    <x v="0"/>
    <n v="180000"/>
    <n v="180000"/>
    <n v="115.38461538461539"/>
    <m/>
    <d v="2026-04-10T00:00:00"/>
    <n v="15"/>
    <x v="1490"/>
    <x v="0"/>
  </r>
  <r>
    <x v="23"/>
    <x v="417"/>
    <s v="Pedido de embalaje - planta"/>
    <s v="Total"/>
    <x v="1"/>
    <x v="0"/>
    <x v="1"/>
    <x v="0"/>
    <n v="484572.33"/>
    <n v="484572.33"/>
    <n v="310.62328846153849"/>
    <m/>
    <m/>
    <s v="18"/>
    <x v="1491"/>
    <x v="0"/>
  </r>
  <r>
    <x v="42"/>
    <x v="417"/>
    <s v="Insumos embalaje"/>
    <s v="Total"/>
    <x v="1"/>
    <x v="0"/>
    <x v="1"/>
    <x v="0"/>
    <n v="586238.68999999994"/>
    <n v="586238.68999999994"/>
    <n v="375.79403205128199"/>
    <m/>
    <d v="2026-07-09T00:00:00"/>
    <n v="28"/>
    <x v="1492"/>
    <x v="0"/>
  </r>
  <r>
    <x v="42"/>
    <x v="417"/>
    <s v="Insumos embalaje"/>
    <s v="Total"/>
    <x v="1"/>
    <x v="0"/>
    <x v="1"/>
    <x v="0"/>
    <n v="7392.63"/>
    <n v="7392.63"/>
    <n v="4.7388653846153845"/>
    <s v="Retenciones"/>
    <m/>
    <s v="24"/>
    <x v="1492"/>
    <x v="0"/>
  </r>
  <r>
    <x v="43"/>
    <x v="417"/>
    <s v="Pedido de planta - embalaje"/>
    <s v="Total"/>
    <x v="1"/>
    <x v="0"/>
    <x v="1"/>
    <x v="0"/>
    <n v="592590.98"/>
    <n v="592590.98"/>
    <n v="379.86601282051282"/>
    <m/>
    <d v="2026-06-25T00:00:00"/>
    <n v="26"/>
    <x v="1493"/>
    <x v="0"/>
  </r>
  <r>
    <x v="43"/>
    <x v="417"/>
    <s v="Pedido de planta - embalaje"/>
    <s v="Total"/>
    <x v="1"/>
    <x v="0"/>
    <x v="1"/>
    <x v="0"/>
    <n v="12093.69"/>
    <n v="12093.69"/>
    <n v="7.752365384615385"/>
    <s v="Retenciones"/>
    <m/>
    <s v="26"/>
    <x v="1493"/>
    <x v="0"/>
  </r>
  <r>
    <x v="36"/>
    <x v="417"/>
    <s v="Insumos embalaje"/>
    <s v="Total"/>
    <x v="1"/>
    <x v="0"/>
    <x v="1"/>
    <x v="0"/>
    <n v="230214.6"/>
    <n v="230214.6"/>
    <n v="147.57346153846154"/>
    <m/>
    <d v="2026-08-10T00:00:00"/>
    <n v="33"/>
    <x v="1494"/>
    <x v="0"/>
  </r>
  <r>
    <x v="12"/>
    <x v="417"/>
    <s v="Pedido Embalaje"/>
    <s v="Total"/>
    <x v="1"/>
    <x v="0"/>
    <x v="1"/>
    <x v="0"/>
    <n v="627700.91"/>
    <n v="627700.91"/>
    <n v="402.3723782051282"/>
    <m/>
    <d v="2026-09-11T00:00:00"/>
    <n v="37"/>
    <x v="1495"/>
    <x v="0"/>
  </r>
  <r>
    <x v="12"/>
    <x v="417"/>
    <s v="Pedido Embalaje"/>
    <s v="Total"/>
    <x v="1"/>
    <x v="0"/>
    <x v="1"/>
    <x v="0"/>
    <n v="8238.7900000000009"/>
    <n v="8238.7900000000009"/>
    <n v="5.2812756410256414"/>
    <s v="Retenciones"/>
    <m/>
    <s v="33"/>
    <x v="1495"/>
    <x v="0"/>
  </r>
  <r>
    <x v="71"/>
    <x v="417"/>
    <s v="Cheque rechazado"/>
    <s v="Total"/>
    <x v="0"/>
    <x v="0"/>
    <x v="0"/>
    <x v="0"/>
    <n v="627700.91"/>
    <n v="627700.91"/>
    <n v="402.3723782051282"/>
    <m/>
    <m/>
    <s v="36"/>
    <x v="1495"/>
    <x v="0"/>
  </r>
  <r>
    <x v="71"/>
    <x v="417"/>
    <s v="Cheque rechazado"/>
    <s v="Total"/>
    <x v="0"/>
    <x v="0"/>
    <x v="0"/>
    <x v="0"/>
    <n v="8238.7900000000009"/>
    <n v="8238.7900000000009"/>
    <n v="5.2812756410256414"/>
    <s v="Retenciones"/>
    <m/>
    <s v="36"/>
    <x v="1495"/>
    <x v="0"/>
  </r>
  <r>
    <x v="46"/>
    <x v="417"/>
    <s v="Pedido Embalaje Planta"/>
    <s v="Total"/>
    <x v="1"/>
    <x v="0"/>
    <x v="1"/>
    <x v="0"/>
    <n v="373837.74"/>
    <n v="373837.74"/>
    <n v="239.63957692307693"/>
    <m/>
    <d v="2026-11-07T00:00:00"/>
    <n v="45"/>
    <x v="1496"/>
    <x v="0"/>
  </r>
  <r>
    <x v="46"/>
    <x v="417"/>
    <s v="Pedido Embalaje Planta"/>
    <s v="Total"/>
    <x v="1"/>
    <x v="0"/>
    <x v="1"/>
    <x v="0"/>
    <n v="220865.28"/>
    <n v="220865.28"/>
    <n v="141.58030769230768"/>
    <m/>
    <d v="2026-11-11T00:00:00"/>
    <n v="46"/>
    <x v="1496"/>
    <x v="0"/>
  </r>
  <r>
    <x v="46"/>
    <x v="417"/>
    <s v="Pedido Embalaje Planta"/>
    <s v="Total"/>
    <x v="1"/>
    <x v="0"/>
    <x v="1"/>
    <x v="0"/>
    <n v="1189.4100000000001"/>
    <n v="1189.4100000000001"/>
    <n v="0.7624423076923077"/>
    <s v="Retenciones"/>
    <m/>
    <s v="42"/>
    <x v="1496"/>
    <x v="0"/>
  </r>
  <r>
    <x v="46"/>
    <x v="417"/>
    <s v="Pedido Embalaje Planta"/>
    <s v="Total"/>
    <x v="1"/>
    <x v="0"/>
    <x v="1"/>
    <x v="0"/>
    <n v="244103.38"/>
    <n v="244103.38"/>
    <n v="156.47652564102563"/>
    <m/>
    <d v="2026-11-06T00:00:00"/>
    <n v="45"/>
    <x v="1497"/>
    <x v="0"/>
  </r>
  <r>
    <x v="46"/>
    <x v="417"/>
    <s v="Pedido Embalaje Planta"/>
    <s v="Total"/>
    <x v="1"/>
    <x v="0"/>
    <x v="1"/>
    <x v="0"/>
    <n v="488.21"/>
    <n v="488.21"/>
    <n v="0.31295512820512822"/>
    <m/>
    <m/>
    <s v="42"/>
    <x v="1497"/>
    <x v="0"/>
  </r>
  <r>
    <x v="57"/>
    <x v="418"/>
    <s v="Fletes insumos planta"/>
    <s v="Total"/>
    <x v="1"/>
    <x v="0"/>
    <x v="1"/>
    <x v="0"/>
    <n v="2265480"/>
    <n v="2265480"/>
    <n v="1452.2307692307693"/>
    <m/>
    <d v="2026-05-17T00:00:00"/>
    <n v="21"/>
    <x v="1498"/>
    <x v="0"/>
  </r>
  <r>
    <x v="57"/>
    <x v="418"/>
    <s v="Fletes insumos planta"/>
    <s v="Total"/>
    <x v="1"/>
    <x v="0"/>
    <x v="1"/>
    <x v="0"/>
    <n v="33520"/>
    <n v="33520"/>
    <n v="21.487179487179485"/>
    <s v="Retenciones"/>
    <m/>
    <s v="16"/>
    <x v="1498"/>
    <x v="0"/>
  </r>
  <r>
    <x v="62"/>
    <x v="418"/>
    <s v="Flete Baldes"/>
    <s v="Total"/>
    <x v="1"/>
    <x v="0"/>
    <x v="1"/>
    <x v="0"/>
    <n v="1132740"/>
    <n v="1132740"/>
    <n v="726.11538461538464"/>
    <m/>
    <d v="2026-06-05T00:00:00"/>
    <n v="23"/>
    <x v="1499"/>
    <x v="0"/>
  </r>
  <r>
    <x v="62"/>
    <x v="418"/>
    <s v="Flete Baldes"/>
    <s v="Total"/>
    <x v="1"/>
    <x v="0"/>
    <x v="1"/>
    <x v="0"/>
    <n v="1132740"/>
    <n v="1132740"/>
    <n v="726.11538461538464"/>
    <m/>
    <d v="2026-06-15T00:00:00"/>
    <n v="25"/>
    <x v="1499"/>
    <x v="0"/>
  </r>
  <r>
    <x v="62"/>
    <x v="418"/>
    <s v="Flete Baldes"/>
    <s v="Total"/>
    <x v="1"/>
    <x v="0"/>
    <x v="1"/>
    <x v="0"/>
    <n v="33520"/>
    <n v="33520"/>
    <n v="21.487179487179485"/>
    <s v="Retenciones"/>
    <m/>
    <s v="19"/>
    <x v="1499"/>
    <x v="0"/>
  </r>
  <r>
    <x v="7"/>
    <x v="419"/>
    <s v="Baldes - Rosario/anguinan"/>
    <s v="Total"/>
    <x v="1"/>
    <x v="0"/>
    <x v="0"/>
    <x v="0"/>
    <n v="987951.07"/>
    <n v="987951.07"/>
    <n v="633.3019679487179"/>
    <m/>
    <m/>
    <s v="46"/>
    <x v="1500"/>
    <x v="0"/>
  </r>
  <r>
    <x v="67"/>
    <x v="419"/>
    <s v="Flete Fenolcos "/>
    <s v="Parcial"/>
    <x v="0"/>
    <x v="0"/>
    <x v="1"/>
    <x v="0"/>
    <n v="968000"/>
    <n v="968000"/>
    <n v="620.51282051282055"/>
    <s v="CH 20 Días"/>
    <d v="2025-06-23T00:00:00"/>
    <n v="26"/>
    <x v="0"/>
    <x v="0"/>
  </r>
  <r>
    <x v="5"/>
    <x v="419"/>
    <s v="Flete - Fenolicos / baldes"/>
    <s v="Total"/>
    <x v="1"/>
    <x v="0"/>
    <x v="1"/>
    <x v="0"/>
    <n v="530000"/>
    <n v="530000"/>
    <n v="339.74358974358972"/>
    <m/>
    <d v="2025-08-19T00:00:00"/>
    <n v="34"/>
    <x v="1501"/>
    <x v="0"/>
  </r>
  <r>
    <x v="5"/>
    <x v="419"/>
    <s v="Flete - Fenolicos / baldes"/>
    <s v="Total"/>
    <x v="1"/>
    <x v="0"/>
    <x v="1"/>
    <x v="0"/>
    <n v="756770.94"/>
    <n v="756770.94"/>
    <n v="485.10957692307687"/>
    <m/>
    <d v="2025-08-18T00:00:00"/>
    <n v="34"/>
    <x v="1501"/>
    <x v="0"/>
  </r>
  <r>
    <x v="5"/>
    <x v="419"/>
    <s v="Flete - Fenolicos / baldes"/>
    <s v="Total"/>
    <x v="1"/>
    <x v="0"/>
    <x v="1"/>
    <x v="0"/>
    <n v="849925"/>
    <n v="849925"/>
    <n v="544.8237179487179"/>
    <m/>
    <d v="2025-08-08T00:00:00"/>
    <n v="32"/>
    <x v="1501"/>
    <x v="0"/>
  </r>
  <r>
    <x v="5"/>
    <x v="419"/>
    <s v="Flete - Fenolicos / baldes"/>
    <s v="Total"/>
    <x v="1"/>
    <x v="0"/>
    <x v="2"/>
    <x v="0"/>
    <n v="9784.06"/>
    <n v="9784.06"/>
    <n v="6.2718333333333334"/>
    <m/>
    <m/>
    <s v="34"/>
    <x v="1501"/>
    <x v="0"/>
  </r>
  <r>
    <x v="30"/>
    <x v="419"/>
    <s v="Flete Baldes"/>
    <s v="Total"/>
    <x v="1"/>
    <x v="0"/>
    <x v="1"/>
    <x v="0"/>
    <n v="694000"/>
    <n v="694000"/>
    <n v="444.87179487179486"/>
    <m/>
    <m/>
    <s v="43"/>
    <x v="1502"/>
    <x v="0"/>
  </r>
  <r>
    <x v="37"/>
    <x v="420"/>
    <s v="Fletes"/>
    <s v="Total"/>
    <x v="1"/>
    <x v="0"/>
    <x v="1"/>
    <x v="0"/>
    <n v="1230000"/>
    <n v="1230000"/>
    <n v="788.46153846153845"/>
    <m/>
    <d v="2026-08-05T00:00:00"/>
    <n v="32"/>
    <x v="1503"/>
    <x v="0"/>
  </r>
  <r>
    <x v="37"/>
    <x v="420"/>
    <s v="Fletes"/>
    <s v="Total"/>
    <x v="2"/>
    <x v="0"/>
    <x v="1"/>
    <x v="0"/>
    <n v="202480"/>
    <n v="202480"/>
    <n v="129.7948717948718"/>
    <m/>
    <m/>
    <s v="29"/>
    <x v="1503"/>
    <x v="0"/>
  </r>
  <r>
    <x v="37"/>
    <x v="420"/>
    <s v="Fletes"/>
    <s v="Total"/>
    <x v="1"/>
    <x v="0"/>
    <x v="1"/>
    <x v="0"/>
    <n v="19520"/>
    <n v="19520"/>
    <n v="12.512820512820513"/>
    <s v="Retenciones"/>
    <m/>
    <s v="29"/>
    <x v="1503"/>
    <x v="0"/>
  </r>
  <r>
    <x v="3"/>
    <x v="376"/>
    <s v="Service compresor Chino"/>
    <s v="Total"/>
    <x v="0"/>
    <x v="1"/>
    <x v="1"/>
    <x v="0"/>
    <n v="2300000"/>
    <n v="2300000"/>
    <n v="1474.3589743589744"/>
    <m/>
    <m/>
    <s v="44"/>
    <x v="0"/>
    <x v="1"/>
  </r>
  <r>
    <x v="21"/>
    <x v="421"/>
    <s v="Nafta Campo"/>
    <s v="Total"/>
    <x v="2"/>
    <x v="0"/>
    <x v="2"/>
    <x v="0"/>
    <n v="100000"/>
    <n v="100000"/>
    <n v="64.102564102564102"/>
    <m/>
    <m/>
    <s v="28"/>
    <x v="1504"/>
    <x v="0"/>
  </r>
  <r>
    <x v="26"/>
    <x v="421"/>
    <s v="Nafta Campo"/>
    <s v="Total"/>
    <x v="2"/>
    <x v="0"/>
    <x v="2"/>
    <x v="0"/>
    <n v="100000"/>
    <n v="100000"/>
    <n v="64.102564102564102"/>
    <m/>
    <m/>
    <s v="29"/>
    <x v="1505"/>
    <x v="0"/>
  </r>
  <r>
    <x v="2"/>
    <x v="421"/>
    <s v="Nafta Campo"/>
    <s v="Total"/>
    <x v="2"/>
    <x v="0"/>
    <x v="2"/>
    <x v="0"/>
    <n v="140000"/>
    <n v="140000"/>
    <n v="89.743589743589737"/>
    <m/>
    <m/>
    <s v="32"/>
    <x v="34"/>
    <x v="0"/>
  </r>
  <r>
    <x v="2"/>
    <x v="421"/>
    <s v="Nafta Senda"/>
    <s v="Total"/>
    <x v="2"/>
    <x v="0"/>
    <x v="2"/>
    <x v="0"/>
    <n v="50000"/>
    <n v="50000"/>
    <n v="32.051282051282051"/>
    <m/>
    <m/>
    <s v="32"/>
    <x v="0"/>
    <x v="0"/>
  </r>
  <r>
    <x v="27"/>
    <x v="421"/>
    <s v="Combustible campo"/>
    <s v="Total"/>
    <x v="2"/>
    <x v="0"/>
    <x v="2"/>
    <x v="0"/>
    <n v="140000"/>
    <n v="140000"/>
    <n v="89.743589743589737"/>
    <m/>
    <m/>
    <s v="35"/>
    <x v="34"/>
    <x v="0"/>
  </r>
  <r>
    <x v="70"/>
    <x v="421"/>
    <s v="Nafta taller"/>
    <s v="Total"/>
    <x v="2"/>
    <x v="0"/>
    <x v="2"/>
    <x v="0"/>
    <n v="140000"/>
    <n v="140000"/>
    <n v="89.743589743589737"/>
    <m/>
    <m/>
    <s v="36"/>
    <x v="1506"/>
    <x v="0"/>
  </r>
  <r>
    <x v="18"/>
    <x v="421"/>
    <s v="Nafta taller"/>
    <s v="Total"/>
    <x v="2"/>
    <x v="0"/>
    <x v="2"/>
    <x v="0"/>
    <n v="140000"/>
    <n v="140000"/>
    <n v="89.743589743589737"/>
    <m/>
    <m/>
    <s v="39"/>
    <x v="1507"/>
    <x v="0"/>
  </r>
  <r>
    <x v="28"/>
    <x v="421"/>
    <s v="Nafta taller"/>
    <s v="Total"/>
    <x v="2"/>
    <x v="0"/>
    <x v="2"/>
    <x v="0"/>
    <n v="140000"/>
    <n v="140000"/>
    <n v="89.743589743589737"/>
    <m/>
    <m/>
    <s v="40"/>
    <x v="1508"/>
    <x v="0"/>
  </r>
  <r>
    <x v="30"/>
    <x v="421"/>
    <s v="Nafta taller"/>
    <s v="Total"/>
    <x v="2"/>
    <x v="0"/>
    <x v="2"/>
    <x v="0"/>
    <n v="140000"/>
    <n v="140000"/>
    <n v="89.743589743589737"/>
    <m/>
    <m/>
    <s v="43"/>
    <x v="1509"/>
    <x v="0"/>
  </r>
  <r>
    <x v="31"/>
    <x v="421"/>
    <s v="Nafta taller"/>
    <s v="Total"/>
    <x v="2"/>
    <x v="0"/>
    <x v="2"/>
    <x v="0"/>
    <n v="140000"/>
    <n v="140000"/>
    <n v="89.743589743589737"/>
    <m/>
    <m/>
    <s v="45"/>
    <x v="1510"/>
    <x v="0"/>
  </r>
  <r>
    <x v="7"/>
    <x v="421"/>
    <s v="Nafta taller"/>
    <s v="Total"/>
    <x v="2"/>
    <x v="0"/>
    <x v="2"/>
    <x v="0"/>
    <n v="90000"/>
    <n v="90000"/>
    <n v="57.692307692307693"/>
    <m/>
    <m/>
    <s v="46"/>
    <x v="1511"/>
    <x v="0"/>
  </r>
  <r>
    <x v="10"/>
    <x v="421"/>
    <s v="Nafta taller"/>
    <s v="Total"/>
    <x v="2"/>
    <x v="0"/>
    <x v="2"/>
    <x v="0"/>
    <n v="140000"/>
    <n v="140000"/>
    <n v="89.743589743589737"/>
    <m/>
    <m/>
    <s v="48"/>
    <x v="1512"/>
    <x v="0"/>
  </r>
  <r>
    <x v="74"/>
    <x v="421"/>
    <s v="Nafta taller"/>
    <s v="Total"/>
    <x v="2"/>
    <x v="0"/>
    <x v="2"/>
    <x v="0"/>
    <n v="140000"/>
    <n v="140000"/>
    <n v="89.743589743589737"/>
    <m/>
    <m/>
    <s v="03"/>
    <x v="1513"/>
    <x v="0"/>
  </r>
  <r>
    <x v="50"/>
    <x v="421"/>
    <s v="Nafta taller"/>
    <s v="Total"/>
    <x v="2"/>
    <x v="0"/>
    <x v="2"/>
    <x v="0"/>
    <n v="140000"/>
    <n v="140000"/>
    <n v="89.743589743589737"/>
    <m/>
    <m/>
    <s v="04"/>
    <x v="1514"/>
    <x v="0"/>
  </r>
  <r>
    <x v="59"/>
    <x v="421"/>
    <s v="Nafta taller"/>
    <s v="Total"/>
    <x v="2"/>
    <x v="0"/>
    <x v="2"/>
    <x v="0"/>
    <n v="140000"/>
    <n v="140000"/>
    <n v="89.743589743589737"/>
    <m/>
    <m/>
    <s v="06"/>
    <x v="1515"/>
    <x v="0"/>
  </r>
  <r>
    <x v="41"/>
    <x v="421"/>
    <s v="Nafta taller"/>
    <s v="Total"/>
    <x v="2"/>
    <x v="0"/>
    <x v="2"/>
    <x v="0"/>
    <n v="140000"/>
    <n v="140000"/>
    <n v="89.743589743589737"/>
    <m/>
    <m/>
    <s v="08"/>
    <x v="1516"/>
    <x v="0"/>
  </r>
  <r>
    <x v="73"/>
    <x v="421"/>
    <s v="Nafta taller"/>
    <s v="Total"/>
    <x v="2"/>
    <x v="0"/>
    <x v="2"/>
    <x v="0"/>
    <n v="149999.94"/>
    <n v="149999.94"/>
    <n v="96.153807692307694"/>
    <m/>
    <m/>
    <s v="10"/>
    <x v="1517"/>
    <x v="0"/>
  </r>
  <r>
    <x v="56"/>
    <x v="421"/>
    <s v="Nafta taller"/>
    <s v="Total"/>
    <x v="2"/>
    <x v="0"/>
    <x v="2"/>
    <x v="0"/>
    <n v="139999.94"/>
    <n v="139999.94"/>
    <n v="89.743551282051286"/>
    <m/>
    <m/>
    <s v="11"/>
    <x v="1518"/>
    <x v="0"/>
  </r>
  <r>
    <x v="65"/>
    <x v="421"/>
    <s v="Nafta taller"/>
    <s v="Total"/>
    <x v="2"/>
    <x v="0"/>
    <x v="2"/>
    <x v="0"/>
    <n v="50000.53"/>
    <n v="50000.53"/>
    <n v="32.051621794871792"/>
    <m/>
    <m/>
    <s v="13"/>
    <x v="1519"/>
    <x v="0"/>
  </r>
  <r>
    <x v="20"/>
    <x v="421"/>
    <s v="Combustible"/>
    <s v="Total"/>
    <x v="2"/>
    <x v="0"/>
    <x v="2"/>
    <x v="0"/>
    <n v="100016.7"/>
    <n v="100016.7"/>
    <n v="64.113269230769234"/>
    <m/>
    <m/>
    <s v="15"/>
    <x v="1520"/>
    <x v="0"/>
  </r>
  <r>
    <x v="57"/>
    <x v="421"/>
    <s v="Nafta taller"/>
    <s v="Total"/>
    <x v="2"/>
    <x v="0"/>
    <x v="2"/>
    <x v="0"/>
    <n v="150003"/>
    <n v="150003"/>
    <n v="96.155769230769238"/>
    <m/>
    <m/>
    <s v="16"/>
    <x v="1521"/>
    <x v="0"/>
  </r>
  <r>
    <x v="57"/>
    <x v="421"/>
    <s v="Combustible VW Senda"/>
    <s v="Total"/>
    <x v="2"/>
    <x v="0"/>
    <x v="2"/>
    <x v="0"/>
    <n v="100006.2"/>
    <n v="100006.2"/>
    <n v="64.106538461538463"/>
    <m/>
    <m/>
    <s v="16"/>
    <x v="1522"/>
    <x v="0"/>
  </r>
  <r>
    <x v="53"/>
    <x v="421"/>
    <s v="Nafta taller"/>
    <s v="Total"/>
    <x v="2"/>
    <x v="0"/>
    <x v="2"/>
    <x v="0"/>
    <n v="140000.70000000001"/>
    <n v="140000.70000000001"/>
    <n v="89.744038461538466"/>
    <m/>
    <m/>
    <s v="17"/>
    <x v="1523"/>
    <x v="0"/>
  </r>
  <r>
    <x v="23"/>
    <x v="421"/>
    <s v="Nafta taller"/>
    <s v="Total"/>
    <x v="2"/>
    <x v="0"/>
    <x v="2"/>
    <x v="0"/>
    <n v="150000.89000000001"/>
    <n v="150000.89000000001"/>
    <n v="96.154416666666677"/>
    <m/>
    <m/>
    <s v="18"/>
    <x v="1524"/>
    <x v="0"/>
  </r>
  <r>
    <x v="53"/>
    <x v="421"/>
    <s v="Nafta taller"/>
    <s v="Total"/>
    <x v="2"/>
    <x v="0"/>
    <x v="2"/>
    <x v="0"/>
    <n v="59999.94"/>
    <n v="59999.94"/>
    <n v="38.461500000000001"/>
    <m/>
    <m/>
    <s v="17"/>
    <x v="1525"/>
    <x v="0"/>
  </r>
  <r>
    <x v="62"/>
    <x v="421"/>
    <s v="Nafta taller"/>
    <s v="Total"/>
    <x v="2"/>
    <x v="0"/>
    <x v="2"/>
    <x v="0"/>
    <n v="150089"/>
    <n v="150089"/>
    <n v="96.210897435897436"/>
    <m/>
    <m/>
    <s v="19"/>
    <x v="1526"/>
    <x v="0"/>
  </r>
  <r>
    <x v="49"/>
    <x v="422"/>
    <s v="Reparacion de caja de velocidad Combi KIA (PIC 1-34)"/>
    <s v="Total"/>
    <x v="1"/>
    <x v="0"/>
    <x v="1"/>
    <x v="0"/>
    <n v="780000"/>
    <n v="780000"/>
    <n v="500"/>
    <s v="CH 15 días"/>
    <d v="2025-07-11T00:00:00"/>
    <n v="28"/>
    <x v="1527"/>
    <x v="0"/>
  </r>
  <r>
    <x v="49"/>
    <x v="422"/>
    <s v="Reparaciones Varias taller"/>
    <s v="Total"/>
    <x v="1"/>
    <x v="0"/>
    <x v="1"/>
    <x v="0"/>
    <n v="1032600"/>
    <n v="1032600"/>
    <n v="661.92307692307691"/>
    <s v="CH 20 días"/>
    <d v="2025-07-11T00:00:00"/>
    <n v="28"/>
    <x v="1528"/>
    <x v="0"/>
  </r>
  <r>
    <x v="68"/>
    <x v="422"/>
    <s v="Bomba superior/inferior Toyota (Olmos)"/>
    <s v="Total"/>
    <x v="1"/>
    <x v="1"/>
    <x v="2"/>
    <x v="0"/>
    <n v="180000"/>
    <n v="180000"/>
    <n v="115.38461538461539"/>
    <s v="CCHC"/>
    <m/>
    <s v="23"/>
    <x v="0"/>
    <x v="0"/>
  </r>
  <r>
    <x v="17"/>
    <x v="422"/>
    <s v="Reparacion camioneta Nissan / Ford Ranger 3.0"/>
    <s v="Total"/>
    <x v="1"/>
    <x v="0"/>
    <x v="2"/>
    <x v="0"/>
    <n v="892300"/>
    <n v="892300"/>
    <n v="571.98717948717945"/>
    <m/>
    <m/>
    <s v="26"/>
    <x v="1529"/>
    <x v="0"/>
  </r>
  <r>
    <x v="48"/>
    <x v="422"/>
    <s v="Nafta"/>
    <s v="Total"/>
    <x v="1"/>
    <x v="0"/>
    <x v="2"/>
    <x v="0"/>
    <n v="50000"/>
    <n v="50000"/>
    <n v="32.051282051282051"/>
    <m/>
    <m/>
    <s v="16"/>
    <x v="0"/>
    <x v="0"/>
  </r>
  <r>
    <x v="84"/>
    <x v="422"/>
    <s v="Servicio de gomeria"/>
    <s v="Total"/>
    <x v="1"/>
    <x v="0"/>
    <x v="0"/>
    <x v="0"/>
    <n v="165000"/>
    <n v="165000"/>
    <n v="105.76923076923077"/>
    <m/>
    <m/>
    <s v="18"/>
    <x v="1530"/>
    <x v="0"/>
  </r>
  <r>
    <x v="80"/>
    <x v="422"/>
    <s v="Rep. Bomba hidraulica / radiador / paletas ventiladro Perkins (saldo)"/>
    <s v="Total"/>
    <x v="1"/>
    <x v="0"/>
    <x v="2"/>
    <x v="0"/>
    <n v="53941.31"/>
    <n v="53941.31"/>
    <n v="34.577762820512817"/>
    <m/>
    <m/>
    <s v="20"/>
    <x v="0"/>
    <x v="0"/>
  </r>
  <r>
    <x v="69"/>
    <x v="422"/>
    <s v="Armado Motor Toyota 4x2 (PIC 1-34)"/>
    <s v="Total"/>
    <x v="1"/>
    <x v="0"/>
    <x v="1"/>
    <x v="0"/>
    <n v="1500000"/>
    <n v="1500000"/>
    <n v="961.53846153846155"/>
    <s v="CH 15 días"/>
    <d v="2025-08-10T00:00:00"/>
    <n v="33"/>
    <x v="1531"/>
    <x v="0"/>
  </r>
  <r>
    <x v="5"/>
    <x v="422"/>
    <s v="Trabajos varios  según remitos"/>
    <s v="Total"/>
    <x v="1"/>
    <x v="1"/>
    <x v="1"/>
    <x v="0"/>
    <n v="550000"/>
    <n v="550000"/>
    <n v="352.56410256410254"/>
    <m/>
    <d v="2025-08-23T00:00:00"/>
    <n v="34"/>
    <x v="1532"/>
    <x v="0"/>
  </r>
  <r>
    <x v="5"/>
    <x v="422"/>
    <s v="Trabajos varios  según remitos"/>
    <s v="Total"/>
    <x v="1"/>
    <x v="1"/>
    <x v="1"/>
    <x v="0"/>
    <n v="511060"/>
    <n v="511060"/>
    <n v="327.60256410256409"/>
    <m/>
    <d v="2025-08-23T00:00:00"/>
    <n v="34"/>
    <x v="1532"/>
    <x v="0"/>
  </r>
  <r>
    <x v="5"/>
    <x v="422"/>
    <s v="Trabajos varios  según remitos"/>
    <s v="Total"/>
    <x v="1"/>
    <x v="1"/>
    <x v="1"/>
    <x v="0"/>
    <n v="176090"/>
    <n v="176090"/>
    <n v="112.87820512820512"/>
    <m/>
    <d v="2025-08-22T00:00:00"/>
    <n v="34"/>
    <x v="1532"/>
    <x v="0"/>
  </r>
  <r>
    <x v="18"/>
    <x v="422"/>
    <s v="Reparaciones Varias taller"/>
    <s v="Total"/>
    <x v="1"/>
    <x v="0"/>
    <x v="1"/>
    <x v="0"/>
    <n v="747834.73"/>
    <n v="747834.73"/>
    <n v="479.38123717948719"/>
    <m/>
    <d v="2025-09-15T00:00:00"/>
    <n v="38"/>
    <x v="1533"/>
    <x v="0"/>
  </r>
  <r>
    <x v="18"/>
    <x v="422"/>
    <s v="Reparaciones Varias taller"/>
    <s v="Total"/>
    <x v="1"/>
    <x v="0"/>
    <x v="1"/>
    <x v="0"/>
    <n v="305474.78000000003"/>
    <n v="305474.78000000003"/>
    <n v="195.81716666666668"/>
    <m/>
    <d v="2025-10-20T00:00:00"/>
    <n v="43"/>
    <x v="1533"/>
    <x v="0"/>
  </r>
  <r>
    <x v="18"/>
    <x v="422"/>
    <s v="Reparaciones Varias taller"/>
    <s v="Total"/>
    <x v="1"/>
    <x v="0"/>
    <x v="1"/>
    <x v="0"/>
    <n v="175990.49"/>
    <n v="175990.49"/>
    <n v="112.81441666666666"/>
    <m/>
    <d v="2025-10-24T00:00:00"/>
    <n v="43"/>
    <x v="1533"/>
    <x v="0"/>
  </r>
  <r>
    <x v="28"/>
    <x v="422"/>
    <s v="Cambio de Cigüeñal de Cigüeñal Agco Allis 610 (PIC1-34)"/>
    <s v="Total"/>
    <x v="1"/>
    <x v="0"/>
    <x v="1"/>
    <x v="0"/>
    <n v="200000"/>
    <n v="200000"/>
    <n v="128.2051282051282"/>
    <m/>
    <d v="2025-11-21T00:00:00"/>
    <n v="47"/>
    <x v="1534"/>
    <x v="0"/>
  </r>
  <r>
    <x v="28"/>
    <x v="422"/>
    <s v="Cambio de Cigüeñal de Cigüeñal Agco Allis 610 (PIC1-34)"/>
    <s v="Total"/>
    <x v="1"/>
    <x v="0"/>
    <x v="1"/>
    <x v="0"/>
    <n v="800000"/>
    <n v="800000"/>
    <n v="512.82051282051282"/>
    <m/>
    <d v="2025-11-24T00:00:00"/>
    <n v="48"/>
    <x v="1534"/>
    <x v="0"/>
  </r>
  <r>
    <x v="28"/>
    <x v="422"/>
    <s v="Cambio de Cigüeñal de Cigüeñal Agco Allis 610 (PIC1-34)"/>
    <s v="Total"/>
    <x v="1"/>
    <x v="0"/>
    <x v="1"/>
    <x v="0"/>
    <n v="800000"/>
    <n v="800000"/>
    <n v="512.82051282051282"/>
    <s v="CH 15 días"/>
    <d v="2025-11-21T00:00:00"/>
    <n v="47"/>
    <x v="1534"/>
    <x v="0"/>
  </r>
  <r>
    <x v="30"/>
    <x v="422"/>
    <s v="Reparacones taller Campo"/>
    <s v="Total"/>
    <x v="1"/>
    <x v="0"/>
    <x v="1"/>
    <x v="0"/>
    <n v="500000"/>
    <n v="500000"/>
    <n v="320.5128205128205"/>
    <m/>
    <d v="2025-10-18T00:00:00"/>
    <n v="42"/>
    <x v="1535"/>
    <x v="0"/>
  </r>
  <r>
    <x v="30"/>
    <x v="422"/>
    <s v="Reparacones taller Campo"/>
    <s v="Total"/>
    <x v="1"/>
    <x v="0"/>
    <x v="1"/>
    <x v="0"/>
    <n v="350000"/>
    <n v="350000"/>
    <n v="224.35897435897436"/>
    <m/>
    <d v="2025-10-26T00:00:00"/>
    <n v="44"/>
    <x v="1535"/>
    <x v="0"/>
  </r>
  <r>
    <x v="30"/>
    <x v="422"/>
    <s v="Reparacones taller Campo"/>
    <s v="Total"/>
    <x v="1"/>
    <x v="0"/>
    <x v="2"/>
    <x v="0"/>
    <n v="16600"/>
    <n v="16600"/>
    <n v="10.641025641025641"/>
    <m/>
    <m/>
    <s v="43"/>
    <x v="1535"/>
    <x v="0"/>
  </r>
  <r>
    <x v="10"/>
    <x v="422"/>
    <s v="Trabajos varios taller"/>
    <s v="Total"/>
    <x v="1"/>
    <x v="0"/>
    <x v="1"/>
    <x v="0"/>
    <n v="870800"/>
    <n v="870800"/>
    <n v="558.20512820512818"/>
    <m/>
    <m/>
    <s v="48"/>
    <x v="1536"/>
    <x v="0"/>
  </r>
  <r>
    <x v="15"/>
    <x v="422"/>
    <s v="Reparación Bomba Fumigadora "/>
    <s v="Total"/>
    <x v="1"/>
    <x v="0"/>
    <x v="1"/>
    <x v="0"/>
    <n v="75940"/>
    <n v="75940"/>
    <n v="48.679487179487182"/>
    <m/>
    <d v="2025-12-18T00:00:00"/>
    <n v="51"/>
    <x v="1537"/>
    <x v="0"/>
  </r>
  <r>
    <x v="15"/>
    <x v="422"/>
    <s v="Reparación Bomba Fumigadora "/>
    <s v="Total"/>
    <x v="1"/>
    <x v="0"/>
    <x v="1"/>
    <x v="0"/>
    <n v="404506"/>
    <n v="404506"/>
    <n v="259.29871794871792"/>
    <m/>
    <d v="2025-12-07T00:00:00"/>
    <n v="50"/>
    <x v="1537"/>
    <x v="0"/>
  </r>
  <r>
    <x v="15"/>
    <x v="422"/>
    <s v="Reparación Bomba Fumigadora "/>
    <s v="Total"/>
    <x v="2"/>
    <x v="0"/>
    <x v="2"/>
    <x v="0"/>
    <n v="14554"/>
    <n v="14554"/>
    <n v="9.3294871794871792"/>
    <m/>
    <m/>
    <s v="49"/>
    <x v="1537"/>
    <x v="0"/>
  </r>
  <r>
    <x v="4"/>
    <x v="422"/>
    <s v="Reparaciones Varias Taller"/>
    <s v="Total"/>
    <x v="1"/>
    <x v="0"/>
    <x v="2"/>
    <x v="0"/>
    <n v="34800"/>
    <n v="34800"/>
    <n v="22.307692307692307"/>
    <m/>
    <m/>
    <s v="51"/>
    <x v="1538"/>
    <x v="0"/>
  </r>
  <r>
    <x v="4"/>
    <x v="422"/>
    <s v="Reparaciones Varias Taller"/>
    <s v="Total"/>
    <x v="1"/>
    <x v="0"/>
    <x v="1"/>
    <x v="0"/>
    <n v="297000"/>
    <n v="297000"/>
    <n v="190.38461538461539"/>
    <m/>
    <d v="2025-12-14T00:00:00"/>
    <n v="51"/>
    <x v="1538"/>
    <x v="0"/>
  </r>
  <r>
    <x v="4"/>
    <x v="422"/>
    <s v="Reparaciones Varias Taller"/>
    <s v="Total"/>
    <x v="1"/>
    <x v="0"/>
    <x v="1"/>
    <x v="0"/>
    <n v="350000"/>
    <n v="350000"/>
    <n v="224.35897435897436"/>
    <m/>
    <d v="2025-12-30T00:00:00"/>
    <n v="53"/>
    <x v="1538"/>
    <x v="0"/>
  </r>
  <r>
    <x v="74"/>
    <x v="422"/>
    <s v="Servicio reparación COE"/>
    <s v="Total"/>
    <x v="1"/>
    <x v="1"/>
    <x v="1"/>
    <x v="0"/>
    <n v="73300"/>
    <n v="73300"/>
    <n v="46.987179487179489"/>
    <m/>
    <d v="2026-01-05T00:00:00"/>
    <n v="2"/>
    <x v="1539"/>
    <x v="0"/>
  </r>
  <r>
    <x v="74"/>
    <x v="422"/>
    <s v="Servicio reparación COE"/>
    <s v="Total"/>
    <x v="1"/>
    <x v="1"/>
    <x v="1"/>
    <x v="0"/>
    <n v="930000"/>
    <n v="930000"/>
    <n v="596.15384615384619"/>
    <m/>
    <d v="2025-12-24T00:00:00"/>
    <n v="52"/>
    <x v="1539"/>
    <x v="0"/>
  </r>
  <r>
    <x v="9"/>
    <x v="422"/>
    <s v="Trabajos varios de taller"/>
    <s v="Total"/>
    <x v="0"/>
    <x v="0"/>
    <x v="2"/>
    <x v="0"/>
    <n v="1170000"/>
    <n v="1170000"/>
    <n v="750"/>
    <m/>
    <m/>
    <s v="05"/>
    <x v="1540"/>
    <x v="0"/>
  </r>
  <r>
    <x v="59"/>
    <x v="422"/>
    <s v="Trabajos varios de taller"/>
    <s v="Total"/>
    <x v="0"/>
    <x v="0"/>
    <x v="1"/>
    <x v="0"/>
    <n v="500000"/>
    <n v="500000"/>
    <n v="320.5128205128205"/>
    <m/>
    <d v="2026-02-27T00:00:00"/>
    <n v="9"/>
    <x v="1541"/>
    <x v="0"/>
  </r>
  <r>
    <x v="59"/>
    <x v="422"/>
    <s v="Trabajos varios de taller"/>
    <s v="Total"/>
    <x v="0"/>
    <x v="0"/>
    <x v="1"/>
    <x v="0"/>
    <n v="278400"/>
    <n v="278400"/>
    <n v="178.46153846153845"/>
    <m/>
    <d v="2026-02-27T00:00:00"/>
    <n v="9"/>
    <x v="1541"/>
    <x v="0"/>
  </r>
  <r>
    <x v="59"/>
    <x v="422"/>
    <s v="Trabajos varios de taller"/>
    <s v="Total"/>
    <x v="0"/>
    <x v="0"/>
    <x v="1"/>
    <x v="0"/>
    <n v="300000"/>
    <n v="300000"/>
    <n v="192.30769230769232"/>
    <m/>
    <d v="2026-03-02T00:00:00"/>
    <n v="10"/>
    <x v="1541"/>
    <x v="0"/>
  </r>
  <r>
    <x v="59"/>
    <x v="422"/>
    <s v="Trabajos varios de taller"/>
    <s v="Total"/>
    <x v="0"/>
    <x v="0"/>
    <x v="0"/>
    <x v="0"/>
    <n v="115100"/>
    <n v="115100"/>
    <n v="73.782051282051285"/>
    <m/>
    <m/>
    <s v="06"/>
    <x v="1541"/>
    <x v="0"/>
  </r>
  <r>
    <x v="59"/>
    <x v="422"/>
    <s v="Reparación COE + filtros"/>
    <s v="Total"/>
    <x v="2"/>
    <x v="0"/>
    <x v="2"/>
    <x v="0"/>
    <n v="200000"/>
    <n v="200000"/>
    <n v="128.2051282051282"/>
    <m/>
    <m/>
    <s v="06"/>
    <x v="1542"/>
    <x v="0"/>
  </r>
  <r>
    <x v="59"/>
    <x v="422"/>
    <s v="Reparación COE"/>
    <s v="Total"/>
    <x v="2"/>
    <x v="1"/>
    <x v="2"/>
    <x v="0"/>
    <n v="600000"/>
    <n v="600000"/>
    <n v="384.61538461538464"/>
    <m/>
    <m/>
    <s v="06"/>
    <x v="1543"/>
    <x v="0"/>
  </r>
  <r>
    <x v="73"/>
    <x v="422"/>
    <s v="Trabajos Varios - Remitos 72"/>
    <s v="Total"/>
    <x v="0"/>
    <x v="1"/>
    <x v="2"/>
    <x v="0"/>
    <n v="390000"/>
    <n v="390000"/>
    <n v="250"/>
    <m/>
    <m/>
    <s v="10"/>
    <x v="1544"/>
    <x v="0"/>
  </r>
  <r>
    <x v="73"/>
    <x v="422"/>
    <s v="Trabajos Varios - Remitos 73/74"/>
    <s v="Total"/>
    <x v="0"/>
    <x v="0"/>
    <x v="1"/>
    <x v="0"/>
    <n v="800000"/>
    <n v="800000"/>
    <n v="512.82051282051282"/>
    <m/>
    <d v="2026-03-01T00:00:00"/>
    <n v="10"/>
    <x v="1545"/>
    <x v="0"/>
  </r>
  <r>
    <x v="73"/>
    <x v="422"/>
    <s v="Trabajos Varios - Remitos 73/74"/>
    <s v="Total"/>
    <x v="0"/>
    <x v="0"/>
    <x v="1"/>
    <x v="0"/>
    <n v="6800"/>
    <n v="6800"/>
    <n v="4.3589743589743586"/>
    <m/>
    <m/>
    <s v="10"/>
    <x v="1545"/>
    <x v="0"/>
  </r>
  <r>
    <x v="33"/>
    <x v="422"/>
    <s v="Trabajos Varios - Remitos 73/74"/>
    <s v="Total"/>
    <x v="0"/>
    <x v="0"/>
    <x v="1"/>
    <x v="0"/>
    <n v="438627"/>
    <n v="438627"/>
    <n v="281.17115384615386"/>
    <m/>
    <d v="2026-04-03T00:00:00"/>
    <n v="14"/>
    <x v="1546"/>
    <x v="0"/>
  </r>
  <r>
    <x v="53"/>
    <x v="422"/>
    <s v="Reparación Tractor  John Deere (caja)"/>
    <s v="Total"/>
    <x v="1"/>
    <x v="1"/>
    <x v="1"/>
    <x v="0"/>
    <n v="5200"/>
    <n v="5200"/>
    <n v="3.3333333333333335"/>
    <m/>
    <m/>
    <s v="17"/>
    <x v="1547"/>
    <x v="0"/>
  </r>
  <r>
    <x v="53"/>
    <x v="422"/>
    <s v="Reparación Tractor  John Deere (caja)"/>
    <s v="Total"/>
    <x v="1"/>
    <x v="1"/>
    <x v="1"/>
    <x v="0"/>
    <n v="300000"/>
    <n v="300000"/>
    <n v="192.30769230769232"/>
    <m/>
    <d v="2026-04-30T00:00:00"/>
    <n v="18"/>
    <x v="1547"/>
    <x v="0"/>
  </r>
  <r>
    <x v="53"/>
    <x v="422"/>
    <s v="Reparación Tractor  John Deere (caja)"/>
    <s v="Total"/>
    <x v="1"/>
    <x v="1"/>
    <x v="1"/>
    <x v="0"/>
    <n v="394800"/>
    <n v="394800"/>
    <n v="253.07692307692307"/>
    <m/>
    <d v="2026-05-16T00:00:00"/>
    <n v="20"/>
    <x v="1547"/>
    <x v="0"/>
  </r>
  <r>
    <x v="22"/>
    <x v="422"/>
    <s v="Trabajos Taller - campo"/>
    <s v="Total"/>
    <x v="2"/>
    <x v="1"/>
    <x v="2"/>
    <x v="0"/>
    <n v="700000"/>
    <n v="700000"/>
    <n v="448.71794871794873"/>
    <m/>
    <m/>
    <s v="23"/>
    <x v="1548"/>
    <x v="0"/>
  </r>
  <r>
    <x v="44"/>
    <x v="422"/>
    <s v="Reparación Tractor  John Deere (caja) - Saldo"/>
    <s v="Total"/>
    <x v="0"/>
    <x v="1"/>
    <x v="2"/>
    <x v="0"/>
    <n v="924739"/>
    <n v="924739"/>
    <n v="592.78141025641025"/>
    <m/>
    <m/>
    <s v="31"/>
    <x v="1549"/>
    <x v="0"/>
  </r>
  <r>
    <x v="44"/>
    <x v="422"/>
    <s v="Reparación Tractor  John Deere (caja)"/>
    <s v="Total"/>
    <x v="0"/>
    <x v="1"/>
    <x v="1"/>
    <x v="0"/>
    <n v="631970"/>
    <n v="631970"/>
    <n v="405.10897435897436"/>
    <m/>
    <d v="2026-08-10T00:00:00"/>
    <n v="33"/>
    <x v="1550"/>
    <x v="0"/>
  </r>
  <r>
    <x v="44"/>
    <x v="422"/>
    <s v="Reparación Tractor  John Deere (caja)"/>
    <s v="Total"/>
    <x v="0"/>
    <x v="1"/>
    <x v="1"/>
    <x v="0"/>
    <n v="1081844"/>
    <n v="1081844"/>
    <n v="693.48974358974363"/>
    <m/>
    <d v="2026-08-16T00:00:00"/>
    <n v="34"/>
    <x v="1550"/>
    <x v="0"/>
  </r>
  <r>
    <x v="44"/>
    <x v="422"/>
    <s v="Reparación Tractor  John Deere (caja)"/>
    <s v="Total"/>
    <x v="0"/>
    <x v="1"/>
    <x v="1"/>
    <x v="0"/>
    <n v="1200000"/>
    <n v="1200000"/>
    <n v="769.23076923076928"/>
    <m/>
    <d v="2026-08-16T00:00:00"/>
    <n v="34"/>
    <x v="1550"/>
    <x v="0"/>
  </r>
  <r>
    <x v="44"/>
    <x v="422"/>
    <s v="Reparación Tractor  John Deere (caja)"/>
    <s v="Total"/>
    <x v="0"/>
    <x v="1"/>
    <x v="1"/>
    <x v="0"/>
    <n v="2500000"/>
    <n v="2500000"/>
    <n v="1602.5641025641025"/>
    <m/>
    <d v="2026-08-20T00:00:00"/>
    <n v="34"/>
    <x v="1550"/>
    <x v="0"/>
  </r>
  <r>
    <x v="44"/>
    <x v="422"/>
    <s v="Reparación Tractor  John Deere (caja)"/>
    <s v="Total"/>
    <x v="0"/>
    <x v="1"/>
    <x v="1"/>
    <x v="0"/>
    <n v="400997"/>
    <n v="400997"/>
    <n v="257.049358974359"/>
    <m/>
    <d v="2026-09-30T00:00:00"/>
    <n v="40"/>
    <x v="1550"/>
    <x v="0"/>
  </r>
  <r>
    <x v="44"/>
    <x v="422"/>
    <s v="Reparación Tractor  John Deere (caja)"/>
    <s v="Total"/>
    <x v="0"/>
    <x v="1"/>
    <x v="1"/>
    <x v="0"/>
    <n v="2511450"/>
    <n v="2511450"/>
    <n v="1609.9038461538462"/>
    <m/>
    <d v="2026-08-27T00:00:00"/>
    <n v="35"/>
    <x v="1550"/>
    <x v="0"/>
  </r>
  <r>
    <x v="12"/>
    <x v="422"/>
    <s v="Toyota blanca 2.8"/>
    <s v="Total"/>
    <x v="0"/>
    <x v="0"/>
    <x v="1"/>
    <x v="0"/>
    <n v="902656.6"/>
    <n v="902656.6"/>
    <n v="578.62602564102565"/>
    <m/>
    <m/>
    <s v="33"/>
    <x v="1551"/>
    <x v="0"/>
  </r>
  <r>
    <x v="12"/>
    <x v="422"/>
    <s v="Reparaciones taller"/>
    <s v="Total"/>
    <x v="0"/>
    <x v="0"/>
    <x v="1"/>
    <x v="0"/>
    <n v="902656.6"/>
    <n v="902656.6"/>
    <n v="578.62602564102565"/>
    <m/>
    <d v="2026-09-11T00:00:00"/>
    <n v="37"/>
    <x v="1552"/>
    <x v="0"/>
  </r>
  <r>
    <x v="46"/>
    <x v="422"/>
    <s v="Reparación Tractor New Holland"/>
    <s v="Total"/>
    <x v="0"/>
    <x v="1"/>
    <x v="1"/>
    <x v="0"/>
    <n v="1000000"/>
    <n v="1000000"/>
    <n v="641.02564102564099"/>
    <m/>
    <d v="2026-11-28T00:00:00"/>
    <n v="48"/>
    <x v="1553"/>
    <x v="0"/>
  </r>
  <r>
    <x v="3"/>
    <x v="376"/>
    <s v="Reparación Tanque inox planta de aceite"/>
    <s v="Total"/>
    <x v="0"/>
    <x v="1"/>
    <x v="1"/>
    <x v="0"/>
    <n v="1700000"/>
    <n v="1700000"/>
    <n v="1089.7435897435898"/>
    <m/>
    <m/>
    <s v="44"/>
    <x v="0"/>
    <x v="1"/>
  </r>
  <r>
    <x v="34"/>
    <x v="423"/>
    <s v="Certificación Bascula INTI"/>
    <s v="Total"/>
    <x v="0"/>
    <x v="0"/>
    <x v="1"/>
    <x v="0"/>
    <n v="300000"/>
    <n v="300000"/>
    <n v="192.30769230769232"/>
    <m/>
    <d v="2026-06-01T00:00:00"/>
    <n v="23"/>
    <x v="1554"/>
    <x v="0"/>
  </r>
  <r>
    <x v="34"/>
    <x v="423"/>
    <s v="Certificación Bascula INTI"/>
    <s v="Total"/>
    <x v="0"/>
    <x v="0"/>
    <x v="1"/>
    <x v="0"/>
    <n v="300000"/>
    <n v="300000"/>
    <n v="192.30769230769232"/>
    <m/>
    <d v="2026-06-04T00:00:00"/>
    <n v="23"/>
    <x v="1554"/>
    <x v="0"/>
  </r>
  <r>
    <x v="34"/>
    <x v="423"/>
    <s v="Certificación Bascula INTI"/>
    <s v="Total"/>
    <x v="0"/>
    <x v="0"/>
    <x v="1"/>
    <x v="0"/>
    <n v="1214000"/>
    <n v="1214000"/>
    <n v="778.20512820512818"/>
    <m/>
    <d v="2026-06-13T00:00:00"/>
    <n v="24"/>
    <x v="1554"/>
    <x v="0"/>
  </r>
  <r>
    <x v="34"/>
    <x v="423"/>
    <s v="Certificación Bascula INTI"/>
    <s v="Total"/>
    <x v="0"/>
    <x v="0"/>
    <x v="1"/>
    <x v="0"/>
    <n v="2000000"/>
    <n v="2000000"/>
    <n v="1282.051282051282"/>
    <m/>
    <d v="2026-06-29T00:00:00"/>
    <n v="27"/>
    <x v="1554"/>
    <x v="0"/>
  </r>
  <r>
    <x v="34"/>
    <x v="423"/>
    <s v="Certificación Bascula INTI"/>
    <s v="Total"/>
    <x v="0"/>
    <x v="0"/>
    <x v="1"/>
    <x v="0"/>
    <n v="61697.919999999998"/>
    <n v="61697.919999999998"/>
    <n v="39.549948717948716"/>
    <s v="Retenciones"/>
    <m/>
    <s v="21"/>
    <x v="1554"/>
    <x v="0"/>
  </r>
  <r>
    <x v="11"/>
    <x v="423"/>
    <s v="Cheque rechazado 828"/>
    <s v="Total"/>
    <x v="0"/>
    <x v="0"/>
    <x v="0"/>
    <x v="0"/>
    <n v="253295.23"/>
    <n v="253295.23"/>
    <n v="162.3687371794872"/>
    <m/>
    <m/>
    <s v="37"/>
    <x v="1555"/>
    <x v="0"/>
  </r>
  <r>
    <x v="21"/>
    <x v="424"/>
    <s v="Fruta fresca (nonotributo)"/>
    <s v="Total"/>
    <x v="4"/>
    <x v="0"/>
    <x v="0"/>
    <x v="0"/>
    <n v="423360"/>
    <n v="423360"/>
    <n v="271.38461538461536"/>
    <m/>
    <m/>
    <s v="28"/>
    <x v="1556"/>
    <x v="0"/>
  </r>
  <r>
    <x v="78"/>
    <x v="425"/>
    <s v="Repuestos motosierra - motoguadaña"/>
    <s v="Total"/>
    <x v="1"/>
    <x v="0"/>
    <x v="0"/>
    <x v="0"/>
    <n v="1908340.8"/>
    <n v="1908340.8"/>
    <n v="1223.2953846153846"/>
    <s v="Presupuesto a actualizar"/>
    <m/>
    <s v="13"/>
    <x v="0"/>
    <x v="0"/>
  </r>
  <r>
    <x v="67"/>
    <x v="425"/>
    <s v="Pedido Campo - Poda "/>
    <s v="Total"/>
    <x v="1"/>
    <x v="0"/>
    <x v="0"/>
    <x v="0"/>
    <n v="56448"/>
    <n v="56448"/>
    <n v="36.184615384615384"/>
    <m/>
    <m/>
    <s v="24"/>
    <x v="0"/>
    <x v="0"/>
  </r>
  <r>
    <x v="8"/>
    <x v="426"/>
    <s v="Cajas de pasa reforzada sin Impresion para pasa x 10KG"/>
    <s v="Total"/>
    <x v="1"/>
    <x v="0"/>
    <x v="1"/>
    <x v="0"/>
    <n v="962293.6"/>
    <n v="962293.6"/>
    <n v="616.85487179487177"/>
    <m/>
    <d v="2025-08-13T00:00:00"/>
    <n v="33"/>
    <x v="0"/>
    <x v="0"/>
  </r>
  <r>
    <x v="8"/>
    <x v="426"/>
    <s v="Cajas de pasa reforzada sin Impresion para pasa x 10KG"/>
    <s v="Total"/>
    <x v="1"/>
    <x v="0"/>
    <x v="1"/>
    <x v="0"/>
    <n v="1060510"/>
    <n v="1060510"/>
    <n v="679.81410256410254"/>
    <m/>
    <d v="2025-09-26T00:00:00"/>
    <n v="39"/>
    <x v="0"/>
    <x v="0"/>
  </r>
  <r>
    <x v="8"/>
    <x v="426"/>
    <s v="Cajas de pasa reforzada sin Impresion para pasa x 10KG"/>
    <s v="Total"/>
    <x v="1"/>
    <x v="0"/>
    <x v="1"/>
    <x v="0"/>
    <n v="1100000"/>
    <n v="1100000"/>
    <n v="705.12820512820508"/>
    <m/>
    <d v="2025-09-05T00:00:00"/>
    <n v="36"/>
    <x v="0"/>
    <x v="0"/>
  </r>
  <r>
    <x v="10"/>
    <x v="426"/>
    <s v="Cajas para frascos  "/>
    <s v="Total"/>
    <x v="1"/>
    <x v="0"/>
    <x v="1"/>
    <x v="0"/>
    <n v="1950000"/>
    <n v="1950000"/>
    <n v="1250"/>
    <m/>
    <d v="2026-01-07T00:00:00"/>
    <n v="2"/>
    <x v="1557"/>
    <x v="0"/>
  </r>
  <r>
    <x v="10"/>
    <x v="426"/>
    <s v="Cajas para frascos  "/>
    <s v="Total"/>
    <x v="1"/>
    <x v="0"/>
    <x v="1"/>
    <x v="0"/>
    <n v="320240"/>
    <n v="320240"/>
    <n v="205.28205128205127"/>
    <m/>
    <d v="2026-01-07T00:00:00"/>
    <n v="2"/>
    <x v="1557"/>
    <x v="0"/>
  </r>
  <r>
    <x v="13"/>
    <x v="427"/>
    <m/>
    <s v="Total"/>
    <x v="1"/>
    <x v="1"/>
    <x v="1"/>
    <x v="0"/>
    <n v="500000"/>
    <n v="500000"/>
    <n v="320.5128205128205"/>
    <m/>
    <d v="2026-03-17T00:00:00"/>
    <n v="12"/>
    <x v="1558"/>
    <x v="0"/>
  </r>
  <r>
    <x v="13"/>
    <x v="427"/>
    <m/>
    <s v="Total"/>
    <x v="1"/>
    <x v="1"/>
    <x v="1"/>
    <x v="0"/>
    <n v="547000"/>
    <n v="547000"/>
    <n v="350.64102564102564"/>
    <m/>
    <d v="2026-03-19T00:00:00"/>
    <n v="12"/>
    <x v="1558"/>
    <x v="0"/>
  </r>
  <r>
    <x v="13"/>
    <x v="427"/>
    <m/>
    <s v="Total"/>
    <x v="1"/>
    <x v="1"/>
    <x v="1"/>
    <x v="0"/>
    <n v="550000"/>
    <n v="550000"/>
    <n v="352.56410256410254"/>
    <m/>
    <d v="2026-03-11T00:00:00"/>
    <n v="11"/>
    <x v="1558"/>
    <x v="0"/>
  </r>
  <r>
    <x v="13"/>
    <x v="427"/>
    <m/>
    <s v="Total"/>
    <x v="1"/>
    <x v="1"/>
    <x v="1"/>
    <x v="0"/>
    <n v="901034"/>
    <n v="901034"/>
    <n v="577.58589743589744"/>
    <m/>
    <d v="2026-03-24T00:00:00"/>
    <n v="13"/>
    <x v="1558"/>
    <x v="0"/>
  </r>
  <r>
    <x v="13"/>
    <x v="427"/>
    <m/>
    <s v="Total"/>
    <x v="1"/>
    <x v="1"/>
    <x v="1"/>
    <x v="0"/>
    <n v="1018000"/>
    <n v="1018000"/>
    <n v="652.56410256410254"/>
    <m/>
    <d v="2026-03-19T00:00:00"/>
    <n v="12"/>
    <x v="1558"/>
    <x v="0"/>
  </r>
  <r>
    <x v="3"/>
    <x v="428"/>
    <s v="Saldo venta camioneta"/>
    <s v="Total"/>
    <x v="0"/>
    <x v="0"/>
    <x v="1"/>
    <x v="0"/>
    <n v="4528680.96"/>
    <n v="4528680.96"/>
    <n v="2903.0006153846152"/>
    <m/>
    <m/>
    <s v="44"/>
    <x v="0"/>
    <x v="1"/>
  </r>
  <r>
    <x v="49"/>
    <x v="429"/>
    <s v="Honorarios"/>
    <s v="Total"/>
    <x v="3"/>
    <x v="0"/>
    <x v="0"/>
    <x v="0"/>
    <n v="180000"/>
    <n v="180000"/>
    <n v="115.38461538461539"/>
    <m/>
    <m/>
    <s v="25"/>
    <x v="0"/>
    <x v="0"/>
  </r>
  <r>
    <x v="68"/>
    <x v="429"/>
    <s v="SH"/>
    <s v="Total"/>
    <x v="3"/>
    <x v="0"/>
    <x v="0"/>
    <x v="0"/>
    <n v="180000"/>
    <n v="180000"/>
    <n v="115.38461538461539"/>
    <m/>
    <m/>
    <s v="23"/>
    <x v="1559"/>
    <x v="0"/>
  </r>
  <r>
    <x v="5"/>
    <x v="429"/>
    <s v="Servicio SH"/>
    <s v="Total"/>
    <x v="3"/>
    <x v="0"/>
    <x v="0"/>
    <x v="0"/>
    <n v="180000"/>
    <n v="180000"/>
    <n v="115.38461538461539"/>
    <m/>
    <m/>
    <s v="34"/>
    <x v="1560"/>
    <x v="0"/>
  </r>
  <r>
    <x v="5"/>
    <x v="429"/>
    <s v="Servicio SH"/>
    <s v="Total"/>
    <x v="3"/>
    <x v="0"/>
    <x v="0"/>
    <x v="0"/>
    <n v="200000"/>
    <n v="200000"/>
    <n v="128.2051282051282"/>
    <m/>
    <m/>
    <s v="34"/>
    <x v="1560"/>
    <x v="0"/>
  </r>
  <r>
    <x v="18"/>
    <x v="429"/>
    <s v="Servicio SH"/>
    <s v="Total"/>
    <x v="3"/>
    <x v="0"/>
    <x v="0"/>
    <x v="0"/>
    <n v="200000"/>
    <n v="200000"/>
    <n v="128.2051282051282"/>
    <m/>
    <m/>
    <s v="39"/>
    <x v="1561"/>
    <x v="0"/>
  </r>
  <r>
    <x v="30"/>
    <x v="429"/>
    <m/>
    <s v="Total"/>
    <x v="3"/>
    <x v="0"/>
    <x v="0"/>
    <x v="0"/>
    <n v="200000"/>
    <n v="200000"/>
    <n v="128.2051282051282"/>
    <m/>
    <m/>
    <s v="43"/>
    <x v="1562"/>
    <x v="0"/>
  </r>
  <r>
    <x v="7"/>
    <x v="429"/>
    <s v="Honorarios SH"/>
    <s v="Total"/>
    <x v="3"/>
    <x v="0"/>
    <x v="0"/>
    <x v="0"/>
    <n v="200000"/>
    <n v="200000"/>
    <n v="128.2051282051282"/>
    <m/>
    <m/>
    <s v="46"/>
    <x v="1563"/>
    <x v="0"/>
  </r>
  <r>
    <x v="19"/>
    <x v="429"/>
    <m/>
    <s v="Total"/>
    <x v="3"/>
    <x v="0"/>
    <x v="0"/>
    <x v="0"/>
    <n v="200000"/>
    <n v="200000"/>
    <n v="128.2051282051282"/>
    <m/>
    <m/>
    <s v="50"/>
    <x v="1564"/>
    <x v="0"/>
  </r>
  <r>
    <x v="20"/>
    <x v="429"/>
    <s v="Honorarios Pofesionales"/>
    <s v="Total"/>
    <x v="3"/>
    <x v="0"/>
    <x v="0"/>
    <x v="0"/>
    <n v="750000"/>
    <n v="750000"/>
    <n v="480.76923076923077"/>
    <m/>
    <m/>
    <s v="15"/>
    <x v="1565"/>
    <x v="0"/>
  </r>
  <r>
    <x v="22"/>
    <x v="429"/>
    <s v="Honorarios Pofesionales"/>
    <s v="Total"/>
    <x v="3"/>
    <x v="0"/>
    <x v="0"/>
    <x v="0"/>
    <n v="250000"/>
    <n v="250000"/>
    <n v="160.25641025641025"/>
    <m/>
    <m/>
    <s v="23"/>
    <x v="1566"/>
    <x v="0"/>
  </r>
  <r>
    <x v="3"/>
    <x v="396"/>
    <s v="Compra de fertilizantes "/>
    <s v="Total"/>
    <x v="0"/>
    <x v="0"/>
    <x v="1"/>
    <x v="0"/>
    <n v="0"/>
    <n v="0"/>
    <n v="0"/>
    <m/>
    <m/>
    <s v="44"/>
    <x v="0"/>
    <x v="1"/>
  </r>
  <r>
    <x v="3"/>
    <x v="396"/>
    <s v="Compra de fertilizantes "/>
    <s v="Total"/>
    <x v="0"/>
    <x v="0"/>
    <x v="1"/>
    <x v="0"/>
    <n v="42881246.810000002"/>
    <n v="42881246.810000002"/>
    <n v="27487.978724358974"/>
    <m/>
    <m/>
    <s v="44"/>
    <x v="0"/>
    <x v="1"/>
  </r>
  <r>
    <x v="16"/>
    <x v="429"/>
    <s v="Honorarios"/>
    <s v="Total"/>
    <x v="0"/>
    <x v="0"/>
    <x v="0"/>
    <x v="0"/>
    <n v="750000"/>
    <n v="750000"/>
    <n v="480.76923076923077"/>
    <m/>
    <m/>
    <s v="43"/>
    <x v="1567"/>
    <x v="0"/>
  </r>
  <r>
    <x v="21"/>
    <x v="430"/>
    <s v="maderas Cava"/>
    <s v="Total"/>
    <x v="1"/>
    <x v="0"/>
    <x v="0"/>
    <x v="0"/>
    <n v="1125955.1599999999"/>
    <n v="1125955.1599999999"/>
    <n v="721.7661282051281"/>
    <m/>
    <m/>
    <s v="28"/>
    <x v="1568"/>
    <x v="0"/>
  </r>
  <r>
    <x v="8"/>
    <x v="430"/>
    <s v="Maderas Cava Bodega"/>
    <s v="Total"/>
    <x v="1"/>
    <x v="0"/>
    <x v="1"/>
    <x v="0"/>
    <n v="361987.5"/>
    <n v="361987.5"/>
    <n v="232.04326923076923"/>
    <m/>
    <d v="2025-08-17T00:00:00"/>
    <n v="34"/>
    <x v="0"/>
    <x v="0"/>
  </r>
  <r>
    <x v="8"/>
    <x v="430"/>
    <s v="Maderas Cava Bodega"/>
    <s v="Total"/>
    <x v="1"/>
    <x v="0"/>
    <x v="1"/>
    <x v="0"/>
    <n v="96855.15"/>
    <n v="96855.15"/>
    <n v="62.086634615384611"/>
    <m/>
    <d v="2025-08-13T00:00:00"/>
    <n v="33"/>
    <x v="0"/>
    <x v="0"/>
  </r>
  <r>
    <x v="63"/>
    <x v="430"/>
    <s v="Maderas Cava"/>
    <s v="Total"/>
    <x v="1"/>
    <x v="0"/>
    <x v="0"/>
    <x v="0"/>
    <n v="770267.6"/>
    <n v="770267.6"/>
    <n v="493.76128205128202"/>
    <m/>
    <m/>
    <s v="44"/>
    <x v="1569"/>
    <x v="0"/>
  </r>
  <r>
    <x v="32"/>
    <x v="430"/>
    <s v="Maderas Para escaleras - campo"/>
    <s v="Total"/>
    <x v="1"/>
    <x v="0"/>
    <x v="1"/>
    <x v="0"/>
    <n v="946051"/>
    <n v="946051"/>
    <n v="606.44294871794875"/>
    <m/>
    <d v="2026-01-26T00:00:00"/>
    <n v="5"/>
    <x v="1570"/>
    <x v="0"/>
  </r>
  <r>
    <x v="73"/>
    <x v="430"/>
    <s v="Maderas Para escaleras - campo"/>
    <s v="Total"/>
    <x v="0"/>
    <x v="0"/>
    <x v="0"/>
    <x v="0"/>
    <n v="163795.69"/>
    <n v="163795.69"/>
    <n v="104.99723717948719"/>
    <m/>
    <m/>
    <s v="10"/>
    <x v="1571"/>
    <x v="0"/>
  </r>
  <r>
    <x v="4"/>
    <x v="431"/>
    <s v="Flete etiquetas"/>
    <s v="Total"/>
    <x v="1"/>
    <x v="0"/>
    <x v="0"/>
    <x v="0"/>
    <n v="33000"/>
    <n v="33000"/>
    <n v="21.153846153846153"/>
    <m/>
    <m/>
    <s v="51"/>
    <x v="1572"/>
    <x v="0"/>
  </r>
  <r>
    <x v="14"/>
    <x v="432"/>
    <m/>
    <s v="Total"/>
    <x v="1"/>
    <x v="0"/>
    <x v="0"/>
    <x v="0"/>
    <n v="70000"/>
    <n v="70000"/>
    <n v="44.871794871794869"/>
    <m/>
    <m/>
    <s v="47"/>
    <x v="1573"/>
    <x v="0"/>
  </r>
  <r>
    <x v="50"/>
    <x v="432"/>
    <s v="Flete Bomba COE"/>
    <s v="Total"/>
    <x v="1"/>
    <x v="0"/>
    <x v="0"/>
    <x v="0"/>
    <n v="30000"/>
    <n v="30000"/>
    <n v="19.23076923076923"/>
    <m/>
    <m/>
    <s v="04"/>
    <x v="1574"/>
    <x v="0"/>
  </r>
  <r>
    <x v="9"/>
    <x v="432"/>
    <s v="Flete Chilecito / La Rioja - Bodega"/>
    <s v="Total"/>
    <x v="1"/>
    <x v="0"/>
    <x v="0"/>
    <x v="0"/>
    <n v="30000"/>
    <n v="30000"/>
    <n v="19.23076923076923"/>
    <m/>
    <m/>
    <s v="05"/>
    <x v="1575"/>
    <x v="0"/>
  </r>
  <r>
    <x v="65"/>
    <x v="432"/>
    <s v="Flete nueces Anguinan"/>
    <s v="Total"/>
    <x v="2"/>
    <x v="0"/>
    <x v="2"/>
    <x v="0"/>
    <n v="40000"/>
    <n v="40000"/>
    <n v="25.641025641025642"/>
    <m/>
    <m/>
    <s v="13"/>
    <x v="1576"/>
    <x v="0"/>
  </r>
  <r>
    <x v="57"/>
    <x v="432"/>
    <s v="Flete pintura epoxi"/>
    <s v="Total"/>
    <x v="2"/>
    <x v="0"/>
    <x v="2"/>
    <x v="0"/>
    <n v="80000"/>
    <n v="80000"/>
    <n v="51.282051282051285"/>
    <m/>
    <m/>
    <s v="16"/>
    <x v="1577"/>
    <x v="0"/>
  </r>
  <r>
    <x v="47"/>
    <x v="432"/>
    <s v="Tramitar"/>
    <s v="Total"/>
    <x v="2"/>
    <x v="0"/>
    <x v="2"/>
    <x v="0"/>
    <n v="18000"/>
    <n v="18000"/>
    <n v="11.538461538461538"/>
    <m/>
    <m/>
    <s v="20"/>
    <x v="1578"/>
    <x v="0"/>
  </r>
  <r>
    <x v="42"/>
    <x v="432"/>
    <s v="Tramitar - Pago Dripsa - La Rioja"/>
    <s v="Total"/>
    <x v="1"/>
    <x v="0"/>
    <x v="0"/>
    <x v="0"/>
    <n v="20000"/>
    <n v="20000"/>
    <n v="12.820512820512821"/>
    <m/>
    <m/>
    <s v="24"/>
    <x v="1579"/>
    <x v="0"/>
  </r>
  <r>
    <x v="5"/>
    <x v="433"/>
    <s v="Servicio GPS"/>
    <s v="Total"/>
    <x v="3"/>
    <x v="0"/>
    <x v="0"/>
    <x v="0"/>
    <n v="378000"/>
    <n v="378000"/>
    <n v="242.30769230769232"/>
    <m/>
    <m/>
    <s v="34"/>
    <x v="1580"/>
    <x v="0"/>
  </r>
  <r>
    <x v="18"/>
    <x v="433"/>
    <s v="Servicio GPS"/>
    <s v="Total"/>
    <x v="3"/>
    <x v="0"/>
    <x v="0"/>
    <x v="0"/>
    <n v="291500"/>
    <n v="291500"/>
    <n v="186.85897435897436"/>
    <m/>
    <m/>
    <s v="39"/>
    <x v="804"/>
    <x v="0"/>
  </r>
  <r>
    <x v="30"/>
    <x v="433"/>
    <s v="Servicio GPS"/>
    <s v="Total"/>
    <x v="3"/>
    <x v="0"/>
    <x v="0"/>
    <x v="0"/>
    <n v="291500"/>
    <n v="291500"/>
    <n v="186.85897435897436"/>
    <m/>
    <m/>
    <s v="43"/>
    <x v="1581"/>
    <x v="0"/>
  </r>
  <r>
    <x v="7"/>
    <x v="433"/>
    <s v="Servicio GPS"/>
    <s v="Total"/>
    <x v="3"/>
    <x v="0"/>
    <x v="0"/>
    <x v="0"/>
    <n v="216000"/>
    <n v="216000"/>
    <n v="138.46153846153845"/>
    <m/>
    <m/>
    <s v="46"/>
    <x v="1308"/>
    <x v="0"/>
  </r>
  <r>
    <x v="19"/>
    <x v="433"/>
    <s v="Servicio GPS"/>
    <s v="Total"/>
    <x v="3"/>
    <x v="0"/>
    <x v="0"/>
    <x v="0"/>
    <n v="216000"/>
    <n v="216000"/>
    <n v="138.46153846153845"/>
    <m/>
    <m/>
    <s v="50"/>
    <x v="1582"/>
    <x v="0"/>
  </r>
  <r>
    <x v="49"/>
    <x v="433"/>
    <s v="Servicio GPS"/>
    <s v="Total"/>
    <x v="3"/>
    <x v="0"/>
    <x v="0"/>
    <x v="0"/>
    <n v="144000"/>
    <n v="144000"/>
    <n v="92.307692307692307"/>
    <m/>
    <m/>
    <s v="25"/>
    <x v="0"/>
    <x v="0"/>
  </r>
  <r>
    <x v="5"/>
    <x v="433"/>
    <s v="Servicio GPS"/>
    <s v="Total"/>
    <x v="1"/>
    <x v="0"/>
    <x v="0"/>
    <x v="0"/>
    <n v="378000"/>
    <n v="378000"/>
    <n v="242.30769230769232"/>
    <m/>
    <m/>
    <s v="34"/>
    <x v="1580"/>
    <x v="0"/>
  </r>
  <r>
    <x v="13"/>
    <x v="433"/>
    <s v="Servicio GPS"/>
    <s v="Total"/>
    <x v="3"/>
    <x v="0"/>
    <x v="0"/>
    <x v="0"/>
    <n v="288000"/>
    <n v="288000"/>
    <n v="184.61538461538461"/>
    <m/>
    <m/>
    <s v="07"/>
    <x v="1583"/>
    <x v="0"/>
  </r>
  <r>
    <x v="20"/>
    <x v="433"/>
    <s v="Servicio GPS"/>
    <s v="Total"/>
    <x v="3"/>
    <x v="0"/>
    <x v="0"/>
    <x v="0"/>
    <n v="288000"/>
    <n v="288000"/>
    <n v="184.61538461538461"/>
    <m/>
    <m/>
    <s v="15"/>
    <x v="1584"/>
    <x v="0"/>
  </r>
  <r>
    <x v="22"/>
    <x v="433"/>
    <s v="Servicio GPS"/>
    <s v="Total"/>
    <x v="3"/>
    <x v="0"/>
    <x v="0"/>
    <x v="0"/>
    <n v="241200"/>
    <n v="241200"/>
    <n v="154.61538461538461"/>
    <m/>
    <m/>
    <s v="23"/>
    <x v="1585"/>
    <x v="0"/>
  </r>
  <r>
    <x v="16"/>
    <x v="433"/>
    <s v="Honorarios"/>
    <s v="Total"/>
    <x v="0"/>
    <x v="0"/>
    <x v="0"/>
    <x v="0"/>
    <n v="1038000"/>
    <n v="1038000"/>
    <n v="665.38461538461536"/>
    <m/>
    <m/>
    <s v="43"/>
    <x v="1586"/>
    <x v="0"/>
  </r>
  <r>
    <x v="57"/>
    <x v="434"/>
    <s v="Factura 779"/>
    <s v="Total"/>
    <x v="1"/>
    <x v="0"/>
    <x v="0"/>
    <x v="0"/>
    <n v="2865924.25"/>
    <n v="2865924.25"/>
    <n v="1837.1309294871794"/>
    <m/>
    <m/>
    <s v="16"/>
    <x v="1587"/>
    <x v="0"/>
  </r>
  <r>
    <x v="57"/>
    <x v="434"/>
    <s v="Factura 779"/>
    <s v="Total"/>
    <x v="1"/>
    <x v="0"/>
    <x v="0"/>
    <x v="0"/>
    <n v="43611.5"/>
    <n v="43611.5"/>
    <n v="27.956089743589743"/>
    <s v="Retenciones"/>
    <m/>
    <s v="16"/>
    <x v="1587"/>
    <x v="0"/>
  </r>
  <r>
    <x v="35"/>
    <x v="434"/>
    <s v="Reposición de chueque sin fondos"/>
    <s v="Total"/>
    <x v="1"/>
    <x v="0"/>
    <x v="0"/>
    <x v="0"/>
    <n v="1432962.13"/>
    <n v="1432962.13"/>
    <n v="918.56546794871792"/>
    <m/>
    <m/>
    <s v="27"/>
    <x v="1588"/>
    <x v="0"/>
  </r>
  <r>
    <x v="47"/>
    <x v="435"/>
    <s v="Acido Clorhidrico"/>
    <s v="Total"/>
    <x v="1"/>
    <x v="0"/>
    <x v="1"/>
    <x v="0"/>
    <n v="916972"/>
    <n v="916972"/>
    <n v="587.80256410256413"/>
    <m/>
    <d v="2026-06-15T00:00:00"/>
    <n v="25"/>
    <x v="1589"/>
    <x v="0"/>
  </r>
  <r>
    <x v="47"/>
    <x v="435"/>
    <s v="Acido Clorhidrico"/>
    <s v="Total"/>
    <x v="1"/>
    <x v="0"/>
    <x v="1"/>
    <x v="0"/>
    <n v="10856"/>
    <n v="10856"/>
    <n v="6.9589743589743591"/>
    <s v="Retenciones"/>
    <m/>
    <s v="20"/>
    <x v="1589"/>
    <x v="0"/>
  </r>
  <r>
    <x v="64"/>
    <x v="435"/>
    <s v="Calcio"/>
    <s v="Total"/>
    <x v="1"/>
    <x v="0"/>
    <x v="1"/>
    <x v="0"/>
    <n v="3296538"/>
    <n v="3296538"/>
    <n v="2113.1653846153845"/>
    <m/>
    <d v="2026-06-26T00:00:00"/>
    <n v="26"/>
    <x v="1590"/>
    <x v="0"/>
  </r>
  <r>
    <x v="64"/>
    <x v="435"/>
    <s v="Calcio"/>
    <s v="Total"/>
    <x v="1"/>
    <x v="0"/>
    <x v="1"/>
    <x v="0"/>
    <n v="55404"/>
    <n v="55404"/>
    <n v="35.515384615384619"/>
    <s v="Retenciones"/>
    <m/>
    <s v="22"/>
    <x v="1590"/>
    <x v="0"/>
  </r>
  <r>
    <x v="64"/>
    <x v="435"/>
    <s v="Insumos Campaña 2026"/>
    <s v="Total"/>
    <x v="1"/>
    <x v="0"/>
    <x v="1"/>
    <x v="0"/>
    <n v="1058007.3400000001"/>
    <n v="1058007.3400000001"/>
    <n v="678.20983333333334"/>
    <m/>
    <d v="2026-07-01T00:00:00"/>
    <n v="27"/>
    <x v="1591"/>
    <x v="0"/>
  </r>
  <r>
    <x v="64"/>
    <x v="435"/>
    <s v="Insumos Campaña 2026"/>
    <s v="Total"/>
    <x v="1"/>
    <x v="0"/>
    <x v="1"/>
    <x v="0"/>
    <n v="17781.64"/>
    <n v="17781.64"/>
    <n v="11.398487179487178"/>
    <s v="Retenciones"/>
    <m/>
    <s v="22"/>
    <x v="1591"/>
    <x v="0"/>
  </r>
  <r>
    <x v="35"/>
    <x v="435"/>
    <s v="Reposición de chueque sin fondos"/>
    <s v="Total"/>
    <x v="1"/>
    <x v="0"/>
    <x v="0"/>
    <x v="0"/>
    <n v="3296538"/>
    <n v="3296538"/>
    <n v="2113.1653846153845"/>
    <m/>
    <m/>
    <s v="27"/>
    <x v="1592"/>
    <x v="0"/>
  </r>
  <r>
    <x v="11"/>
    <x v="435"/>
    <s v="Acido Clorhidrico"/>
    <s v="Total"/>
    <x v="1"/>
    <x v="0"/>
    <x v="1"/>
    <x v="0"/>
    <n v="532118.86"/>
    <n v="532118.86"/>
    <n v="341.10183333333333"/>
    <m/>
    <d v="2026-10-07T00:00:00"/>
    <n v="41"/>
    <x v="1593"/>
    <x v="0"/>
  </r>
  <r>
    <x v="11"/>
    <x v="435"/>
    <s v="Acido Clorhidrico"/>
    <s v="Total"/>
    <x v="1"/>
    <x v="0"/>
    <x v="1"/>
    <x v="0"/>
    <n v="4387.88"/>
    <n v="4387.88"/>
    <n v="2.8127435897435897"/>
    <s v="Retenciones"/>
    <d v="2026-10-07T00:00:00"/>
    <n v="41"/>
    <x v="1593"/>
    <x v="0"/>
  </r>
  <r>
    <x v="11"/>
    <x v="435"/>
    <s v="Acido Clorhidrico"/>
    <s v="Total"/>
    <x v="1"/>
    <x v="0"/>
    <x v="1"/>
    <x v="0"/>
    <n v="107301.35"/>
    <n v="107301.35"/>
    <n v="68.782916666666665"/>
    <m/>
    <m/>
    <s v="37"/>
    <x v="1594"/>
    <x v="0"/>
  </r>
  <r>
    <x v="72"/>
    <x v="435"/>
    <s v="Insumos Planta /  Laboratorio planta"/>
    <s v="Total"/>
    <x v="1"/>
    <x v="0"/>
    <x v="1"/>
    <x v="0"/>
    <n v="467313"/>
    <n v="467313"/>
    <n v="299.55961538461537"/>
    <m/>
    <d v="2026-10-24T00:00:00"/>
    <n v="43"/>
    <x v="1595"/>
    <x v="0"/>
  </r>
  <r>
    <x v="72"/>
    <x v="435"/>
    <s v="Insumos Planta /  Laboratorio planta"/>
    <s v="Total"/>
    <x v="1"/>
    <x v="0"/>
    <x v="1"/>
    <x v="0"/>
    <n v="7854"/>
    <n v="7854"/>
    <n v="5.0346153846153845"/>
    <m/>
    <m/>
    <s v="39"/>
    <x v="1595"/>
    <x v="0"/>
  </r>
  <r>
    <x v="13"/>
    <x v="436"/>
    <m/>
    <s v="Total"/>
    <x v="3"/>
    <x v="0"/>
    <x v="0"/>
    <x v="0"/>
    <n v="112000"/>
    <n v="112000"/>
    <n v="71.794871794871796"/>
    <m/>
    <m/>
    <s v="07"/>
    <x v="1596"/>
    <x v="0"/>
  </r>
  <r>
    <x v="13"/>
    <x v="437"/>
    <s v="Trabajo Cava / bodega"/>
    <s v="Total"/>
    <x v="1"/>
    <x v="1"/>
    <x v="2"/>
    <x v="0"/>
    <n v="1400000"/>
    <n v="1400000"/>
    <n v="897.43589743589746"/>
    <m/>
    <m/>
    <s v="07"/>
    <x v="1597"/>
    <x v="0"/>
  </r>
  <r>
    <x v="41"/>
    <x v="437"/>
    <s v="Trabajo en cava"/>
    <s v="Total"/>
    <x v="1"/>
    <x v="1"/>
    <x v="2"/>
    <x v="0"/>
    <n v="1500000"/>
    <n v="1500000"/>
    <n v="961.53846153846155"/>
    <m/>
    <m/>
    <s v="08"/>
    <x v="1598"/>
    <x v="0"/>
  </r>
  <r>
    <x v="32"/>
    <x v="437"/>
    <s v="Trabajo Cava / bodega"/>
    <s v="Total"/>
    <x v="1"/>
    <x v="1"/>
    <x v="2"/>
    <x v="0"/>
    <n v="1000000"/>
    <n v="1000000"/>
    <n v="641.02564102564099"/>
    <m/>
    <m/>
    <s v="09"/>
    <x v="1599"/>
    <x v="0"/>
  </r>
  <r>
    <x v="56"/>
    <x v="437"/>
    <s v="Trabajo Cava / bodega"/>
    <s v="Total"/>
    <x v="2"/>
    <x v="1"/>
    <x v="2"/>
    <x v="0"/>
    <n v="1000000"/>
    <n v="1000000"/>
    <n v="641.02564102564099"/>
    <m/>
    <m/>
    <s v="11"/>
    <x v="1600"/>
    <x v="0"/>
  </r>
  <r>
    <x v="24"/>
    <x v="437"/>
    <s v="Trabajo Cava / bodega"/>
    <s v="Total"/>
    <x v="2"/>
    <x v="1"/>
    <x v="2"/>
    <x v="0"/>
    <n v="1000000"/>
    <n v="1000000"/>
    <n v="641.02564102564099"/>
    <m/>
    <m/>
    <s v="14"/>
    <x v="1601"/>
    <x v="0"/>
  </r>
  <r>
    <x v="57"/>
    <x v="437"/>
    <s v="Trabajo Cava / bodega"/>
    <s v="Total"/>
    <x v="2"/>
    <x v="1"/>
    <x v="2"/>
    <x v="0"/>
    <n v="1500000"/>
    <n v="1500000"/>
    <n v="961.53846153846155"/>
    <m/>
    <m/>
    <s v="16"/>
    <x v="1602"/>
    <x v="0"/>
  </r>
  <r>
    <x v="53"/>
    <x v="437"/>
    <s v="Trabajo Cava / bodega"/>
    <s v="Total"/>
    <x v="2"/>
    <x v="1"/>
    <x v="2"/>
    <x v="0"/>
    <n v="1000000"/>
    <n v="1000000"/>
    <n v="641.02564102564099"/>
    <m/>
    <m/>
    <s v="17"/>
    <x v="1603"/>
    <x v="0"/>
  </r>
  <r>
    <x v="23"/>
    <x v="437"/>
    <s v="Trabajo Cava / bodega"/>
    <s v="Total"/>
    <x v="2"/>
    <x v="1"/>
    <x v="2"/>
    <x v="0"/>
    <n v="600000"/>
    <n v="600000"/>
    <n v="384.61538461538464"/>
    <m/>
    <m/>
    <s v="18"/>
    <x v="1604"/>
    <x v="0"/>
  </r>
  <r>
    <x v="34"/>
    <x v="437"/>
    <s v="Trabajo Cava / bodega"/>
    <s v="Total"/>
    <x v="2"/>
    <x v="1"/>
    <x v="2"/>
    <x v="0"/>
    <n v="300000"/>
    <n v="300000"/>
    <n v="192.30769230769232"/>
    <m/>
    <m/>
    <s v="21"/>
    <x v="1605"/>
    <x v="0"/>
  </r>
  <r>
    <x v="22"/>
    <x v="437"/>
    <s v="Trabajo Cava / bodega"/>
    <s v="Total"/>
    <x v="2"/>
    <x v="1"/>
    <x v="2"/>
    <x v="0"/>
    <n v="200000"/>
    <n v="200000"/>
    <n v="128.2051282051282"/>
    <m/>
    <m/>
    <s v="23"/>
    <x v="1606"/>
    <x v="0"/>
  </r>
  <r>
    <x v="42"/>
    <x v="437"/>
    <s v="Trabajo en Cava"/>
    <s v="Total"/>
    <x v="2"/>
    <x v="1"/>
    <x v="2"/>
    <x v="0"/>
    <n v="250000"/>
    <n v="250000"/>
    <n v="160.25641025641025"/>
    <m/>
    <m/>
    <s v="24"/>
    <x v="1607"/>
    <x v="0"/>
  </r>
  <r>
    <x v="22"/>
    <x v="438"/>
    <s v="Talonarios"/>
    <s v="Total"/>
    <x v="2"/>
    <x v="0"/>
    <x v="0"/>
    <x v="0"/>
    <n v="99000"/>
    <n v="99000"/>
    <n v="63.46153846153846"/>
    <m/>
    <m/>
    <s v="23"/>
    <x v="1608"/>
    <x v="0"/>
  </r>
  <r>
    <x v="17"/>
    <x v="439"/>
    <s v="Remitos  R/X"/>
    <s v="Total"/>
    <x v="1"/>
    <x v="0"/>
    <x v="0"/>
    <x v="0"/>
    <n v="96000"/>
    <n v="96000"/>
    <n v="61.53846153846154"/>
    <m/>
    <m/>
    <s v="26"/>
    <x v="0"/>
    <x v="0"/>
  </r>
  <r>
    <x v="20"/>
    <x v="439"/>
    <s v="Talonarios R - Planta"/>
    <s v="Total"/>
    <x v="2"/>
    <x v="0"/>
    <x v="2"/>
    <x v="0"/>
    <n v="38000"/>
    <n v="38000"/>
    <n v="24.358974358974358"/>
    <m/>
    <m/>
    <s v="15"/>
    <x v="1609"/>
    <x v="0"/>
  </r>
  <r>
    <x v="47"/>
    <x v="439"/>
    <s v="Remitos R"/>
    <s v="Total"/>
    <x v="2"/>
    <x v="0"/>
    <x v="2"/>
    <x v="0"/>
    <n v="44000"/>
    <n v="44000"/>
    <n v="28.205128205128204"/>
    <m/>
    <m/>
    <s v="20"/>
    <x v="1610"/>
    <x v="0"/>
  </r>
  <r>
    <x v="12"/>
    <x v="439"/>
    <s v="Talonarios x - Planta"/>
    <s v="Total"/>
    <x v="2"/>
    <x v="1"/>
    <x v="2"/>
    <x v="0"/>
    <n v="99000"/>
    <n v="99000"/>
    <n v="63.46153846153846"/>
    <m/>
    <m/>
    <s v="33"/>
    <x v="1611"/>
    <x v="0"/>
  </r>
  <r>
    <x v="54"/>
    <x v="439"/>
    <s v="Remitos"/>
    <s v="Total"/>
    <x v="2"/>
    <x v="0"/>
    <x v="2"/>
    <x v="0"/>
    <n v="88000"/>
    <n v="88000"/>
    <n v="56.410256410256409"/>
    <m/>
    <m/>
    <s v="41"/>
    <x v="1612"/>
    <x v="0"/>
  </r>
  <r>
    <x v="33"/>
    <x v="440"/>
    <s v="Talonarios X - pedido de planta"/>
    <s v="Total"/>
    <x v="2"/>
    <x v="0"/>
    <x v="2"/>
    <x v="0"/>
    <n v="92000"/>
    <n v="92000"/>
    <n v="58.974358974358971"/>
    <m/>
    <m/>
    <s v="12"/>
    <x v="1613"/>
    <x v="0"/>
  </r>
  <r>
    <x v="28"/>
    <x v="441"/>
    <s v="Talonarios X"/>
    <s v="Total"/>
    <x v="1"/>
    <x v="0"/>
    <x v="0"/>
    <x v="0"/>
    <n v="89600"/>
    <n v="89600"/>
    <n v="57.435897435897438"/>
    <m/>
    <m/>
    <s v="40"/>
    <x v="1614"/>
    <x v="0"/>
  </r>
  <r>
    <x v="59"/>
    <x v="442"/>
    <s v="Acido Acetico - disgregante para baños quimicos"/>
    <s v="Total"/>
    <x v="1"/>
    <x v="0"/>
    <x v="1"/>
    <x v="0"/>
    <n v="1027231"/>
    <n v="1027231"/>
    <n v="658.4814102564103"/>
    <m/>
    <d v="2026-03-07T00:00:00"/>
    <n v="10"/>
    <x v="1615"/>
    <x v="0"/>
  </r>
  <r>
    <x v="65"/>
    <x v="443"/>
    <s v="Pintura epoxi Cava - Bodega"/>
    <s v="Total"/>
    <x v="1"/>
    <x v="0"/>
    <x v="1"/>
    <x v="0"/>
    <n v="1940883.21"/>
    <n v="1940883.21"/>
    <n v="1244.1559038461539"/>
    <m/>
    <d v="2026-04-26T00:00:00"/>
    <n v="18"/>
    <x v="1616"/>
    <x v="0"/>
  </r>
  <r>
    <x v="65"/>
    <x v="443"/>
    <s v="Pintura epoxi Cava - Bodega"/>
    <s v="Total"/>
    <x v="1"/>
    <x v="0"/>
    <x v="1"/>
    <x v="0"/>
    <n v="1940883.21"/>
    <n v="1940883.21"/>
    <n v="1244.1559038461539"/>
    <m/>
    <d v="2026-05-11T00:00:00"/>
    <n v="20"/>
    <x v="1616"/>
    <x v="0"/>
  </r>
  <r>
    <x v="65"/>
    <x v="443"/>
    <s v="Pintura epoxi Cava - Bodega"/>
    <s v="Total"/>
    <x v="1"/>
    <x v="0"/>
    <x v="1"/>
    <x v="0"/>
    <n v="1940883.21"/>
    <n v="1940883.21"/>
    <n v="1244.1559038461539"/>
    <m/>
    <d v="2026-05-26T00:00:00"/>
    <n v="22"/>
    <x v="1616"/>
    <x v="0"/>
  </r>
  <r>
    <x v="65"/>
    <x v="443"/>
    <s v="Pintura epoxi Cava - Bodega"/>
    <s v="Total"/>
    <x v="1"/>
    <x v="0"/>
    <x v="1"/>
    <x v="0"/>
    <n v="93304.36"/>
    <n v="93304.36"/>
    <n v="59.810487179487183"/>
    <s v="Retenciones"/>
    <m/>
    <s v="13"/>
    <x v="1616"/>
    <x v="0"/>
  </r>
  <r>
    <x v="25"/>
    <x v="444"/>
    <s v="Fruta fresca"/>
    <s v="Total"/>
    <x v="4"/>
    <x v="1"/>
    <x v="1"/>
    <x v="0"/>
    <n v="5507500"/>
    <n v="5507500"/>
    <n v="3530.4487179487178"/>
    <m/>
    <d v="2025-07-03T00:00:00"/>
    <n v="27"/>
    <x v="1617"/>
    <x v="0"/>
  </r>
  <r>
    <x v="26"/>
    <x v="444"/>
    <s v="Fruta Fresca"/>
    <s v="Total"/>
    <x v="4"/>
    <x v="1"/>
    <x v="1"/>
    <x v="0"/>
    <n v="634000"/>
    <n v="634000"/>
    <n v="406.41025641025641"/>
    <m/>
    <d v="2025-07-05T00:00:00"/>
    <n v="27"/>
    <x v="1618"/>
    <x v="0"/>
  </r>
  <r>
    <x v="26"/>
    <x v="444"/>
    <s v="Fruta Fresca"/>
    <s v="Total"/>
    <x v="4"/>
    <x v="1"/>
    <x v="1"/>
    <x v="0"/>
    <n v="677000"/>
    <n v="677000"/>
    <n v="433.97435897435895"/>
    <m/>
    <d v="2025-07-13T00:00:00"/>
    <n v="29"/>
    <x v="1618"/>
    <x v="0"/>
  </r>
  <r>
    <x v="26"/>
    <x v="444"/>
    <s v="Fruta Fresca"/>
    <s v="Total"/>
    <x v="4"/>
    <x v="1"/>
    <x v="1"/>
    <x v="0"/>
    <n v="1000000"/>
    <n v="1000000"/>
    <n v="641.02564102564099"/>
    <m/>
    <d v="2025-06-25T00:00:00"/>
    <n v="26"/>
    <x v="1618"/>
    <x v="0"/>
  </r>
  <r>
    <x v="26"/>
    <x v="444"/>
    <s v="Fruta Fresca"/>
    <s v="Total"/>
    <x v="4"/>
    <x v="1"/>
    <x v="1"/>
    <x v="0"/>
    <n v="1000000"/>
    <n v="1000000"/>
    <n v="641.02564102564099"/>
    <m/>
    <d v="2025-07-16T00:00:00"/>
    <n v="29"/>
    <x v="1618"/>
    <x v="0"/>
  </r>
  <r>
    <x v="26"/>
    <x v="444"/>
    <s v="Fruta Fresca"/>
    <s v="Total"/>
    <x v="4"/>
    <x v="1"/>
    <x v="1"/>
    <x v="0"/>
    <n v="1180416.3999999999"/>
    <n v="1180416.3999999999"/>
    <n v="756.67717948717939"/>
    <m/>
    <d v="2025-07-25T00:00:00"/>
    <n v="30"/>
    <x v="1618"/>
    <x v="0"/>
  </r>
  <r>
    <x v="26"/>
    <x v="444"/>
    <s v="Fruta Fresca"/>
    <s v="Total"/>
    <x v="4"/>
    <x v="1"/>
    <x v="1"/>
    <x v="0"/>
    <n v="1219140"/>
    <n v="1219140"/>
    <n v="781.5"/>
    <m/>
    <d v="2025-07-12T00:00:00"/>
    <n v="28"/>
    <x v="1618"/>
    <x v="0"/>
  </r>
  <r>
    <x v="26"/>
    <x v="444"/>
    <s v="Fruta Fresca"/>
    <s v="Total"/>
    <x v="4"/>
    <x v="1"/>
    <x v="1"/>
    <x v="0"/>
    <n v="2000000"/>
    <n v="2000000"/>
    <n v="1282.051282051282"/>
    <m/>
    <d v="2025-06-28T00:00:00"/>
    <n v="26"/>
    <x v="1618"/>
    <x v="0"/>
  </r>
  <r>
    <x v="26"/>
    <x v="444"/>
    <s v="Fruta Fresca"/>
    <s v="Total"/>
    <x v="4"/>
    <x v="1"/>
    <x v="1"/>
    <x v="0"/>
    <n v="2458400"/>
    <n v="2458400"/>
    <n v="1575.8974358974358"/>
    <m/>
    <d v="2025-07-15T00:00:00"/>
    <n v="29"/>
    <x v="1618"/>
    <x v="0"/>
  </r>
  <r>
    <x v="26"/>
    <x v="444"/>
    <s v="Fruta fresca  "/>
    <s v="Total"/>
    <x v="4"/>
    <x v="1"/>
    <x v="2"/>
    <x v="0"/>
    <n v="1000000"/>
    <n v="1000000"/>
    <n v="641.02564102564099"/>
    <m/>
    <m/>
    <s v="29"/>
    <x v="1619"/>
    <x v="0"/>
  </r>
  <r>
    <x v="26"/>
    <x v="444"/>
    <s v="Fruta fresca  "/>
    <s v="Total"/>
    <x v="4"/>
    <x v="1"/>
    <x v="1"/>
    <x v="0"/>
    <n v="125150"/>
    <n v="125150"/>
    <n v="80.224358974358978"/>
    <m/>
    <d v="2025-07-11T00:00:00"/>
    <s v="29"/>
    <x v="1619"/>
    <x v="0"/>
  </r>
  <r>
    <x v="26"/>
    <x v="444"/>
    <s v="Fruta fresca  "/>
    <s v="Total"/>
    <x v="4"/>
    <x v="1"/>
    <x v="1"/>
    <x v="0"/>
    <n v="149552"/>
    <n v="149552"/>
    <n v="95.86666666666666"/>
    <m/>
    <d v="2025-07-05T00:00:00"/>
    <s v="29"/>
    <x v="1619"/>
    <x v="0"/>
  </r>
  <r>
    <x v="26"/>
    <x v="444"/>
    <s v="Fruta fresca  "/>
    <s v="Total"/>
    <x v="4"/>
    <x v="1"/>
    <x v="1"/>
    <x v="0"/>
    <n v="149552"/>
    <n v="149552"/>
    <n v="95.86666666666666"/>
    <m/>
    <d v="2025-07-02T00:00:00"/>
    <s v="29"/>
    <x v="1619"/>
    <x v="0"/>
  </r>
  <r>
    <x v="26"/>
    <x v="444"/>
    <s v="Fruta fresca  "/>
    <s v="Total"/>
    <x v="4"/>
    <x v="1"/>
    <x v="1"/>
    <x v="0"/>
    <n v="170000"/>
    <n v="170000"/>
    <n v="108.97435897435898"/>
    <m/>
    <d v="2025-07-01T00:00:00"/>
    <s v="29"/>
    <x v="1619"/>
    <x v="0"/>
  </r>
  <r>
    <x v="26"/>
    <x v="444"/>
    <s v="Fruta fresca  "/>
    <s v="Total"/>
    <x v="4"/>
    <x v="1"/>
    <x v="1"/>
    <x v="0"/>
    <n v="197000"/>
    <n v="197000"/>
    <n v="126.28205128205128"/>
    <m/>
    <d v="2025-07-30T00:00:00"/>
    <s v="29"/>
    <x v="1619"/>
    <x v="0"/>
  </r>
  <r>
    <x v="26"/>
    <x v="444"/>
    <s v="Fruta fresca  "/>
    <s v="Total"/>
    <x v="4"/>
    <x v="1"/>
    <x v="1"/>
    <x v="0"/>
    <n v="210000"/>
    <n v="210000"/>
    <n v="134.61538461538461"/>
    <m/>
    <d v="2025-07-24T00:00:00"/>
    <s v="29"/>
    <x v="1619"/>
    <x v="0"/>
  </r>
  <r>
    <x v="2"/>
    <x v="444"/>
    <s v="Fruta Fresca campaña 2025"/>
    <s v="Total"/>
    <x v="4"/>
    <x v="1"/>
    <x v="1"/>
    <x v="0"/>
    <n v="784641.26"/>
    <n v="784641.26"/>
    <n v="502.97516666666667"/>
    <m/>
    <d v="2025-07-21T00:00:00"/>
    <n v="30"/>
    <x v="0"/>
    <x v="0"/>
  </r>
  <r>
    <x v="2"/>
    <x v="444"/>
    <s v="Fruta Fresca campaña 2025"/>
    <s v="Total"/>
    <x v="4"/>
    <x v="1"/>
    <x v="1"/>
    <x v="0"/>
    <n v="1168000"/>
    <n v="1168000"/>
    <n v="748.71794871794873"/>
    <m/>
    <d v="2025-07-15T00:00:00"/>
    <n v="29"/>
    <x v="34"/>
    <x v="0"/>
  </r>
  <r>
    <x v="2"/>
    <x v="444"/>
    <s v="Fruta Fresca campaña 2025"/>
    <s v="Total"/>
    <x v="4"/>
    <x v="1"/>
    <x v="1"/>
    <x v="0"/>
    <n v="1200000"/>
    <n v="1200000"/>
    <n v="769.23076923076928"/>
    <m/>
    <d v="2025-07-16T00:00:00"/>
    <n v="29"/>
    <x v="0"/>
    <x v="0"/>
  </r>
  <r>
    <x v="2"/>
    <x v="444"/>
    <s v="Obra Cava"/>
    <s v="Total"/>
    <x v="1"/>
    <x v="1"/>
    <x v="2"/>
    <x v="0"/>
    <n v="1500000"/>
    <n v="1500000"/>
    <n v="961.53846153846155"/>
    <m/>
    <m/>
    <s v="32"/>
    <x v="34"/>
    <x v="0"/>
  </r>
  <r>
    <x v="2"/>
    <x v="444"/>
    <s v="Obra Cava"/>
    <s v="Total"/>
    <x v="1"/>
    <x v="1"/>
    <x v="1"/>
    <x v="0"/>
    <n v="605330"/>
    <n v="605330"/>
    <n v="388.03205128205127"/>
    <m/>
    <d v="2025-08-02T00:00:00"/>
    <n v="31"/>
    <x v="34"/>
    <x v="0"/>
  </r>
  <r>
    <x v="2"/>
    <x v="444"/>
    <s v="Obra Cava"/>
    <s v="Total"/>
    <x v="1"/>
    <x v="1"/>
    <x v="1"/>
    <x v="0"/>
    <n v="890000"/>
    <n v="890000"/>
    <n v="570.51282051282055"/>
    <m/>
    <d v="2025-08-08T00:00:00"/>
    <n v="32"/>
    <x v="0"/>
    <x v="0"/>
  </r>
  <r>
    <x v="5"/>
    <x v="444"/>
    <s v="Campaña 2025"/>
    <s v="Total"/>
    <x v="4"/>
    <x v="1"/>
    <x v="1"/>
    <x v="0"/>
    <n v="5600000"/>
    <n v="5600000"/>
    <n v="3589.7435897435898"/>
    <m/>
    <d v="2025-08-02T00:00:00"/>
    <n v="31"/>
    <x v="1620"/>
    <x v="0"/>
  </r>
  <r>
    <x v="5"/>
    <x v="444"/>
    <s v="Campaña 2025"/>
    <s v="Total"/>
    <x v="4"/>
    <x v="1"/>
    <x v="1"/>
    <x v="0"/>
    <n v="669000"/>
    <n v="669000"/>
    <n v="428.84615384615387"/>
    <m/>
    <d v="2025-08-19T00:00:00"/>
    <n v="34"/>
    <x v="1620"/>
    <x v="0"/>
  </r>
  <r>
    <x v="18"/>
    <x v="444"/>
    <s v="Campaña 2025"/>
    <s v="Total"/>
    <x v="4"/>
    <x v="1"/>
    <x v="2"/>
    <x v="0"/>
    <n v="4000000"/>
    <n v="4000000"/>
    <n v="2564.102564102564"/>
    <m/>
    <m/>
    <s v="39"/>
    <x v="1621"/>
    <x v="0"/>
  </r>
  <r>
    <x v="52"/>
    <x v="444"/>
    <s v="Hormigon - Cava / Bodega"/>
    <s v="Total"/>
    <x v="1"/>
    <x v="0"/>
    <x v="1"/>
    <x v="0"/>
    <n v="1295675.97"/>
    <n v="1295675.97"/>
    <n v="830.56151923076925"/>
    <m/>
    <d v="2025-10-16T00:00:00"/>
    <n v="42"/>
    <x v="1622"/>
    <x v="0"/>
  </r>
  <r>
    <x v="52"/>
    <x v="444"/>
    <s v="Hormigon - Cava / Bodega"/>
    <s v="Total"/>
    <x v="1"/>
    <x v="0"/>
    <x v="1"/>
    <x v="0"/>
    <n v="2144052.42"/>
    <n v="2144052.42"/>
    <n v="1374.3925769230768"/>
    <m/>
    <d v="2025-10-16T00:00:00"/>
    <n v="42"/>
    <x v="1622"/>
    <x v="0"/>
  </r>
  <r>
    <x v="52"/>
    <x v="444"/>
    <s v="Hormigon - Cava / Bodega"/>
    <s v="Total"/>
    <x v="1"/>
    <x v="0"/>
    <x v="1"/>
    <x v="0"/>
    <n v="2749074.29"/>
    <n v="2749074.29"/>
    <n v="1762.227108974359"/>
    <m/>
    <d v="2025-10-16T00:00:00"/>
    <n v="42"/>
    <x v="1622"/>
    <x v="0"/>
  </r>
  <r>
    <x v="52"/>
    <x v="444"/>
    <s v="Hormigon - Cava / Bodega"/>
    <s v="Total"/>
    <x v="1"/>
    <x v="0"/>
    <x v="0"/>
    <x v="0"/>
    <n v="11545.09"/>
    <n v="11545.09"/>
    <n v="7.4006987179487185"/>
    <m/>
    <m/>
    <s v="38"/>
    <x v="1622"/>
    <x v="0"/>
  </r>
  <r>
    <x v="28"/>
    <x v="444"/>
    <s v="Hormigon Cava "/>
    <s v="Total"/>
    <x v="1"/>
    <x v="1"/>
    <x v="1"/>
    <x v="0"/>
    <n v="282000"/>
    <n v="282000"/>
    <n v="180.76923076923077"/>
    <m/>
    <d v="2025-10-29T00:00:00"/>
    <n v="44"/>
    <x v="1623"/>
    <x v="0"/>
  </r>
  <r>
    <x v="28"/>
    <x v="444"/>
    <s v="Hormigon Cava "/>
    <s v="Total"/>
    <x v="1"/>
    <x v="1"/>
    <x v="1"/>
    <x v="0"/>
    <n v="282286.09999999998"/>
    <n v="282286.09999999998"/>
    <n v="180.95262820512818"/>
    <m/>
    <d v="2025-10-31T00:00:00"/>
    <n v="44"/>
    <x v="1624"/>
    <x v="0"/>
  </r>
  <r>
    <x v="28"/>
    <x v="444"/>
    <s v="Hormigon Cava "/>
    <s v="Total"/>
    <x v="1"/>
    <x v="1"/>
    <x v="1"/>
    <x v="0"/>
    <n v="800000"/>
    <n v="800000"/>
    <n v="512.82051282051282"/>
    <m/>
    <d v="2025-11-19T00:00:00"/>
    <n v="47"/>
    <x v="1624"/>
    <x v="0"/>
  </r>
  <r>
    <x v="28"/>
    <x v="444"/>
    <s v="Hormigon Cava "/>
    <s v="Total"/>
    <x v="1"/>
    <x v="1"/>
    <x v="1"/>
    <x v="0"/>
    <n v="800000"/>
    <n v="800000"/>
    <n v="512.82051282051282"/>
    <m/>
    <d v="2025-11-18T00:00:00"/>
    <n v="47"/>
    <x v="1624"/>
    <x v="0"/>
  </r>
  <r>
    <x v="28"/>
    <x v="444"/>
    <s v="Hormigon Cava "/>
    <s v="Total"/>
    <x v="1"/>
    <x v="1"/>
    <x v="1"/>
    <x v="0"/>
    <n v="800000"/>
    <n v="800000"/>
    <n v="512.82051282051282"/>
    <m/>
    <d v="2025-11-11T00:00:00"/>
    <n v="46"/>
    <x v="1624"/>
    <x v="0"/>
  </r>
  <r>
    <x v="28"/>
    <x v="444"/>
    <s v="Hormigon Cava "/>
    <s v="Total"/>
    <x v="1"/>
    <x v="1"/>
    <x v="1"/>
    <x v="0"/>
    <n v="752413"/>
    <n v="752413"/>
    <n v="482.31602564102565"/>
    <m/>
    <d v="2025-10-23T00:00:00"/>
    <n v="43"/>
    <x v="1624"/>
    <x v="0"/>
  </r>
  <r>
    <x v="28"/>
    <x v="444"/>
    <s v="Hormigon Cava "/>
    <s v="Total"/>
    <x v="1"/>
    <x v="1"/>
    <x v="1"/>
    <x v="0"/>
    <n v="900000"/>
    <n v="900000"/>
    <n v="576.92307692307691"/>
    <m/>
    <d v="2025-10-20T00:00:00"/>
    <n v="43"/>
    <x v="1624"/>
    <x v="0"/>
  </r>
  <r>
    <x v="28"/>
    <x v="444"/>
    <s v="Hormigon Cava "/>
    <s v="Total"/>
    <x v="1"/>
    <x v="1"/>
    <x v="1"/>
    <x v="0"/>
    <n v="942060"/>
    <n v="942060"/>
    <n v="603.88461538461536"/>
    <m/>
    <d v="2025-11-10T00:00:00"/>
    <n v="46"/>
    <x v="1624"/>
    <x v="0"/>
  </r>
  <r>
    <x v="28"/>
    <x v="444"/>
    <s v="Campaña 2025"/>
    <s v="Total"/>
    <x v="4"/>
    <x v="1"/>
    <x v="1"/>
    <x v="0"/>
    <n v="760000"/>
    <n v="760000"/>
    <n v="487.17948717948718"/>
    <m/>
    <d v="2025-11-02T00:00:00"/>
    <n v="45"/>
    <x v="1625"/>
    <x v="0"/>
  </r>
  <r>
    <x v="28"/>
    <x v="444"/>
    <s v="Campaña 2025"/>
    <s v="Total"/>
    <x v="4"/>
    <x v="1"/>
    <x v="1"/>
    <x v="0"/>
    <n v="200000"/>
    <n v="200000"/>
    <n v="128.2051282051282"/>
    <m/>
    <d v="2025-11-05T00:00:00"/>
    <n v="45"/>
    <x v="1625"/>
    <x v="0"/>
  </r>
  <r>
    <x v="28"/>
    <x v="444"/>
    <s v="Campaña 2025"/>
    <s v="Total"/>
    <x v="4"/>
    <x v="1"/>
    <x v="1"/>
    <x v="0"/>
    <n v="1299606"/>
    <n v="1299606"/>
    <n v="833.08076923076919"/>
    <m/>
    <d v="2025-10-20T00:00:00"/>
    <n v="43"/>
    <x v="1625"/>
    <x v="0"/>
  </r>
  <r>
    <x v="28"/>
    <x v="444"/>
    <s v="Campaña 2025"/>
    <s v="Total"/>
    <x v="4"/>
    <x v="1"/>
    <x v="1"/>
    <x v="0"/>
    <n v="626219.38"/>
    <n v="626219.38"/>
    <n v="401.42267948717949"/>
    <m/>
    <d v="2025-11-04T00:00:00"/>
    <n v="45"/>
    <x v="1625"/>
    <x v="0"/>
  </r>
  <r>
    <x v="28"/>
    <x v="444"/>
    <s v="Campaña 2025"/>
    <s v="Total"/>
    <x v="4"/>
    <x v="1"/>
    <x v="1"/>
    <x v="0"/>
    <n v="338868"/>
    <n v="338868"/>
    <n v="217.22307692307692"/>
    <m/>
    <d v="2025-10-30T00:00:00"/>
    <n v="44"/>
    <x v="1625"/>
    <x v="0"/>
  </r>
  <r>
    <x v="29"/>
    <x v="444"/>
    <s v="Trabajo Cava / bodega"/>
    <s v="Total"/>
    <x v="1"/>
    <x v="1"/>
    <x v="1"/>
    <x v="0"/>
    <n v="12777353.880000001"/>
    <n v="12777353.880000001"/>
    <n v="8190.6114615384622"/>
    <m/>
    <d v="2025-09-29T00:00:00"/>
    <n v="40"/>
    <x v="1626"/>
    <x v="0"/>
  </r>
  <r>
    <x v="30"/>
    <x v="444"/>
    <s v="Cava / Bodega"/>
    <s v="Total"/>
    <x v="4"/>
    <x v="1"/>
    <x v="1"/>
    <x v="0"/>
    <n v="2708000"/>
    <n v="2708000"/>
    <n v="1735.8974358974358"/>
    <m/>
    <d v="2025-12-06T00:00:00"/>
    <n v="49"/>
    <x v="1627"/>
    <x v="0"/>
  </r>
  <r>
    <x v="30"/>
    <x v="444"/>
    <s v="Cava / Bodega"/>
    <s v="Total"/>
    <x v="4"/>
    <x v="1"/>
    <x v="1"/>
    <x v="0"/>
    <n v="3756000"/>
    <n v="3756000"/>
    <n v="2407.6923076923076"/>
    <m/>
    <d v="2025-12-09T00:00:00"/>
    <n v="50"/>
    <x v="1627"/>
    <x v="0"/>
  </r>
  <r>
    <x v="30"/>
    <x v="444"/>
    <s v="Campaña 2025"/>
    <s v="Total"/>
    <x v="4"/>
    <x v="1"/>
    <x v="1"/>
    <x v="0"/>
    <n v="586000"/>
    <n v="586000"/>
    <n v="375.64102564102564"/>
    <m/>
    <d v="2025-10-14T00:00:00"/>
    <n v="42"/>
    <x v="1628"/>
    <x v="0"/>
  </r>
  <r>
    <x v="30"/>
    <x v="444"/>
    <s v="Campaña 2025"/>
    <s v="Total"/>
    <x v="4"/>
    <x v="1"/>
    <x v="1"/>
    <x v="0"/>
    <n v="600008"/>
    <n v="600008"/>
    <n v="384.62051282051283"/>
    <m/>
    <d v="2025-10-20T00:00:00"/>
    <n v="43"/>
    <x v="1628"/>
    <x v="0"/>
  </r>
  <r>
    <x v="30"/>
    <x v="444"/>
    <s v="Campaña 2025"/>
    <s v="Total"/>
    <x v="4"/>
    <x v="1"/>
    <x v="1"/>
    <x v="0"/>
    <n v="3000000"/>
    <n v="3000000"/>
    <n v="1923.0769230769231"/>
    <m/>
    <d v="2025-10-20T00:00:00"/>
    <n v="43"/>
    <x v="1628"/>
    <x v="0"/>
  </r>
  <r>
    <x v="30"/>
    <x v="444"/>
    <s v="Campaña 2025"/>
    <s v="Total"/>
    <x v="4"/>
    <x v="1"/>
    <x v="1"/>
    <x v="0"/>
    <n v="300000"/>
    <n v="300000"/>
    <n v="192.30769230769232"/>
    <m/>
    <d v="2025-11-07T00:00:00"/>
    <n v="45"/>
    <x v="1628"/>
    <x v="0"/>
  </r>
  <r>
    <x v="63"/>
    <x v="444"/>
    <s v="Cava / Bodega"/>
    <s v="Total"/>
    <x v="2"/>
    <x v="1"/>
    <x v="2"/>
    <x v="0"/>
    <n v="3000000"/>
    <n v="3000000"/>
    <n v="1923.0769230769231"/>
    <m/>
    <m/>
    <s v="44"/>
    <x v="1629"/>
    <x v="0"/>
  </r>
  <r>
    <x v="63"/>
    <x v="444"/>
    <s v="Cava / Bodega"/>
    <s v="Total"/>
    <x v="2"/>
    <x v="1"/>
    <x v="1"/>
    <x v="0"/>
    <n v="1650000"/>
    <n v="1650000"/>
    <n v="1057.6923076923076"/>
    <m/>
    <d v="2025-10-29T00:00:00"/>
    <n v="44"/>
    <x v="1629"/>
    <x v="0"/>
  </r>
  <r>
    <x v="63"/>
    <x v="444"/>
    <s v="Cava / Bodega"/>
    <s v="Total"/>
    <x v="2"/>
    <x v="1"/>
    <x v="1"/>
    <x v="0"/>
    <n v="2506000"/>
    <n v="2506000"/>
    <n v="1606.4102564102564"/>
    <m/>
    <d v="2025-11-08T00:00:00"/>
    <n v="45"/>
    <x v="1629"/>
    <x v="0"/>
  </r>
  <r>
    <x v="63"/>
    <x v="444"/>
    <s v="Cava / Bodega"/>
    <s v="Total"/>
    <x v="2"/>
    <x v="1"/>
    <x v="1"/>
    <x v="0"/>
    <n v="3500000"/>
    <n v="3500000"/>
    <n v="2243.5897435897436"/>
    <m/>
    <d v="2025-10-30T00:00:00"/>
    <n v="44"/>
    <x v="1629"/>
    <x v="0"/>
  </r>
  <r>
    <x v="31"/>
    <x v="444"/>
    <s v="Cheque rechasado"/>
    <s v="Total"/>
    <x v="4"/>
    <x v="1"/>
    <x v="2"/>
    <x v="0"/>
    <n v="1650000"/>
    <n v="1650000"/>
    <n v="1057.6923076923076"/>
    <m/>
    <m/>
    <s v="45"/>
    <x v="1630"/>
    <x v="0"/>
  </r>
  <r>
    <x v="31"/>
    <x v="444"/>
    <s v="Campaña 2025"/>
    <s v="Parcial"/>
    <x v="4"/>
    <x v="1"/>
    <x v="1"/>
    <x v="0"/>
    <n v="910000"/>
    <n v="910000"/>
    <n v="583.33333333333337"/>
    <m/>
    <d v="2025-12-18T00:00:00"/>
    <n v="51"/>
    <x v="1631"/>
    <x v="0"/>
  </r>
  <r>
    <x v="31"/>
    <x v="444"/>
    <s v="Campaña 2025"/>
    <s v="Parcial"/>
    <x v="4"/>
    <x v="1"/>
    <x v="1"/>
    <x v="0"/>
    <n v="964500"/>
    <n v="964500"/>
    <n v="618.26923076923072"/>
    <m/>
    <d v="2025-12-20T00:00:00"/>
    <n v="51"/>
    <x v="1631"/>
    <x v="0"/>
  </r>
  <r>
    <x v="31"/>
    <x v="444"/>
    <s v="Campaña 2025"/>
    <s v="Parcial"/>
    <x v="4"/>
    <x v="1"/>
    <x v="1"/>
    <x v="0"/>
    <n v="3217410"/>
    <n v="3217410"/>
    <n v="2062.4423076923076"/>
    <m/>
    <d v="2025-12-13T00:00:00"/>
    <n v="50"/>
    <x v="1631"/>
    <x v="0"/>
  </r>
  <r>
    <x v="31"/>
    <x v="444"/>
    <s v="Campaña 2025"/>
    <s v="Parcial"/>
    <x v="4"/>
    <x v="1"/>
    <x v="1"/>
    <x v="0"/>
    <n v="964500"/>
    <n v="964500"/>
    <n v="618.26923076923072"/>
    <m/>
    <d v="2025-12-17T00:00:00"/>
    <n v="51"/>
    <x v="1631"/>
    <x v="0"/>
  </r>
  <r>
    <x v="7"/>
    <x v="444"/>
    <s v="Trabajo Cava / bodega"/>
    <s v="Total"/>
    <x v="1"/>
    <x v="1"/>
    <x v="2"/>
    <x v="0"/>
    <n v="5000000"/>
    <n v="5000000"/>
    <n v="3205.1282051282051"/>
    <m/>
    <m/>
    <s v="46"/>
    <x v="1632"/>
    <x v="0"/>
  </r>
  <r>
    <x v="7"/>
    <x v="444"/>
    <s v="Reposisción de cheque "/>
    <s v="Total"/>
    <x v="4"/>
    <x v="1"/>
    <x v="2"/>
    <x v="0"/>
    <n v="3000000"/>
    <n v="3000000"/>
    <n v="1923.0769230769231"/>
    <m/>
    <m/>
    <s v="46"/>
    <x v="1633"/>
    <x v="0"/>
  </r>
  <r>
    <x v="14"/>
    <x v="444"/>
    <s v="Campaña 2025"/>
    <s v="Total"/>
    <x v="4"/>
    <x v="1"/>
    <x v="1"/>
    <x v="0"/>
    <n v="2332000"/>
    <n v="2332000"/>
    <n v="1494.8717948717949"/>
    <m/>
    <d v="2025-12-31T00:00:00"/>
    <n v="53"/>
    <x v="13"/>
    <x v="0"/>
  </r>
  <r>
    <x v="14"/>
    <x v="444"/>
    <s v="Campaña 2025"/>
    <s v="Total"/>
    <x v="4"/>
    <x v="1"/>
    <x v="1"/>
    <x v="0"/>
    <n v="3500000"/>
    <n v="3500000"/>
    <n v="2243.5897435897436"/>
    <m/>
    <d v="2025-12-20T00:00:00"/>
    <n v="51"/>
    <x v="13"/>
    <x v="0"/>
  </r>
  <r>
    <x v="14"/>
    <x v="444"/>
    <s v="Obra Cava"/>
    <s v="Total"/>
    <x v="0"/>
    <x v="1"/>
    <x v="1"/>
    <x v="0"/>
    <n v="340902.7"/>
    <n v="340902.7"/>
    <n v="218.52737179487181"/>
    <m/>
    <d v="2025-12-13T00:00:00"/>
    <n v="50"/>
    <x v="1634"/>
    <x v="0"/>
  </r>
  <r>
    <x v="14"/>
    <x v="444"/>
    <s v="Obra Cava"/>
    <s v="Total"/>
    <x v="0"/>
    <x v="1"/>
    <x v="1"/>
    <x v="0"/>
    <n v="442000"/>
    <n v="442000"/>
    <n v="283.33333333333331"/>
    <m/>
    <d v="2025-12-16T00:00:00"/>
    <n v="51"/>
    <x v="1634"/>
    <x v="0"/>
  </r>
  <r>
    <x v="14"/>
    <x v="444"/>
    <s v="Obra Cava"/>
    <s v="Total"/>
    <x v="0"/>
    <x v="1"/>
    <x v="2"/>
    <x v="0"/>
    <n v="2500000"/>
    <n v="2500000"/>
    <n v="1602.5641025641025"/>
    <m/>
    <m/>
    <s v="47"/>
    <x v="1634"/>
    <x v="0"/>
  </r>
  <r>
    <x v="15"/>
    <x v="444"/>
    <s v="Campaña 2025"/>
    <s v="Total"/>
    <x v="4"/>
    <x v="1"/>
    <x v="1"/>
    <x v="0"/>
    <n v="1012140"/>
    <n v="1012140"/>
    <n v="648.80769230769226"/>
    <m/>
    <d v="2026-01-11T00:00:00"/>
    <n v="3"/>
    <x v="1635"/>
    <x v="0"/>
  </r>
  <r>
    <x v="15"/>
    <x v="444"/>
    <s v="Campaña 2025"/>
    <s v="Total"/>
    <x v="4"/>
    <x v="1"/>
    <x v="1"/>
    <x v="0"/>
    <n v="1055000"/>
    <n v="1055000"/>
    <n v="676.28205128205127"/>
    <m/>
    <d v="2026-01-20T00:00:00"/>
    <n v="4"/>
    <x v="1635"/>
    <x v="0"/>
  </r>
  <r>
    <x v="15"/>
    <x v="444"/>
    <s v="Campaña 2025"/>
    <s v="Total"/>
    <x v="4"/>
    <x v="1"/>
    <x v="1"/>
    <x v="0"/>
    <n v="2000000"/>
    <n v="2000000"/>
    <n v="1282.051282051282"/>
    <m/>
    <d v="2026-01-22T00:00:00"/>
    <n v="4"/>
    <x v="1635"/>
    <x v="0"/>
  </r>
  <r>
    <x v="15"/>
    <x v="444"/>
    <s v="Campaña 2025"/>
    <s v="Total"/>
    <x v="4"/>
    <x v="1"/>
    <x v="1"/>
    <x v="0"/>
    <n v="2000000"/>
    <n v="2000000"/>
    <n v="1282.051282051282"/>
    <m/>
    <d v="2026-01-10T00:00:00"/>
    <n v="2"/>
    <x v="1635"/>
    <x v="0"/>
  </r>
  <r>
    <x v="19"/>
    <x v="444"/>
    <s v="Obra Cava"/>
    <s v="Total"/>
    <x v="0"/>
    <x v="1"/>
    <x v="2"/>
    <x v="0"/>
    <n v="4000000"/>
    <n v="4000000"/>
    <n v="2564.102564102564"/>
    <m/>
    <m/>
    <s v="50"/>
    <x v="1636"/>
    <x v="0"/>
  </r>
  <r>
    <x v="4"/>
    <x v="444"/>
    <s v="Campaña 2025"/>
    <s v="Total"/>
    <x v="4"/>
    <x v="1"/>
    <x v="2"/>
    <x v="0"/>
    <n v="5000000"/>
    <n v="5000000"/>
    <n v="3205.1282051282051"/>
    <m/>
    <m/>
    <s v="51"/>
    <x v="1637"/>
    <x v="0"/>
  </r>
  <r>
    <x v="74"/>
    <x v="444"/>
    <s v="Campaña 2025"/>
    <s v="Total"/>
    <x v="4"/>
    <x v="1"/>
    <x v="1"/>
    <x v="0"/>
    <n v="260000"/>
    <n v="260000"/>
    <n v="166.66666666666666"/>
    <m/>
    <d v="2026-02-02T00:00:00"/>
    <n v="6"/>
    <x v="1638"/>
    <x v="0"/>
  </r>
  <r>
    <x v="74"/>
    <x v="444"/>
    <s v="Campaña 2025"/>
    <s v="Total"/>
    <x v="4"/>
    <x v="1"/>
    <x v="1"/>
    <x v="0"/>
    <n v="1000000"/>
    <n v="1000000"/>
    <n v="641.02564102564099"/>
    <m/>
    <d v="2026-01-30T00:00:00"/>
    <n v="5"/>
    <x v="1638"/>
    <x v="0"/>
  </r>
  <r>
    <x v="74"/>
    <x v="444"/>
    <s v="Campaña 2025"/>
    <s v="Total"/>
    <x v="4"/>
    <x v="1"/>
    <x v="1"/>
    <x v="0"/>
    <n v="1000000"/>
    <n v="1000000"/>
    <n v="641.02564102564099"/>
    <m/>
    <d v="2026-02-07T00:00:00"/>
    <n v="6"/>
    <x v="1638"/>
    <x v="0"/>
  </r>
  <r>
    <x v="74"/>
    <x v="444"/>
    <s v="Campaña 2025"/>
    <s v="Total"/>
    <x v="4"/>
    <x v="1"/>
    <x v="1"/>
    <x v="0"/>
    <n v="2850000"/>
    <n v="2850000"/>
    <n v="1826.9230769230769"/>
    <m/>
    <d v="2026-01-27T00:00:00"/>
    <n v="5"/>
    <x v="1638"/>
    <x v="0"/>
  </r>
  <r>
    <x v="74"/>
    <x v="444"/>
    <s v="Campaña 2025"/>
    <s v="Total"/>
    <x v="4"/>
    <x v="1"/>
    <x v="1"/>
    <x v="0"/>
    <n v="2900000"/>
    <n v="2900000"/>
    <n v="1858.9743589743589"/>
    <m/>
    <d v="2026-02-04T00:00:00"/>
    <n v="6"/>
    <x v="1638"/>
    <x v="0"/>
  </r>
  <r>
    <x v="50"/>
    <x v="444"/>
    <s v="Campaña 2025"/>
    <s v="Total"/>
    <x v="4"/>
    <x v="1"/>
    <x v="1"/>
    <x v="0"/>
    <n v="108000"/>
    <n v="108000"/>
    <n v="69.230769230769226"/>
    <m/>
    <d v="2026-01-20T00:00:00"/>
    <n v="4"/>
    <x v="1639"/>
    <x v="0"/>
  </r>
  <r>
    <x v="50"/>
    <x v="444"/>
    <s v="Campaña 2025"/>
    <s v="Total"/>
    <x v="4"/>
    <x v="1"/>
    <x v="1"/>
    <x v="0"/>
    <n v="384858"/>
    <n v="384858"/>
    <n v="246.70384615384614"/>
    <m/>
    <d v="2026-01-24T00:00:00"/>
    <n v="4"/>
    <x v="1639"/>
    <x v="0"/>
  </r>
  <r>
    <x v="50"/>
    <x v="444"/>
    <s v="Campaña 2025"/>
    <s v="Total"/>
    <x v="4"/>
    <x v="1"/>
    <x v="1"/>
    <x v="0"/>
    <n v="555000"/>
    <n v="555000"/>
    <n v="355.76923076923077"/>
    <m/>
    <d v="2026-02-03T00:00:00"/>
    <n v="6"/>
    <x v="1639"/>
    <x v="0"/>
  </r>
  <r>
    <x v="50"/>
    <x v="444"/>
    <s v="Campaña 2025"/>
    <s v="Total"/>
    <x v="4"/>
    <x v="1"/>
    <x v="1"/>
    <x v="0"/>
    <n v="2000000"/>
    <n v="2000000"/>
    <n v="1282.051282051282"/>
    <m/>
    <d v="2026-03-14T00:00:00"/>
    <n v="11"/>
    <x v="1639"/>
    <x v="0"/>
  </r>
  <r>
    <x v="50"/>
    <x v="444"/>
    <s v="Campaña 2025"/>
    <s v="Total"/>
    <x v="4"/>
    <x v="1"/>
    <x v="1"/>
    <x v="0"/>
    <n v="2074640"/>
    <n v="2074640"/>
    <n v="1329.8974358974358"/>
    <m/>
    <d v="2026-03-08T00:00:00"/>
    <n v="11"/>
    <x v="1639"/>
    <x v="0"/>
  </r>
  <r>
    <x v="50"/>
    <x v="444"/>
    <s v="Campaña 2025"/>
    <s v="Total"/>
    <x v="4"/>
    <x v="1"/>
    <x v="2"/>
    <x v="0"/>
    <n v="2500000"/>
    <n v="2500000"/>
    <n v="1602.5641025641025"/>
    <m/>
    <m/>
    <s v="04"/>
    <x v="1639"/>
    <x v="0"/>
  </r>
  <r>
    <x v="9"/>
    <x v="444"/>
    <s v="Campaña 2025"/>
    <s v="Total"/>
    <x v="4"/>
    <x v="1"/>
    <x v="1"/>
    <x v="0"/>
    <n v="2263000"/>
    <n v="2263000"/>
    <n v="1450.6410256410256"/>
    <m/>
    <d v="2026-03-02T00:00:00"/>
    <n v="10"/>
    <x v="1640"/>
    <x v="0"/>
  </r>
  <r>
    <x v="9"/>
    <x v="444"/>
    <s v="Campaña 2025"/>
    <s v="Total"/>
    <x v="4"/>
    <x v="1"/>
    <x v="1"/>
    <x v="0"/>
    <n v="2263000"/>
    <n v="2263000"/>
    <n v="1450.6410256410256"/>
    <m/>
    <d v="2026-03-09T00:00:00"/>
    <n v="11"/>
    <x v="1640"/>
    <x v="0"/>
  </r>
  <r>
    <x v="50"/>
    <x v="444"/>
    <s v="Campaña 2025"/>
    <s v="Total"/>
    <x v="4"/>
    <x v="1"/>
    <x v="1"/>
    <x v="0"/>
    <n v="198000"/>
    <n v="198000"/>
    <n v="126.92307692307692"/>
    <m/>
    <d v="2026-02-02T00:00:00"/>
    <n v="6"/>
    <x v="1639"/>
    <x v="0"/>
  </r>
  <r>
    <x v="9"/>
    <x v="444"/>
    <s v="Campaña 2025"/>
    <s v="Total"/>
    <x v="4"/>
    <x v="1"/>
    <x v="1"/>
    <x v="0"/>
    <n v="2263000"/>
    <n v="2263000"/>
    <n v="1450.6410256410256"/>
    <m/>
    <d v="2026-03-06T00:00:00"/>
    <n v="10"/>
    <x v="1640"/>
    <x v="0"/>
  </r>
  <r>
    <x v="9"/>
    <x v="444"/>
    <s v="Campaña 2025"/>
    <s v="Total"/>
    <x v="4"/>
    <x v="1"/>
    <x v="1"/>
    <x v="0"/>
    <n v="2263000"/>
    <n v="2263000"/>
    <n v="1450.6410256410256"/>
    <m/>
    <d v="2026-03-18T00:00:00"/>
    <n v="12"/>
    <x v="1640"/>
    <x v="0"/>
  </r>
  <r>
    <x v="9"/>
    <x v="444"/>
    <s v="Campaña 2025"/>
    <s v="Total"/>
    <x v="4"/>
    <x v="1"/>
    <x v="1"/>
    <x v="0"/>
    <n v="2263000"/>
    <n v="2263000"/>
    <n v="1450.6410256410256"/>
    <m/>
    <d v="2026-03-03T00:00:00"/>
    <n v="10"/>
    <x v="1640"/>
    <x v="0"/>
  </r>
  <r>
    <x v="9"/>
    <x v="444"/>
    <s v="Campaña 2025"/>
    <s v="Total"/>
    <x v="4"/>
    <x v="1"/>
    <x v="1"/>
    <x v="0"/>
    <n v="2263000"/>
    <n v="2263000"/>
    <n v="1450.6410256410256"/>
    <m/>
    <d v="2026-03-16T00:00:00"/>
    <n v="12"/>
    <x v="1640"/>
    <x v="0"/>
  </r>
  <r>
    <x v="9"/>
    <x v="444"/>
    <s v="Campaña 2025"/>
    <s v="Total"/>
    <x v="2"/>
    <x v="1"/>
    <x v="2"/>
    <x v="0"/>
    <n v="2500000"/>
    <n v="2500000"/>
    <n v="1602.5641025641025"/>
    <m/>
    <d v="2026-01-30T00:00:00"/>
    <n v="5"/>
    <x v="1640"/>
    <x v="0"/>
  </r>
  <r>
    <x v="59"/>
    <x v="444"/>
    <s v="Campaña 2025"/>
    <s v="Total"/>
    <x v="4"/>
    <x v="1"/>
    <x v="1"/>
    <x v="0"/>
    <n v="1500000"/>
    <n v="1500000"/>
    <n v="961.53846153846155"/>
    <m/>
    <m/>
    <s v="06"/>
    <x v="1641"/>
    <x v="0"/>
  </r>
  <r>
    <x v="59"/>
    <x v="444"/>
    <s v="Campaña 2025"/>
    <s v="Total"/>
    <x v="4"/>
    <x v="1"/>
    <x v="1"/>
    <x v="0"/>
    <n v="378419"/>
    <n v="378419"/>
    <n v="242.57628205128205"/>
    <m/>
    <d v="2026-02-05T00:00:00"/>
    <n v="6"/>
    <x v="1641"/>
    <x v="0"/>
  </r>
  <r>
    <x v="59"/>
    <x v="444"/>
    <s v="Campaña 2025"/>
    <s v="Total"/>
    <x v="4"/>
    <x v="1"/>
    <x v="1"/>
    <x v="0"/>
    <n v="380000"/>
    <n v="380000"/>
    <n v="243.58974358974359"/>
    <m/>
    <d v="2026-02-23T00:00:00"/>
    <n v="9"/>
    <x v="1641"/>
    <x v="0"/>
  </r>
  <r>
    <x v="59"/>
    <x v="444"/>
    <s v="Campaña 2025"/>
    <s v="Total"/>
    <x v="4"/>
    <x v="1"/>
    <x v="1"/>
    <x v="0"/>
    <n v="600000"/>
    <n v="600000"/>
    <n v="384.61538461538464"/>
    <m/>
    <d v="2026-02-28T00:00:00"/>
    <n v="9"/>
    <x v="1641"/>
    <x v="0"/>
  </r>
  <r>
    <x v="59"/>
    <x v="444"/>
    <s v="Campaña 2025"/>
    <s v="Total"/>
    <x v="4"/>
    <x v="1"/>
    <x v="1"/>
    <x v="0"/>
    <n v="600000"/>
    <n v="600000"/>
    <n v="384.61538461538464"/>
    <m/>
    <d v="2026-02-28T00:00:00"/>
    <n v="9"/>
    <x v="1641"/>
    <x v="0"/>
  </r>
  <r>
    <x v="59"/>
    <x v="444"/>
    <s v="Campaña 2025"/>
    <s v="Total"/>
    <x v="4"/>
    <x v="1"/>
    <x v="1"/>
    <x v="0"/>
    <n v="1000000"/>
    <n v="1000000"/>
    <n v="641.02564102564099"/>
    <m/>
    <d v="2026-02-28T00:00:00"/>
    <n v="9"/>
    <x v="1641"/>
    <x v="0"/>
  </r>
  <r>
    <x v="59"/>
    <x v="444"/>
    <s v="Campaña 2025"/>
    <s v="Total"/>
    <x v="4"/>
    <x v="1"/>
    <x v="1"/>
    <x v="0"/>
    <n v="1385506"/>
    <n v="1385506"/>
    <n v="888.14487179487185"/>
    <m/>
    <d v="2026-02-16T00:00:00"/>
    <n v="8"/>
    <x v="1641"/>
    <x v="0"/>
  </r>
  <r>
    <x v="59"/>
    <x v="444"/>
    <s v="Campaña 2025"/>
    <s v="Total"/>
    <x v="4"/>
    <x v="1"/>
    <x v="1"/>
    <x v="0"/>
    <n v="2263000"/>
    <n v="2263000"/>
    <n v="1450.6410256410256"/>
    <m/>
    <d v="2026-02-28T00:00:00"/>
    <n v="9"/>
    <x v="1641"/>
    <x v="0"/>
  </r>
  <r>
    <x v="13"/>
    <x v="444"/>
    <s v="Maquinas cava Bodega"/>
    <s v="Total"/>
    <x v="0"/>
    <x v="1"/>
    <x v="1"/>
    <x v="0"/>
    <n v="239070"/>
    <n v="239070"/>
    <n v="153.25"/>
    <m/>
    <d v="2026-03-09T00:00:00"/>
    <n v="11"/>
    <x v="1642"/>
    <x v="0"/>
  </r>
  <r>
    <x v="13"/>
    <x v="444"/>
    <s v="Maquinas cava Bodega"/>
    <s v="Total"/>
    <x v="0"/>
    <x v="1"/>
    <x v="1"/>
    <x v="0"/>
    <n v="1173610.3999999999"/>
    <n v="1173610.3999999999"/>
    <n v="752.31435897435892"/>
    <m/>
    <d v="2026-02-27T00:00:00"/>
    <n v="9"/>
    <x v="1642"/>
    <x v="0"/>
  </r>
  <r>
    <x v="13"/>
    <x v="444"/>
    <s v="Maquinas cava Bodega"/>
    <s v="Total"/>
    <x v="0"/>
    <x v="1"/>
    <x v="1"/>
    <x v="0"/>
    <n v="1811722"/>
    <n v="1811722"/>
    <n v="1161.3602564102564"/>
    <m/>
    <d v="2026-02-18T00:00:00"/>
    <n v="8"/>
    <x v="1642"/>
    <x v="0"/>
  </r>
  <r>
    <x v="13"/>
    <x v="444"/>
    <s v="Maquinas cava Bodega"/>
    <s v="Total"/>
    <x v="0"/>
    <x v="1"/>
    <x v="2"/>
    <x v="0"/>
    <n v="1500000"/>
    <n v="1500000"/>
    <n v="961.53846153846155"/>
    <m/>
    <m/>
    <s v="07"/>
    <x v="1642"/>
    <x v="0"/>
  </r>
  <r>
    <x v="27"/>
    <x v="444"/>
    <s v="Campaña 2025"/>
    <s v="Total"/>
    <x v="4"/>
    <x v="1"/>
    <x v="1"/>
    <x v="0"/>
    <n v="150000"/>
    <n v="150000"/>
    <n v="96.15384615384616"/>
    <m/>
    <d v="2025-08-30T00:00:00"/>
    <n v="35"/>
    <x v="34"/>
    <x v="0"/>
  </r>
  <r>
    <x v="27"/>
    <x v="444"/>
    <s v="Campaña 2025"/>
    <s v="Total"/>
    <x v="4"/>
    <x v="1"/>
    <x v="1"/>
    <x v="0"/>
    <n v="1870000"/>
    <n v="1870000"/>
    <n v="1198.7179487179487"/>
    <m/>
    <d v="2025-08-20T00:00:00"/>
    <n v="34"/>
    <x v="34"/>
    <x v="0"/>
  </r>
  <r>
    <x v="27"/>
    <x v="444"/>
    <s v="Campaña 2025"/>
    <s v="Total"/>
    <x v="4"/>
    <x v="1"/>
    <x v="1"/>
    <x v="0"/>
    <n v="400000"/>
    <n v="400000"/>
    <n v="256.41025641025641"/>
    <m/>
    <d v="2025-09-27T00:00:00"/>
    <n v="39"/>
    <x v="1643"/>
    <x v="0"/>
  </r>
  <r>
    <x v="27"/>
    <x v="444"/>
    <s v="Campaña 2025"/>
    <s v="Total"/>
    <x v="4"/>
    <x v="1"/>
    <x v="1"/>
    <x v="0"/>
    <n v="400000"/>
    <n v="400000"/>
    <n v="256.41025641025641"/>
    <m/>
    <d v="2025-09-20T00:00:00"/>
    <n v="38"/>
    <x v="1643"/>
    <x v="0"/>
  </r>
  <r>
    <x v="27"/>
    <x v="444"/>
    <s v="Campaña 2025"/>
    <s v="Total"/>
    <x v="4"/>
    <x v="1"/>
    <x v="1"/>
    <x v="0"/>
    <n v="400000"/>
    <n v="400000"/>
    <n v="256.41025641025641"/>
    <m/>
    <d v="2025-09-23T00:00:00"/>
    <n v="39"/>
    <x v="1643"/>
    <x v="0"/>
  </r>
  <r>
    <x v="27"/>
    <x v="444"/>
    <s v="Campaña 2025"/>
    <s v="Total"/>
    <x v="4"/>
    <x v="1"/>
    <x v="1"/>
    <x v="0"/>
    <n v="412000"/>
    <n v="412000"/>
    <n v="264.10256410256409"/>
    <m/>
    <d v="2025-09-23T00:00:00"/>
    <n v="39"/>
    <x v="1643"/>
    <x v="0"/>
  </r>
  <r>
    <x v="27"/>
    <x v="444"/>
    <s v="Campaña 2025"/>
    <s v="Total"/>
    <x v="4"/>
    <x v="1"/>
    <x v="1"/>
    <x v="0"/>
    <n v="700000"/>
    <n v="700000"/>
    <n v="448.71794871794873"/>
    <m/>
    <d v="2025-09-08T00:00:00"/>
    <n v="37"/>
    <x v="1643"/>
    <x v="0"/>
  </r>
  <r>
    <x v="27"/>
    <x v="444"/>
    <s v="Campaña 2025"/>
    <s v="Total"/>
    <x v="4"/>
    <x v="1"/>
    <x v="1"/>
    <x v="0"/>
    <n v="930000"/>
    <n v="930000"/>
    <n v="596.15384615384619"/>
    <m/>
    <d v="2025-09-23T00:00:00"/>
    <n v="39"/>
    <x v="1643"/>
    <x v="0"/>
  </r>
  <r>
    <x v="32"/>
    <x v="444"/>
    <s v="Cava / Bodega"/>
    <s v="Total"/>
    <x v="0"/>
    <x v="1"/>
    <x v="1"/>
    <x v="0"/>
    <n v="277450"/>
    <n v="277450"/>
    <n v="177.85256410256412"/>
    <m/>
    <d v="2026-04-04T00:00:00"/>
    <n v="14"/>
    <x v="1644"/>
    <x v="0"/>
  </r>
  <r>
    <x v="32"/>
    <x v="444"/>
    <s v="Cava / Bodega"/>
    <s v="Total"/>
    <x v="0"/>
    <x v="1"/>
    <x v="1"/>
    <x v="0"/>
    <n v="291687"/>
    <n v="291687"/>
    <n v="186.97884615384615"/>
    <m/>
    <d v="2026-03-20T00:00:00"/>
    <n v="12"/>
    <x v="1644"/>
    <x v="0"/>
  </r>
  <r>
    <x v="32"/>
    <x v="444"/>
    <s v="Cava / Bodega"/>
    <s v="Total"/>
    <x v="0"/>
    <x v="1"/>
    <x v="1"/>
    <x v="0"/>
    <n v="500000"/>
    <n v="500000"/>
    <n v="320.5128205128205"/>
    <m/>
    <d v="2026-02-25T00:00:00"/>
    <n v="9"/>
    <x v="1644"/>
    <x v="0"/>
  </r>
  <r>
    <x v="32"/>
    <x v="444"/>
    <s v="Cava / Bodega"/>
    <s v="Total"/>
    <x v="0"/>
    <x v="1"/>
    <x v="1"/>
    <x v="0"/>
    <n v="800000"/>
    <n v="800000"/>
    <n v="512.82051282051282"/>
    <m/>
    <d v="2026-04-13T00:00:00"/>
    <n v="16"/>
    <x v="1644"/>
    <x v="0"/>
  </r>
  <r>
    <x v="32"/>
    <x v="444"/>
    <s v="Cava / Bodega"/>
    <s v="Total"/>
    <x v="0"/>
    <x v="1"/>
    <x v="1"/>
    <x v="0"/>
    <n v="1144000"/>
    <n v="1144000"/>
    <n v="733.33333333333337"/>
    <m/>
    <d v="2026-02-05T00:00:00"/>
    <n v="6"/>
    <x v="1644"/>
    <x v="0"/>
  </r>
  <r>
    <x v="32"/>
    <x v="444"/>
    <s v="Cava / Bodega"/>
    <s v="Total"/>
    <x v="0"/>
    <x v="1"/>
    <x v="2"/>
    <x v="0"/>
    <n v="55773"/>
    <n v="55773"/>
    <n v="35.751923076923077"/>
    <m/>
    <d v="2026-02-25T00:00:00"/>
    <n v="9"/>
    <x v="1644"/>
    <x v="0"/>
  </r>
  <r>
    <x v="32"/>
    <x v="444"/>
    <s v="Cava / Bodega"/>
    <s v="Total"/>
    <x v="0"/>
    <x v="1"/>
    <x v="1"/>
    <x v="0"/>
    <n v="260000"/>
    <n v="260000"/>
    <n v="166.66666666666666"/>
    <m/>
    <d v="2026-04-04T00:00:00"/>
    <n v="14"/>
    <x v="1644"/>
    <x v="0"/>
  </r>
  <r>
    <x v="32"/>
    <x v="444"/>
    <s v="Cava / Bodega"/>
    <s v="Total"/>
    <x v="0"/>
    <x v="1"/>
    <x v="1"/>
    <x v="0"/>
    <n v="261180"/>
    <n v="261180"/>
    <n v="167.42307692307693"/>
    <m/>
    <d v="2026-03-02T00:00:00"/>
    <n v="10"/>
    <x v="1644"/>
    <x v="0"/>
  </r>
  <r>
    <x v="32"/>
    <x v="444"/>
    <s v="Cava / Bodega"/>
    <s v="Total"/>
    <x v="0"/>
    <x v="1"/>
    <x v="1"/>
    <x v="0"/>
    <n v="200000"/>
    <n v="200000"/>
    <n v="128.2051282051282"/>
    <m/>
    <d v="2026-03-02T00:00:00"/>
    <n v="10"/>
    <x v="1645"/>
    <x v="0"/>
  </r>
  <r>
    <x v="32"/>
    <x v="444"/>
    <s v="Cava / Bodega"/>
    <s v="Total"/>
    <x v="0"/>
    <x v="1"/>
    <x v="1"/>
    <x v="0"/>
    <n v="300000"/>
    <n v="300000"/>
    <n v="192.30769230769232"/>
    <m/>
    <d v="2026-03-01T00:00:00"/>
    <n v="10"/>
    <x v="1645"/>
    <x v="0"/>
  </r>
  <r>
    <x v="32"/>
    <x v="444"/>
    <s v="Cava / Bodega"/>
    <s v="Total"/>
    <x v="0"/>
    <x v="1"/>
    <x v="1"/>
    <x v="0"/>
    <n v="469285"/>
    <n v="469285"/>
    <n v="300.82371794871796"/>
    <m/>
    <d v="2026-03-06T00:00:00"/>
    <n v="10"/>
    <x v="1645"/>
    <x v="0"/>
  </r>
  <r>
    <x v="32"/>
    <x v="444"/>
    <s v="Cava / Bodega"/>
    <s v="Total"/>
    <x v="0"/>
    <x v="1"/>
    <x v="1"/>
    <x v="0"/>
    <n v="546250"/>
    <n v="546250"/>
    <n v="350.16025641025641"/>
    <m/>
    <d v="2026-02-20T00:00:00"/>
    <n v="8"/>
    <x v="1645"/>
    <x v="0"/>
  </r>
  <r>
    <x v="32"/>
    <x v="444"/>
    <s v="Cava / Bodega"/>
    <s v="Total"/>
    <x v="0"/>
    <x v="1"/>
    <x v="1"/>
    <x v="0"/>
    <n v="705046.61"/>
    <n v="705046.61"/>
    <n v="451.95295512820513"/>
    <m/>
    <d v="2026-02-22T00:00:00"/>
    <n v="9"/>
    <x v="1645"/>
    <x v="0"/>
  </r>
  <r>
    <x v="32"/>
    <x v="444"/>
    <s v="Cava / Bodega"/>
    <s v="Total"/>
    <x v="0"/>
    <x v="1"/>
    <x v="1"/>
    <x v="0"/>
    <n v="917405"/>
    <n v="917405"/>
    <n v="588.08012820512818"/>
    <m/>
    <d v="2026-03-10T00:00:00"/>
    <n v="11"/>
    <x v="1645"/>
    <x v="0"/>
  </r>
  <r>
    <x v="32"/>
    <x v="444"/>
    <s v="Cava / Bodega"/>
    <s v="Total"/>
    <x v="0"/>
    <x v="1"/>
    <x v="1"/>
    <x v="0"/>
    <n v="1100000"/>
    <n v="1100000"/>
    <n v="705.12820512820508"/>
    <m/>
    <d v="2026-02-26T00:00:00"/>
    <n v="9"/>
    <x v="1645"/>
    <x v="0"/>
  </r>
  <r>
    <x v="32"/>
    <x v="444"/>
    <s v="Cava / Bodega"/>
    <s v="Total"/>
    <x v="0"/>
    <x v="1"/>
    <x v="1"/>
    <x v="0"/>
    <n v="7610.99"/>
    <n v="7610.99"/>
    <n v="4.8788397435897437"/>
    <m/>
    <d v="2026-02-18T00:00:00"/>
    <n v="8"/>
    <x v="1645"/>
    <x v="0"/>
  </r>
  <r>
    <x v="73"/>
    <x v="444"/>
    <s v="Cava / Bodega"/>
    <s v="Total"/>
    <x v="0"/>
    <x v="1"/>
    <x v="2"/>
    <x v="0"/>
    <n v="3000000"/>
    <n v="3000000"/>
    <n v="1923.0769230769231"/>
    <m/>
    <m/>
    <s v="10"/>
    <x v="1646"/>
    <x v="0"/>
  </r>
  <r>
    <x v="56"/>
    <x v="444"/>
    <s v="Reposición de cheque rechasado"/>
    <s v="Total"/>
    <x v="0"/>
    <x v="1"/>
    <x v="2"/>
    <x v="0"/>
    <n v="2074640"/>
    <n v="2074640"/>
    <n v="1329.8974358974358"/>
    <m/>
    <m/>
    <s v="11"/>
    <x v="1647"/>
    <x v="0"/>
  </r>
  <r>
    <x v="56"/>
    <x v="444"/>
    <s v="Reposición de cheque rechasado"/>
    <s v="Total"/>
    <x v="0"/>
    <x v="1"/>
    <x v="2"/>
    <x v="0"/>
    <n v="1000000"/>
    <n v="1000000"/>
    <n v="641.02564102564099"/>
    <m/>
    <m/>
    <s v="11"/>
    <x v="1648"/>
    <x v="0"/>
  </r>
  <r>
    <x v="24"/>
    <x v="444"/>
    <s v="Campaña 2026"/>
    <s v="Total"/>
    <x v="2"/>
    <x v="1"/>
    <x v="2"/>
    <x v="0"/>
    <n v="8000000"/>
    <n v="8000000"/>
    <n v="5128.2051282051279"/>
    <m/>
    <m/>
    <s v="14"/>
    <x v="1649"/>
    <x v="0"/>
  </r>
  <r>
    <x v="33"/>
    <x v="444"/>
    <s v="Cheque rechasado"/>
    <s v="Total"/>
    <x v="2"/>
    <x v="1"/>
    <x v="2"/>
    <x v="0"/>
    <n v="2136290.54"/>
    <n v="2136290.54"/>
    <n v="1369.4170128205128"/>
    <m/>
    <m/>
    <s v="12"/>
    <x v="1650"/>
    <x v="0"/>
  </r>
  <r>
    <x v="33"/>
    <x v="444"/>
    <s v="Cheque rechasado"/>
    <s v="Total"/>
    <x v="2"/>
    <x v="1"/>
    <x v="2"/>
    <x v="0"/>
    <n v="313867.46000000002"/>
    <n v="313867.46000000002"/>
    <n v="201.19708974358977"/>
    <m/>
    <d v="2026-04-07T00:00:00"/>
    <n v="15"/>
    <x v="1650"/>
    <x v="0"/>
  </r>
  <r>
    <x v="33"/>
    <x v="444"/>
    <s v="Cheque rechasado"/>
    <s v="Total"/>
    <x v="2"/>
    <x v="1"/>
    <x v="2"/>
    <x v="0"/>
    <n v="350000"/>
    <n v="350000"/>
    <n v="224.35897435897436"/>
    <m/>
    <d v="2026-03-27T00:00:00"/>
    <n v="13"/>
    <x v="1650"/>
    <x v="0"/>
  </r>
  <r>
    <x v="33"/>
    <x v="444"/>
    <s v="Cheque rechasado"/>
    <s v="Total"/>
    <x v="2"/>
    <x v="1"/>
    <x v="2"/>
    <x v="0"/>
    <n v="500000"/>
    <n v="500000"/>
    <n v="320.5128205128205"/>
    <m/>
    <d v="2026-03-27T00:00:00"/>
    <n v="13"/>
    <x v="1650"/>
    <x v="0"/>
  </r>
  <r>
    <x v="33"/>
    <x v="444"/>
    <s v="Cheque rechasado"/>
    <s v="Total"/>
    <x v="2"/>
    <x v="1"/>
    <x v="2"/>
    <x v="0"/>
    <n v="560742"/>
    <n v="560742"/>
    <n v="359.45"/>
    <m/>
    <d v="2026-03-25T00:00:00"/>
    <n v="13"/>
    <x v="1650"/>
    <x v="0"/>
  </r>
  <r>
    <x v="33"/>
    <x v="444"/>
    <s v="Obra Planta ade aaceite"/>
    <s v="Total"/>
    <x v="2"/>
    <x v="1"/>
    <x v="2"/>
    <x v="0"/>
    <n v="2000000"/>
    <n v="2000000"/>
    <n v="1282.051282051282"/>
    <m/>
    <d v="2026-04-10T00:00:00"/>
    <n v="15"/>
    <x v="1650"/>
    <x v="0"/>
  </r>
  <r>
    <x v="65"/>
    <x v="444"/>
    <s v="Cava / Bodega"/>
    <s v="Total"/>
    <x v="0"/>
    <x v="1"/>
    <x v="2"/>
    <x v="0"/>
    <n v="4000000"/>
    <n v="4000000"/>
    <n v="2564.102564102564"/>
    <m/>
    <m/>
    <s v="13"/>
    <x v="1651"/>
    <x v="0"/>
  </r>
  <r>
    <x v="20"/>
    <x v="444"/>
    <s v="Campaña 2026"/>
    <s v="Total"/>
    <x v="1"/>
    <x v="1"/>
    <x v="2"/>
    <x v="0"/>
    <n v="8000000"/>
    <n v="8000000"/>
    <n v="5128.2051282051279"/>
    <m/>
    <m/>
    <s v="15"/>
    <x v="1652"/>
    <x v="0"/>
  </r>
  <r>
    <x v="57"/>
    <x v="444"/>
    <s v="Campaña 2026"/>
    <s v="Total"/>
    <x v="2"/>
    <x v="1"/>
    <x v="2"/>
    <x v="0"/>
    <n v="8000000"/>
    <n v="8000000"/>
    <n v="5128.2051282051279"/>
    <m/>
    <m/>
    <s v="16"/>
    <x v="1653"/>
    <x v="0"/>
  </r>
  <r>
    <x v="53"/>
    <x v="444"/>
    <s v="Reposición cheque rehasado"/>
    <s v="Total"/>
    <x v="2"/>
    <x v="1"/>
    <x v="2"/>
    <x v="0"/>
    <n v="3500000"/>
    <n v="3500000"/>
    <n v="2243.5897435897436"/>
    <m/>
    <m/>
    <s v="17"/>
    <x v="1654"/>
    <x v="0"/>
  </r>
  <r>
    <x v="53"/>
    <x v="444"/>
    <s v="Campaña 2026"/>
    <s v="Total"/>
    <x v="2"/>
    <x v="1"/>
    <x v="2"/>
    <x v="0"/>
    <n v="8000000"/>
    <n v="8000000"/>
    <n v="5128.2051282051279"/>
    <m/>
    <m/>
    <s v="17"/>
    <x v="1655"/>
    <x v="0"/>
  </r>
  <r>
    <x v="53"/>
    <x v="444"/>
    <s v="Campaña 2026"/>
    <s v="Total"/>
    <x v="2"/>
    <x v="1"/>
    <x v="2"/>
    <x v="0"/>
    <n v="5000000"/>
    <n v="5000000"/>
    <n v="3205.1282051282051"/>
    <m/>
    <m/>
    <s v="17"/>
    <x v="1656"/>
    <x v="0"/>
  </r>
  <r>
    <x v="23"/>
    <x v="444"/>
    <s v="Campaña 2025"/>
    <s v="Total"/>
    <x v="4"/>
    <x v="1"/>
    <x v="1"/>
    <x v="0"/>
    <n v="1500000"/>
    <n v="1500000"/>
    <n v="961.53846153846155"/>
    <m/>
    <m/>
    <s v="18"/>
    <x v="1657"/>
    <x v="0"/>
  </r>
  <r>
    <x v="23"/>
    <x v="444"/>
    <s v="Campaña 2025"/>
    <s v="Total"/>
    <x v="4"/>
    <x v="1"/>
    <x v="1"/>
    <x v="1"/>
    <n v="2800"/>
    <n v="4368000"/>
    <n v="2800"/>
    <m/>
    <m/>
    <s v="18"/>
    <x v="1658"/>
    <x v="0"/>
  </r>
  <r>
    <x v="62"/>
    <x v="444"/>
    <s v="Cava / Bodega"/>
    <s v="Total"/>
    <x v="0"/>
    <x v="1"/>
    <x v="1"/>
    <x v="0"/>
    <n v="610000"/>
    <n v="610000"/>
    <n v="391.02564102564105"/>
    <m/>
    <d v="2026-06-17T00:00:00"/>
    <n v="25"/>
    <x v="1659"/>
    <x v="0"/>
  </r>
  <r>
    <x v="62"/>
    <x v="444"/>
    <s v="Cava / Bodega"/>
    <s v="Total"/>
    <x v="0"/>
    <x v="1"/>
    <x v="1"/>
    <x v="0"/>
    <n v="2100000"/>
    <n v="2100000"/>
    <n v="1346.1538461538462"/>
    <m/>
    <d v="2026-05-30T00:00:00"/>
    <n v="22"/>
    <x v="1659"/>
    <x v="0"/>
  </r>
  <r>
    <x v="62"/>
    <x v="444"/>
    <s v="Anticipo Aceituna 2026"/>
    <s v="Total"/>
    <x v="2"/>
    <x v="1"/>
    <x v="2"/>
    <x v="1"/>
    <n v="3000"/>
    <n v="4680000"/>
    <n v="3000"/>
    <m/>
    <m/>
    <s v="19"/>
    <x v="1660"/>
    <x v="0"/>
  </r>
  <r>
    <x v="47"/>
    <x v="444"/>
    <s v="Cava / Bodega"/>
    <s v="Total"/>
    <x v="0"/>
    <x v="1"/>
    <x v="1"/>
    <x v="0"/>
    <n v="600000"/>
    <n v="600000"/>
    <n v="384.61538461538464"/>
    <m/>
    <m/>
    <s v="20"/>
    <x v="1661"/>
    <x v="0"/>
  </r>
  <r>
    <x v="47"/>
    <x v="444"/>
    <s v="Cava / Bodega"/>
    <s v="Total"/>
    <x v="0"/>
    <x v="1"/>
    <x v="1"/>
    <x v="0"/>
    <n v="610000"/>
    <n v="610000"/>
    <n v="391.02564102564105"/>
    <m/>
    <m/>
    <s v="20"/>
    <x v="1661"/>
    <x v="0"/>
  </r>
  <r>
    <x v="47"/>
    <x v="444"/>
    <s v="Cava / Bodega"/>
    <s v="Total"/>
    <x v="0"/>
    <x v="1"/>
    <x v="1"/>
    <x v="0"/>
    <n v="2600000"/>
    <n v="2600000"/>
    <n v="1666.6666666666667"/>
    <m/>
    <m/>
    <s v="20"/>
    <x v="1661"/>
    <x v="0"/>
  </r>
  <r>
    <x v="47"/>
    <x v="444"/>
    <s v="Campaña 2026"/>
    <s v="Total"/>
    <x v="4"/>
    <x v="1"/>
    <x v="2"/>
    <x v="1"/>
    <n v="500"/>
    <n v="780000"/>
    <n v="500"/>
    <m/>
    <m/>
    <s v="20"/>
    <x v="1662"/>
    <x v="0"/>
  </r>
  <r>
    <x v="34"/>
    <x v="444"/>
    <s v="Campaña 2025"/>
    <s v="Total"/>
    <x v="4"/>
    <x v="1"/>
    <x v="1"/>
    <x v="0"/>
    <n v="112896"/>
    <n v="112896"/>
    <n v="72.369230769230768"/>
    <m/>
    <d v="2026-06-06T00:00:00"/>
    <n v="23"/>
    <x v="1663"/>
    <x v="0"/>
  </r>
  <r>
    <x v="34"/>
    <x v="444"/>
    <s v="Campaña 2025"/>
    <s v="Total"/>
    <x v="4"/>
    <x v="1"/>
    <x v="1"/>
    <x v="0"/>
    <n v="167890"/>
    <n v="167890"/>
    <n v="107.62179487179488"/>
    <m/>
    <d v="2026-05-30T00:00:00"/>
    <n v="22"/>
    <x v="1663"/>
    <x v="0"/>
  </r>
  <r>
    <x v="34"/>
    <x v="444"/>
    <s v="Campaña 2025"/>
    <s v="Total"/>
    <x v="4"/>
    <x v="1"/>
    <x v="1"/>
    <x v="0"/>
    <n v="267235"/>
    <n v="267235"/>
    <n v="171.30448717948718"/>
    <m/>
    <d v="2026-05-25T00:00:00"/>
    <n v="22"/>
    <x v="1663"/>
    <x v="0"/>
  </r>
  <r>
    <x v="34"/>
    <x v="444"/>
    <s v="Campaña 2025"/>
    <s v="Total"/>
    <x v="4"/>
    <x v="1"/>
    <x v="1"/>
    <x v="0"/>
    <n v="288325"/>
    <n v="288325"/>
    <n v="184.82371794871796"/>
    <m/>
    <d v="2026-05-24T00:00:00"/>
    <n v="22"/>
    <x v="1663"/>
    <x v="0"/>
  </r>
  <r>
    <x v="34"/>
    <x v="444"/>
    <s v="Campaña 2025"/>
    <s v="Total"/>
    <x v="4"/>
    <x v="1"/>
    <x v="1"/>
    <x v="0"/>
    <n v="314776"/>
    <n v="314776"/>
    <n v="201.77948717948718"/>
    <m/>
    <d v="2026-05-28T00:00:00"/>
    <n v="22"/>
    <x v="1663"/>
    <x v="0"/>
  </r>
  <r>
    <x v="34"/>
    <x v="444"/>
    <s v="Campaña 2025"/>
    <s v="Total"/>
    <x v="4"/>
    <x v="1"/>
    <x v="1"/>
    <x v="0"/>
    <n v="1000000"/>
    <n v="1000000"/>
    <n v="641.02564102564099"/>
    <m/>
    <d v="2026-05-20T00:00:00"/>
    <n v="21"/>
    <x v="1663"/>
    <x v="0"/>
  </r>
  <r>
    <x v="34"/>
    <x v="444"/>
    <s v="Campaña 2025"/>
    <s v="Total"/>
    <x v="4"/>
    <x v="1"/>
    <x v="1"/>
    <x v="0"/>
    <n v="1214000"/>
    <n v="1214000"/>
    <n v="778.20512820512818"/>
    <m/>
    <d v="2026-06-20T00:00:00"/>
    <n v="25"/>
    <x v="1663"/>
    <x v="0"/>
  </r>
  <r>
    <x v="34"/>
    <x v="444"/>
    <s v="Campaña 2025"/>
    <s v="Total"/>
    <x v="4"/>
    <x v="1"/>
    <x v="1"/>
    <x v="0"/>
    <n v="1214000"/>
    <n v="1214000"/>
    <n v="778.20512820512818"/>
    <m/>
    <d v="2026-06-26T00:00:00"/>
    <n v="26"/>
    <x v="1663"/>
    <x v="0"/>
  </r>
  <r>
    <x v="34"/>
    <x v="444"/>
    <s v="Campaña 2025"/>
    <s v="Total"/>
    <x v="4"/>
    <x v="1"/>
    <x v="1"/>
    <x v="0"/>
    <n v="1330337"/>
    <n v="1330337"/>
    <n v="852.78012820512822"/>
    <m/>
    <d v="2026-06-30T00:00:00"/>
    <n v="27"/>
    <x v="44"/>
    <x v="0"/>
  </r>
  <r>
    <x v="64"/>
    <x v="444"/>
    <s v="Trabajos Cava Bodega"/>
    <s v="Total"/>
    <x v="0"/>
    <x v="1"/>
    <x v="1"/>
    <x v="0"/>
    <n v="100000"/>
    <n v="100000"/>
    <n v="64.102564102564102"/>
    <m/>
    <d v="2026-07-10T00:00:00"/>
    <n v="28"/>
    <x v="1664"/>
    <x v="0"/>
  </r>
  <r>
    <x v="64"/>
    <x v="444"/>
    <s v="Trabajos Cava Bodega"/>
    <s v="Total"/>
    <x v="0"/>
    <x v="1"/>
    <x v="1"/>
    <x v="0"/>
    <n v="633100"/>
    <n v="633100"/>
    <n v="405.83333333333331"/>
    <m/>
    <d v="2026-07-08T00:00:00"/>
    <n v="28"/>
    <x v="1664"/>
    <x v="0"/>
  </r>
  <r>
    <x v="64"/>
    <x v="444"/>
    <s v="Trabajos Cava Bodega"/>
    <s v="Total"/>
    <x v="0"/>
    <x v="1"/>
    <x v="1"/>
    <x v="0"/>
    <n v="2000000"/>
    <n v="2000000"/>
    <n v="1282.051282051282"/>
    <m/>
    <d v="2026-06-12T00:00:00"/>
    <n v="24"/>
    <x v="1664"/>
    <x v="0"/>
  </r>
  <r>
    <x v="22"/>
    <x v="444"/>
    <s v="Campaña 2026"/>
    <s v="Total"/>
    <x v="2"/>
    <x v="1"/>
    <x v="2"/>
    <x v="0"/>
    <n v="700000"/>
    <n v="700000"/>
    <n v="448.71794871794873"/>
    <m/>
    <m/>
    <s v="23"/>
    <x v="1665"/>
    <x v="0"/>
  </r>
  <r>
    <x v="22"/>
    <x v="444"/>
    <s v="Campaña 2026"/>
    <s v="Total"/>
    <x v="2"/>
    <x v="1"/>
    <x v="1"/>
    <x v="0"/>
    <n v="3638240"/>
    <n v="3638240"/>
    <n v="2332.2051282051284"/>
    <m/>
    <d v="2026-06-14T00:00:00"/>
    <n v="25"/>
    <x v="1666"/>
    <x v="0"/>
  </r>
  <r>
    <x v="45"/>
    <x v="444"/>
    <s v="Campaña 2026"/>
    <s v="Total"/>
    <x v="2"/>
    <x v="1"/>
    <x v="2"/>
    <x v="0"/>
    <n v="500000"/>
    <n v="500000"/>
    <n v="320.5128205128205"/>
    <m/>
    <m/>
    <s v="25"/>
    <x v="1667"/>
    <x v="0"/>
  </r>
  <r>
    <x v="43"/>
    <x v="444"/>
    <s v="Campaña 2026"/>
    <s v="Total"/>
    <x v="4"/>
    <x v="1"/>
    <x v="1"/>
    <x v="1"/>
    <n v="1600"/>
    <n v="2496000"/>
    <n v="1600"/>
    <m/>
    <m/>
    <s v="26"/>
    <x v="1668"/>
    <x v="0"/>
  </r>
  <r>
    <x v="35"/>
    <x v="444"/>
    <s v="Campaña 2026"/>
    <s v="Total"/>
    <x v="4"/>
    <x v="1"/>
    <x v="2"/>
    <x v="0"/>
    <n v="1000000"/>
    <n v="1000000"/>
    <n v="641.02564102564099"/>
    <m/>
    <m/>
    <s v="27"/>
    <x v="1669"/>
    <x v="0"/>
  </r>
  <r>
    <x v="36"/>
    <x v="444"/>
    <s v="Campaña 2026"/>
    <s v="Total"/>
    <x v="4"/>
    <x v="1"/>
    <x v="1"/>
    <x v="0"/>
    <n v="2500000"/>
    <n v="2500000"/>
    <n v="1602.5641025641025"/>
    <m/>
    <d v="2026-07-30T00:00:00"/>
    <n v="31"/>
    <x v="1670"/>
    <x v="0"/>
  </r>
  <r>
    <x v="36"/>
    <x v="444"/>
    <s v="Campaña 2026"/>
    <s v="Total"/>
    <x v="4"/>
    <x v="1"/>
    <x v="1"/>
    <x v="0"/>
    <n v="2500000"/>
    <n v="2500000"/>
    <n v="1602.5641025641025"/>
    <m/>
    <d v="2026-08-04T00:00:00"/>
    <n v="32"/>
    <x v="1670"/>
    <x v="0"/>
  </r>
  <r>
    <x v="36"/>
    <x v="444"/>
    <s v="Campaña 2026"/>
    <s v="Total"/>
    <x v="4"/>
    <x v="1"/>
    <x v="1"/>
    <x v="0"/>
    <n v="2726733"/>
    <n v="2726733"/>
    <n v="1747.9057692307692"/>
    <m/>
    <d v="2026-09-03T00:00:00"/>
    <n v="36"/>
    <x v="1670"/>
    <x v="0"/>
  </r>
  <r>
    <x v="37"/>
    <x v="444"/>
    <s v="Campaña 2026"/>
    <s v="Total"/>
    <x v="4"/>
    <x v="1"/>
    <x v="1"/>
    <x v="0"/>
    <n v="144520"/>
    <n v="144520"/>
    <n v="92.641025641025635"/>
    <m/>
    <d v="2026-07-14T00:00:00"/>
    <n v="29"/>
    <x v="1671"/>
    <x v="0"/>
  </r>
  <r>
    <x v="37"/>
    <x v="444"/>
    <s v="Campaña 2026"/>
    <s v="Total"/>
    <x v="4"/>
    <x v="1"/>
    <x v="1"/>
    <x v="0"/>
    <n v="877697.8"/>
    <n v="877697.8"/>
    <n v="562.62679487179491"/>
    <m/>
    <d v="2026-07-04T00:00:00"/>
    <n v="27"/>
    <x v="1671"/>
    <x v="0"/>
  </r>
  <r>
    <x v="37"/>
    <x v="444"/>
    <s v="Campaña 2026"/>
    <s v="Total"/>
    <x v="4"/>
    <x v="1"/>
    <x v="1"/>
    <x v="0"/>
    <n v="930000"/>
    <n v="930000"/>
    <n v="596.15384615384619"/>
    <m/>
    <d v="2026-08-10T00:00:00"/>
    <n v="33"/>
    <x v="1671"/>
    <x v="0"/>
  </r>
  <r>
    <x v="37"/>
    <x v="444"/>
    <s v="Campaña 2026"/>
    <s v="Total"/>
    <x v="4"/>
    <x v="1"/>
    <x v="1"/>
    <x v="0"/>
    <n v="3400000"/>
    <n v="3400000"/>
    <n v="2179.4871794871797"/>
    <m/>
    <d v="2026-08-30T00:00:00"/>
    <n v="36"/>
    <x v="1671"/>
    <x v="0"/>
  </r>
  <r>
    <x v="37"/>
    <x v="444"/>
    <s v="Campaña 2026"/>
    <s v="Total"/>
    <x v="2"/>
    <x v="1"/>
    <x v="2"/>
    <x v="0"/>
    <n v="1000000"/>
    <n v="1000000"/>
    <n v="641.02564102564099"/>
    <m/>
    <m/>
    <s v="29"/>
    <x v="1672"/>
    <x v="0"/>
  </r>
  <r>
    <x v="58"/>
    <x v="444"/>
    <s v="Reposición de cheque rechazado"/>
    <s v="Total"/>
    <x v="2"/>
    <x v="1"/>
    <x v="2"/>
    <x v="0"/>
    <n v="2000000"/>
    <n v="2000000"/>
    <n v="1282.051282051282"/>
    <m/>
    <m/>
    <s v="30"/>
    <x v="1673"/>
    <x v="0"/>
  </r>
  <r>
    <x v="58"/>
    <x v="444"/>
    <s v="Campaña 2026"/>
    <s v="Total"/>
    <x v="4"/>
    <x v="1"/>
    <x v="1"/>
    <x v="0"/>
    <n v="1349735"/>
    <n v="1349735"/>
    <n v="865.21474358974353"/>
    <m/>
    <d v="2026-08-12T00:00:00"/>
    <n v="33"/>
    <x v="1674"/>
    <x v="0"/>
  </r>
  <r>
    <x v="58"/>
    <x v="444"/>
    <s v="Reposición de cheque rechazado (Dev. Luciano H.)"/>
    <s v="Total"/>
    <x v="2"/>
    <x v="1"/>
    <x v="2"/>
    <x v="0"/>
    <n v="2000000"/>
    <n v="2000000"/>
    <n v="1282.051282051282"/>
    <m/>
    <m/>
    <s v="30"/>
    <x v="1675"/>
    <x v="0"/>
  </r>
  <r>
    <x v="58"/>
    <x v="444"/>
    <s v="Reposición de cheque rechazado"/>
    <s v="Total"/>
    <x v="2"/>
    <x v="1"/>
    <x v="2"/>
    <x v="0"/>
    <n v="526500"/>
    <n v="526500"/>
    <n v="337.5"/>
    <m/>
    <m/>
    <s v="30"/>
    <x v="1676"/>
    <x v="0"/>
  </r>
  <r>
    <x v="44"/>
    <x v="444"/>
    <s v="Campaña 2026"/>
    <s v="Total"/>
    <x v="5"/>
    <x v="1"/>
    <x v="2"/>
    <x v="0"/>
    <n v="2000000"/>
    <n v="2000000"/>
    <n v="1282.051282051282"/>
    <m/>
    <m/>
    <s v="31"/>
    <x v="1677"/>
    <x v="0"/>
  </r>
  <r>
    <x v="38"/>
    <x v="444"/>
    <s v="Campaña 2026"/>
    <s v="Total"/>
    <x v="5"/>
    <x v="1"/>
    <x v="2"/>
    <x v="0"/>
    <n v="6621000"/>
    <n v="6621000"/>
    <n v="4244.2307692307695"/>
    <m/>
    <m/>
    <s v="32"/>
    <x v="1678"/>
    <x v="0"/>
  </r>
  <r>
    <x v="12"/>
    <x v="444"/>
    <s v="Campaña 2026"/>
    <s v="Total"/>
    <x v="5"/>
    <x v="1"/>
    <x v="1"/>
    <x v="0"/>
    <n v="6621000"/>
    <n v="6621000"/>
    <n v="4244.2307692307695"/>
    <m/>
    <d v="2026-09-09T00:00:00"/>
    <n v="37"/>
    <x v="1679"/>
    <x v="0"/>
  </r>
  <r>
    <x v="66"/>
    <x v="444"/>
    <s v="Campaña 2026"/>
    <s v="Total"/>
    <x v="5"/>
    <x v="1"/>
    <x v="2"/>
    <x v="0"/>
    <n v="3073485"/>
    <n v="3073485"/>
    <n v="1970.1826923076924"/>
    <m/>
    <d v="2026-10-03T00:00:00"/>
    <n v="40"/>
    <x v="1680"/>
    <x v="0"/>
  </r>
  <r>
    <x v="77"/>
    <x v="444"/>
    <s v="Campaña 2026"/>
    <s v="Total"/>
    <x v="5"/>
    <x v="1"/>
    <x v="1"/>
    <x v="0"/>
    <n v="400000"/>
    <n v="400000"/>
    <n v="256.41025641025641"/>
    <m/>
    <d v="2026-09-24T00:00:00"/>
    <n v="39"/>
    <x v="1681"/>
    <x v="0"/>
  </r>
  <r>
    <x v="77"/>
    <x v="444"/>
    <s v="Campaña 2026"/>
    <s v="Total"/>
    <x v="5"/>
    <x v="1"/>
    <x v="1"/>
    <x v="0"/>
    <n v="1999842"/>
    <n v="1999842"/>
    <n v="1281.95"/>
    <m/>
    <d v="2026-10-14T00:00:00"/>
    <n v="42"/>
    <x v="1681"/>
    <x v="0"/>
  </r>
  <r>
    <x v="77"/>
    <x v="444"/>
    <s v="Campaña 2026"/>
    <s v="Total"/>
    <x v="5"/>
    <x v="1"/>
    <x v="1"/>
    <x v="0"/>
    <n v="2362851"/>
    <n v="2362851"/>
    <n v="1514.6480769230768"/>
    <m/>
    <d v="2026-10-14T00:00:00"/>
    <n v="42"/>
    <x v="1681"/>
    <x v="0"/>
  </r>
  <r>
    <x v="11"/>
    <x v="444"/>
    <s v="Campaña 2026"/>
    <s v="Total"/>
    <x v="5"/>
    <x v="1"/>
    <x v="1"/>
    <x v="0"/>
    <n v="3523375"/>
    <n v="3523375"/>
    <n v="2258.5737179487178"/>
    <m/>
    <d v="2026-10-20T00:00:00"/>
    <n v="43"/>
    <x v="1682"/>
    <x v="0"/>
  </r>
  <r>
    <x v="11"/>
    <x v="444"/>
    <s v="Campaña 2026"/>
    <s v="Total"/>
    <x v="5"/>
    <x v="1"/>
    <x v="1"/>
    <x v="0"/>
    <n v="3360475"/>
    <n v="3360475"/>
    <n v="2154.1506410256411"/>
    <m/>
    <d v="2026-10-24T00:00:00"/>
    <n v="43"/>
    <x v="1682"/>
    <x v="0"/>
  </r>
  <r>
    <x v="11"/>
    <x v="444"/>
    <s v="Campaña 2026"/>
    <s v="Total"/>
    <x v="2"/>
    <x v="1"/>
    <x v="2"/>
    <x v="0"/>
    <n v="116150"/>
    <n v="116150"/>
    <n v="74.455128205128204"/>
    <m/>
    <m/>
    <s v="37"/>
    <x v="1682"/>
    <x v="0"/>
  </r>
  <r>
    <x v="39"/>
    <x v="444"/>
    <s v="Campaña 2026"/>
    <s v="Total"/>
    <x v="5"/>
    <x v="1"/>
    <x v="1"/>
    <x v="0"/>
    <n v="2220000"/>
    <n v="2220000"/>
    <n v="1423.0769230769231"/>
    <m/>
    <d v="2026-09-20T00:00:00"/>
    <n v="39"/>
    <x v="1683"/>
    <x v="0"/>
  </r>
  <r>
    <x v="39"/>
    <x v="444"/>
    <s v="Campaña 2026"/>
    <s v="Total"/>
    <x v="5"/>
    <x v="1"/>
    <x v="1"/>
    <x v="0"/>
    <n v="280000"/>
    <n v="280000"/>
    <n v="179.48717948717947"/>
    <m/>
    <m/>
    <s v="38"/>
    <x v="1684"/>
    <x v="0"/>
  </r>
  <r>
    <x v="39"/>
    <x v="444"/>
    <s v="Campaña 2026"/>
    <s v="Total"/>
    <x v="5"/>
    <x v="0"/>
    <x v="1"/>
    <x v="0"/>
    <n v="11311397"/>
    <n v="11311397"/>
    <n v="7250.8955128205125"/>
    <m/>
    <d v="2026-10-18T00:00:00"/>
    <n v="43"/>
    <x v="1685"/>
    <x v="0"/>
  </r>
  <r>
    <x v="39"/>
    <x v="444"/>
    <s v="Campaña 2026"/>
    <s v="Total"/>
    <x v="5"/>
    <x v="0"/>
    <x v="1"/>
    <x v="0"/>
    <n v="203942.43"/>
    <n v="203942.43"/>
    <n v="130.73232692307693"/>
    <s v="Retenciones"/>
    <m/>
    <s v="38"/>
    <x v="1685"/>
    <x v="0"/>
  </r>
  <r>
    <x v="40"/>
    <x v="444"/>
    <s v="Campaña 2026"/>
    <s v="Total"/>
    <x v="5"/>
    <x v="1"/>
    <x v="1"/>
    <x v="0"/>
    <n v="1157747.8600000001"/>
    <n v="1157747.8600000001"/>
    <n v="742.1460641025642"/>
    <m/>
    <d v="2026-10-17T00:00:00"/>
    <n v="42"/>
    <x v="1686"/>
    <x v="0"/>
  </r>
  <r>
    <x v="40"/>
    <x v="444"/>
    <s v="Campaña 2026"/>
    <s v="Total"/>
    <x v="5"/>
    <x v="1"/>
    <x v="1"/>
    <x v="0"/>
    <n v="1500000"/>
    <n v="1500000"/>
    <n v="961.53846153846155"/>
    <m/>
    <d v="2026-10-16T00:00:00"/>
    <n v="42"/>
    <x v="1686"/>
    <x v="0"/>
  </r>
  <r>
    <x v="40"/>
    <x v="444"/>
    <s v="Campaña 2026"/>
    <s v="Total"/>
    <x v="5"/>
    <x v="1"/>
    <x v="1"/>
    <x v="0"/>
    <n v="43624.03"/>
    <n v="43624.03"/>
    <n v="27.964121794871794"/>
    <s v="Retenciones"/>
    <m/>
    <s v="40"/>
    <x v="1686"/>
    <x v="0"/>
  </r>
  <r>
    <x v="54"/>
    <x v="444"/>
    <s v="Campaña 2026"/>
    <s v="Total"/>
    <x v="5"/>
    <x v="0"/>
    <x v="1"/>
    <x v="0"/>
    <n v="5000000"/>
    <n v="5000000"/>
    <n v="3205.1282051282051"/>
    <m/>
    <d v="2026-11-25T00:00:00"/>
    <n v="48"/>
    <x v="1687"/>
    <x v="0"/>
  </r>
  <r>
    <x v="54"/>
    <x v="444"/>
    <s v="Campaña 2026"/>
    <s v="Total"/>
    <x v="5"/>
    <x v="1"/>
    <x v="1"/>
    <x v="0"/>
    <n v="186530"/>
    <n v="186530"/>
    <n v="119.57051282051282"/>
    <m/>
    <d v="2026-10-22T00:00:00"/>
    <n v="43"/>
    <x v="1688"/>
    <x v="0"/>
  </r>
  <r>
    <x v="54"/>
    <x v="444"/>
    <s v="Campaña 2026"/>
    <s v="Total"/>
    <x v="5"/>
    <x v="1"/>
    <x v="1"/>
    <x v="0"/>
    <n v="1333000"/>
    <n v="1333000"/>
    <n v="854.48717948717945"/>
    <m/>
    <d v="2026-11-21T00:00:00"/>
    <n v="47"/>
    <x v="1688"/>
    <x v="0"/>
  </r>
  <r>
    <x v="54"/>
    <x v="444"/>
    <s v="Campaña 2026"/>
    <s v="Total"/>
    <x v="5"/>
    <x v="1"/>
    <x v="1"/>
    <x v="0"/>
    <n v="1500000"/>
    <n v="1500000"/>
    <n v="961.53846153846155"/>
    <m/>
    <d v="2026-11-16T00:00:00"/>
    <n v="47"/>
    <x v="1688"/>
    <x v="0"/>
  </r>
  <r>
    <x v="46"/>
    <x v="444"/>
    <s v="Campaña 2026"/>
    <s v="Total"/>
    <x v="2"/>
    <x v="1"/>
    <x v="2"/>
    <x v="0"/>
    <n v="545000"/>
    <n v="545000"/>
    <n v="349.35897435897436"/>
    <m/>
    <d v="2026-11-25T00:00:00"/>
    <n v="48"/>
    <x v="168"/>
    <x v="0"/>
  </r>
  <r>
    <x v="46"/>
    <x v="444"/>
    <s v="Campaña 2026"/>
    <s v="Total"/>
    <x v="2"/>
    <x v="1"/>
    <x v="2"/>
    <x v="0"/>
    <n v="977000"/>
    <n v="977000"/>
    <n v="626.28205128205127"/>
    <m/>
    <d v="2026-11-19T00:00:00"/>
    <n v="47"/>
    <x v="168"/>
    <x v="0"/>
  </r>
  <r>
    <x v="46"/>
    <x v="444"/>
    <s v="Campaña 2026"/>
    <s v="Total"/>
    <x v="2"/>
    <x v="1"/>
    <x v="2"/>
    <x v="0"/>
    <n v="2000000"/>
    <n v="2000000"/>
    <n v="1282.051282051282"/>
    <m/>
    <d v="2026-12-05T00:00:00"/>
    <n v="49"/>
    <x v="168"/>
    <x v="0"/>
  </r>
  <r>
    <x v="3"/>
    <x v="405"/>
    <s v="Trabajo espalderos finca Lolita"/>
    <s v="Total"/>
    <x v="0"/>
    <x v="1"/>
    <x v="2"/>
    <x v="0"/>
    <n v="1000000"/>
    <n v="1000000"/>
    <n v="641.02564102564099"/>
    <m/>
    <m/>
    <s v="44"/>
    <x v="0"/>
    <x v="2"/>
  </r>
  <r>
    <x v="3"/>
    <x v="405"/>
    <s v="Trabajo espalderos finca Lolita"/>
    <s v="Total"/>
    <x v="0"/>
    <x v="1"/>
    <x v="2"/>
    <x v="0"/>
    <n v="780000"/>
    <n v="780000"/>
    <n v="500"/>
    <m/>
    <m/>
    <s v="44"/>
    <x v="1689"/>
    <x v="2"/>
  </r>
  <r>
    <x v="3"/>
    <x v="420"/>
    <s v="Honorarios"/>
    <s v="Total"/>
    <x v="3"/>
    <x v="0"/>
    <x v="0"/>
    <x v="0"/>
    <n v="536000"/>
    <n v="536000"/>
    <n v="343.58974358974359"/>
    <m/>
    <m/>
    <s v="44"/>
    <x v="0"/>
    <x v="2"/>
  </r>
  <r>
    <x v="3"/>
    <x v="422"/>
    <s v="Reparacion tractor NH"/>
    <s v="Total"/>
    <x v="0"/>
    <x v="1"/>
    <x v="1"/>
    <x v="0"/>
    <n v="4290000"/>
    <n v="4290000"/>
    <n v="2750"/>
    <m/>
    <m/>
    <s v="44"/>
    <x v="0"/>
    <x v="1"/>
  </r>
  <r>
    <x v="3"/>
    <x v="427"/>
    <s v="Junta prensa EVONETA"/>
    <s v="Total"/>
    <x v="0"/>
    <x v="0"/>
    <x v="1"/>
    <x v="1"/>
    <n v="528.97"/>
    <n v="825193.20000000007"/>
    <n v="528.97"/>
    <m/>
    <m/>
    <s v="44"/>
    <x v="0"/>
    <x v="1"/>
  </r>
  <r>
    <x v="30"/>
    <x v="445"/>
    <s v="180 Kg fibra polipropileno P06 - Pedido de cava "/>
    <s v="Total"/>
    <x v="1"/>
    <x v="0"/>
    <x v="0"/>
    <x v="0"/>
    <n v="2096325"/>
    <n v="2096325"/>
    <n v="1343.7980769230769"/>
    <m/>
    <m/>
    <s v="43"/>
    <x v="1690"/>
    <x v="0"/>
  </r>
  <r>
    <x v="52"/>
    <x v="446"/>
    <s v="Bobinas de sobres 50%"/>
    <s v="Total"/>
    <x v="1"/>
    <x v="0"/>
    <x v="1"/>
    <x v="0"/>
    <n v="5000000"/>
    <n v="5000000"/>
    <n v="3205.1282051282051"/>
    <m/>
    <d v="2025-10-17T00:00:00"/>
    <n v="42"/>
    <x v="1691"/>
    <x v="0"/>
  </r>
  <r>
    <x v="6"/>
    <x v="446"/>
    <s v="Bobinas de sobres 50%"/>
    <s v="Total"/>
    <x v="1"/>
    <x v="0"/>
    <x v="1"/>
    <x v="0"/>
    <n v="500371.20000000001"/>
    <n v="500371.20000000001"/>
    <n v="320.75076923076927"/>
    <m/>
    <d v="2025-10-17T00:00:00"/>
    <n v="42"/>
    <x v="1692"/>
    <x v="0"/>
  </r>
  <r>
    <x v="6"/>
    <x v="446"/>
    <s v="Bobinas de sobres 50%"/>
    <s v="Total"/>
    <x v="1"/>
    <x v="0"/>
    <x v="1"/>
    <x v="0"/>
    <n v="1493366.7"/>
    <n v="1493366.7"/>
    <n v="957.28634615384613"/>
    <m/>
    <d v="2025-10-20T00:00:00"/>
    <n v="43"/>
    <x v="1692"/>
    <x v="0"/>
  </r>
  <r>
    <x v="6"/>
    <x v="446"/>
    <s v="Bobinas de sobres 50%"/>
    <s v="Total"/>
    <x v="1"/>
    <x v="0"/>
    <x v="1"/>
    <x v="0"/>
    <n v="324008"/>
    <n v="324008"/>
    <n v="207.69743589743589"/>
    <m/>
    <d v="2025-10-25T00:00:00"/>
    <n v="43"/>
    <x v="1692"/>
    <x v="0"/>
  </r>
  <r>
    <x v="6"/>
    <x v="446"/>
    <s v="Bobinas de sobres 50%"/>
    <s v="Total"/>
    <x v="1"/>
    <x v="0"/>
    <x v="1"/>
    <x v="0"/>
    <n v="404657.27"/>
    <n v="404657.27"/>
    <n v="259.3956858974359"/>
    <m/>
    <d v="2025-10-31T00:00:00"/>
    <n v="44"/>
    <x v="1692"/>
    <x v="0"/>
  </r>
  <r>
    <x v="6"/>
    <x v="446"/>
    <s v="Bobinas de sobres 50%"/>
    <s v="Total"/>
    <x v="1"/>
    <x v="0"/>
    <x v="1"/>
    <x v="0"/>
    <n v="339006.62"/>
    <n v="339006.62"/>
    <n v="217.31193589743589"/>
    <m/>
    <d v="2025-11-07T00:00:00"/>
    <n v="45"/>
    <x v="1692"/>
    <x v="0"/>
  </r>
  <r>
    <x v="6"/>
    <x v="446"/>
    <s v="Bobinas de sobres 50%"/>
    <s v="Total"/>
    <x v="1"/>
    <x v="0"/>
    <x v="1"/>
    <x v="0"/>
    <n v="1247144.4099999999"/>
    <n v="1247144.4099999999"/>
    <n v="799.45154487179479"/>
    <m/>
    <d v="2025-11-14T00:00:00"/>
    <n v="46"/>
    <x v="1692"/>
    <x v="0"/>
  </r>
  <r>
    <x v="29"/>
    <x v="446"/>
    <s v="Bobinas de sobres - Saldo"/>
    <s v="Total"/>
    <x v="1"/>
    <x v="0"/>
    <x v="1"/>
    <x v="0"/>
    <n v="1414190.76"/>
    <n v="1414190.76"/>
    <n v="906.53253846153848"/>
    <s v="CH 30 días"/>
    <d v="2025-10-16T00:00:00"/>
    <n v="42"/>
    <x v="1693"/>
    <x v="0"/>
  </r>
  <r>
    <x v="63"/>
    <x v="446"/>
    <s v="Bobinas para sobres"/>
    <s v="Total"/>
    <x v="1"/>
    <x v="0"/>
    <x v="1"/>
    <x v="0"/>
    <n v="1892019.68"/>
    <n v="1892019.68"/>
    <n v="1212.8331282051281"/>
    <m/>
    <m/>
    <s v="44"/>
    <x v="1694"/>
    <x v="0"/>
  </r>
  <r>
    <x v="9"/>
    <x v="446"/>
    <s v="Bobina para sobres - Anticipo"/>
    <s v="Total"/>
    <x v="1"/>
    <x v="0"/>
    <x v="1"/>
    <x v="0"/>
    <n v="1020516.95"/>
    <n v="1020516.95"/>
    <n v="654.17753205128201"/>
    <m/>
    <d v="2026-03-07T00:00:00"/>
    <n v="10"/>
    <x v="1695"/>
    <x v="0"/>
  </r>
  <r>
    <x v="9"/>
    <x v="446"/>
    <s v="Bobina para sobres - Anticipo"/>
    <s v="Total"/>
    <x v="1"/>
    <x v="0"/>
    <x v="1"/>
    <x v="0"/>
    <n v="1025660.32"/>
    <n v="1025660.32"/>
    <n v="657.47456410256405"/>
    <m/>
    <d v="2026-02-27T00:00:00"/>
    <n v="9"/>
    <x v="1695"/>
    <x v="0"/>
  </r>
  <r>
    <x v="9"/>
    <x v="446"/>
    <s v="Bobina para sobres - Anticipo"/>
    <s v="Total"/>
    <x v="1"/>
    <x v="0"/>
    <x v="1"/>
    <x v="0"/>
    <n v="2500000"/>
    <n v="2500000"/>
    <n v="1602.5641025641025"/>
    <m/>
    <d v="2026-03-29T00:00:00"/>
    <n v="14"/>
    <x v="1695"/>
    <x v="0"/>
  </r>
  <r>
    <x v="57"/>
    <x v="446"/>
    <s v="Bobina para sobres - Saldo"/>
    <s v="Total"/>
    <x v="0"/>
    <x v="0"/>
    <x v="1"/>
    <x v="0"/>
    <n v="1954947.6"/>
    <n v="1954947.6"/>
    <n v="1253.1715384615386"/>
    <m/>
    <d v="2026-05-15T00:00:00"/>
    <n v="20"/>
    <x v="1696"/>
    <x v="0"/>
  </r>
  <r>
    <x v="57"/>
    <x v="446"/>
    <s v="Bobina para sobres - Saldo"/>
    <s v="Total"/>
    <x v="0"/>
    <x v="0"/>
    <x v="1"/>
    <x v="0"/>
    <n v="32313.42"/>
    <n v="32313.42"/>
    <n v="20.713730769230768"/>
    <s v="Retenciones"/>
    <m/>
    <s v="16"/>
    <x v="1696"/>
    <x v="0"/>
  </r>
  <r>
    <x v="57"/>
    <x v="446"/>
    <s v="Bobina para sobres - Saldo"/>
    <s v="Total"/>
    <x v="0"/>
    <x v="0"/>
    <x v="1"/>
    <x v="0"/>
    <n v="3628387.86"/>
    <n v="3628387.86"/>
    <n v="2325.8896538461536"/>
    <m/>
    <d v="2026-05-07T00:00:00"/>
    <n v="19"/>
    <x v="1697"/>
    <x v="0"/>
  </r>
  <r>
    <x v="57"/>
    <x v="446"/>
    <s v="Bobina para sobres - Saldo"/>
    <s v="Total"/>
    <x v="0"/>
    <x v="0"/>
    <x v="1"/>
    <x v="0"/>
    <n v="3393502.8"/>
    <n v="3393502.8"/>
    <n v="2175.3223076923077"/>
    <m/>
    <d v="2026-05-15T00:00:00"/>
    <n v="20"/>
    <x v="1697"/>
    <x v="0"/>
  </r>
  <r>
    <x v="57"/>
    <x v="446"/>
    <s v="Bobina para sobres - Saldo"/>
    <s v="Total"/>
    <x v="0"/>
    <x v="0"/>
    <x v="1"/>
    <x v="0"/>
    <n v="113459.68"/>
    <n v="113459.68"/>
    <n v="72.730564102564102"/>
    <m/>
    <m/>
    <s v="16"/>
    <x v="1697"/>
    <x v="0"/>
  </r>
  <r>
    <x v="53"/>
    <x v="447"/>
    <s v="Pedido Ventas "/>
    <s v="Total"/>
    <x v="1"/>
    <x v="0"/>
    <x v="1"/>
    <x v="0"/>
    <n v="548831"/>
    <n v="548831"/>
    <n v="351.81474358974361"/>
    <m/>
    <d v="2026-05-29T00:00:00"/>
    <n v="22"/>
    <x v="1698"/>
    <x v="0"/>
  </r>
  <r>
    <x v="53"/>
    <x v="447"/>
    <s v="Pedido Ventas "/>
    <s v="Total"/>
    <x v="1"/>
    <x v="0"/>
    <x v="1"/>
    <x v="0"/>
    <n v="548831"/>
    <n v="548831"/>
    <n v="351.81474358974361"/>
    <m/>
    <d v="2026-05-19T00:00:00"/>
    <n v="21"/>
    <x v="1698"/>
    <x v="0"/>
  </r>
  <r>
    <x v="53"/>
    <x v="447"/>
    <s v="Pedido Ventas "/>
    <s v="Total"/>
    <x v="1"/>
    <x v="0"/>
    <x v="1"/>
    <x v="0"/>
    <n v="548831"/>
    <n v="548831"/>
    <n v="351.81474358974361"/>
    <m/>
    <d v="2026-06-05T00:00:00"/>
    <n v="23"/>
    <x v="1698"/>
    <x v="0"/>
  </r>
  <r>
    <x v="53"/>
    <x v="447"/>
    <s v="Pedido Ventas "/>
    <s v="Total"/>
    <x v="1"/>
    <x v="0"/>
    <x v="1"/>
    <x v="0"/>
    <n v="2406885"/>
    <n v="2406885"/>
    <n v="1542.875"/>
    <m/>
    <d v="2026-05-21T00:00:00"/>
    <n v="21"/>
    <x v="1698"/>
    <x v="0"/>
  </r>
  <r>
    <x v="53"/>
    <x v="447"/>
    <s v="Pedido Ventas "/>
    <s v="Total"/>
    <x v="1"/>
    <x v="0"/>
    <x v="1"/>
    <x v="0"/>
    <n v="68124"/>
    <n v="68124"/>
    <n v="43.669230769230772"/>
    <s v="Retenciones"/>
    <m/>
    <s v="17"/>
    <x v="1698"/>
    <x v="0"/>
  </r>
  <r>
    <x v="64"/>
    <x v="447"/>
    <s v="Reposición de cheque"/>
    <s v="Total"/>
    <x v="1"/>
    <x v="0"/>
    <x v="0"/>
    <x v="0"/>
    <n v="2406885"/>
    <n v="2406885"/>
    <n v="1542.875"/>
    <m/>
    <m/>
    <s v="22"/>
    <x v="1699"/>
    <x v="0"/>
  </r>
  <r>
    <x v="44"/>
    <x v="447"/>
    <s v="Bobina para sobres - Saldo"/>
    <s v="Total"/>
    <x v="0"/>
    <x v="0"/>
    <x v="1"/>
    <x v="0"/>
    <n v="930079"/>
    <n v="930079"/>
    <n v="596.20448717948716"/>
    <m/>
    <d v="2026-08-28T00:00:00"/>
    <n v="35"/>
    <x v="1700"/>
    <x v="0"/>
  </r>
  <r>
    <x v="44"/>
    <x v="447"/>
    <s v="Bobina para sobres - Saldo"/>
    <s v="Total"/>
    <x v="0"/>
    <x v="0"/>
    <x v="0"/>
    <x v="0"/>
    <n v="81858.45"/>
    <n v="81858.45"/>
    <n v="52.473365384615384"/>
    <m/>
    <m/>
    <s v="31"/>
    <x v="1701"/>
    <x v="0"/>
  </r>
  <r>
    <x v="44"/>
    <x v="447"/>
    <s v="Bobina para sobres - Saldo"/>
    <s v="Total"/>
    <x v="0"/>
    <x v="0"/>
    <x v="1"/>
    <x v="0"/>
    <n v="12452.06"/>
    <n v="12452.06"/>
    <n v="7.9820897435897429"/>
    <s v="Retenciones"/>
    <m/>
    <s v="31"/>
    <x v="1700"/>
    <x v="0"/>
  </r>
  <r>
    <x v="71"/>
    <x v="447"/>
    <s v="Pedido Ventas "/>
    <s v="Total"/>
    <x v="1"/>
    <x v="0"/>
    <x v="1"/>
    <x v="0"/>
    <n v="11133936"/>
    <n v="11133936"/>
    <n v="7137.1384615384613"/>
    <m/>
    <d v="2026-09-29T00:00:00"/>
    <n v="40"/>
    <x v="1702"/>
    <x v="0"/>
  </r>
  <r>
    <x v="71"/>
    <x v="447"/>
    <s v="Pedido Ventas "/>
    <s v="Total"/>
    <x v="1"/>
    <x v="0"/>
    <x v="1"/>
    <x v="0"/>
    <n v="218198.72"/>
    <n v="218198.72"/>
    <n v="139.87097435897437"/>
    <s v="Retenciones"/>
    <m/>
    <s v="36"/>
    <x v="1702"/>
    <x v="0"/>
  </r>
  <r>
    <x v="71"/>
    <x v="447"/>
    <s v="Cheque rechazado"/>
    <s v="Total"/>
    <x v="1"/>
    <x v="0"/>
    <x v="1"/>
    <x v="0"/>
    <n v="930079"/>
    <n v="930079"/>
    <n v="596.20448717948716"/>
    <m/>
    <m/>
    <s v="36"/>
    <x v="1703"/>
    <x v="0"/>
  </r>
  <r>
    <x v="54"/>
    <x v="447"/>
    <s v="Reposición E-cheq 33"/>
    <s v="Total"/>
    <x v="0"/>
    <x v="1"/>
    <x v="1"/>
    <x v="0"/>
    <n v="11133936"/>
    <n v="11133936"/>
    <n v="7137.1384615384613"/>
    <m/>
    <m/>
    <s v="41"/>
    <x v="1704"/>
    <x v="0"/>
  </r>
  <r>
    <x v="54"/>
    <x v="447"/>
    <s v="Reposición E-cheq 33"/>
    <s v="Total"/>
    <x v="0"/>
    <x v="1"/>
    <x v="1"/>
    <x v="0"/>
    <n v="15851"/>
    <n v="15851"/>
    <n v="10.160897435897436"/>
    <m/>
    <m/>
    <s v="41"/>
    <x v="1705"/>
    <x v="0"/>
  </r>
  <r>
    <x v="46"/>
    <x v="447"/>
    <s v="Pedido Ventas "/>
    <s v="Total"/>
    <x v="0"/>
    <x v="0"/>
    <x v="1"/>
    <x v="0"/>
    <n v="2400000"/>
    <n v="2400000"/>
    <n v="1538.4615384615386"/>
    <m/>
    <d v="2026-11-30T00:00:00"/>
    <n v="49"/>
    <x v="1706"/>
    <x v="0"/>
  </r>
  <r>
    <x v="46"/>
    <x v="447"/>
    <s v="Pedido Ventas "/>
    <s v="Total"/>
    <x v="0"/>
    <x v="0"/>
    <x v="1"/>
    <x v="0"/>
    <n v="2400000"/>
    <n v="2400000"/>
    <n v="1538.4615384615386"/>
    <m/>
    <d v="2026-12-01T00:00:00"/>
    <n v="49"/>
    <x v="1706"/>
    <x v="0"/>
  </r>
  <r>
    <x v="46"/>
    <x v="447"/>
    <s v="Pedido Ventas "/>
    <s v="Total"/>
    <x v="0"/>
    <x v="0"/>
    <x v="1"/>
    <x v="0"/>
    <n v="75120.84"/>
    <n v="75120.84"/>
    <n v="48.154384615384615"/>
    <s v="Retenciones"/>
    <m/>
    <s v="42"/>
    <x v="1706"/>
    <x v="0"/>
  </r>
  <r>
    <x v="3"/>
    <x v="429"/>
    <s v="Honorarios"/>
    <s v="Total"/>
    <x v="3"/>
    <x v="0"/>
    <x v="0"/>
    <x v="0"/>
    <n v="0"/>
    <n v="0"/>
    <n v="0"/>
    <m/>
    <m/>
    <s v="44"/>
    <x v="0"/>
    <x v="2"/>
  </r>
  <r>
    <x v="84"/>
    <x v="448"/>
    <s v="Electro Ventilador"/>
    <s v="Total"/>
    <x v="1"/>
    <x v="0"/>
    <x v="2"/>
    <x v="0"/>
    <n v="84000"/>
    <n v="84000"/>
    <n v="53.846153846153847"/>
    <m/>
    <m/>
    <s v="18"/>
    <x v="1707"/>
    <x v="0"/>
  </r>
  <r>
    <x v="57"/>
    <x v="449"/>
    <s v="Modulo Interface Nissan "/>
    <s v="Total"/>
    <x v="2"/>
    <x v="0"/>
    <x v="2"/>
    <x v="0"/>
    <n v="38000"/>
    <n v="38000"/>
    <n v="24.358974358974358"/>
    <m/>
    <m/>
    <s v="16"/>
    <x v="1708"/>
    <x v="0"/>
  </r>
  <r>
    <x v="23"/>
    <x v="449"/>
    <s v="Repuesto VW Senda - Bulbo electro ventilador"/>
    <s v="Total"/>
    <x v="2"/>
    <x v="0"/>
    <x v="2"/>
    <x v="0"/>
    <n v="13000"/>
    <n v="13000"/>
    <n v="8.3333333333333339"/>
    <m/>
    <m/>
    <s v="18"/>
    <x v="1709"/>
    <x v="0"/>
  </r>
  <r>
    <x v="22"/>
    <x v="449"/>
    <s v="Pegamento sella rosca "/>
    <s v="Total"/>
    <x v="2"/>
    <x v="0"/>
    <x v="2"/>
    <x v="0"/>
    <n v="30000"/>
    <n v="30000"/>
    <n v="19.23076923076923"/>
    <m/>
    <m/>
    <s v="23"/>
    <x v="1710"/>
    <x v="0"/>
  </r>
  <r>
    <x v="67"/>
    <x v="450"/>
    <s v="Pago Factura - Rejillas "/>
    <s v="Total"/>
    <x v="1"/>
    <x v="0"/>
    <x v="0"/>
    <x v="0"/>
    <n v="641148.75"/>
    <n v="641148.75"/>
    <n v="410.99278846153845"/>
    <m/>
    <m/>
    <s v="24"/>
    <x v="0"/>
    <x v="0"/>
  </r>
  <r>
    <x v="33"/>
    <x v="450"/>
    <s v="Bidones TAU 240"/>
    <s v="Parcial"/>
    <x v="0"/>
    <x v="0"/>
    <x v="1"/>
    <x v="0"/>
    <n v="1263082.7"/>
    <n v="1263082.7"/>
    <n v="809.66839743589742"/>
    <m/>
    <d v="2026-04-10T00:00:00"/>
    <n v="15"/>
    <x v="1711"/>
    <x v="0"/>
  </r>
  <r>
    <x v="33"/>
    <x v="450"/>
    <s v="Bidones TAU 240"/>
    <s v="Parcial"/>
    <x v="0"/>
    <x v="0"/>
    <x v="1"/>
    <x v="0"/>
    <n v="4325896.5999999996"/>
    <n v="4325896.5999999996"/>
    <n v="2773.0106410256408"/>
    <m/>
    <d v="2026-03-30T00:00:00"/>
    <n v="14"/>
    <x v="1711"/>
    <x v="0"/>
  </r>
  <r>
    <x v="33"/>
    <x v="450"/>
    <s v="Bidones TAU 240"/>
    <s v="Parcial"/>
    <x v="0"/>
    <x v="0"/>
    <x v="1"/>
    <x v="0"/>
    <n v="4500119.54"/>
    <n v="4500119.54"/>
    <n v="2884.6920128205129"/>
    <m/>
    <d v="2026-04-18T00:00:00"/>
    <n v="16"/>
    <x v="1711"/>
    <x v="0"/>
  </r>
  <r>
    <x v="33"/>
    <x v="450"/>
    <s v="Bidones TAU 240"/>
    <s v="Parcial"/>
    <x v="0"/>
    <x v="0"/>
    <x v="1"/>
    <x v="0"/>
    <n v="4500119.54"/>
    <n v="4500119.54"/>
    <n v="2884.6920128205129"/>
    <m/>
    <d v="2026-04-18T00:00:00"/>
    <n v="16"/>
    <x v="1711"/>
    <x v="0"/>
  </r>
  <r>
    <x v="33"/>
    <x v="450"/>
    <s v="Bidones TAU 240"/>
    <s v="Parcial"/>
    <x v="0"/>
    <x v="0"/>
    <x v="1"/>
    <x v="0"/>
    <n v="4500119.54"/>
    <n v="4500119.54"/>
    <n v="2884.6920128205129"/>
    <m/>
    <d v="2026-04-18T00:00:00"/>
    <n v="16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5-25T00:00:00"/>
    <n v="22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6-01T00:00:00"/>
    <n v="23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6-08T00:00:00"/>
    <n v="24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6-15T00:00:00"/>
    <n v="25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6-22T00:00:00"/>
    <n v="26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6-29T00:00:00"/>
    <n v="27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7-06T00:00:00"/>
    <n v="28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7-13T00:00:00"/>
    <n v="29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7-20T00:00:00"/>
    <n v="30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7-27T00:00:00"/>
    <n v="31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8-03T00:00:00"/>
    <n v="32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8-10T00:00:00"/>
    <n v="33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8-17T00:00:00"/>
    <n v="34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8-24T00:00:00"/>
    <n v="35"/>
    <x v="1711"/>
    <x v="0"/>
  </r>
  <r>
    <x v="33"/>
    <x v="450"/>
    <s v="Bidones TAU 240"/>
    <s v="Parcial"/>
    <x v="0"/>
    <x v="0"/>
    <x v="1"/>
    <x v="0"/>
    <n v="17626891.640000001"/>
    <n v="17626891.640000001"/>
    <n v="11299.289512820513"/>
    <m/>
    <d v="2026-08-31T00:00:00"/>
    <n v="36"/>
    <x v="1711"/>
    <x v="0"/>
  </r>
  <r>
    <x v="33"/>
    <x v="450"/>
    <s v="Bidones TAU 240"/>
    <s v="Parcial"/>
    <x v="0"/>
    <x v="0"/>
    <x v="1"/>
    <x v="0"/>
    <n v="4760026.28"/>
    <n v="4760026.28"/>
    <n v="3051.2988974358977"/>
    <m/>
    <m/>
    <s v="12"/>
    <x v="1711"/>
    <x v="0"/>
  </r>
  <r>
    <x v="65"/>
    <x v="450"/>
    <s v="Equipo de bidones TAU 249"/>
    <s v="Total"/>
    <x v="0"/>
    <x v="0"/>
    <x v="1"/>
    <x v="0"/>
    <n v="14518448.83"/>
    <n v="14518448.83"/>
    <n v="9306.6979679487176"/>
    <m/>
    <d v="2026-06-25T00:00:00"/>
    <n v="26"/>
    <x v="1712"/>
    <x v="0"/>
  </r>
  <r>
    <x v="65"/>
    <x v="450"/>
    <s v="Equipo de bidones TAU 249"/>
    <s v="Total"/>
    <x v="0"/>
    <x v="0"/>
    <x v="1"/>
    <x v="0"/>
    <n v="239974.35"/>
    <n v="239974.35"/>
    <n v="153.82971153846154"/>
    <s v="Retenciones"/>
    <m/>
    <s v="13"/>
    <x v="1712"/>
    <x v="0"/>
  </r>
  <r>
    <x v="57"/>
    <x v="450"/>
    <s v="Bidones TAU 240"/>
    <s v="Parcial"/>
    <x v="1"/>
    <x v="0"/>
    <x v="1"/>
    <x v="0"/>
    <n v="14391739.93"/>
    <n v="14391739.93"/>
    <n v="9225.4743141025647"/>
    <m/>
    <d v="2026-06-30T00:00:00"/>
    <n v="27"/>
    <x v="1713"/>
    <x v="0"/>
  </r>
  <r>
    <x v="57"/>
    <x v="450"/>
    <s v="Bidones TAU 240"/>
    <s v="Parcial"/>
    <x v="1"/>
    <x v="0"/>
    <x v="1"/>
    <x v="0"/>
    <n v="14391739.939999999"/>
    <n v="14391739.939999999"/>
    <n v="9225.4743205128198"/>
    <m/>
    <d v="2026-07-10T00:00:00"/>
    <n v="28"/>
    <x v="1713"/>
    <x v="0"/>
  </r>
  <r>
    <x v="57"/>
    <x v="450"/>
    <s v="Bidones TAU 240"/>
    <s v="Total"/>
    <x v="1"/>
    <x v="0"/>
    <x v="1"/>
    <x v="0"/>
    <n v="479200.67"/>
    <n v="479200.67"/>
    <n v="307.17991666666666"/>
    <s v="Retenciones"/>
    <m/>
    <s v="16"/>
    <x v="1713"/>
    <x v="0"/>
  </r>
  <r>
    <x v="57"/>
    <x v="450"/>
    <s v="Bidones TAU 240"/>
    <s v="Total"/>
    <x v="1"/>
    <x v="0"/>
    <x v="1"/>
    <x v="0"/>
    <n v="14025437.58"/>
    <n v="14025437.58"/>
    <n v="8990.665115384616"/>
    <m/>
    <d v="2026-07-15T00:00:00"/>
    <n v="29"/>
    <x v="1714"/>
    <x v="0"/>
  </r>
  <r>
    <x v="57"/>
    <x v="450"/>
    <s v="Bidones TAU 240"/>
    <s v="Total"/>
    <x v="1"/>
    <x v="0"/>
    <x v="1"/>
    <x v="0"/>
    <n v="235721.64"/>
    <n v="235721.64"/>
    <n v="151.10361538461538"/>
    <s v="Retenciones"/>
    <m/>
    <s v="16"/>
    <x v="1714"/>
    <x v="0"/>
  </r>
  <r>
    <x v="22"/>
    <x v="450"/>
    <s v="Bidones TAU 240"/>
    <s v="Parcial"/>
    <x v="0"/>
    <x v="0"/>
    <x v="1"/>
    <x v="0"/>
    <n v="7052568.8300000001"/>
    <n v="7052568.8300000001"/>
    <n v="4520.8774551282049"/>
    <m/>
    <d v="2026-07-13T00:00:00"/>
    <n v="29"/>
    <x v="1715"/>
    <x v="0"/>
  </r>
  <r>
    <x v="22"/>
    <x v="450"/>
    <s v="Bidones TAU 240"/>
    <s v="Parcial"/>
    <x v="0"/>
    <x v="0"/>
    <x v="1"/>
    <x v="0"/>
    <n v="7052568.8300000001"/>
    <n v="7052568.8300000001"/>
    <n v="4520.8774551282049"/>
    <m/>
    <d v="2026-07-20T00:00:00"/>
    <n v="30"/>
    <x v="1715"/>
    <x v="0"/>
  </r>
  <r>
    <x v="22"/>
    <x v="450"/>
    <s v="Bidones TAU 240"/>
    <s v="Parcial"/>
    <x v="0"/>
    <x v="0"/>
    <x v="1"/>
    <x v="0"/>
    <n v="7052568.8300000001"/>
    <n v="7052568.8300000001"/>
    <n v="4520.8774551282049"/>
    <m/>
    <d v="2026-07-29T00:00:00"/>
    <n v="31"/>
    <x v="1715"/>
    <x v="0"/>
  </r>
  <r>
    <x v="22"/>
    <x v="450"/>
    <s v="Bidones TAU 240"/>
    <s v="Parcial"/>
    <x v="0"/>
    <x v="0"/>
    <x v="1"/>
    <x v="0"/>
    <n v="7052568.8200000003"/>
    <n v="7052568.8200000003"/>
    <n v="4520.8774487179489"/>
    <m/>
    <d v="2026-08-10T00:00:00"/>
    <n v="33"/>
    <x v="1715"/>
    <x v="0"/>
  </r>
  <r>
    <x v="22"/>
    <x v="450"/>
    <s v="Bidones TAU 240"/>
    <s v="Parcial"/>
    <x v="0"/>
    <x v="0"/>
    <x v="1"/>
    <x v="0"/>
    <n v="469566.98"/>
    <n v="469566.98"/>
    <n v="301.00447435897433"/>
    <s v="Retenciones"/>
    <m/>
    <s v="23"/>
    <x v="1715"/>
    <x v="0"/>
  </r>
  <r>
    <x v="42"/>
    <x v="450"/>
    <s v="Bidones TAU 240"/>
    <s v="Parcial"/>
    <x v="0"/>
    <x v="0"/>
    <x v="1"/>
    <x v="0"/>
    <n v="4090774.09"/>
    <n v="4090774.09"/>
    <n v="2622.2910833333331"/>
    <m/>
    <d v="2026-07-18T00:00:00"/>
    <n v="29"/>
    <x v="1716"/>
    <x v="0"/>
  </r>
  <r>
    <x v="42"/>
    <x v="450"/>
    <s v="Bidones TAU 240"/>
    <s v="Parcial"/>
    <x v="0"/>
    <x v="0"/>
    <x v="1"/>
    <x v="0"/>
    <n v="5476402.6500000004"/>
    <n v="5476402.6500000004"/>
    <n v="3510.5145192307696"/>
    <m/>
    <d v="2026-08-10T00:00:00"/>
    <n v="33"/>
    <x v="1716"/>
    <x v="0"/>
  </r>
  <r>
    <x v="42"/>
    <x v="450"/>
    <s v="Bidones TAU 240"/>
    <s v="Parcial"/>
    <x v="0"/>
    <x v="0"/>
    <x v="1"/>
    <x v="0"/>
    <n v="5476402.6500000004"/>
    <n v="5476402.6500000004"/>
    <n v="3510.5145192307696"/>
    <m/>
    <d v="2026-08-21T00:00:00"/>
    <n v="34"/>
    <x v="1716"/>
    <x v="0"/>
  </r>
  <r>
    <x v="42"/>
    <x v="450"/>
    <s v="Bidones TAU 240"/>
    <s v="Parcial"/>
    <x v="0"/>
    <x v="0"/>
    <x v="1"/>
    <x v="0"/>
    <n v="252833.33"/>
    <n v="252833.33"/>
    <n v="162.07264743589744"/>
    <s v="Retenciones"/>
    <m/>
    <s v="24"/>
    <x v="1716"/>
    <x v="0"/>
  </r>
  <r>
    <x v="42"/>
    <x v="450"/>
    <s v="Bidones TAU 240"/>
    <s v="Parcial"/>
    <x v="0"/>
    <x v="0"/>
    <x v="1"/>
    <x v="0"/>
    <n v="1017597.14"/>
    <n v="1017597.14"/>
    <n v="652.30585897435901"/>
    <m/>
    <d v="2026-07-11T00:00:00"/>
    <n v="28"/>
    <x v="1717"/>
    <x v="0"/>
  </r>
  <r>
    <x v="42"/>
    <x v="450"/>
    <s v="Bidones TAU 240"/>
    <s v="Parcial"/>
    <x v="0"/>
    <x v="0"/>
    <x v="1"/>
    <x v="0"/>
    <n v="1351670.6"/>
    <n v="1351670.6"/>
    <n v="866.45551282051292"/>
    <m/>
    <d v="2026-07-23T00:00:00"/>
    <n v="30"/>
    <x v="1717"/>
    <x v="0"/>
  </r>
  <r>
    <x v="42"/>
    <x v="450"/>
    <s v="Bidones TAU 240"/>
    <s v="Parcial"/>
    <x v="0"/>
    <x v="0"/>
    <x v="1"/>
    <x v="0"/>
    <n v="6800000"/>
    <n v="6800000"/>
    <n v="4358.9743589743593"/>
    <m/>
    <d v="2026-09-17T00:00:00"/>
    <n v="38"/>
    <x v="1717"/>
    <x v="0"/>
  </r>
  <r>
    <x v="42"/>
    <x v="450"/>
    <s v="Bidones TAU 240"/>
    <s v="Parcial"/>
    <x v="0"/>
    <x v="0"/>
    <x v="1"/>
    <x v="0"/>
    <n v="6800000"/>
    <n v="6800000"/>
    <n v="4358.9743589743593"/>
    <m/>
    <d v="2026-09-24T00:00:00"/>
    <n v="39"/>
    <x v="1717"/>
    <x v="0"/>
  </r>
  <r>
    <x v="42"/>
    <x v="450"/>
    <s v="Bidones TAU 240"/>
    <s v="Parcial"/>
    <x v="0"/>
    <x v="0"/>
    <x v="1"/>
    <x v="0"/>
    <n v="6796650.0599999996"/>
    <n v="6796650.0599999996"/>
    <n v="4356.8269615384615"/>
    <m/>
    <d v="2026-10-08T00:00:00"/>
    <n v="41"/>
    <x v="1717"/>
    <x v="0"/>
  </r>
  <r>
    <x v="42"/>
    <x v="450"/>
    <s v="Bidones TAU 240"/>
    <s v="Parcial"/>
    <x v="0"/>
    <x v="0"/>
    <x v="1"/>
    <x v="0"/>
    <n v="6800000"/>
    <n v="6800000"/>
    <n v="4358.9743589743593"/>
    <m/>
    <d v="2026-10-01T00:00:00"/>
    <n v="40"/>
    <x v="1717"/>
    <x v="0"/>
  </r>
  <r>
    <x v="42"/>
    <x v="450"/>
    <s v="Bidones TAU 240"/>
    <s v="Parcial"/>
    <x v="0"/>
    <x v="0"/>
    <x v="1"/>
    <x v="0"/>
    <n v="6800000"/>
    <n v="6800000"/>
    <n v="4358.9743589743593"/>
    <m/>
    <d v="2026-09-10T00:00:00"/>
    <n v="37"/>
    <x v="1717"/>
    <x v="0"/>
  </r>
  <r>
    <x v="42"/>
    <x v="450"/>
    <s v="Bidones TAU 240"/>
    <s v="Parcial"/>
    <x v="0"/>
    <x v="0"/>
    <x v="1"/>
    <x v="0"/>
    <n v="6800000"/>
    <n v="6800000"/>
    <n v="4358.9743589743593"/>
    <m/>
    <d v="2026-08-29T00:00:00"/>
    <n v="35"/>
    <x v="1717"/>
    <x v="0"/>
  </r>
  <r>
    <x v="42"/>
    <x v="450"/>
    <s v="Bidones TAU 240"/>
    <s v="Parcial"/>
    <x v="0"/>
    <x v="0"/>
    <x v="1"/>
    <x v="0"/>
    <n v="725477.61"/>
    <n v="725477.61"/>
    <n v="465.04975000000002"/>
    <s v="Retenciones"/>
    <m/>
    <s v="24"/>
    <x v="1717"/>
    <x v="0"/>
  </r>
  <r>
    <x v="45"/>
    <x v="450"/>
    <s v="Bidones TAU 240"/>
    <s v="Parcial"/>
    <x v="0"/>
    <x v="0"/>
    <x v="1"/>
    <x v="0"/>
    <n v="10876685"/>
    <n v="10876685"/>
    <n v="6972.2339743589746"/>
    <m/>
    <d v="2026-08-20T00:00:00"/>
    <n v="34"/>
    <x v="1718"/>
    <x v="0"/>
  </r>
  <r>
    <x v="45"/>
    <x v="450"/>
    <s v="Bidones TAU 240"/>
    <s v="Parcial"/>
    <x v="0"/>
    <x v="0"/>
    <x v="1"/>
    <x v="0"/>
    <n v="10876685"/>
    <n v="10876685"/>
    <n v="6972.2339743589746"/>
    <m/>
    <d v="2026-09-01T00:00:00"/>
    <n v="36"/>
    <x v="1718"/>
    <x v="0"/>
  </r>
  <r>
    <x v="45"/>
    <x v="450"/>
    <s v="Bidones TAU 240"/>
    <s v="Parcial"/>
    <x v="0"/>
    <x v="0"/>
    <x v="1"/>
    <x v="0"/>
    <n v="10876685"/>
    <n v="10876685"/>
    <n v="6972.2339743589746"/>
    <m/>
    <d v="2026-09-09T00:00:00"/>
    <n v="37"/>
    <x v="1718"/>
    <x v="0"/>
  </r>
  <r>
    <x v="45"/>
    <x v="450"/>
    <s v="Bidones TAU 240"/>
    <s v="Parcial"/>
    <x v="0"/>
    <x v="0"/>
    <x v="1"/>
    <x v="0"/>
    <n v="10876687.130000001"/>
    <n v="10876687.130000001"/>
    <n v="6972.23533974359"/>
    <m/>
    <d v="2026-09-19T00:00:00"/>
    <n v="38"/>
    <x v="1718"/>
    <x v="0"/>
  </r>
  <r>
    <x v="45"/>
    <x v="450"/>
    <s v="Bidones TAU 240"/>
    <s v="Parcial"/>
    <x v="0"/>
    <x v="0"/>
    <x v="1"/>
    <x v="0"/>
    <n v="731205.75"/>
    <n v="731205.75"/>
    <n v="468.72163461538463"/>
    <s v="Retenciones"/>
    <m/>
    <s v="25"/>
    <x v="1718"/>
    <x v="0"/>
  </r>
  <r>
    <x v="43"/>
    <x v="450"/>
    <s v="Bidones TAU 240"/>
    <s v="Parcial"/>
    <x v="0"/>
    <x v="0"/>
    <x v="1"/>
    <x v="0"/>
    <n v="8900000"/>
    <n v="8900000"/>
    <n v="5705.1282051282051"/>
    <m/>
    <d v="2026-09-16T00:00:00"/>
    <n v="38"/>
    <x v="1719"/>
    <x v="0"/>
  </r>
  <r>
    <x v="43"/>
    <x v="450"/>
    <s v="Bidones TAU 240"/>
    <s v="Parcial"/>
    <x v="0"/>
    <x v="0"/>
    <x v="1"/>
    <x v="0"/>
    <n v="8900000"/>
    <n v="8900000"/>
    <n v="5705.1282051282051"/>
    <m/>
    <d v="2026-09-23T00:00:00"/>
    <n v="39"/>
    <x v="1719"/>
    <x v="0"/>
  </r>
  <r>
    <x v="43"/>
    <x v="450"/>
    <s v="Bidones TAU 240"/>
    <s v="Parcial"/>
    <x v="0"/>
    <x v="0"/>
    <x v="1"/>
    <x v="0"/>
    <n v="8900000"/>
    <n v="8900000"/>
    <n v="5705.1282051282051"/>
    <m/>
    <d v="2026-09-30T00:00:00"/>
    <n v="40"/>
    <x v="1719"/>
    <x v="0"/>
  </r>
  <r>
    <x v="43"/>
    <x v="450"/>
    <s v="Bidones TAU 240"/>
    <s v="Parcial"/>
    <x v="0"/>
    <x v="0"/>
    <x v="1"/>
    <x v="0"/>
    <n v="8758802.9600000009"/>
    <n v="8758802.9600000009"/>
    <n v="5614.6172820512829"/>
    <m/>
    <d v="2026-08-31T00:00:00"/>
    <n v="36"/>
    <x v="1719"/>
    <x v="0"/>
  </r>
  <r>
    <x v="43"/>
    <x v="450"/>
    <s v="Bidones TAU 240"/>
    <s v="Parcial"/>
    <x v="0"/>
    <x v="0"/>
    <x v="1"/>
    <x v="0"/>
    <n v="8900000"/>
    <n v="8900000"/>
    <n v="5705.1282051282051"/>
    <m/>
    <d v="2026-09-07T00:00:00"/>
    <n v="37"/>
    <x v="1719"/>
    <x v="0"/>
  </r>
  <r>
    <x v="43"/>
    <x v="450"/>
    <s v="Bidones TAU 240"/>
    <s v="Parcial"/>
    <x v="0"/>
    <x v="0"/>
    <x v="1"/>
    <x v="0"/>
    <n v="745526.1"/>
    <n v="745526.1"/>
    <n v="477.90134615384613"/>
    <s v="Retenciones"/>
    <m/>
    <s v="26"/>
    <x v="1719"/>
    <x v="0"/>
  </r>
  <r>
    <x v="35"/>
    <x v="450"/>
    <s v="Reposición de chueque sin fondos"/>
    <s v="Total"/>
    <x v="1"/>
    <x v="0"/>
    <x v="0"/>
    <x v="0"/>
    <n v="17626891.640000001"/>
    <n v="17626891.640000001"/>
    <n v="11299.289512820513"/>
    <m/>
    <m/>
    <s v="27"/>
    <x v="1720"/>
    <x v="0"/>
  </r>
  <r>
    <x v="36"/>
    <x v="450"/>
    <s v="Bidones TAU 240"/>
    <s v="Total"/>
    <x v="0"/>
    <x v="0"/>
    <x v="1"/>
    <x v="0"/>
    <n v="8918001.4299999997"/>
    <n v="8918001.4299999997"/>
    <n v="5716.6675833333329"/>
    <m/>
    <d v="2026-09-30T00:00:00"/>
    <n v="40"/>
    <x v="1721"/>
    <x v="0"/>
  </r>
  <r>
    <x v="36"/>
    <x v="450"/>
    <s v="Bidones TAU 240"/>
    <s v="Total"/>
    <x v="0"/>
    <x v="0"/>
    <x v="1"/>
    <x v="0"/>
    <n v="8918001.4399999995"/>
    <n v="8918001.4399999995"/>
    <n v="5716.6675897435898"/>
    <m/>
    <d v="2026-10-14T00:00:00"/>
    <n v="42"/>
    <x v="1721"/>
    <x v="0"/>
  </r>
  <r>
    <x v="36"/>
    <x v="450"/>
    <s v="Bidones TAU 240"/>
    <s v="Total"/>
    <x v="0"/>
    <x v="0"/>
    <x v="1"/>
    <x v="0"/>
    <n v="8918001.4299999997"/>
    <n v="8918001.4299999997"/>
    <n v="5716.6675833333329"/>
    <m/>
    <d v="2026-10-07T00:00:00"/>
    <n v="41"/>
    <x v="1721"/>
    <x v="0"/>
  </r>
  <r>
    <x v="36"/>
    <x v="450"/>
    <s v="Bidones TAU 240"/>
    <s v="Total"/>
    <x v="0"/>
    <x v="0"/>
    <x v="1"/>
    <x v="0"/>
    <n v="8918001.4299999997"/>
    <n v="8918001.4299999997"/>
    <n v="5716.6675833333329"/>
    <m/>
    <d v="2026-09-21T00:00:00"/>
    <n v="39"/>
    <x v="1721"/>
    <x v="0"/>
  </r>
  <r>
    <x v="36"/>
    <x v="450"/>
    <s v="Bidones TAU 240"/>
    <s v="Total"/>
    <x v="0"/>
    <x v="0"/>
    <x v="1"/>
    <x v="0"/>
    <n v="8918001.4299999997"/>
    <n v="8918001.4299999997"/>
    <n v="5716.6675833333329"/>
    <m/>
    <d v="2026-09-14T00:00:00"/>
    <n v="38"/>
    <x v="1721"/>
    <x v="0"/>
  </r>
  <r>
    <x v="36"/>
    <x v="450"/>
    <s v="Bidones TAU 240"/>
    <s v="Total"/>
    <x v="0"/>
    <x v="0"/>
    <x v="1"/>
    <x v="0"/>
    <n v="744604.49"/>
    <n v="744604.49"/>
    <n v="477.3105705128205"/>
    <s v="Retenciones"/>
    <m/>
    <s v="28"/>
    <x v="1721"/>
    <x v="0"/>
  </r>
  <r>
    <x v="11"/>
    <x v="450"/>
    <s v="Cheque rechazado 460"/>
    <s v="Total"/>
    <x v="0"/>
    <x v="0"/>
    <x v="0"/>
    <x v="0"/>
    <n v="17626891.640000001"/>
    <n v="17626891.640000001"/>
    <n v="11299.289512820513"/>
    <m/>
    <m/>
    <s v="37"/>
    <x v="1722"/>
    <x v="0"/>
  </r>
  <r>
    <x v="11"/>
    <x v="450"/>
    <s v="Cheque Rechazado 457"/>
    <s v="Total"/>
    <x v="0"/>
    <x v="0"/>
    <x v="0"/>
    <x v="0"/>
    <n v="17626891.640000001"/>
    <n v="17626891.640000001"/>
    <n v="11299.289512820513"/>
    <m/>
    <m/>
    <s v="37"/>
    <x v="1723"/>
    <x v="0"/>
  </r>
  <r>
    <x v="11"/>
    <x v="450"/>
    <s v="Cheque Rechazado 767"/>
    <s v="Total"/>
    <x v="0"/>
    <x v="0"/>
    <x v="0"/>
    <x v="0"/>
    <n v="10876685"/>
    <n v="10876685"/>
    <n v="6972.2339743589746"/>
    <m/>
    <m/>
    <s v="37"/>
    <x v="1724"/>
    <x v="0"/>
  </r>
  <r>
    <x v="11"/>
    <x v="450"/>
    <s v="Cheque Rechazado 785"/>
    <s v="Total"/>
    <x v="0"/>
    <x v="0"/>
    <x v="0"/>
    <x v="0"/>
    <n v="8900000"/>
    <n v="8900000"/>
    <n v="5705.1282051282051"/>
    <m/>
    <m/>
    <s v="37"/>
    <x v="1725"/>
    <x v="0"/>
  </r>
  <r>
    <x v="3"/>
    <x v="429"/>
    <s v="Honorarios"/>
    <s v="Total"/>
    <x v="3"/>
    <x v="0"/>
    <x v="0"/>
    <x v="0"/>
    <n v="750000"/>
    <n v="750000"/>
    <n v="480.76923076923077"/>
    <m/>
    <m/>
    <s v="44"/>
    <x v="0"/>
    <x v="2"/>
  </r>
  <r>
    <x v="1"/>
    <x v="451"/>
    <s v="Resina / Catalizador  "/>
    <s v="Total"/>
    <x v="1"/>
    <x v="0"/>
    <x v="0"/>
    <x v="0"/>
    <n v="155848"/>
    <n v="155848"/>
    <n v="99.902564102564099"/>
    <m/>
    <m/>
    <s v="21"/>
    <x v="1726"/>
    <x v="0"/>
  </r>
  <r>
    <x v="32"/>
    <x v="451"/>
    <s v="Pedido Planta   "/>
    <s v="Total"/>
    <x v="1"/>
    <x v="0"/>
    <x v="0"/>
    <x v="0"/>
    <n v="191760.8"/>
    <n v="191760.8"/>
    <n v="122.92358974358973"/>
    <m/>
    <m/>
    <s v="09"/>
    <x v="1727"/>
    <x v="0"/>
  </r>
  <r>
    <x v="20"/>
    <x v="451"/>
    <s v="Resina - Pedido planta"/>
    <s v="Total"/>
    <x v="1"/>
    <x v="0"/>
    <x v="1"/>
    <x v="0"/>
    <n v="170005"/>
    <n v="170005"/>
    <n v="108.9775641025641"/>
    <m/>
    <d v="2026-04-25T00:00:00"/>
    <n v="17"/>
    <x v="1728"/>
    <x v="0"/>
  </r>
  <r>
    <x v="34"/>
    <x v="452"/>
    <s v="Recina - Pedido planta"/>
    <s v="Total"/>
    <x v="1"/>
    <x v="0"/>
    <x v="1"/>
    <x v="0"/>
    <n v="208000"/>
    <n v="208000"/>
    <n v="133.33333333333334"/>
    <m/>
    <d v="2026-06-06T00:00:00"/>
    <n v="23"/>
    <x v="1729"/>
    <x v="0"/>
  </r>
  <r>
    <x v="8"/>
    <x v="453"/>
    <s v="Bulones porton de entrada"/>
    <s v="Total"/>
    <x v="2"/>
    <x v="0"/>
    <x v="2"/>
    <x v="0"/>
    <n v="8000"/>
    <n v="8000"/>
    <n v="5.1282051282051286"/>
    <m/>
    <m/>
    <s v="33"/>
    <x v="1730"/>
    <x v="0"/>
  </r>
  <r>
    <x v="38"/>
    <x v="453"/>
    <s v="Tornillos para implemente NH"/>
    <s v="Total"/>
    <x v="2"/>
    <x v="0"/>
    <x v="2"/>
    <x v="0"/>
    <n v="11000"/>
    <n v="11000"/>
    <n v="7.0512820512820511"/>
    <m/>
    <m/>
    <s v="32"/>
    <x v="1731"/>
    <x v="0"/>
  </r>
  <r>
    <x v="69"/>
    <x v="454"/>
    <s v="Tarimas "/>
    <s v="Total"/>
    <x v="1"/>
    <x v="1"/>
    <x v="1"/>
    <x v="0"/>
    <n v="858143.4"/>
    <n v="858143.4"/>
    <n v="550.09192307692308"/>
    <m/>
    <m/>
    <s v="31"/>
    <x v="34"/>
    <x v="0"/>
  </r>
  <r>
    <x v="59"/>
    <x v="455"/>
    <s v="Fletes mendoza anguinan"/>
    <s v="Total"/>
    <x v="0"/>
    <x v="0"/>
    <x v="1"/>
    <x v="0"/>
    <n v="1441243.4"/>
    <n v="1441243.4"/>
    <n v="923.87397435897435"/>
    <m/>
    <d v="2026-02-25T00:00:00"/>
    <n v="9"/>
    <x v="1732"/>
    <x v="0"/>
  </r>
  <r>
    <x v="18"/>
    <x v="456"/>
    <m/>
    <s v="Total"/>
    <x v="1"/>
    <x v="0"/>
    <x v="0"/>
    <x v="0"/>
    <n v="1212182.48"/>
    <n v="1212182.48"/>
    <n v="777.04005128205131"/>
    <m/>
    <m/>
    <s v="39"/>
    <x v="1733"/>
    <x v="0"/>
  </r>
  <r>
    <x v="30"/>
    <x v="456"/>
    <s v="Flete"/>
    <s v="Total"/>
    <x v="1"/>
    <x v="0"/>
    <x v="0"/>
    <x v="0"/>
    <n v="1000820"/>
    <n v="1000820"/>
    <n v="641.5512820512821"/>
    <m/>
    <m/>
    <s v="43"/>
    <x v="1734"/>
    <x v="0"/>
  </r>
  <r>
    <x v="74"/>
    <x v="456"/>
    <s v="Flete Mendoza / Chilecito - Send - Sabatini"/>
    <s v="Total"/>
    <x v="1"/>
    <x v="0"/>
    <x v="1"/>
    <x v="0"/>
    <n v="317048.69"/>
    <n v="317048.69"/>
    <n v="203.23633974358975"/>
    <m/>
    <d v="2026-02-13T00:00:00"/>
    <n v="7"/>
    <x v="1735"/>
    <x v="0"/>
  </r>
  <r>
    <x v="74"/>
    <x v="456"/>
    <s v="Flete Mendoza / Chilecito - Send - Sabatini"/>
    <s v="Total"/>
    <x v="1"/>
    <x v="0"/>
    <x v="1"/>
    <x v="0"/>
    <n v="358060.09"/>
    <n v="358060.09"/>
    <n v="229.52569871794873"/>
    <m/>
    <d v="2026-02-06T00:00:00"/>
    <n v="6"/>
    <x v="1735"/>
    <x v="0"/>
  </r>
  <r>
    <x v="74"/>
    <x v="456"/>
    <s v="Flete Mendoza / Chilecito - Send - Sabatini"/>
    <s v="Total"/>
    <x v="1"/>
    <x v="0"/>
    <x v="1"/>
    <x v="0"/>
    <n v="114771.22"/>
    <n v="114771.22"/>
    <n v="73.571294871794876"/>
    <m/>
    <d v="2026-01-14T00:00:00"/>
    <n v="3"/>
    <x v="1735"/>
    <x v="0"/>
  </r>
  <r>
    <x v="13"/>
    <x v="456"/>
    <s v="Fletes mendoza anguinan"/>
    <s v="Total"/>
    <x v="1"/>
    <x v="0"/>
    <x v="1"/>
    <x v="0"/>
    <n v="1441243.4"/>
    <n v="1441243.4"/>
    <n v="923.87397435897435"/>
    <m/>
    <d v="2026-02-27T00:00:00"/>
    <n v="9"/>
    <x v="1736"/>
    <x v="0"/>
  </r>
  <r>
    <x v="32"/>
    <x v="456"/>
    <s v="Flete"/>
    <s v="Total"/>
    <x v="1"/>
    <x v="0"/>
    <x v="0"/>
    <x v="0"/>
    <n v="654500"/>
    <n v="654500"/>
    <n v="419.55128205128204"/>
    <m/>
    <m/>
    <s v="09"/>
    <x v="1737"/>
    <x v="0"/>
  </r>
  <r>
    <x v="57"/>
    <x v="456"/>
    <s v="Fletes - Mendoza / Anguinan"/>
    <s v="Total"/>
    <x v="0"/>
    <x v="0"/>
    <x v="1"/>
    <x v="0"/>
    <n v="2604074.48"/>
    <n v="2604074.48"/>
    <n v="1669.2785128205128"/>
    <m/>
    <d v="2026-07-17T00:00:00"/>
    <n v="29"/>
    <x v="1738"/>
    <x v="0"/>
  </r>
  <r>
    <x v="57"/>
    <x v="456"/>
    <s v="Fletes - Mendoza / Anguinan"/>
    <s v="Total"/>
    <x v="0"/>
    <x v="0"/>
    <x v="1"/>
    <x v="0"/>
    <n v="2604074.46"/>
    <n v="2604074.46"/>
    <n v="1669.2784999999999"/>
    <m/>
    <d v="2026-06-17T00:00:00"/>
    <n v="25"/>
    <x v="1738"/>
    <x v="0"/>
  </r>
  <r>
    <x v="57"/>
    <x v="456"/>
    <s v="Fletes - Mendoza / Anguinan"/>
    <s v="Total"/>
    <x v="0"/>
    <x v="0"/>
    <x v="1"/>
    <x v="0"/>
    <n v="2604074.46"/>
    <n v="2604074.46"/>
    <n v="1669.2784999999999"/>
    <m/>
    <d v="2026-05-17T00:00:00"/>
    <n v="21"/>
    <x v="1738"/>
    <x v="0"/>
  </r>
  <r>
    <x v="57"/>
    <x v="456"/>
    <s v="Fletes - Mendoza / Anguinan"/>
    <s v="Total"/>
    <x v="0"/>
    <x v="0"/>
    <x v="1"/>
    <x v="0"/>
    <n v="125376.6"/>
    <n v="125376.6"/>
    <n v="80.369615384615386"/>
    <s v="Retenciones"/>
    <m/>
    <s v="16"/>
    <x v="1738"/>
    <x v="0"/>
  </r>
  <r>
    <x v="37"/>
    <x v="456"/>
    <s v="Anticipo flete campaña 2026"/>
    <s v="Total"/>
    <x v="2"/>
    <x v="1"/>
    <x v="1"/>
    <x v="0"/>
    <n v="802684"/>
    <n v="802684"/>
    <n v="514.54102564102561"/>
    <m/>
    <d v="2026-08-08T00:00:00"/>
    <n v="32"/>
    <x v="1739"/>
    <x v="0"/>
  </r>
  <r>
    <x v="37"/>
    <x v="456"/>
    <s v="Anticipo flete campaña 2026"/>
    <s v="Total"/>
    <x v="2"/>
    <x v="1"/>
    <x v="1"/>
    <x v="0"/>
    <n v="1200000"/>
    <n v="1200000"/>
    <n v="769.23076923076928"/>
    <m/>
    <d v="2026-08-12T00:00:00"/>
    <n v="33"/>
    <x v="1739"/>
    <x v="0"/>
  </r>
  <r>
    <x v="37"/>
    <x v="456"/>
    <s v="Anticipo flete campaña 2026"/>
    <s v="Total"/>
    <x v="2"/>
    <x v="1"/>
    <x v="1"/>
    <x v="0"/>
    <n v="2000000"/>
    <n v="2000000"/>
    <n v="1282.051282051282"/>
    <m/>
    <d v="2026-08-11T00:00:00"/>
    <n v="33"/>
    <x v="1739"/>
    <x v="0"/>
  </r>
  <r>
    <x v="5"/>
    <x v="457"/>
    <s v="Tarimas Planta"/>
    <s v="Total"/>
    <x v="1"/>
    <x v="0"/>
    <x v="1"/>
    <x v="0"/>
    <n v="206689.03"/>
    <n v="206689.03"/>
    <n v="132.49296794871796"/>
    <m/>
    <d v="2025-08-13T00:00:00"/>
    <n v="33"/>
    <x v="1740"/>
    <x v="0"/>
  </r>
  <r>
    <x v="5"/>
    <x v="457"/>
    <s v="Tarimas Planta"/>
    <s v="Total"/>
    <x v="1"/>
    <x v="0"/>
    <x v="2"/>
    <x v="0"/>
    <n v="110103.47"/>
    <n v="110103.47"/>
    <n v="70.57914743589744"/>
    <m/>
    <m/>
    <s v="34"/>
    <x v="1740"/>
    <x v="0"/>
  </r>
  <r>
    <x v="22"/>
    <x v="458"/>
    <s v="Gastos casa "/>
    <s v="Total"/>
    <x v="2"/>
    <x v="0"/>
    <x v="2"/>
    <x v="0"/>
    <n v="13960"/>
    <n v="13960"/>
    <n v="8.9487179487179489"/>
    <m/>
    <m/>
    <s v="23"/>
    <x v="520"/>
    <x v="0"/>
  </r>
  <r>
    <x v="22"/>
    <x v="458"/>
    <s v="Gastos casa "/>
    <s v="Total"/>
    <x v="2"/>
    <x v="0"/>
    <x v="2"/>
    <x v="0"/>
    <n v="21940"/>
    <n v="21940"/>
    <n v="14.064102564102564"/>
    <m/>
    <m/>
    <s v="23"/>
    <x v="1741"/>
    <x v="0"/>
  </r>
  <r>
    <x v="43"/>
    <x v="458"/>
    <s v="Pedido Casa Doctor"/>
    <s v="Total"/>
    <x v="2"/>
    <x v="0"/>
    <x v="2"/>
    <x v="0"/>
    <n v="15900"/>
    <n v="15900"/>
    <n v="10.192307692307692"/>
    <m/>
    <m/>
    <s v="26"/>
    <x v="1742"/>
    <x v="0"/>
  </r>
  <r>
    <x v="36"/>
    <x v="458"/>
    <s v="Pedido Casa Doctor"/>
    <s v="Total"/>
    <x v="2"/>
    <x v="0"/>
    <x v="2"/>
    <x v="0"/>
    <n v="12900"/>
    <n v="12900"/>
    <n v="8.2692307692307701"/>
    <m/>
    <m/>
    <s v="28"/>
    <x v="1743"/>
    <x v="0"/>
  </r>
  <r>
    <x v="44"/>
    <x v="458"/>
    <s v="Compras casa Doctor"/>
    <s v="Total"/>
    <x v="2"/>
    <x v="0"/>
    <x v="2"/>
    <x v="0"/>
    <n v="28100"/>
    <n v="28100"/>
    <n v="18.012820512820515"/>
    <m/>
    <m/>
    <s v="31"/>
    <x v="1744"/>
    <x v="0"/>
  </r>
  <r>
    <x v="74"/>
    <x v="459"/>
    <s v="Tarimas planta"/>
    <s v="Total"/>
    <x v="0"/>
    <x v="0"/>
    <x v="0"/>
    <x v="0"/>
    <n v="751918.02"/>
    <n v="751918.02"/>
    <n v="481.9987307692308"/>
    <m/>
    <m/>
    <s v="03"/>
    <x v="1745"/>
    <x v="0"/>
  </r>
  <r>
    <x v="58"/>
    <x v="459"/>
    <s v="Tarimas usadas + Flete"/>
    <s v="Total"/>
    <x v="0"/>
    <x v="0"/>
    <x v="1"/>
    <x v="0"/>
    <n v="778583.39"/>
    <n v="778583.39"/>
    <n v="499.09191666666669"/>
    <m/>
    <d v="2026-08-28T00:00:00"/>
    <n v="35"/>
    <x v="1746"/>
    <x v="0"/>
  </r>
  <r>
    <x v="58"/>
    <x v="459"/>
    <s v="Tarimas usadas + Flete"/>
    <s v="Total"/>
    <x v="2"/>
    <x v="0"/>
    <x v="2"/>
    <x v="0"/>
    <n v="157243.72"/>
    <n v="157243.72"/>
    <n v="100.79725641025641"/>
    <m/>
    <m/>
    <s v="30"/>
    <x v="1746"/>
    <x v="0"/>
  </r>
  <r>
    <x v="58"/>
    <x v="459"/>
    <s v="Tarimas usadas + Flete"/>
    <s v="Total"/>
    <x v="0"/>
    <x v="0"/>
    <x v="1"/>
    <x v="0"/>
    <n v="11172.89"/>
    <n v="11172.89"/>
    <n v="7.1621089743589739"/>
    <m/>
    <m/>
    <s v="30"/>
    <x v="1746"/>
    <x v="0"/>
  </r>
  <r>
    <x v="54"/>
    <x v="459"/>
    <s v="Tarimas usadas + Flete"/>
    <s v="Total"/>
    <x v="0"/>
    <x v="0"/>
    <x v="1"/>
    <x v="0"/>
    <n v="750000"/>
    <n v="750000"/>
    <n v="480.76923076923077"/>
    <m/>
    <d v="2026-10-26T00:00:00"/>
    <n v="44"/>
    <x v="1747"/>
    <x v="0"/>
  </r>
  <r>
    <x v="54"/>
    <x v="459"/>
    <s v="Tarimas usadas + Flete"/>
    <s v="Total"/>
    <x v="2"/>
    <x v="0"/>
    <x v="2"/>
    <x v="0"/>
    <n v="8000"/>
    <n v="8000"/>
    <n v="5.1282051282051286"/>
    <m/>
    <m/>
    <s v="41"/>
    <x v="1747"/>
    <x v="0"/>
  </r>
  <r>
    <x v="3"/>
    <x v="460"/>
    <s v="Valvulas 13"/>
    <s v="Total"/>
    <x v="2"/>
    <x v="0"/>
    <x v="2"/>
    <x v="0"/>
    <n v="10000.040000000001"/>
    <n v="10000.040000000001"/>
    <n v="6.410282051282052"/>
    <m/>
    <m/>
    <s v="44"/>
    <x v="1748"/>
    <x v="0"/>
  </r>
  <r>
    <x v="76"/>
    <x v="461"/>
    <s v="Combustible"/>
    <s v="Total"/>
    <x v="2"/>
    <x v="0"/>
    <x v="2"/>
    <x v="0"/>
    <n v="60000"/>
    <n v="60000"/>
    <n v="38.46153846153846"/>
    <m/>
    <m/>
    <s v="12"/>
    <x v="0"/>
    <x v="0"/>
  </r>
  <r>
    <x v="78"/>
    <x v="461"/>
    <s v="Combustrible"/>
    <s v="Total"/>
    <x v="2"/>
    <x v="0"/>
    <x v="2"/>
    <x v="0"/>
    <n v="60000.639999999999"/>
    <n v="60000.639999999999"/>
    <n v="38.461948717948715"/>
    <m/>
    <m/>
    <s v="13"/>
    <x v="0"/>
    <x v="0"/>
  </r>
  <r>
    <x v="83"/>
    <x v="461"/>
    <s v="Combustible"/>
    <s v="Total"/>
    <x v="2"/>
    <x v="0"/>
    <x v="2"/>
    <x v="0"/>
    <n v="60000"/>
    <n v="60000"/>
    <n v="38.46153846153846"/>
    <m/>
    <m/>
    <s v="14"/>
    <x v="0"/>
    <x v="0"/>
  </r>
  <r>
    <x v="82"/>
    <x v="461"/>
    <s v="Combustible"/>
    <s v="Total"/>
    <x v="2"/>
    <x v="0"/>
    <x v="2"/>
    <x v="0"/>
    <n v="60000"/>
    <n v="60000"/>
    <n v="38.46153846153846"/>
    <m/>
    <m/>
    <s v="15"/>
    <x v="0"/>
    <x v="0"/>
  </r>
  <r>
    <x v="48"/>
    <x v="461"/>
    <s v="Combustible"/>
    <s v="Total"/>
    <x v="2"/>
    <x v="0"/>
    <x v="2"/>
    <x v="0"/>
    <n v="60000"/>
    <n v="60000"/>
    <n v="38.46153846153846"/>
    <m/>
    <m/>
    <s v="16"/>
    <x v="0"/>
    <x v="0"/>
  </r>
  <r>
    <x v="51"/>
    <x v="461"/>
    <s v="Combustible"/>
    <s v="Total"/>
    <x v="2"/>
    <x v="0"/>
    <x v="2"/>
    <x v="0"/>
    <n v="60000"/>
    <n v="60000"/>
    <n v="38.46153846153846"/>
    <m/>
    <m/>
    <s v="17"/>
    <x v="0"/>
    <x v="0"/>
  </r>
  <r>
    <x v="68"/>
    <x v="461"/>
    <s v="Combustible"/>
    <s v="Total"/>
    <x v="2"/>
    <x v="0"/>
    <x v="2"/>
    <x v="0"/>
    <n v="59999.96"/>
    <n v="59999.96"/>
    <n v="38.461512820512823"/>
    <m/>
    <m/>
    <s v="23"/>
    <x v="0"/>
    <x v="0"/>
  </r>
  <r>
    <x v="67"/>
    <x v="461"/>
    <s v="Combustible"/>
    <s v="Total"/>
    <x v="2"/>
    <x v="0"/>
    <x v="2"/>
    <x v="0"/>
    <n v="60000"/>
    <n v="60000"/>
    <n v="38.46153846153846"/>
    <m/>
    <m/>
    <s v="24"/>
    <x v="0"/>
    <x v="0"/>
  </r>
  <r>
    <x v="17"/>
    <x v="461"/>
    <s v="Combustible"/>
    <s v="Total"/>
    <x v="2"/>
    <x v="0"/>
    <x v="2"/>
    <x v="0"/>
    <n v="60000"/>
    <n v="60000"/>
    <n v="38.46153846153846"/>
    <m/>
    <m/>
    <s v="26"/>
    <x v="1749"/>
    <x v="0"/>
  </r>
  <r>
    <x v="21"/>
    <x v="461"/>
    <s v="Combustrible"/>
    <s v="Total"/>
    <x v="2"/>
    <x v="0"/>
    <x v="2"/>
    <x v="0"/>
    <n v="65007.72"/>
    <n v="65007.72"/>
    <n v="41.671615384615386"/>
    <m/>
    <m/>
    <s v="28"/>
    <x v="1750"/>
    <x v="0"/>
  </r>
  <r>
    <x v="26"/>
    <x v="461"/>
    <s v="Combustible"/>
    <s v="Total"/>
    <x v="2"/>
    <x v="0"/>
    <x v="2"/>
    <x v="0"/>
    <n v="60000"/>
    <n v="60000"/>
    <n v="38.46153846153846"/>
    <m/>
    <m/>
    <s v="29"/>
    <x v="1751"/>
    <x v="0"/>
  </r>
  <r>
    <x v="61"/>
    <x v="461"/>
    <s v="Combustible"/>
    <s v="Total"/>
    <x v="2"/>
    <x v="0"/>
    <x v="2"/>
    <x v="0"/>
    <n v="60000"/>
    <n v="60000"/>
    <n v="38.46153846153846"/>
    <m/>
    <m/>
    <s v="30"/>
    <x v="1752"/>
    <x v="0"/>
  </r>
  <r>
    <x v="69"/>
    <x v="461"/>
    <s v="Combustible"/>
    <s v="Total"/>
    <x v="2"/>
    <x v="0"/>
    <x v="2"/>
    <x v="0"/>
    <n v="65000"/>
    <n v="65000"/>
    <n v="41.666666666666664"/>
    <m/>
    <m/>
    <s v="31"/>
    <x v="34"/>
    <x v="0"/>
  </r>
  <r>
    <x v="8"/>
    <x v="461"/>
    <s v="Combustible"/>
    <s v="Total"/>
    <x v="2"/>
    <x v="0"/>
    <x v="2"/>
    <x v="0"/>
    <n v="65000"/>
    <n v="65000"/>
    <n v="41.666666666666664"/>
    <m/>
    <m/>
    <s v="33"/>
    <x v="1753"/>
    <x v="0"/>
  </r>
  <r>
    <x v="2"/>
    <x v="461"/>
    <s v="Combustible - "/>
    <s v="Total"/>
    <x v="2"/>
    <x v="0"/>
    <x v="2"/>
    <x v="0"/>
    <n v="68000"/>
    <n v="68000"/>
    <n v="43.589743589743591"/>
    <m/>
    <m/>
    <s v="32"/>
    <x v="1754"/>
    <x v="0"/>
  </r>
  <r>
    <x v="5"/>
    <x v="461"/>
    <s v="Combustible"/>
    <s v="Total"/>
    <x v="2"/>
    <x v="0"/>
    <x v="2"/>
    <x v="0"/>
    <n v="65000"/>
    <n v="65000"/>
    <n v="41.666666666666664"/>
    <m/>
    <m/>
    <s v="34"/>
    <x v="1755"/>
    <x v="0"/>
  </r>
  <r>
    <x v="27"/>
    <x v="461"/>
    <s v="Combustible"/>
    <s v="Total"/>
    <x v="2"/>
    <x v="0"/>
    <x v="2"/>
    <x v="0"/>
    <n v="65000"/>
    <n v="65000"/>
    <n v="41.666666666666664"/>
    <m/>
    <m/>
    <s v="35"/>
    <x v="712"/>
    <x v="0"/>
  </r>
  <r>
    <x v="60"/>
    <x v="461"/>
    <s v="Combustible"/>
    <s v="Total"/>
    <x v="2"/>
    <x v="0"/>
    <x v="2"/>
    <x v="0"/>
    <n v="65000"/>
    <n v="65000"/>
    <n v="41.666666666666664"/>
    <m/>
    <m/>
    <s v="37"/>
    <x v="1756"/>
    <x v="0"/>
  </r>
  <r>
    <x v="52"/>
    <x v="461"/>
    <s v="Combustible"/>
    <s v="Total"/>
    <x v="2"/>
    <x v="0"/>
    <x v="2"/>
    <x v="0"/>
    <n v="65000"/>
    <n v="65000"/>
    <n v="41.666666666666664"/>
    <m/>
    <m/>
    <s v="38"/>
    <x v="1757"/>
    <x v="0"/>
  </r>
  <r>
    <x v="18"/>
    <x v="461"/>
    <s v="Combustible"/>
    <s v="Total"/>
    <x v="2"/>
    <x v="0"/>
    <x v="2"/>
    <x v="0"/>
    <n v="65000"/>
    <n v="65000"/>
    <n v="41.666666666666664"/>
    <m/>
    <m/>
    <s v="39"/>
    <x v="1758"/>
    <x v="0"/>
  </r>
  <r>
    <x v="29"/>
    <x v="461"/>
    <s v="Combustible"/>
    <s v="Total"/>
    <x v="2"/>
    <x v="0"/>
    <x v="2"/>
    <x v="0"/>
    <n v="75000"/>
    <n v="75000"/>
    <n v="48.07692307692308"/>
    <m/>
    <m/>
    <s v="42"/>
    <x v="1759"/>
    <x v="0"/>
  </r>
  <r>
    <x v="30"/>
    <x v="461"/>
    <s v="Combustible"/>
    <s v="Total"/>
    <x v="2"/>
    <x v="0"/>
    <x v="2"/>
    <x v="0"/>
    <n v="74999.929999999993"/>
    <n v="74999.929999999993"/>
    <n v="48.076878205128203"/>
    <m/>
    <m/>
    <s v="43"/>
    <x v="1760"/>
    <x v="0"/>
  </r>
  <r>
    <x v="63"/>
    <x v="461"/>
    <s v="Combustible"/>
    <s v="Total"/>
    <x v="2"/>
    <x v="0"/>
    <x v="2"/>
    <x v="0"/>
    <n v="74999.95"/>
    <n v="74999.95"/>
    <n v="48.076891025641025"/>
    <m/>
    <m/>
    <s v="44"/>
    <x v="1761"/>
    <x v="0"/>
  </r>
  <r>
    <x v="31"/>
    <x v="461"/>
    <s v="Combustible"/>
    <s v="Total"/>
    <x v="2"/>
    <x v="0"/>
    <x v="2"/>
    <x v="0"/>
    <n v="75000"/>
    <n v="75000"/>
    <n v="48.07692307692308"/>
    <m/>
    <m/>
    <s v="45"/>
    <x v="1762"/>
    <x v="0"/>
  </r>
  <r>
    <x v="7"/>
    <x v="461"/>
    <s v="Combustible"/>
    <s v="Total"/>
    <x v="2"/>
    <x v="0"/>
    <x v="2"/>
    <x v="0"/>
    <n v="74999.960000000006"/>
    <n v="74999.960000000006"/>
    <n v="48.076897435897443"/>
    <m/>
    <m/>
    <s v="46"/>
    <x v="1763"/>
    <x v="0"/>
  </r>
  <r>
    <x v="15"/>
    <x v="461"/>
    <s v="Combustible"/>
    <s v="Total"/>
    <x v="2"/>
    <x v="0"/>
    <x v="2"/>
    <x v="0"/>
    <n v="75000"/>
    <n v="75000"/>
    <n v="48.07692307692308"/>
    <m/>
    <m/>
    <s v="49"/>
    <x v="1764"/>
    <x v="0"/>
  </r>
  <r>
    <x v="4"/>
    <x v="461"/>
    <s v="Combustible"/>
    <s v="Total"/>
    <x v="2"/>
    <x v="0"/>
    <x v="2"/>
    <x v="0"/>
    <n v="75000"/>
    <n v="75000"/>
    <n v="48.07692307692308"/>
    <m/>
    <m/>
    <s v="51"/>
    <x v="1765"/>
    <x v="0"/>
  </r>
  <r>
    <x v="74"/>
    <x v="461"/>
    <s v="Combustible"/>
    <s v="Total"/>
    <x v="2"/>
    <x v="0"/>
    <x v="2"/>
    <x v="0"/>
    <n v="75000"/>
    <n v="75000"/>
    <n v="48.07692307692308"/>
    <m/>
    <m/>
    <s v="03"/>
    <x v="1766"/>
    <x v="0"/>
  </r>
  <r>
    <x v="50"/>
    <x v="461"/>
    <s v="Combustible"/>
    <s v="Total"/>
    <x v="2"/>
    <x v="0"/>
    <x v="2"/>
    <x v="0"/>
    <n v="77999.95"/>
    <n v="77999.95"/>
    <n v="49.999967948717945"/>
    <m/>
    <m/>
    <s v="04"/>
    <x v="1767"/>
    <x v="0"/>
  </r>
  <r>
    <x v="9"/>
    <x v="461"/>
    <s v="Combustible"/>
    <s v="Total"/>
    <x v="2"/>
    <x v="0"/>
    <x v="2"/>
    <x v="0"/>
    <n v="77999.95"/>
    <n v="77999.95"/>
    <n v="49.999967948717945"/>
    <m/>
    <m/>
    <s v="05"/>
    <x v="1768"/>
    <x v="0"/>
  </r>
  <r>
    <x v="59"/>
    <x v="461"/>
    <s v="Combustible"/>
    <s v="Total"/>
    <x v="2"/>
    <x v="0"/>
    <x v="2"/>
    <x v="0"/>
    <n v="78000.039999999994"/>
    <n v="78000.039999999994"/>
    <n v="50.000025641025637"/>
    <m/>
    <m/>
    <s v="06"/>
    <x v="1769"/>
    <x v="0"/>
  </r>
  <r>
    <x v="32"/>
    <x v="461"/>
    <s v="Combustible"/>
    <s v="Total"/>
    <x v="2"/>
    <x v="0"/>
    <x v="2"/>
    <x v="0"/>
    <n v="77999.929999999993"/>
    <n v="77999.929999999993"/>
    <n v="49.999955128205123"/>
    <m/>
    <m/>
    <s v="09"/>
    <x v="1770"/>
    <x v="0"/>
  </r>
  <r>
    <x v="32"/>
    <x v="461"/>
    <s v="Combustible"/>
    <s v="Total"/>
    <x v="2"/>
    <x v="0"/>
    <x v="2"/>
    <x v="0"/>
    <n v="77999.92"/>
    <n v="77999.92"/>
    <n v="49.999948717948719"/>
    <m/>
    <m/>
    <s v="09"/>
    <x v="1771"/>
    <x v="0"/>
  </r>
  <r>
    <x v="73"/>
    <x v="461"/>
    <s v="Combustible"/>
    <s v="Total"/>
    <x v="2"/>
    <x v="0"/>
    <x v="2"/>
    <x v="0"/>
    <n v="17626891.640000001"/>
    <n v="17626891.640000001"/>
    <n v="11299.289512820513"/>
    <m/>
    <m/>
    <s v="10"/>
    <x v="1772"/>
    <x v="0"/>
  </r>
  <r>
    <x v="33"/>
    <x v="461"/>
    <s v="Combustible"/>
    <s v="Total"/>
    <x v="2"/>
    <x v="0"/>
    <x v="2"/>
    <x v="0"/>
    <n v="80000.009999999995"/>
    <n v="80000.009999999995"/>
    <n v="51.282057692307689"/>
    <m/>
    <m/>
    <s v="12"/>
    <x v="1773"/>
    <x v="0"/>
  </r>
  <r>
    <x v="65"/>
    <x v="461"/>
    <s v="Combustible"/>
    <s v="Total"/>
    <x v="2"/>
    <x v="0"/>
    <x v="2"/>
    <x v="0"/>
    <n v="239974.35"/>
    <n v="239974.35"/>
    <n v="153.82971153846154"/>
    <m/>
    <m/>
    <s v="13"/>
    <x v="1774"/>
    <x v="0"/>
  </r>
  <r>
    <x v="23"/>
    <x v="461"/>
    <s v="Combustible"/>
    <s v="Total"/>
    <x v="2"/>
    <x v="0"/>
    <x v="2"/>
    <x v="0"/>
    <n v="85999.88"/>
    <n v="85999.88"/>
    <n v="55.128128205128206"/>
    <m/>
    <m/>
    <s v="18"/>
    <x v="1775"/>
    <x v="0"/>
  </r>
  <r>
    <x v="23"/>
    <x v="461"/>
    <s v="Combustible"/>
    <s v="Total"/>
    <x v="2"/>
    <x v="0"/>
    <x v="2"/>
    <x v="0"/>
    <n v="85999.88"/>
    <n v="85999.88"/>
    <n v="55.128128205128206"/>
    <m/>
    <m/>
    <s v="18"/>
    <x v="1776"/>
    <x v="0"/>
  </r>
  <r>
    <x v="45"/>
    <x v="461"/>
    <s v="Combustible"/>
    <s v="Total"/>
    <x v="2"/>
    <x v="0"/>
    <x v="2"/>
    <x v="0"/>
    <n v="90077.85"/>
    <n v="90077.85"/>
    <n v="57.74221153846154"/>
    <m/>
    <m/>
    <s v="25"/>
    <x v="1777"/>
    <x v="0"/>
  </r>
  <r>
    <x v="43"/>
    <x v="461"/>
    <s v="Combustible"/>
    <s v="Total"/>
    <x v="2"/>
    <x v="0"/>
    <x v="2"/>
    <x v="0"/>
    <n v="94999.93"/>
    <n v="94999.93"/>
    <n v="60.897391025641021"/>
    <m/>
    <m/>
    <s v="26"/>
    <x v="1778"/>
    <x v="0"/>
  </r>
  <r>
    <x v="11"/>
    <x v="461"/>
    <s v="Combustible"/>
    <s v="Total"/>
    <x v="2"/>
    <x v="0"/>
    <x v="2"/>
    <x v="0"/>
    <n v="95006.8"/>
    <n v="95006.8"/>
    <n v="60.901794871794877"/>
    <m/>
    <m/>
    <s v="37"/>
    <x v="1779"/>
    <x v="0"/>
  </r>
  <r>
    <x v="40"/>
    <x v="461"/>
    <s v="Combustible"/>
    <s v="Total"/>
    <x v="2"/>
    <x v="0"/>
    <x v="2"/>
    <x v="0"/>
    <n v="96015.57"/>
    <n v="96015.57"/>
    <n v="61.548442307692312"/>
    <m/>
    <m/>
    <s v="40"/>
    <x v="1780"/>
    <x v="0"/>
  </r>
  <r>
    <x v="3"/>
    <x v="444"/>
    <s v="Campaña 2026"/>
    <s v="Total"/>
    <x v="5"/>
    <x v="1"/>
    <x v="1"/>
    <x v="1"/>
    <n v="232216.31947368401"/>
    <n v="362257458.37894708"/>
    <n v="232216.31947368404"/>
    <m/>
    <m/>
    <s v="44"/>
    <x v="0"/>
    <x v="1"/>
  </r>
  <r>
    <x v="54"/>
    <x v="462"/>
    <s v="Cuenta corriente "/>
    <s v="Total"/>
    <x v="0"/>
    <x v="0"/>
    <x v="1"/>
    <x v="0"/>
    <n v="1193543.01"/>
    <n v="1193543.01"/>
    <n v="765.09167307692303"/>
    <m/>
    <m/>
    <s v="41"/>
    <x v="1781"/>
    <x v="0"/>
  </r>
  <r>
    <x v="54"/>
    <x v="462"/>
    <s v="Cuenta corriente "/>
    <s v="Total"/>
    <x v="0"/>
    <x v="0"/>
    <x v="1"/>
    <x v="0"/>
    <n v="0"/>
    <n v="0"/>
    <n v="0"/>
    <m/>
    <m/>
    <s v="41"/>
    <x v="0"/>
    <x v="1"/>
  </r>
  <r>
    <x v="82"/>
    <x v="463"/>
    <s v="Repuestos Varios Motos"/>
    <s v="Total"/>
    <x v="1"/>
    <x v="0"/>
    <x v="1"/>
    <x v="0"/>
    <n v="152500"/>
    <n v="152500"/>
    <n v="97.756410256410263"/>
    <s v="CH 20 dias"/>
    <m/>
    <s v="15"/>
    <x v="0"/>
    <x v="0"/>
  </r>
  <r>
    <x v="82"/>
    <x v="463"/>
    <s v="Repuestos varios Campo"/>
    <s v="Total"/>
    <x v="1"/>
    <x v="0"/>
    <x v="1"/>
    <x v="0"/>
    <n v="559000"/>
    <n v="559000"/>
    <n v="358.33333333333331"/>
    <s v="CH 20 dias"/>
    <m/>
    <s v="15"/>
    <x v="0"/>
    <x v="0"/>
  </r>
  <r>
    <x v="68"/>
    <x v="463"/>
    <s v="Facturas varias"/>
    <s v="Parcial"/>
    <x v="1"/>
    <x v="0"/>
    <x v="1"/>
    <x v="0"/>
    <n v="3857300"/>
    <n v="3857300"/>
    <n v="2472.6282051282051"/>
    <s v="CH 20/30 dìas"/>
    <m/>
    <s v="23"/>
    <x v="1782"/>
    <x v="0"/>
  </r>
  <r>
    <x v="63"/>
    <x v="463"/>
    <s v="Insumos Service camioneta Chebrolet S10 (Moyano)"/>
    <s v="Total"/>
    <x v="2"/>
    <x v="0"/>
    <x v="2"/>
    <x v="0"/>
    <n v="265000"/>
    <n v="265000"/>
    <n v="169.87179487179486"/>
    <m/>
    <m/>
    <s v="44"/>
    <x v="1783"/>
    <x v="0"/>
  </r>
  <r>
    <x v="19"/>
    <x v="463"/>
    <s v="Cuenta corriente "/>
    <s v="Total"/>
    <x v="6"/>
    <x v="0"/>
    <x v="1"/>
    <x v="0"/>
    <n v="450762.96"/>
    <n v="450762.96"/>
    <n v="288.95061538461539"/>
    <m/>
    <d v="2025-12-24T00:00:00"/>
    <n v="52"/>
    <x v="1784"/>
    <x v="0"/>
  </r>
  <r>
    <x v="19"/>
    <x v="463"/>
    <s v="Cuenta corriente "/>
    <s v="Total"/>
    <x v="6"/>
    <x v="0"/>
    <x v="1"/>
    <x v="0"/>
    <n v="263737.03999999998"/>
    <n v="263737.03999999998"/>
    <n v="169.06220512820511"/>
    <m/>
    <d v="2025-12-12T00:00:00"/>
    <n v="50"/>
    <x v="1784"/>
    <x v="0"/>
  </r>
  <r>
    <x v="24"/>
    <x v="463"/>
    <s v="Cuenta corriente "/>
    <s v="Total"/>
    <x v="6"/>
    <x v="0"/>
    <x v="1"/>
    <x v="0"/>
    <n v="94692.18"/>
    <n v="94692.18"/>
    <n v="60.70011538461538"/>
    <m/>
    <d v="2026-04-04T00:00:00"/>
    <n v="14"/>
    <x v="1785"/>
    <x v="0"/>
  </r>
  <r>
    <x v="24"/>
    <x v="463"/>
    <s v="Cuenta corriente "/>
    <s v="Total"/>
    <x v="6"/>
    <x v="0"/>
    <x v="1"/>
    <x v="0"/>
    <n v="350000"/>
    <n v="350000"/>
    <n v="224.35897435897436"/>
    <m/>
    <d v="2026-04-30T00:00:00"/>
    <n v="18"/>
    <x v="1785"/>
    <x v="0"/>
  </r>
  <r>
    <x v="33"/>
    <x v="463"/>
    <s v="Cuenta corriente "/>
    <s v="Total"/>
    <x v="6"/>
    <x v="0"/>
    <x v="1"/>
    <x v="0"/>
    <n v="400000"/>
    <n v="400000"/>
    <n v="256.41025641025641"/>
    <m/>
    <d v="2026-04-01T00:00:00"/>
    <n v="14"/>
    <x v="1786"/>
    <x v="0"/>
  </r>
  <r>
    <x v="33"/>
    <x v="463"/>
    <s v="Cuenta corriente "/>
    <s v="Total"/>
    <x v="6"/>
    <x v="0"/>
    <x v="1"/>
    <x v="0"/>
    <n v="649996.89"/>
    <n v="649996.89"/>
    <n v="416.66467307692307"/>
    <m/>
    <d v="2026-02-18T00:00:00"/>
    <n v="8"/>
    <x v="1786"/>
    <x v="0"/>
  </r>
  <r>
    <x v="33"/>
    <x v="463"/>
    <s v="Cuenta corriente "/>
    <s v="Total"/>
    <x v="6"/>
    <x v="0"/>
    <x v="1"/>
    <x v="0"/>
    <n v="85000"/>
    <n v="85000"/>
    <n v="54.487179487179489"/>
    <m/>
    <d v="2026-04-23T00:00:00"/>
    <n v="17"/>
    <x v="1786"/>
    <x v="0"/>
  </r>
  <r>
    <x v="53"/>
    <x v="463"/>
    <s v="Cuenta corriente "/>
    <s v="Total"/>
    <x v="6"/>
    <x v="0"/>
    <x v="1"/>
    <x v="0"/>
    <n v="1320000"/>
    <n v="1320000"/>
    <n v="846.15384615384619"/>
    <m/>
    <m/>
    <s v="17"/>
    <x v="1787"/>
    <x v="0"/>
  </r>
  <r>
    <x v="34"/>
    <x v="463"/>
    <s v="Cuenta corriente"/>
    <s v="Total"/>
    <x v="6"/>
    <x v="0"/>
    <x v="1"/>
    <x v="0"/>
    <n v="36000"/>
    <n v="36000"/>
    <n v="23.076923076923077"/>
    <m/>
    <d v="2026-05-15T00:00:00"/>
    <n v="20"/>
    <x v="1788"/>
    <x v="0"/>
  </r>
  <r>
    <x v="34"/>
    <x v="463"/>
    <s v="Cuenta corriente"/>
    <s v="Total"/>
    <x v="6"/>
    <x v="0"/>
    <x v="1"/>
    <x v="0"/>
    <n v="144000"/>
    <n v="144000"/>
    <n v="92.307692307692307"/>
    <m/>
    <d v="2026-06-12T00:00:00"/>
    <n v="24"/>
    <x v="1788"/>
    <x v="0"/>
  </r>
  <r>
    <x v="34"/>
    <x v="463"/>
    <s v="Cuenta corriente"/>
    <s v="Total"/>
    <x v="6"/>
    <x v="0"/>
    <x v="1"/>
    <x v="0"/>
    <n v="272638.01"/>
    <n v="272638.01"/>
    <n v="174.76795512820513"/>
    <m/>
    <d v="2026-05-15T00:00:00"/>
    <n v="20"/>
    <x v="1788"/>
    <x v="0"/>
  </r>
  <r>
    <x v="58"/>
    <x v="463"/>
    <s v="Compras campo"/>
    <s v="Total"/>
    <x v="0"/>
    <x v="0"/>
    <x v="1"/>
    <x v="0"/>
    <n v="987419.2"/>
    <n v="987419.2"/>
    <n v="632.96102564102557"/>
    <m/>
    <m/>
    <s v="30"/>
    <x v="1789"/>
    <x v="0"/>
  </r>
  <r>
    <x v="12"/>
    <x v="463"/>
    <s v="Compras varias - Campo"/>
    <s v="Total"/>
    <x v="1"/>
    <x v="0"/>
    <x v="1"/>
    <x v="0"/>
    <n v="120000"/>
    <n v="120000"/>
    <n v="76.92307692307692"/>
    <m/>
    <d v="2026-09-12T00:00:00"/>
    <n v="37"/>
    <x v="1790"/>
    <x v="0"/>
  </r>
  <r>
    <x v="12"/>
    <x v="463"/>
    <s v="Compras varias - Campo"/>
    <s v="Total"/>
    <x v="1"/>
    <x v="0"/>
    <x v="1"/>
    <x v="0"/>
    <n v="120000"/>
    <n v="120000"/>
    <n v="76.92307692307692"/>
    <m/>
    <d v="2026-09-16T00:00:00"/>
    <n v="38"/>
    <x v="1790"/>
    <x v="0"/>
  </r>
  <r>
    <x v="12"/>
    <x v="463"/>
    <s v="Compras varias - Campo"/>
    <s v="Total"/>
    <x v="1"/>
    <x v="0"/>
    <x v="1"/>
    <x v="0"/>
    <n v="120000"/>
    <n v="120000"/>
    <n v="76.92307692307692"/>
    <m/>
    <d v="2026-09-19T00:00:00"/>
    <n v="38"/>
    <x v="1790"/>
    <x v="0"/>
  </r>
  <r>
    <x v="12"/>
    <x v="463"/>
    <s v="Compras varias - Campo"/>
    <s v="Total"/>
    <x v="1"/>
    <x v="0"/>
    <x v="1"/>
    <x v="0"/>
    <n v="385700"/>
    <n v="385700"/>
    <n v="247.24358974358975"/>
    <m/>
    <d v="2026-09-18T00:00:00"/>
    <n v="38"/>
    <x v="1790"/>
    <x v="0"/>
  </r>
  <r>
    <x v="39"/>
    <x v="463"/>
    <s v="Pedidos varios campo"/>
    <s v="Total"/>
    <x v="0"/>
    <x v="0"/>
    <x v="1"/>
    <x v="0"/>
    <n v="243295.46"/>
    <n v="243295.46"/>
    <n v="155.95862820512821"/>
    <m/>
    <d v="2026-10-21T00:00:00"/>
    <n v="43"/>
    <x v="1791"/>
    <x v="0"/>
  </r>
  <r>
    <x v="39"/>
    <x v="463"/>
    <s v="Pedidos varios campo"/>
    <s v="Total"/>
    <x v="0"/>
    <x v="0"/>
    <x v="1"/>
    <x v="0"/>
    <n v="273096.65000000002"/>
    <n v="273096.65000000002"/>
    <n v="175.06195512820514"/>
    <m/>
    <d v="2026-10-21T00:00:00"/>
    <n v="43"/>
    <x v="1791"/>
    <x v="0"/>
  </r>
  <r>
    <x v="39"/>
    <x v="463"/>
    <s v="Pedidos varios campo"/>
    <s v="Total"/>
    <x v="0"/>
    <x v="0"/>
    <x v="1"/>
    <x v="0"/>
    <n v="29051.61"/>
    <n v="29051.61"/>
    <n v="18.622826923076925"/>
    <m/>
    <m/>
    <s v="38"/>
    <x v="1791"/>
    <x v="0"/>
  </r>
  <r>
    <x v="3"/>
    <x v="444"/>
    <s v="Campaña 2026"/>
    <s v="Total"/>
    <x v="5"/>
    <x v="1"/>
    <x v="1"/>
    <x v="0"/>
    <n v="120000"/>
    <n v="120000"/>
    <n v="76.92307692307692"/>
    <m/>
    <d v="2026-11-10T00:00:00"/>
    <n v="46"/>
    <x v="1792"/>
    <x v="0"/>
  </r>
  <r>
    <x v="3"/>
    <x v="444"/>
    <s v="Campaña 2026"/>
    <s v="Total"/>
    <x v="5"/>
    <x v="1"/>
    <x v="2"/>
    <x v="0"/>
    <n v="880000"/>
    <n v="880000"/>
    <n v="564.10256410256409"/>
    <m/>
    <m/>
    <s v="44"/>
    <x v="1792"/>
    <x v="0"/>
  </r>
  <r>
    <x v="67"/>
    <x v="464"/>
    <s v="Hebillas acero inox 5/8 - Pedido Planta"/>
    <s v="Total"/>
    <x v="1"/>
    <x v="0"/>
    <x v="0"/>
    <x v="0"/>
    <n v="57160.3"/>
    <n v="57160.3"/>
    <n v="36.641217948717951"/>
    <m/>
    <m/>
    <s v="24"/>
    <x v="0"/>
    <x v="0"/>
  </r>
  <r>
    <x v="10"/>
    <x v="465"/>
    <s v="Precintos cola de ratón - pedido planta"/>
    <s v="Total"/>
    <x v="1"/>
    <x v="0"/>
    <x v="0"/>
    <x v="0"/>
    <n v="32262.11"/>
    <n v="32262.11"/>
    <n v="20.680839743589743"/>
    <m/>
    <m/>
    <s v="48"/>
    <x v="1793"/>
    <x v="0"/>
  </r>
  <r>
    <x v="15"/>
    <x v="465"/>
    <s v="Precintos cola raton - pedido planta"/>
    <s v="Total"/>
    <x v="1"/>
    <x v="0"/>
    <x v="1"/>
    <x v="0"/>
    <n v="128610"/>
    <n v="128610"/>
    <n v="82.442307692307693"/>
    <m/>
    <m/>
    <s v="49"/>
    <x v="1794"/>
    <x v="0"/>
  </r>
  <r>
    <x v="56"/>
    <x v="465"/>
    <s v="Precinto cola de raton"/>
    <s v="Total"/>
    <x v="1"/>
    <x v="0"/>
    <x v="0"/>
    <x v="0"/>
    <n v="31996.639999999999"/>
    <n v="31996.639999999999"/>
    <n v="20.510666666666665"/>
    <m/>
    <m/>
    <s v="11"/>
    <x v="1795"/>
    <x v="0"/>
  </r>
  <r>
    <x v="23"/>
    <x v="465"/>
    <s v="Precintos cola de ratón - pedido planta"/>
    <s v="Total"/>
    <x v="1"/>
    <x v="0"/>
    <x v="1"/>
    <x v="0"/>
    <n v="132679.4"/>
    <n v="132679.4"/>
    <n v="85.050897435897426"/>
    <m/>
    <m/>
    <s v="18"/>
    <x v="1796"/>
    <x v="0"/>
  </r>
  <r>
    <x v="43"/>
    <x v="465"/>
    <s v="Pedido de planta - Precintos cola de raton"/>
    <s v="Total"/>
    <x v="1"/>
    <x v="0"/>
    <x v="1"/>
    <x v="0"/>
    <n v="72141.17"/>
    <n v="72141.17"/>
    <n v="46.244339743589741"/>
    <m/>
    <d v="2026-07-10T00:00:00"/>
    <n v="28"/>
    <x v="1797"/>
    <x v="0"/>
  </r>
  <r>
    <x v="9"/>
    <x v="466"/>
    <s v="Cloruro de calcio - pasta"/>
    <s v="Total"/>
    <x v="1"/>
    <x v="0"/>
    <x v="1"/>
    <x v="0"/>
    <n v="667238.6"/>
    <n v="667238.6"/>
    <n v="427.71705128205127"/>
    <m/>
    <d v="2026-02-19T00:00:00"/>
    <n v="8"/>
    <x v="1798"/>
    <x v="0"/>
  </r>
  <r>
    <x v="72"/>
    <x v="466"/>
    <s v="Insumos Planta /  Laboratorio planta"/>
    <s v="Total"/>
    <x v="1"/>
    <x v="0"/>
    <x v="1"/>
    <x v="0"/>
    <n v="2546442.81"/>
    <n v="2546442.81"/>
    <n v="1632.3351346153847"/>
    <m/>
    <d v="2026-10-24T00:00:00"/>
    <n v="43"/>
    <x v="1799"/>
    <x v="0"/>
  </r>
  <r>
    <x v="72"/>
    <x v="466"/>
    <s v="Insumos Planta /  Laboratorio planta"/>
    <s v="Total"/>
    <x v="1"/>
    <x v="0"/>
    <x v="1"/>
    <x v="0"/>
    <n v="38242.06"/>
    <n v="38242.06"/>
    <n v="24.514141025641024"/>
    <m/>
    <m/>
    <s v="39"/>
    <x v="1799"/>
    <x v="0"/>
  </r>
  <r>
    <x v="3"/>
    <x v="444"/>
    <s v="Campaña 2026"/>
    <s v="Total"/>
    <x v="5"/>
    <x v="1"/>
    <x v="2"/>
    <x v="0"/>
    <n v="0"/>
    <n v="0"/>
    <n v="0"/>
    <m/>
    <m/>
    <s v="44"/>
    <x v="0"/>
    <x v="1"/>
  </r>
  <r>
    <x v="11"/>
    <x v="467"/>
    <s v="Cheque rechazado 739"/>
    <s v="Total"/>
    <x v="0"/>
    <x v="0"/>
    <x v="0"/>
    <x v="0"/>
    <n v="15953893.82"/>
    <n v="15953893.82"/>
    <n v="10226.855012820513"/>
    <m/>
    <m/>
    <s v="37"/>
    <x v="1800"/>
    <x v="0"/>
  </r>
  <r>
    <x v="78"/>
    <x v="468"/>
    <s v="Infinia Diesel - Fiat Toro"/>
    <s v="Total"/>
    <x v="2"/>
    <x v="1"/>
    <x v="2"/>
    <x v="0"/>
    <n v="76005"/>
    <n v="76005"/>
    <n v="48.721153846153847"/>
    <m/>
    <m/>
    <s v="13"/>
    <x v="0"/>
    <x v="0"/>
  </r>
  <r>
    <x v="48"/>
    <x v="468"/>
    <s v="Combustible"/>
    <s v="Total"/>
    <x v="2"/>
    <x v="0"/>
    <x v="2"/>
    <x v="0"/>
    <n v="71006.070000000007"/>
    <n v="71006.070000000007"/>
    <n v="45.516711538461543"/>
    <m/>
    <m/>
    <s v="16"/>
    <x v="0"/>
    <x v="0"/>
  </r>
  <r>
    <x v="68"/>
    <x v="468"/>
    <s v="Combustible"/>
    <s v="Total"/>
    <x v="2"/>
    <x v="0"/>
    <x v="2"/>
    <x v="0"/>
    <n v="70003.960000000006"/>
    <n v="70003.960000000006"/>
    <n v="44.87433333333334"/>
    <m/>
    <m/>
    <s v="23"/>
    <x v="0"/>
    <x v="0"/>
  </r>
  <r>
    <x v="21"/>
    <x v="468"/>
    <s v="Combustible"/>
    <s v="Total"/>
    <x v="2"/>
    <x v="0"/>
    <x v="2"/>
    <x v="0"/>
    <n v="70000"/>
    <n v="70000"/>
    <n v="44.871794871794869"/>
    <m/>
    <m/>
    <s v="28"/>
    <x v="1801"/>
    <x v="0"/>
  </r>
  <r>
    <x v="26"/>
    <x v="468"/>
    <s v="Combustible"/>
    <s v="Total"/>
    <x v="2"/>
    <x v="0"/>
    <x v="2"/>
    <x v="0"/>
    <n v="39007.01"/>
    <n v="39007.01"/>
    <n v="25.004493589743593"/>
    <m/>
    <m/>
    <s v="29"/>
    <x v="1802"/>
    <x v="0"/>
  </r>
  <r>
    <x v="61"/>
    <x v="468"/>
    <s v="Combustible"/>
    <s v="Total"/>
    <x v="2"/>
    <x v="0"/>
    <x v="2"/>
    <x v="0"/>
    <n v="74021.06"/>
    <n v="74021.06"/>
    <n v="47.449397435897431"/>
    <m/>
    <m/>
    <s v="30"/>
    <x v="1803"/>
    <x v="0"/>
  </r>
  <r>
    <x v="8"/>
    <x v="468"/>
    <s v="Combustible"/>
    <s v="Total"/>
    <x v="2"/>
    <x v="0"/>
    <x v="2"/>
    <x v="0"/>
    <n v="75000"/>
    <n v="75000"/>
    <n v="48.07692307692308"/>
    <m/>
    <m/>
    <s v="33"/>
    <x v="1804"/>
    <x v="0"/>
  </r>
  <r>
    <x v="27"/>
    <x v="468"/>
    <s v="Combustible"/>
    <s v="Total"/>
    <x v="2"/>
    <x v="0"/>
    <x v="2"/>
    <x v="0"/>
    <n v="62000"/>
    <n v="62000"/>
    <n v="39.743589743589745"/>
    <m/>
    <m/>
    <s v="35"/>
    <x v="712"/>
    <x v="0"/>
  </r>
  <r>
    <x v="52"/>
    <x v="468"/>
    <s v="Combustible"/>
    <s v="Total"/>
    <x v="2"/>
    <x v="0"/>
    <x v="2"/>
    <x v="0"/>
    <n v="70000"/>
    <n v="70000"/>
    <n v="44.871794871794869"/>
    <m/>
    <m/>
    <s v="38"/>
    <x v="1805"/>
    <x v="0"/>
  </r>
  <r>
    <x v="18"/>
    <x v="468"/>
    <s v="Combustible"/>
    <s v="Total"/>
    <x v="2"/>
    <x v="0"/>
    <x v="2"/>
    <x v="0"/>
    <n v="65000"/>
    <n v="65000"/>
    <n v="41.666666666666664"/>
    <m/>
    <m/>
    <s v="39"/>
    <x v="1806"/>
    <x v="0"/>
  </r>
  <r>
    <x v="30"/>
    <x v="468"/>
    <s v="Combustible"/>
    <s v="Total"/>
    <x v="2"/>
    <x v="0"/>
    <x v="2"/>
    <x v="0"/>
    <n v="90022.51"/>
    <n v="90022.51"/>
    <n v="57.706737179487178"/>
    <m/>
    <m/>
    <s v="43"/>
    <x v="1807"/>
    <x v="0"/>
  </r>
  <r>
    <x v="31"/>
    <x v="468"/>
    <s v="Combustible"/>
    <s v="Total"/>
    <x v="2"/>
    <x v="0"/>
    <x v="2"/>
    <x v="0"/>
    <n v="89000"/>
    <n v="89000"/>
    <n v="57.051282051282051"/>
    <m/>
    <m/>
    <s v="45"/>
    <x v="1808"/>
    <x v="0"/>
  </r>
  <r>
    <x v="14"/>
    <x v="468"/>
    <s v="Combustible"/>
    <s v="Total"/>
    <x v="2"/>
    <x v="0"/>
    <x v="2"/>
    <x v="0"/>
    <n v="85003"/>
    <n v="85003"/>
    <n v="54.489102564102566"/>
    <m/>
    <m/>
    <s v="47"/>
    <x v="1809"/>
    <x v="0"/>
  </r>
  <r>
    <x v="19"/>
    <x v="468"/>
    <s v="Combustible"/>
    <s v="Total"/>
    <x v="2"/>
    <x v="0"/>
    <x v="2"/>
    <x v="0"/>
    <n v="87008"/>
    <n v="87008"/>
    <n v="55.774358974358975"/>
    <m/>
    <m/>
    <s v="50"/>
    <x v="1810"/>
    <x v="0"/>
  </r>
  <r>
    <x v="74"/>
    <x v="468"/>
    <s v="Combustible"/>
    <s v="Total"/>
    <x v="2"/>
    <x v="0"/>
    <x v="2"/>
    <x v="0"/>
    <n v="100005.06"/>
    <n v="100005.06"/>
    <n v="64.105807692307692"/>
    <m/>
    <m/>
    <s v="03"/>
    <x v="1811"/>
    <x v="0"/>
  </r>
  <r>
    <x v="59"/>
    <x v="468"/>
    <s v="Combustible"/>
    <s v="Total"/>
    <x v="2"/>
    <x v="0"/>
    <x v="2"/>
    <x v="0"/>
    <n v="100000"/>
    <n v="100000"/>
    <n v="64.102564102564102"/>
    <m/>
    <m/>
    <s v="06"/>
    <x v="1812"/>
    <x v="0"/>
  </r>
  <r>
    <x v="41"/>
    <x v="468"/>
    <s v="Combustible"/>
    <s v="Total"/>
    <x v="2"/>
    <x v="0"/>
    <x v="2"/>
    <x v="0"/>
    <n v="93001.94"/>
    <n v="93001.94"/>
    <n v="59.616628205128208"/>
    <m/>
    <m/>
    <s v="08"/>
    <x v="1813"/>
    <x v="0"/>
  </r>
  <r>
    <x v="73"/>
    <x v="468"/>
    <s v="Combustible"/>
    <s v="Total"/>
    <x v="2"/>
    <x v="0"/>
    <x v="2"/>
    <x v="0"/>
    <n v="94499.02"/>
    <n v="94499.02"/>
    <n v="60.576294871794872"/>
    <m/>
    <m/>
    <s v="10"/>
    <x v="1814"/>
    <x v="0"/>
  </r>
  <r>
    <x v="65"/>
    <x v="468"/>
    <s v="Combustible"/>
    <s v="Total"/>
    <x v="2"/>
    <x v="0"/>
    <x v="2"/>
    <x v="0"/>
    <n v="100000"/>
    <n v="100000"/>
    <n v="64.102564102564102"/>
    <m/>
    <m/>
    <s v="13"/>
    <x v="1815"/>
    <x v="0"/>
  </r>
  <r>
    <x v="13"/>
    <x v="469"/>
    <s v="Pedido de Cava - producto sika"/>
    <s v="Total"/>
    <x v="1"/>
    <x v="0"/>
    <x v="0"/>
    <x v="0"/>
    <n v="264264"/>
    <n v="264264"/>
    <n v="169.4"/>
    <m/>
    <m/>
    <s v="07"/>
    <x v="1816"/>
    <x v="0"/>
  </r>
  <r>
    <x v="67"/>
    <x v="470"/>
    <s v="Insumos planta conserva"/>
    <s v="Parcial"/>
    <x v="1"/>
    <x v="0"/>
    <x v="1"/>
    <x v="0"/>
    <n v="3638349"/>
    <n v="3638349"/>
    <n v="2332.2750000000001"/>
    <s v="CH 30 45 días"/>
    <d v="2025-07-03T00:00:00"/>
    <n v="27"/>
    <x v="1817"/>
    <x v="0"/>
  </r>
  <r>
    <x v="67"/>
    <x v="470"/>
    <s v="Insumos planta conserva"/>
    <s v="Parcial"/>
    <x v="1"/>
    <x v="0"/>
    <x v="1"/>
    <x v="0"/>
    <n v="3638349"/>
    <n v="3638349"/>
    <n v="2332.2750000000001"/>
    <s v="CH 30 45 días"/>
    <d v="2025-07-18T00:00:00"/>
    <n v="29"/>
    <x v="0"/>
    <x v="0"/>
  </r>
  <r>
    <x v="6"/>
    <x v="470"/>
    <s v="Insumos de planta "/>
    <s v="Total"/>
    <x v="1"/>
    <x v="0"/>
    <x v="1"/>
    <x v="0"/>
    <n v="3041000"/>
    <n v="3041000"/>
    <n v="1949.3589743589744"/>
    <m/>
    <d v="2025-11-01T00:00:00"/>
    <n v="44"/>
    <x v="1818"/>
    <x v="0"/>
  </r>
  <r>
    <x v="63"/>
    <x v="470"/>
    <s v="Insumos de planta "/>
    <s v="Total"/>
    <x v="1"/>
    <x v="0"/>
    <x v="1"/>
    <x v="0"/>
    <n v="330000"/>
    <n v="330000"/>
    <n v="211.53846153846155"/>
    <m/>
    <d v="2025-11-03T00:00:00"/>
    <n v="45"/>
    <x v="1819"/>
    <x v="0"/>
  </r>
  <r>
    <x v="63"/>
    <x v="470"/>
    <s v="Insumos de planta "/>
    <s v="Total"/>
    <x v="1"/>
    <x v="0"/>
    <x v="1"/>
    <x v="0"/>
    <n v="470000"/>
    <n v="470000"/>
    <n v="301.28205128205127"/>
    <m/>
    <d v="2025-12-05T00:00:00"/>
    <n v="49"/>
    <x v="1819"/>
    <x v="0"/>
  </r>
  <r>
    <x v="63"/>
    <x v="470"/>
    <s v="Insumos de planta "/>
    <s v="Total"/>
    <x v="1"/>
    <x v="0"/>
    <x v="1"/>
    <x v="0"/>
    <n v="530000"/>
    <n v="530000"/>
    <n v="339.74358974358972"/>
    <m/>
    <d v="2025-12-04T00:00:00"/>
    <n v="49"/>
    <x v="1819"/>
    <x v="0"/>
  </r>
  <r>
    <x v="63"/>
    <x v="470"/>
    <s v="Insumos de planta "/>
    <s v="Total"/>
    <x v="1"/>
    <x v="0"/>
    <x v="1"/>
    <x v="0"/>
    <n v="572330"/>
    <n v="572330"/>
    <n v="366.87820512820514"/>
    <m/>
    <d v="2025-12-06T00:00:00"/>
    <n v="49"/>
    <x v="1819"/>
    <x v="0"/>
  </r>
  <r>
    <x v="63"/>
    <x v="470"/>
    <s v="Insumos de planta "/>
    <s v="Total"/>
    <x v="1"/>
    <x v="0"/>
    <x v="1"/>
    <x v="0"/>
    <n v="1000000"/>
    <n v="1000000"/>
    <n v="641.02564102564099"/>
    <m/>
    <d v="2025-12-19T00:00:00"/>
    <n v="51"/>
    <x v="1819"/>
    <x v="0"/>
  </r>
  <r>
    <x v="63"/>
    <x v="470"/>
    <s v="Insumos de planta "/>
    <s v="Total"/>
    <x v="1"/>
    <x v="0"/>
    <x v="1"/>
    <x v="0"/>
    <n v="553000"/>
    <n v="553000"/>
    <n v="354.4871794871795"/>
    <m/>
    <d v="2025-11-03T00:00:00"/>
    <n v="45"/>
    <x v="1819"/>
    <x v="0"/>
  </r>
  <r>
    <x v="63"/>
    <x v="470"/>
    <s v="Insumos de planta "/>
    <s v="Total"/>
    <x v="1"/>
    <x v="0"/>
    <x v="0"/>
    <x v="0"/>
    <n v="286793.40999999997"/>
    <n v="286793.40999999997"/>
    <n v="183.84192948717947"/>
    <m/>
    <d v="2025-09-06T00:00:00"/>
    <n v="36"/>
    <x v="1819"/>
    <x v="0"/>
  </r>
  <r>
    <x v="9"/>
    <x v="470"/>
    <s v="Cloro"/>
    <s v="Total"/>
    <x v="0"/>
    <x v="0"/>
    <x v="1"/>
    <x v="0"/>
    <n v="2500000"/>
    <n v="2500000"/>
    <n v="1602.5641025641025"/>
    <m/>
    <d v="2026-03-26T00:00:00"/>
    <n v="13"/>
    <x v="1820"/>
    <x v="0"/>
  </r>
  <r>
    <x v="9"/>
    <x v="470"/>
    <s v="Cloro"/>
    <s v="Total"/>
    <x v="0"/>
    <x v="0"/>
    <x v="1"/>
    <x v="0"/>
    <n v="2500000"/>
    <n v="2500000"/>
    <n v="1602.5641025641025"/>
    <m/>
    <d v="2026-03-20T00:00:00"/>
    <n v="12"/>
    <x v="1820"/>
    <x v="0"/>
  </r>
  <r>
    <x v="33"/>
    <x v="470"/>
    <s v="Cloro"/>
    <s v="Total"/>
    <x v="0"/>
    <x v="0"/>
    <x v="1"/>
    <x v="0"/>
    <n v="1243471.98"/>
    <n v="1243471.98"/>
    <n v="797.09742307692306"/>
    <s v="Cheque 45 días"/>
    <d v="2026-04-20T00:00:00"/>
    <n v="17"/>
    <x v="1821"/>
    <x v="0"/>
  </r>
  <r>
    <x v="33"/>
    <x v="470"/>
    <s v="Cloro"/>
    <s v="Total"/>
    <x v="0"/>
    <x v="0"/>
    <x v="1"/>
    <x v="0"/>
    <n v="16343.39"/>
    <n v="16343.39"/>
    <n v="10.476532051282051"/>
    <m/>
    <m/>
    <s v="12"/>
    <x v="1821"/>
    <x v="0"/>
  </r>
  <r>
    <x v="64"/>
    <x v="470"/>
    <s v="Cloro en polvo - Ecoprefered"/>
    <s v="Total"/>
    <x v="1"/>
    <x v="0"/>
    <x v="1"/>
    <x v="0"/>
    <n v="1588160"/>
    <n v="1588160"/>
    <n v="1018.0512820512821"/>
    <m/>
    <d v="2026-07-20T00:00:00"/>
    <n v="30"/>
    <x v="1822"/>
    <x v="0"/>
  </r>
  <r>
    <x v="64"/>
    <x v="470"/>
    <s v="Cloro en polvo - Ecoprefered"/>
    <s v="Total"/>
    <x v="1"/>
    <x v="0"/>
    <x v="1"/>
    <x v="0"/>
    <n v="1588160"/>
    <n v="1588160"/>
    <n v="1018.0512820512821"/>
    <m/>
    <d v="2026-07-05T00:00:00"/>
    <n v="28"/>
    <x v="1822"/>
    <x v="0"/>
  </r>
  <r>
    <x v="64"/>
    <x v="470"/>
    <s v="Cloro en polvo - Ecoprefered"/>
    <s v="Total"/>
    <x v="1"/>
    <x v="0"/>
    <x v="1"/>
    <x v="0"/>
    <n v="1588160"/>
    <n v="1588160"/>
    <n v="1018.0512820512821"/>
    <m/>
    <d v="2026-06-20T00:00:00"/>
    <n v="25"/>
    <x v="1822"/>
    <x v="0"/>
  </r>
  <r>
    <x v="64"/>
    <x v="470"/>
    <s v="Cloro en polvo - Ecoprefered"/>
    <s v="Total"/>
    <x v="1"/>
    <x v="0"/>
    <x v="1"/>
    <x v="0"/>
    <n v="75520"/>
    <n v="75520"/>
    <n v="48.410256410256409"/>
    <s v="Retenciones"/>
    <m/>
    <s v="22"/>
    <x v="1822"/>
    <x v="0"/>
  </r>
  <r>
    <x v="68"/>
    <x v="471"/>
    <s v="Insumos campaña"/>
    <s v="Fijo"/>
    <x v="1"/>
    <x v="0"/>
    <x v="0"/>
    <x v="0"/>
    <n v="5000000"/>
    <n v="5000000"/>
    <n v="3205.1282051282051"/>
    <m/>
    <m/>
    <s v="23"/>
    <x v="1823"/>
    <x v="0"/>
  </r>
  <r>
    <x v="68"/>
    <x v="471"/>
    <s v="Insumos campaña"/>
    <s v="Fijo"/>
    <x v="1"/>
    <x v="0"/>
    <x v="1"/>
    <x v="0"/>
    <n v="15000000"/>
    <n v="15000000"/>
    <n v="9615.3846153846152"/>
    <s v="CH 30 días"/>
    <d v="2025-07-04T00:00:00"/>
    <n v="27"/>
    <x v="0"/>
    <x v="0"/>
  </r>
  <r>
    <x v="68"/>
    <x v="471"/>
    <s v="Insumos campaña"/>
    <s v="Fijo"/>
    <x v="1"/>
    <x v="0"/>
    <x v="1"/>
    <x v="0"/>
    <n v="15000000"/>
    <n v="15000000"/>
    <n v="9615.3846153846152"/>
    <s v="CH 45 días"/>
    <d v="2025-07-19T00:00:00"/>
    <n v="29"/>
    <x v="0"/>
    <x v="0"/>
  </r>
  <r>
    <x v="67"/>
    <x v="471"/>
    <s v="Insumos campaña"/>
    <s v="Parcial"/>
    <x v="1"/>
    <x v="0"/>
    <x v="1"/>
    <x v="0"/>
    <n v="10000000"/>
    <n v="10000000"/>
    <n v="6410.2564102564102"/>
    <s v="CH 30 días"/>
    <d v="2025-07-14T00:00:00"/>
    <n v="29"/>
    <x v="0"/>
    <x v="0"/>
  </r>
  <r>
    <x v="76"/>
    <x v="471"/>
    <s v="Insumos Planta Conserva (Calcio) - Bodega (Peracético)"/>
    <s v="Total"/>
    <x v="1"/>
    <x v="0"/>
    <x v="1"/>
    <x v="0"/>
    <n v="9047531.3499999996"/>
    <n v="9047531.3499999996"/>
    <n v="5799.6995833333331"/>
    <s v="30/45 días"/>
    <m/>
    <s v="12"/>
    <x v="0"/>
    <x v="0"/>
  </r>
  <r>
    <x v="21"/>
    <x v="471"/>
    <s v="Insumos campaña"/>
    <s v="Parcial"/>
    <x v="1"/>
    <x v="0"/>
    <x v="0"/>
    <x v="0"/>
    <n v="3000000"/>
    <n v="3000000"/>
    <n v="1923.0769230769231"/>
    <m/>
    <m/>
    <s v="28"/>
    <x v="1824"/>
    <x v="0"/>
  </r>
  <r>
    <x v="69"/>
    <x v="471"/>
    <s v="Insumos campaña"/>
    <s v="Total"/>
    <x v="1"/>
    <x v="0"/>
    <x v="1"/>
    <x v="0"/>
    <n v="124245"/>
    <n v="124245"/>
    <n v="79.644230769230774"/>
    <m/>
    <d v="2025-08-16T00:00:00"/>
    <n v="33"/>
    <x v="34"/>
    <x v="0"/>
  </r>
  <r>
    <x v="69"/>
    <x v="471"/>
    <s v="Insumos campaña"/>
    <s v="Total"/>
    <x v="1"/>
    <x v="0"/>
    <x v="1"/>
    <x v="0"/>
    <n v="386474.59"/>
    <n v="386474.59"/>
    <n v="247.74012179487181"/>
    <m/>
    <d v="2025-08-29T00:00:00"/>
    <n v="35"/>
    <x v="34"/>
    <x v="0"/>
  </r>
  <r>
    <x v="69"/>
    <x v="471"/>
    <s v="Insumos campaña"/>
    <s v="Total"/>
    <x v="1"/>
    <x v="0"/>
    <x v="1"/>
    <x v="0"/>
    <n v="2001500"/>
    <n v="2001500"/>
    <n v="1283.0128205128206"/>
    <m/>
    <d v="2025-09-22T00:00:00"/>
    <n v="39"/>
    <x v="0"/>
    <x v="0"/>
  </r>
  <r>
    <x v="69"/>
    <x v="471"/>
    <s v="Insumos campaña"/>
    <s v="Total"/>
    <x v="1"/>
    <x v="0"/>
    <x v="1"/>
    <x v="0"/>
    <n v="2001500"/>
    <n v="2001500"/>
    <n v="1283.0128205128206"/>
    <m/>
    <d v="2025-08-29T00:00:00"/>
    <n v="35"/>
    <x v="0"/>
    <x v="0"/>
  </r>
  <r>
    <x v="69"/>
    <x v="471"/>
    <s v="Insumos campaña"/>
    <s v="Total"/>
    <x v="1"/>
    <x v="0"/>
    <x v="1"/>
    <x v="0"/>
    <n v="2001500"/>
    <n v="2001500"/>
    <n v="1283.0128205128206"/>
    <m/>
    <d v="2025-09-04T00:00:00"/>
    <n v="36"/>
    <x v="0"/>
    <x v="0"/>
  </r>
  <r>
    <x v="69"/>
    <x v="471"/>
    <s v="Insumos campaña"/>
    <s v="Total"/>
    <x v="1"/>
    <x v="0"/>
    <x v="1"/>
    <x v="0"/>
    <n v="2001500"/>
    <n v="2001500"/>
    <n v="1283.0128205128206"/>
    <m/>
    <d v="2025-09-18T00:00:00"/>
    <n v="38"/>
    <x v="34"/>
    <x v="0"/>
  </r>
  <r>
    <x v="69"/>
    <x v="471"/>
    <s v="Insumos campaña"/>
    <s v="Total"/>
    <x v="1"/>
    <x v="0"/>
    <x v="1"/>
    <x v="0"/>
    <n v="2001500"/>
    <n v="2001500"/>
    <n v="1283.0128205128206"/>
    <m/>
    <d v="2025-09-16T00:00:00"/>
    <n v="38"/>
    <x v="34"/>
    <x v="0"/>
  </r>
  <r>
    <x v="69"/>
    <x v="471"/>
    <s v="Insumos campaña"/>
    <s v="Total"/>
    <x v="1"/>
    <x v="0"/>
    <x v="1"/>
    <x v="0"/>
    <n v="2001500"/>
    <n v="2001500"/>
    <n v="1283.0128205128206"/>
    <m/>
    <d v="2025-09-01T00:00:00"/>
    <n v="36"/>
    <x v="0"/>
    <x v="0"/>
  </r>
  <r>
    <x v="69"/>
    <x v="471"/>
    <s v="Insumos campaña"/>
    <s v="Total"/>
    <x v="1"/>
    <x v="0"/>
    <x v="1"/>
    <x v="0"/>
    <n v="2001500"/>
    <n v="2001500"/>
    <n v="1283.0128205128206"/>
    <m/>
    <d v="2025-09-19T00:00:00"/>
    <n v="38"/>
    <x v="0"/>
    <x v="0"/>
  </r>
  <r>
    <x v="69"/>
    <x v="471"/>
    <s v="Insumos campaña"/>
    <s v="Total"/>
    <x v="1"/>
    <x v="0"/>
    <x v="1"/>
    <x v="0"/>
    <n v="2001500"/>
    <n v="2001500"/>
    <n v="1283.0128205128206"/>
    <m/>
    <d v="2025-09-17T00:00:00"/>
    <n v="38"/>
    <x v="34"/>
    <x v="0"/>
  </r>
  <r>
    <x v="18"/>
    <x v="471"/>
    <s v="Insumos campaña"/>
    <s v="Total"/>
    <x v="1"/>
    <x v="0"/>
    <x v="1"/>
    <x v="0"/>
    <n v="7743466.5"/>
    <n v="7743466.5"/>
    <n v="4963.7605769230768"/>
    <m/>
    <d v="2025-10-10T00:00:00"/>
    <n v="41"/>
    <x v="1825"/>
    <x v="0"/>
  </r>
  <r>
    <x v="10"/>
    <x v="471"/>
    <s v="Insumos campaña"/>
    <s v="Parcial"/>
    <x v="0"/>
    <x v="0"/>
    <x v="0"/>
    <x v="0"/>
    <n v="584610.61"/>
    <n v="584610.61"/>
    <n v="374.75039102564102"/>
    <m/>
    <m/>
    <s v="48"/>
    <x v="1826"/>
    <x v="0"/>
  </r>
  <r>
    <x v="4"/>
    <x v="471"/>
    <s v="Pedido Soda Caustica en perlas"/>
    <s v="Total"/>
    <x v="1"/>
    <x v="0"/>
    <x v="1"/>
    <x v="0"/>
    <n v="11612739.49"/>
    <n v="11612739.49"/>
    <n v="7444.063775641026"/>
    <m/>
    <d v="2026-01-16T00:00:00"/>
    <n v="3"/>
    <x v="1827"/>
    <x v="0"/>
  </r>
  <r>
    <x v="4"/>
    <x v="471"/>
    <s v="Pedido Soda Caustica en perlas"/>
    <s v="Total"/>
    <x v="1"/>
    <x v="0"/>
    <x v="1"/>
    <x v="0"/>
    <n v="14449670.26"/>
    <n v="14449670.26"/>
    <n v="9262.6091410256413"/>
    <m/>
    <d v="2026-03-27T00:00:00"/>
    <n v="13"/>
    <x v="1827"/>
    <x v="0"/>
  </r>
  <r>
    <x v="4"/>
    <x v="471"/>
    <s v="Pedido Soda Caustica en perlas"/>
    <s v="Total"/>
    <x v="1"/>
    <x v="0"/>
    <x v="1"/>
    <x v="0"/>
    <n v="14449670.25"/>
    <n v="14449670.25"/>
    <n v="9262.6091346153844"/>
    <m/>
    <d v="2026-02-20T00:00:00"/>
    <n v="8"/>
    <x v="1827"/>
    <x v="0"/>
  </r>
  <r>
    <x v="32"/>
    <x v="471"/>
    <s v="Insumos Campaña 2026"/>
    <s v="Total"/>
    <x v="0"/>
    <x v="0"/>
    <x v="1"/>
    <x v="0"/>
    <n v="1277760"/>
    <n v="1277760"/>
    <n v="819.07692307692309"/>
    <m/>
    <d v="2026-04-06T00:00:00"/>
    <n v="15"/>
    <x v="1828"/>
    <x v="0"/>
  </r>
  <r>
    <x v="32"/>
    <x v="471"/>
    <s v="Insumos Campaña 2026"/>
    <s v="Total"/>
    <x v="0"/>
    <x v="0"/>
    <x v="1"/>
    <x v="0"/>
    <n v="1500000"/>
    <n v="1500000"/>
    <n v="961.53846153846155"/>
    <m/>
    <d v="2026-04-10T00:00:00"/>
    <n v="15"/>
    <x v="1828"/>
    <x v="0"/>
  </r>
  <r>
    <x v="24"/>
    <x v="471"/>
    <s v="Insumos Campaña 2026"/>
    <s v="Total"/>
    <x v="1"/>
    <x v="0"/>
    <x v="1"/>
    <x v="0"/>
    <n v="18589549.440000001"/>
    <n v="18589549.440000001"/>
    <n v="11916.377846153848"/>
    <m/>
    <d v="2026-05-31T00:00:00"/>
    <n v="23"/>
    <x v="1829"/>
    <x v="0"/>
  </r>
  <r>
    <x v="24"/>
    <x v="471"/>
    <s v="Insumos Campaña 2026"/>
    <s v="Total"/>
    <x v="1"/>
    <x v="0"/>
    <x v="1"/>
    <x v="0"/>
    <n v="18589549.440000001"/>
    <n v="18589549.440000001"/>
    <n v="11916.377846153848"/>
    <m/>
    <d v="2026-06-30T00:00:00"/>
    <n v="27"/>
    <x v="1829"/>
    <x v="0"/>
  </r>
  <r>
    <x v="24"/>
    <x v="471"/>
    <s v="Insumos Campaña 2026"/>
    <s v="Total"/>
    <x v="1"/>
    <x v="0"/>
    <x v="1"/>
    <x v="0"/>
    <n v="18589549.440000001"/>
    <n v="18589549.440000001"/>
    <n v="11916.377846153848"/>
    <m/>
    <d v="2026-07-29T00:00:00"/>
    <n v="31"/>
    <x v="1829"/>
    <x v="0"/>
  </r>
  <r>
    <x v="24"/>
    <x v="471"/>
    <s v="Insumos Campaña 2026"/>
    <s v="Total"/>
    <x v="1"/>
    <x v="0"/>
    <x v="1"/>
    <x v="0"/>
    <n v="1138135.68"/>
    <n v="1138135.68"/>
    <n v="729.57415384615376"/>
    <s v="Retenciones"/>
    <m/>
    <s v="14"/>
    <x v="1829"/>
    <x v="0"/>
  </r>
  <r>
    <x v="33"/>
    <x v="471"/>
    <s v="Insumos Campaña 2026"/>
    <s v="Total"/>
    <x v="0"/>
    <x v="0"/>
    <x v="1"/>
    <x v="0"/>
    <n v="19295390.300000001"/>
    <n v="19295390.300000001"/>
    <n v="12368.839935897437"/>
    <m/>
    <d v="2026-04-17T00:00:00"/>
    <n v="16"/>
    <x v="1830"/>
    <x v="0"/>
  </r>
  <r>
    <x v="33"/>
    <x v="471"/>
    <s v="Insumos Campaña 2026"/>
    <s v="Total"/>
    <x v="0"/>
    <x v="0"/>
    <x v="1"/>
    <x v="0"/>
    <n v="19295390.300000001"/>
    <n v="19295390.300000001"/>
    <n v="12368.839935897437"/>
    <m/>
    <d v="2026-05-17T00:00:00"/>
    <n v="21"/>
    <x v="1830"/>
    <x v="0"/>
  </r>
  <r>
    <x v="33"/>
    <x v="471"/>
    <s v="Insumos Campaña 2026"/>
    <s v="Total"/>
    <x v="0"/>
    <x v="0"/>
    <x v="1"/>
    <x v="0"/>
    <n v="19295390.300000001"/>
    <n v="19295390.300000001"/>
    <n v="12368.839935897437"/>
    <m/>
    <d v="2026-06-17T00:00:00"/>
    <n v="25"/>
    <x v="1830"/>
    <x v="0"/>
  </r>
  <r>
    <x v="33"/>
    <x v="471"/>
    <s v="Insumos Campaña 2026"/>
    <s v="Total"/>
    <x v="0"/>
    <x v="0"/>
    <x v="1"/>
    <x v="0"/>
    <n v="1181383.5"/>
    <n v="1181383.5"/>
    <n v="757.29711538461538"/>
    <m/>
    <m/>
    <s v="12"/>
    <x v="1830"/>
    <x v="0"/>
  </r>
  <r>
    <x v="33"/>
    <x v="471"/>
    <s v="Insumos Campaña 2026"/>
    <s v="Total"/>
    <x v="0"/>
    <x v="0"/>
    <x v="1"/>
    <x v="0"/>
    <n v="6117464.3399999999"/>
    <n v="6117464.3399999999"/>
    <n v="3921.4515000000001"/>
    <m/>
    <d v="2026-04-17T00:00:00"/>
    <n v="16"/>
    <x v="1830"/>
    <x v="0"/>
  </r>
  <r>
    <x v="33"/>
    <x v="471"/>
    <s v="Insumos Campaña 2026"/>
    <s v="Total"/>
    <x v="0"/>
    <x v="0"/>
    <x v="1"/>
    <x v="0"/>
    <n v="6117464.3399999999"/>
    <n v="6117464.3399999999"/>
    <n v="3921.4515000000001"/>
    <m/>
    <d v="2026-05-17T00:00:00"/>
    <n v="21"/>
    <x v="1830"/>
    <x v="0"/>
  </r>
  <r>
    <x v="33"/>
    <x v="471"/>
    <s v="Insumos Campaña 2026"/>
    <s v="Total"/>
    <x v="0"/>
    <x v="0"/>
    <x v="1"/>
    <x v="0"/>
    <n v="6117464.3600000003"/>
    <n v="6117464.3600000003"/>
    <n v="3921.451512820513"/>
    <m/>
    <d v="2026-06-17T00:00:00"/>
    <n v="25"/>
    <x v="1830"/>
    <x v="0"/>
  </r>
  <r>
    <x v="33"/>
    <x v="471"/>
    <s v="Insumos Campaña 2026"/>
    <s v="Total"/>
    <x v="0"/>
    <x v="0"/>
    <x v="1"/>
    <x v="0"/>
    <n v="369967.21"/>
    <n v="369967.21"/>
    <n v="237.15846794871797"/>
    <m/>
    <m/>
    <s v="12"/>
    <x v="1830"/>
    <x v="0"/>
  </r>
  <r>
    <x v="57"/>
    <x v="471"/>
    <s v="Insumos Campaña 2026"/>
    <s v="Total"/>
    <x v="1"/>
    <x v="0"/>
    <x v="1"/>
    <x v="0"/>
    <n v="12103384.810000001"/>
    <n v="12103384.810000001"/>
    <n v="7758.5800064102568"/>
    <m/>
    <d v="2026-06-16T00:00:00"/>
    <n v="25"/>
    <x v="1831"/>
    <x v="0"/>
  </r>
  <r>
    <x v="57"/>
    <x v="471"/>
    <s v="Insumos Campaña 2026"/>
    <s v="Total"/>
    <x v="1"/>
    <x v="0"/>
    <x v="1"/>
    <x v="0"/>
    <n v="5697428.3200000003"/>
    <n v="5697428.3200000003"/>
    <n v="3652.1976410256411"/>
    <m/>
    <d v="2026-08-16T00:00:00"/>
    <n v="34"/>
    <x v="1831"/>
    <x v="0"/>
  </r>
  <r>
    <x v="57"/>
    <x v="471"/>
    <s v="Insumos Campaña 2026"/>
    <s v="Total"/>
    <x v="1"/>
    <x v="0"/>
    <x v="1"/>
    <x v="0"/>
    <n v="12103384.810000001"/>
    <n v="12103384.810000001"/>
    <n v="7758.5800064102568"/>
    <m/>
    <d v="2026-07-16T00:00:00"/>
    <n v="29"/>
    <x v="1831"/>
    <x v="0"/>
  </r>
  <r>
    <x v="57"/>
    <x v="471"/>
    <s v="Insumos Campaña 2026"/>
    <s v="Total"/>
    <x v="1"/>
    <x v="0"/>
    <x v="1"/>
    <x v="0"/>
    <n v="701454.5"/>
    <n v="701454.5"/>
    <n v="449.65032051282049"/>
    <s v="Retenciones"/>
    <m/>
    <s v="16"/>
    <x v="1831"/>
    <x v="0"/>
  </r>
  <r>
    <x v="53"/>
    <x v="471"/>
    <s v="Insumos Campaña 2026"/>
    <s v="Total"/>
    <x v="1"/>
    <x v="0"/>
    <x v="1"/>
    <x v="0"/>
    <n v="12103384.810000001"/>
    <n v="12103384.810000001"/>
    <n v="7758.5800064102568"/>
    <m/>
    <d v="2026-05-16T00:00:00"/>
    <n v="20"/>
    <x v="1831"/>
    <x v="0"/>
  </r>
  <r>
    <x v="62"/>
    <x v="471"/>
    <s v="Insumos Campaña 2026"/>
    <s v="Total"/>
    <x v="0"/>
    <x v="0"/>
    <x v="1"/>
    <x v="0"/>
    <n v="5012987.83"/>
    <n v="5012987.83"/>
    <n v="3213.4537371794872"/>
    <m/>
    <d v="2026-06-20T00:00:00"/>
    <n v="25"/>
    <x v="1832"/>
    <x v="0"/>
  </r>
  <r>
    <x v="62"/>
    <x v="471"/>
    <s v="Insumos Campaña 2026"/>
    <s v="Total"/>
    <x v="0"/>
    <x v="0"/>
    <x v="1"/>
    <x v="0"/>
    <n v="95779.76"/>
    <n v="95779.76"/>
    <n v="61.397282051282048"/>
    <s v="Retenciones"/>
    <m/>
    <s v="19"/>
    <x v="1832"/>
    <x v="0"/>
  </r>
  <r>
    <x v="64"/>
    <x v="471"/>
    <s v="Insumos Campaña 2026"/>
    <s v="Total"/>
    <x v="1"/>
    <x v="0"/>
    <x v="1"/>
    <x v="0"/>
    <n v="1000000"/>
    <n v="1000000"/>
    <n v="641.02564102564099"/>
    <m/>
    <d v="2026-07-05T00:00:00"/>
    <n v="28"/>
    <x v="1833"/>
    <x v="0"/>
  </r>
  <r>
    <x v="64"/>
    <x v="471"/>
    <s v="Insumos Campaña 2026"/>
    <s v="Total"/>
    <x v="1"/>
    <x v="0"/>
    <x v="1"/>
    <x v="0"/>
    <n v="2792000"/>
    <n v="2792000"/>
    <n v="1789.7435897435898"/>
    <m/>
    <d v="2026-06-27T00:00:00"/>
    <n v="26"/>
    <x v="1833"/>
    <x v="0"/>
  </r>
  <r>
    <x v="64"/>
    <x v="471"/>
    <s v="Insumos Campaña 2026"/>
    <s v="Total"/>
    <x v="1"/>
    <x v="0"/>
    <x v="1"/>
    <x v="0"/>
    <n v="75840"/>
    <n v="75840"/>
    <n v="48.615384615384613"/>
    <s v="Retenciones"/>
    <m/>
    <s v="22"/>
    <x v="1833"/>
    <x v="0"/>
  </r>
  <r>
    <x v="58"/>
    <x v="471"/>
    <s v="Insumos Campaña 2026"/>
    <s v="Total"/>
    <x v="0"/>
    <x v="0"/>
    <x v="1"/>
    <x v="0"/>
    <n v="5112965.3600000003"/>
    <n v="5112965.3600000003"/>
    <n v="3277.5418974358977"/>
    <m/>
    <d v="2026-08-29T00:00:00"/>
    <n v="35"/>
    <x v="1263"/>
    <x v="0"/>
  </r>
  <r>
    <x v="58"/>
    <x v="471"/>
    <s v="Insumos Campaña 2026"/>
    <s v="Total"/>
    <x v="0"/>
    <x v="0"/>
    <x v="1"/>
    <x v="0"/>
    <n v="97779.31"/>
    <n v="97779.31"/>
    <n v="62.679044871794872"/>
    <s v="Retenciones"/>
    <m/>
    <s v="30"/>
    <x v="1263"/>
    <x v="0"/>
  </r>
  <r>
    <x v="12"/>
    <x v="471"/>
    <s v="Insumos Campaña 2026"/>
    <s v="Total"/>
    <x v="0"/>
    <x v="0"/>
    <x v="1"/>
    <x v="0"/>
    <n v="2000000"/>
    <n v="2000000"/>
    <n v="1282.051282051282"/>
    <m/>
    <d v="2026-09-26T00:00:00"/>
    <n v="39"/>
    <x v="1834"/>
    <x v="0"/>
  </r>
  <r>
    <x v="12"/>
    <x v="471"/>
    <s v="Insumos Campaña 2026"/>
    <s v="Total"/>
    <x v="0"/>
    <x v="0"/>
    <x v="1"/>
    <x v="0"/>
    <n v="3578430"/>
    <n v="3578430"/>
    <n v="2293.8653846153848"/>
    <m/>
    <d v="2026-09-03T00:00:00"/>
    <n v="36"/>
    <x v="1834"/>
    <x v="0"/>
  </r>
  <r>
    <x v="12"/>
    <x v="471"/>
    <s v="Insumos Campaña 2026"/>
    <s v="Total"/>
    <x v="0"/>
    <x v="0"/>
    <x v="1"/>
    <x v="0"/>
    <n v="88688.6"/>
    <n v="88688.6"/>
    <n v="56.851666666666674"/>
    <s v="Retenciones"/>
    <m/>
    <s v="33"/>
    <x v="1834"/>
    <x v="0"/>
  </r>
  <r>
    <x v="77"/>
    <x v="471"/>
    <s v="Insumos Campaña 2026"/>
    <s v="Total"/>
    <x v="0"/>
    <x v="0"/>
    <x v="1"/>
    <x v="0"/>
    <n v="3000000"/>
    <n v="3000000"/>
    <n v="1923.0769230769231"/>
    <m/>
    <d v="2026-10-18T00:00:00"/>
    <n v="43"/>
    <x v="1835"/>
    <x v="0"/>
  </r>
  <r>
    <x v="77"/>
    <x v="471"/>
    <s v="Insumos Campaña 2026"/>
    <s v="Total"/>
    <x v="0"/>
    <x v="0"/>
    <x v="1"/>
    <x v="0"/>
    <n v="8991461.5999999996"/>
    <n v="8991461.5999999996"/>
    <n v="5763.7574358974352"/>
    <m/>
    <d v="2026-09-09T00:00:00"/>
    <n v="37"/>
    <x v="1835"/>
    <x v="0"/>
  </r>
  <r>
    <x v="77"/>
    <x v="471"/>
    <s v="Insumos Campaña 2026"/>
    <s v="Total"/>
    <x v="0"/>
    <x v="0"/>
    <x v="1"/>
    <x v="0"/>
    <n v="4000000"/>
    <n v="4000000"/>
    <n v="2564.102564102564"/>
    <m/>
    <d v="2026-10-15T00:00:00"/>
    <n v="42"/>
    <x v="1835"/>
    <x v="0"/>
  </r>
  <r>
    <x v="77"/>
    <x v="471"/>
    <s v="Insumos Campaña 2026"/>
    <s v="Total"/>
    <x v="0"/>
    <x v="0"/>
    <x v="1"/>
    <x v="0"/>
    <n v="4000000"/>
    <n v="4000000"/>
    <n v="2564.102564102564"/>
    <m/>
    <d v="2026-10-22T00:00:00"/>
    <n v="43"/>
    <x v="1835"/>
    <x v="0"/>
  </r>
  <r>
    <x v="77"/>
    <x v="471"/>
    <s v="Insumos Campaña 2026"/>
    <s v="Total"/>
    <x v="0"/>
    <x v="0"/>
    <x v="1"/>
    <x v="0"/>
    <n v="395349.23"/>
    <n v="395349.23"/>
    <n v="253.42899358974358"/>
    <s v="Retenciones"/>
    <m/>
    <s v="35"/>
    <x v="1835"/>
    <x v="0"/>
  </r>
  <r>
    <x v="40"/>
    <x v="471"/>
    <s v="Insumos Campaña 2026"/>
    <s v="Parcial"/>
    <x v="0"/>
    <x v="0"/>
    <x v="1"/>
    <x v="0"/>
    <n v="5000000"/>
    <n v="5000000"/>
    <n v="3205.1282051282051"/>
    <m/>
    <d v="2026-11-10T00:00:00"/>
    <n v="46"/>
    <x v="1836"/>
    <x v="0"/>
  </r>
  <r>
    <x v="40"/>
    <x v="471"/>
    <s v="Insumos Campaña 2026"/>
    <s v="Parcial"/>
    <x v="0"/>
    <x v="0"/>
    <x v="1"/>
    <x v="0"/>
    <n v="400000"/>
    <n v="400000"/>
    <n v="256.41025641025641"/>
    <m/>
    <d v="2026-11-14T00:00:00"/>
    <n v="46"/>
    <x v="1836"/>
    <x v="0"/>
  </r>
  <r>
    <x v="40"/>
    <x v="471"/>
    <s v="Insumos Campaña 2026"/>
    <s v="Parcial"/>
    <x v="0"/>
    <x v="0"/>
    <x v="1"/>
    <x v="0"/>
    <n v="2628000"/>
    <n v="2628000"/>
    <n v="1684.6153846153845"/>
    <m/>
    <d v="2026-11-13T00:00:00"/>
    <n v="46"/>
    <x v="1836"/>
    <x v="0"/>
  </r>
  <r>
    <x v="40"/>
    <x v="471"/>
    <s v="Insumos Campaña 2026"/>
    <s v="Parcial"/>
    <x v="0"/>
    <x v="0"/>
    <x v="1"/>
    <x v="0"/>
    <n v="156080"/>
    <n v="156080"/>
    <n v="100.05128205128206"/>
    <s v="Retenciones"/>
    <m/>
    <s v="40"/>
    <x v="1836"/>
    <x v="0"/>
  </r>
  <r>
    <x v="3"/>
    <x v="472"/>
    <s v="Servicio de ventas"/>
    <s v="Total"/>
    <x v="0"/>
    <x v="0"/>
    <x v="1"/>
    <x v="1"/>
    <n v="94719.85"/>
    <n v="147762966"/>
    <n v="94719.85"/>
    <m/>
    <m/>
    <s v="44"/>
    <x v="0"/>
    <x v="1"/>
  </r>
  <r>
    <x v="3"/>
    <x v="447"/>
    <s v="Pedido Ventas "/>
    <s v="Total"/>
    <x v="0"/>
    <x v="0"/>
    <x v="1"/>
    <x v="0"/>
    <n v="1066365.07"/>
    <n v="1066365.07"/>
    <n v="683.56735256410263"/>
    <m/>
    <m/>
    <s v="44"/>
    <x v="0"/>
    <x v="1"/>
  </r>
  <r>
    <x v="3"/>
    <x v="450"/>
    <s v="Bidones TAU 240"/>
    <s v="Parcial"/>
    <x v="0"/>
    <x v="0"/>
    <x v="1"/>
    <x v="1"/>
    <n v="236811.18"/>
    <n v="369425440.80000001"/>
    <n v="236811.18000000002"/>
    <m/>
    <m/>
    <s v="44"/>
    <x v="0"/>
    <x v="1"/>
  </r>
  <r>
    <x v="3"/>
    <x v="459"/>
    <s v="Tarimas usadas + Flete"/>
    <s v="Total"/>
    <x v="0"/>
    <x v="0"/>
    <x v="1"/>
    <x v="0"/>
    <n v="64000"/>
    <n v="64000"/>
    <n v="41.025641025641029"/>
    <m/>
    <m/>
    <s v="44"/>
    <x v="0"/>
    <x v="2"/>
  </r>
  <r>
    <x v="3"/>
    <x v="461"/>
    <s v="Combustible"/>
    <s v="Total"/>
    <x v="2"/>
    <x v="0"/>
    <x v="2"/>
    <x v="0"/>
    <n v="87009.8"/>
    <n v="87009.8"/>
    <n v="55.775512820512823"/>
    <m/>
    <m/>
    <s v="44"/>
    <x v="1837"/>
    <x v="0"/>
  </r>
  <r>
    <x v="63"/>
    <x v="473"/>
    <s v="Caseinato x 20kg - pedido bodega"/>
    <s v="Total"/>
    <x v="1"/>
    <x v="0"/>
    <x v="0"/>
    <x v="0"/>
    <n v="183346.8"/>
    <n v="183346.8"/>
    <n v="117.52999999999999"/>
    <m/>
    <m/>
    <s v="44"/>
    <x v="1838"/>
    <x v="0"/>
  </r>
  <r>
    <x v="7"/>
    <x v="474"/>
    <m/>
    <s v="Total"/>
    <x v="3"/>
    <x v="0"/>
    <x v="0"/>
    <x v="0"/>
    <n v="556800"/>
    <n v="556800"/>
    <n v="356.92307692307691"/>
    <m/>
    <m/>
    <s v="46"/>
    <x v="1839"/>
    <x v="0"/>
  </r>
  <r>
    <x v="24"/>
    <x v="474"/>
    <s v="Honorarios Profesionales"/>
    <s v="Total"/>
    <x v="3"/>
    <x v="0"/>
    <x v="0"/>
    <x v="0"/>
    <n v="402500"/>
    <n v="402500"/>
    <n v="258.0128205128205"/>
    <m/>
    <m/>
    <s v="14"/>
    <x v="1396"/>
    <x v="0"/>
  </r>
  <r>
    <x v="76"/>
    <x v="475"/>
    <s v="Honorarios Febrero"/>
    <s v="Total"/>
    <x v="1"/>
    <x v="1"/>
    <x v="2"/>
    <x v="0"/>
    <n v="393006.33"/>
    <n v="393006.33"/>
    <n v="251.92713461538463"/>
    <m/>
    <m/>
    <s v="12"/>
    <x v="0"/>
    <x v="0"/>
  </r>
  <r>
    <x v="51"/>
    <x v="475"/>
    <s v="Honorarios"/>
    <s v="Total"/>
    <x v="1"/>
    <x v="1"/>
    <x v="2"/>
    <x v="0"/>
    <n v="400000"/>
    <n v="400000"/>
    <n v="256.41025641025641"/>
    <m/>
    <m/>
    <s v="17"/>
    <x v="0"/>
    <x v="0"/>
  </r>
  <r>
    <x v="0"/>
    <x v="475"/>
    <s v="Honorarios profesionales"/>
    <s v="Total"/>
    <x v="3"/>
    <x v="1"/>
    <x v="2"/>
    <x v="0"/>
    <n v="415405.74"/>
    <n v="415405.74"/>
    <n v="266.28573076923078"/>
    <m/>
    <m/>
    <s v="22"/>
    <x v="0"/>
    <x v="0"/>
  </r>
  <r>
    <x v="68"/>
    <x v="476"/>
    <s v="Flete Calcio / Mendoza - finca"/>
    <s v="Parcial"/>
    <x v="0"/>
    <x v="0"/>
    <x v="1"/>
    <x v="0"/>
    <n v="272250"/>
    <n v="272250"/>
    <n v="174.51923076923077"/>
    <s v="CH 20 Días"/>
    <d v="2025-06-23T00:00:00"/>
    <n v="26"/>
    <x v="0"/>
    <x v="0"/>
  </r>
  <r>
    <x v="5"/>
    <x v="476"/>
    <s v="Tarimas - Planta / bodega"/>
    <s v="Total"/>
    <x v="1"/>
    <x v="0"/>
    <x v="1"/>
    <x v="0"/>
    <n v="536000"/>
    <n v="536000"/>
    <n v="343.58974358974359"/>
    <m/>
    <d v="2025-08-25T00:00:00"/>
    <n v="35"/>
    <x v="1840"/>
    <x v="0"/>
  </r>
  <r>
    <x v="60"/>
    <x v="476"/>
    <s v="Tarimas - Planta / bodega"/>
    <s v="Total"/>
    <x v="1"/>
    <x v="0"/>
    <x v="0"/>
    <x v="0"/>
    <n v="198037.61"/>
    <n v="198037.61"/>
    <n v="126.94718589743589"/>
    <m/>
    <d v="2025-08-30T00:00:00"/>
    <n v="35"/>
    <x v="1841"/>
    <x v="0"/>
  </r>
  <r>
    <x v="60"/>
    <x v="476"/>
    <s v="Flete"/>
    <s v="Total"/>
    <x v="1"/>
    <x v="0"/>
    <x v="0"/>
    <x v="0"/>
    <n v="200000"/>
    <n v="200000"/>
    <n v="128.2051282051282"/>
    <m/>
    <m/>
    <s v="37"/>
    <x v="1842"/>
    <x v="0"/>
  </r>
  <r>
    <x v="50"/>
    <x v="476"/>
    <s v="Tarimas - Planta / bodega"/>
    <s v="Total"/>
    <x v="0"/>
    <x v="0"/>
    <x v="1"/>
    <x v="0"/>
    <n v="500000"/>
    <n v="500000"/>
    <n v="320.5128205128205"/>
    <m/>
    <d v="2026-01-23T00:00:00"/>
    <n v="4"/>
    <x v="1843"/>
    <x v="0"/>
  </r>
  <r>
    <x v="50"/>
    <x v="476"/>
    <s v="Tarimas - Planta / bodega"/>
    <s v="Total"/>
    <x v="0"/>
    <x v="0"/>
    <x v="1"/>
    <x v="0"/>
    <n v="500000"/>
    <n v="500000"/>
    <n v="320.5128205128205"/>
    <m/>
    <d v="2026-02-23T00:00:00"/>
    <n v="9"/>
    <x v="1843"/>
    <x v="0"/>
  </r>
  <r>
    <x v="50"/>
    <x v="476"/>
    <s v="Tarimas - Planta / bodega"/>
    <s v="Total"/>
    <x v="0"/>
    <x v="0"/>
    <x v="2"/>
    <x v="0"/>
    <n v="48543.4"/>
    <n v="48543.4"/>
    <n v="31.117564102564103"/>
    <m/>
    <m/>
    <s v="04"/>
    <x v="1843"/>
    <x v="0"/>
  </r>
  <r>
    <x v="30"/>
    <x v="477"/>
    <s v="INV Bodega"/>
    <s v="Total"/>
    <x v="3"/>
    <x v="0"/>
    <x v="0"/>
    <x v="0"/>
    <n v="1914000"/>
    <n v="1914000"/>
    <n v="1226.9230769230769"/>
    <m/>
    <m/>
    <s v="43"/>
    <x v="1844"/>
    <x v="0"/>
  </r>
  <r>
    <x v="74"/>
    <x v="477"/>
    <s v="Honorarios"/>
    <s v="Total"/>
    <x v="3"/>
    <x v="0"/>
    <x v="0"/>
    <x v="0"/>
    <n v="198400"/>
    <n v="198400"/>
    <n v="127.17948717948718"/>
    <m/>
    <m/>
    <s v="03"/>
    <x v="1845"/>
    <x v="0"/>
  </r>
  <r>
    <x v="22"/>
    <x v="478"/>
    <s v="Febrero"/>
    <s v="Total"/>
    <x v="3"/>
    <x v="0"/>
    <x v="0"/>
    <x v="0"/>
    <n v="463500"/>
    <n v="463500"/>
    <n v="297.11538461538464"/>
    <m/>
    <m/>
    <s v="23"/>
    <x v="1846"/>
    <x v="0"/>
  </r>
  <r>
    <x v="57"/>
    <x v="479"/>
    <s v="Cosecha 2026 - Ribot - Cosecha"/>
    <s v="Total"/>
    <x v="2"/>
    <x v="1"/>
    <x v="2"/>
    <x v="1"/>
    <n v="7000"/>
    <n v="10920000"/>
    <n v="7000"/>
    <s v="$1390 equivalente a USD7159"/>
    <m/>
    <s v="16"/>
    <x v="1847"/>
    <x v="0"/>
  </r>
  <r>
    <x v="57"/>
    <x v="479"/>
    <s v="Cosecha 2026 - Ribot"/>
    <s v="Total"/>
    <x v="2"/>
    <x v="1"/>
    <x v="2"/>
    <x v="0"/>
    <n v="4500000"/>
    <n v="4500000"/>
    <n v="2884.6153846153848"/>
    <m/>
    <m/>
    <s v="16"/>
    <x v="1848"/>
    <x v="0"/>
  </r>
  <r>
    <x v="53"/>
    <x v="479"/>
    <s v="Cosecha 2026 - Ribot"/>
    <s v="Total"/>
    <x v="2"/>
    <x v="1"/>
    <x v="2"/>
    <x v="1"/>
    <n v="7000"/>
    <n v="10920000"/>
    <n v="7000"/>
    <m/>
    <m/>
    <s v="17"/>
    <x v="1849"/>
    <x v="0"/>
  </r>
  <r>
    <x v="23"/>
    <x v="479"/>
    <s v="Cosecha 2026 - Ribot"/>
    <s v="Total"/>
    <x v="2"/>
    <x v="1"/>
    <x v="2"/>
    <x v="1"/>
    <n v="3000"/>
    <n v="4680000"/>
    <n v="3000"/>
    <m/>
    <m/>
    <s v="18"/>
    <x v="1850"/>
    <x v="0"/>
  </r>
  <r>
    <x v="62"/>
    <x v="479"/>
    <s v="Cosecha 2026 - Ribot"/>
    <s v="Total"/>
    <x v="2"/>
    <x v="1"/>
    <x v="2"/>
    <x v="0"/>
    <n v="198730"/>
    <n v="198730"/>
    <n v="127.39102564102564"/>
    <m/>
    <d v="2026-06-18T00:00:00"/>
    <n v="25"/>
    <x v="1851"/>
    <x v="0"/>
  </r>
  <r>
    <x v="62"/>
    <x v="479"/>
    <s v="Cosecha 2026 - Ribot"/>
    <s v="Total"/>
    <x v="2"/>
    <x v="1"/>
    <x v="2"/>
    <x v="0"/>
    <n v="272825"/>
    <n v="272825"/>
    <n v="174.88782051282053"/>
    <m/>
    <d v="2026-06-20T00:00:00"/>
    <n v="25"/>
    <x v="1851"/>
    <x v="0"/>
  </r>
  <r>
    <x v="62"/>
    <x v="479"/>
    <s v="Cosecha 2026 - Ribot"/>
    <s v="Total"/>
    <x v="2"/>
    <x v="1"/>
    <x v="2"/>
    <x v="0"/>
    <n v="800000"/>
    <n v="800000"/>
    <n v="512.82051282051282"/>
    <m/>
    <d v="2026-06-14T00:00:00"/>
    <n v="25"/>
    <x v="1851"/>
    <x v="0"/>
  </r>
  <r>
    <x v="62"/>
    <x v="479"/>
    <s v="Cosecha 2026 - Ribot"/>
    <s v="Total"/>
    <x v="2"/>
    <x v="1"/>
    <x v="2"/>
    <x v="0"/>
    <n v="800000"/>
    <n v="800000"/>
    <n v="512.82051282051282"/>
    <m/>
    <d v="2026-06-07T00:00:00"/>
    <n v="24"/>
    <x v="1851"/>
    <x v="0"/>
  </r>
  <r>
    <x v="34"/>
    <x v="479"/>
    <s v="Campaña 2026"/>
    <s v="Total"/>
    <x v="4"/>
    <x v="1"/>
    <x v="1"/>
    <x v="0"/>
    <n v="1214000"/>
    <n v="1214000"/>
    <n v="778.20512820512818"/>
    <m/>
    <d v="2026-06-04T00:00:00"/>
    <n v="23"/>
    <x v="1852"/>
    <x v="0"/>
  </r>
  <r>
    <x v="34"/>
    <x v="479"/>
    <s v="Campaña 2026"/>
    <s v="Total"/>
    <x v="4"/>
    <x v="1"/>
    <x v="1"/>
    <x v="0"/>
    <n v="1250000"/>
    <n v="1250000"/>
    <n v="801.28205128205127"/>
    <m/>
    <d v="2026-06-23T00:00:00"/>
    <n v="26"/>
    <x v="1853"/>
    <x v="0"/>
  </r>
  <r>
    <x v="22"/>
    <x v="479"/>
    <s v="Cosecha 2026"/>
    <s v="Total"/>
    <x v="2"/>
    <x v="1"/>
    <x v="2"/>
    <x v="0"/>
    <n v="400000"/>
    <n v="400000"/>
    <n v="256.41025641025641"/>
    <m/>
    <m/>
    <s v="23"/>
    <x v="1854"/>
    <x v="0"/>
  </r>
  <r>
    <x v="45"/>
    <x v="479"/>
    <s v="Campaña 2026"/>
    <s v="Total"/>
    <x v="2"/>
    <x v="1"/>
    <x v="2"/>
    <x v="0"/>
    <n v="900000"/>
    <n v="900000"/>
    <n v="576.92307692307691"/>
    <m/>
    <m/>
    <s v="25"/>
    <x v="1855"/>
    <x v="0"/>
  </r>
  <r>
    <x v="43"/>
    <x v="479"/>
    <s v="Campaña 2026"/>
    <s v="Total"/>
    <x v="0"/>
    <x v="1"/>
    <x v="1"/>
    <x v="0"/>
    <n v="2000000"/>
    <n v="2000000"/>
    <n v="1282.051282051282"/>
    <m/>
    <d v="2026-08-08T00:00:00"/>
    <n v="32"/>
    <x v="1856"/>
    <x v="0"/>
  </r>
  <r>
    <x v="43"/>
    <x v="479"/>
    <s v="Campaña 2026"/>
    <s v="Total"/>
    <x v="2"/>
    <x v="1"/>
    <x v="2"/>
    <x v="0"/>
    <n v="1000000"/>
    <n v="1000000"/>
    <n v="641.02564102564099"/>
    <m/>
    <m/>
    <s v="26"/>
    <x v="1856"/>
    <x v="0"/>
  </r>
  <r>
    <x v="35"/>
    <x v="479"/>
    <s v="Campaña 2026"/>
    <s v="Total"/>
    <x v="4"/>
    <x v="1"/>
    <x v="1"/>
    <x v="0"/>
    <n v="3212624.89"/>
    <n v="3212624.89"/>
    <n v="2059.3749294871795"/>
    <m/>
    <m/>
    <s v="27"/>
    <x v="1857"/>
    <x v="0"/>
  </r>
  <r>
    <x v="36"/>
    <x v="479"/>
    <s v="Campaña 2026"/>
    <s v="Total"/>
    <x v="4"/>
    <x v="1"/>
    <x v="1"/>
    <x v="0"/>
    <n v="2500000"/>
    <n v="2500000"/>
    <n v="1602.5641025641025"/>
    <m/>
    <d v="2026-07-28T00:00:00"/>
    <n v="31"/>
    <x v="1858"/>
    <x v="0"/>
  </r>
  <r>
    <x v="36"/>
    <x v="479"/>
    <s v="Campaña 2026"/>
    <s v="Total"/>
    <x v="4"/>
    <x v="1"/>
    <x v="1"/>
    <x v="0"/>
    <n v="2726733"/>
    <n v="2726733"/>
    <n v="1747.9057692307692"/>
    <m/>
    <d v="2026-08-31T00:00:00"/>
    <n v="36"/>
    <x v="1858"/>
    <x v="0"/>
  </r>
  <r>
    <x v="37"/>
    <x v="479"/>
    <s v="Campaña 2026"/>
    <s v="Total"/>
    <x v="4"/>
    <x v="1"/>
    <x v="1"/>
    <x v="0"/>
    <n v="335749"/>
    <n v="335749"/>
    <n v="215.22371794871796"/>
    <m/>
    <d v="2026-06-25T00:00:00"/>
    <n v="26"/>
    <x v="1859"/>
    <x v="0"/>
  </r>
  <r>
    <x v="37"/>
    <x v="479"/>
    <s v="Campaña 2026"/>
    <s v="Total"/>
    <x v="4"/>
    <x v="1"/>
    <x v="1"/>
    <x v="0"/>
    <n v="1000000"/>
    <n v="1000000"/>
    <n v="641.02564102564099"/>
    <m/>
    <d v="2026-08-10T00:00:00"/>
    <n v="33"/>
    <x v="1859"/>
    <x v="0"/>
  </r>
  <r>
    <x v="37"/>
    <x v="479"/>
    <s v="Campaña 2026"/>
    <s v="Total"/>
    <x v="4"/>
    <x v="1"/>
    <x v="1"/>
    <x v="0"/>
    <n v="550000"/>
    <n v="550000"/>
    <n v="352.56410256410254"/>
    <m/>
    <d v="2026-06-20T00:00:00"/>
    <n v="25"/>
    <x v="1859"/>
    <x v="0"/>
  </r>
  <r>
    <x v="37"/>
    <x v="479"/>
    <s v="Campaña 2026"/>
    <s v="Total"/>
    <x v="2"/>
    <x v="1"/>
    <x v="2"/>
    <x v="1"/>
    <n v="800"/>
    <n v="1248000"/>
    <n v="800"/>
    <m/>
    <m/>
    <s v="29"/>
    <x v="1860"/>
    <x v="0"/>
  </r>
  <r>
    <x v="58"/>
    <x v="479"/>
    <s v="Campaña 2026"/>
    <s v="Total"/>
    <x v="2"/>
    <x v="1"/>
    <x v="2"/>
    <x v="0"/>
    <n v="500000"/>
    <n v="500000"/>
    <n v="320.5128205128205"/>
    <m/>
    <m/>
    <s v="30"/>
    <x v="1861"/>
    <x v="0"/>
  </r>
  <r>
    <x v="44"/>
    <x v="479"/>
    <s v="Campaña 2026"/>
    <s v="Total"/>
    <x v="5"/>
    <x v="1"/>
    <x v="2"/>
    <x v="0"/>
    <n v="500000"/>
    <n v="500000"/>
    <n v="320.5128205128205"/>
    <m/>
    <m/>
    <s v="31"/>
    <x v="1862"/>
    <x v="0"/>
  </r>
  <r>
    <x v="38"/>
    <x v="479"/>
    <s v="Campaña 2026"/>
    <s v="Total"/>
    <x v="5"/>
    <x v="1"/>
    <x v="1"/>
    <x v="0"/>
    <n v="650000"/>
    <n v="650000"/>
    <n v="416.66666666666669"/>
    <m/>
    <d v="2026-08-14T00:00:00"/>
    <n v="33"/>
    <x v="1863"/>
    <x v="0"/>
  </r>
  <r>
    <x v="38"/>
    <x v="479"/>
    <s v="Campaña 2026"/>
    <s v="Total"/>
    <x v="5"/>
    <x v="1"/>
    <x v="1"/>
    <x v="0"/>
    <n v="1000000"/>
    <n v="1000000"/>
    <n v="641.02564102564099"/>
    <m/>
    <d v="2026-08-30T00:00:00"/>
    <n v="36"/>
    <x v="1863"/>
    <x v="0"/>
  </r>
  <r>
    <x v="38"/>
    <x v="479"/>
    <s v="Campaña 2026"/>
    <s v="Total"/>
    <x v="5"/>
    <x v="1"/>
    <x v="1"/>
    <x v="0"/>
    <n v="1500000"/>
    <n v="1500000"/>
    <n v="961.53846153846155"/>
    <m/>
    <d v="2026-08-06T00:00:00"/>
    <n v="32"/>
    <x v="1863"/>
    <x v="0"/>
  </r>
  <r>
    <x v="12"/>
    <x v="479"/>
    <s v="Campaña 2026"/>
    <s v="Total"/>
    <x v="5"/>
    <x v="1"/>
    <x v="1"/>
    <x v="0"/>
    <n v="850000"/>
    <n v="850000"/>
    <n v="544.87179487179492"/>
    <m/>
    <d v="2026-08-31T00:00:00"/>
    <n v="36"/>
    <x v="1864"/>
    <x v="0"/>
  </r>
  <r>
    <x v="12"/>
    <x v="479"/>
    <s v="Campaña 2026"/>
    <s v="Total"/>
    <x v="5"/>
    <x v="1"/>
    <x v="1"/>
    <x v="0"/>
    <n v="2193800"/>
    <n v="2193800"/>
    <n v="1406.2820512820513"/>
    <m/>
    <d v="2026-09-12T00:00:00"/>
    <n v="37"/>
    <x v="1864"/>
    <x v="0"/>
  </r>
  <r>
    <x v="77"/>
    <x v="479"/>
    <s v="Campaña 2026"/>
    <s v="Total"/>
    <x v="5"/>
    <x v="1"/>
    <x v="1"/>
    <x v="0"/>
    <n v="1000000"/>
    <n v="1000000"/>
    <n v="641.02564102564099"/>
    <m/>
    <d v="2026-09-12T00:00:00"/>
    <n v="37"/>
    <x v="1865"/>
    <x v="0"/>
  </r>
  <r>
    <x v="77"/>
    <x v="479"/>
    <s v="Campaña 2026"/>
    <s v="Total"/>
    <x v="5"/>
    <x v="1"/>
    <x v="1"/>
    <x v="0"/>
    <n v="700000"/>
    <n v="700000"/>
    <n v="448.71794871794873"/>
    <m/>
    <d v="2026-09-26T00:00:00"/>
    <n v="39"/>
    <x v="1865"/>
    <x v="0"/>
  </r>
  <r>
    <x v="77"/>
    <x v="479"/>
    <s v="Campaña 2026"/>
    <s v="Total"/>
    <x v="5"/>
    <x v="1"/>
    <x v="1"/>
    <x v="0"/>
    <n v="401666"/>
    <n v="401666"/>
    <n v="257.4782051282051"/>
    <m/>
    <d v="2026-09-10T00:00:00"/>
    <n v="37"/>
    <x v="1865"/>
    <x v="0"/>
  </r>
  <r>
    <x v="77"/>
    <x v="479"/>
    <s v="Campaña 2026"/>
    <s v="Total"/>
    <x v="2"/>
    <x v="1"/>
    <x v="2"/>
    <x v="0"/>
    <n v="800000"/>
    <n v="800000"/>
    <n v="512.82051282051282"/>
    <m/>
    <m/>
    <s v="35"/>
    <x v="1865"/>
    <x v="0"/>
  </r>
  <r>
    <x v="71"/>
    <x v="479"/>
    <s v="Campaña 2026"/>
    <s v="Total"/>
    <x v="2"/>
    <x v="1"/>
    <x v="2"/>
    <x v="0"/>
    <n v="500000"/>
    <n v="500000"/>
    <n v="320.5128205128205"/>
    <m/>
    <m/>
    <s v="36"/>
    <x v="1866"/>
    <x v="0"/>
  </r>
  <r>
    <x v="71"/>
    <x v="479"/>
    <s v="Campaña 2026"/>
    <s v="Total"/>
    <x v="2"/>
    <x v="1"/>
    <x v="2"/>
    <x v="0"/>
    <n v="340000"/>
    <n v="340000"/>
    <n v="217.94871794871796"/>
    <m/>
    <d v="2026-09-28T00:00:00"/>
    <n v="40"/>
    <x v="1866"/>
    <x v="0"/>
  </r>
  <r>
    <x v="71"/>
    <x v="479"/>
    <s v="Campaña 2026"/>
    <s v="Total"/>
    <x v="2"/>
    <x v="1"/>
    <x v="2"/>
    <x v="0"/>
    <n v="900000"/>
    <n v="900000"/>
    <n v="576.92307692307691"/>
    <m/>
    <d v="2026-10-15T00:00:00"/>
    <n v="42"/>
    <x v="1866"/>
    <x v="0"/>
  </r>
  <r>
    <x v="11"/>
    <x v="479"/>
    <s v="Campaña 2026"/>
    <s v="Total"/>
    <x v="5"/>
    <x v="1"/>
    <x v="1"/>
    <x v="0"/>
    <n v="340000"/>
    <n v="340000"/>
    <n v="217.94871794871796"/>
    <m/>
    <d v="2026-09-30T00:00:00"/>
    <n v="40"/>
    <x v="1867"/>
    <x v="0"/>
  </r>
  <r>
    <x v="11"/>
    <x v="479"/>
    <s v="Campaña 2026"/>
    <s v="Total"/>
    <x v="5"/>
    <x v="1"/>
    <x v="1"/>
    <x v="0"/>
    <n v="416000"/>
    <n v="416000"/>
    <n v="266.66666666666669"/>
    <m/>
    <d v="2026-10-08T00:00:00"/>
    <n v="41"/>
    <x v="1867"/>
    <x v="0"/>
  </r>
  <r>
    <x v="11"/>
    <x v="479"/>
    <s v="Campaña 2026"/>
    <s v="Total"/>
    <x v="5"/>
    <x v="1"/>
    <x v="1"/>
    <x v="0"/>
    <n v="400000"/>
    <n v="400000"/>
    <n v="256.41025641025641"/>
    <m/>
    <d v="2026-10-14T00:00:00"/>
    <n v="42"/>
    <x v="1867"/>
    <x v="0"/>
  </r>
  <r>
    <x v="11"/>
    <x v="479"/>
    <s v="Campaña 2026"/>
    <s v="Total"/>
    <x v="5"/>
    <x v="1"/>
    <x v="1"/>
    <x v="0"/>
    <n v="222532"/>
    <n v="222532"/>
    <n v="142.64871794871794"/>
    <m/>
    <d v="2026-09-25T00:00:00"/>
    <n v="39"/>
    <x v="1867"/>
    <x v="0"/>
  </r>
  <r>
    <x v="11"/>
    <x v="479"/>
    <s v="Campaña 2026"/>
    <s v="Total"/>
    <x v="2"/>
    <x v="1"/>
    <x v="2"/>
    <x v="0"/>
    <n v="800000"/>
    <n v="800000"/>
    <n v="512.82051282051282"/>
    <m/>
    <m/>
    <s v="37"/>
    <x v="1867"/>
    <x v="0"/>
  </r>
  <r>
    <x v="39"/>
    <x v="479"/>
    <s v="Campaña 2026"/>
    <s v="Total"/>
    <x v="5"/>
    <x v="1"/>
    <x v="2"/>
    <x v="0"/>
    <n v="9370210.1099999994"/>
    <n v="9370210.1099999994"/>
    <n v="6006.5449423076916"/>
    <m/>
    <d v="2026-10-19T00:00:00"/>
    <n v="43"/>
    <x v="1868"/>
    <x v="0"/>
  </r>
  <r>
    <x v="72"/>
    <x v="479"/>
    <s v="Campaña 2026"/>
    <s v="Total"/>
    <x v="5"/>
    <x v="1"/>
    <x v="2"/>
    <x v="0"/>
    <n v="700000"/>
    <n v="700000"/>
    <n v="448.71794871794873"/>
    <m/>
    <m/>
    <s v="39"/>
    <x v="1869"/>
    <x v="0"/>
  </r>
  <r>
    <x v="72"/>
    <x v="479"/>
    <s v="Campaña 2026"/>
    <s v="Total"/>
    <x v="5"/>
    <x v="1"/>
    <x v="1"/>
    <x v="0"/>
    <n v="10000000"/>
    <n v="10000000"/>
    <n v="6410.2564102564102"/>
    <m/>
    <d v="2026-11-30T00:00:00"/>
    <n v="49"/>
    <x v="1869"/>
    <x v="0"/>
  </r>
  <r>
    <x v="72"/>
    <x v="479"/>
    <s v="Campaña 2026"/>
    <s v="Total"/>
    <x v="5"/>
    <x v="0"/>
    <x v="2"/>
    <x v="0"/>
    <n v="1000000"/>
    <n v="1000000"/>
    <n v="641.02564102564099"/>
    <m/>
    <m/>
    <s v="39"/>
    <x v="1870"/>
    <x v="0"/>
  </r>
  <r>
    <x v="40"/>
    <x v="479"/>
    <s v="Campaña 2026"/>
    <s v="Total"/>
    <x v="5"/>
    <x v="1"/>
    <x v="2"/>
    <x v="0"/>
    <n v="1500000"/>
    <n v="1500000"/>
    <n v="961.53846153846155"/>
    <s v="Semanal"/>
    <m/>
    <s v="40"/>
    <x v="1871"/>
    <x v="0"/>
  </r>
  <r>
    <x v="54"/>
    <x v="479"/>
    <s v="Campaña 2026"/>
    <s v="Total"/>
    <x v="2"/>
    <x v="1"/>
    <x v="2"/>
    <x v="0"/>
    <n v="1500000"/>
    <n v="1500000"/>
    <n v="961.53846153846155"/>
    <s v="Chachos"/>
    <m/>
    <s v="41"/>
    <x v="1872"/>
    <x v="0"/>
  </r>
  <r>
    <x v="54"/>
    <x v="479"/>
    <s v="Campaña 2026"/>
    <s v="Total"/>
    <x v="5"/>
    <x v="1"/>
    <x v="2"/>
    <x v="0"/>
    <n v="977000"/>
    <n v="977000"/>
    <n v="626.28205128205127"/>
    <m/>
    <d v="2026-11-26T00:00:00"/>
    <n v="48"/>
    <x v="1872"/>
    <x v="0"/>
  </r>
  <r>
    <x v="54"/>
    <x v="479"/>
    <s v="Campaña 2026"/>
    <s v="Total"/>
    <x v="5"/>
    <x v="1"/>
    <x v="2"/>
    <x v="0"/>
    <n v="287165"/>
    <n v="287165"/>
    <n v="184.0801282051282"/>
    <m/>
    <d v="2026-11-21T00:00:00"/>
    <n v="47"/>
    <x v="1872"/>
    <x v="0"/>
  </r>
  <r>
    <x v="54"/>
    <x v="479"/>
    <s v="Campaña 2026"/>
    <s v="Total"/>
    <x v="5"/>
    <x v="1"/>
    <x v="2"/>
    <x v="0"/>
    <n v="545000"/>
    <n v="545000"/>
    <n v="349.35897435897436"/>
    <m/>
    <d v="2026-11-22T00:00:00"/>
    <n v="48"/>
    <x v="1872"/>
    <x v="0"/>
  </r>
  <r>
    <x v="46"/>
    <x v="479"/>
    <s v="Campaña 2026"/>
    <s v="Total"/>
    <x v="5"/>
    <x v="1"/>
    <x v="2"/>
    <x v="0"/>
    <n v="500000"/>
    <n v="500000"/>
    <n v="320.5128205128205"/>
    <m/>
    <m/>
    <s v="42"/>
    <x v="368"/>
    <x v="0"/>
  </r>
  <r>
    <x v="46"/>
    <x v="479"/>
    <s v="Campaña 2026"/>
    <s v="Total"/>
    <x v="5"/>
    <x v="1"/>
    <x v="1"/>
    <x v="0"/>
    <n v="120000"/>
    <n v="120000"/>
    <n v="76.92307692307692"/>
    <m/>
    <d v="2026-11-17T00:00:00"/>
    <n v="47"/>
    <x v="368"/>
    <x v="0"/>
  </r>
  <r>
    <x v="46"/>
    <x v="479"/>
    <s v="Campaña 2026"/>
    <s v="Total"/>
    <x v="5"/>
    <x v="1"/>
    <x v="1"/>
    <x v="0"/>
    <n v="120000"/>
    <n v="120000"/>
    <n v="76.92307692307692"/>
    <m/>
    <d v="2026-11-07T00:00:00"/>
    <n v="45"/>
    <x v="368"/>
    <x v="0"/>
  </r>
  <r>
    <x v="46"/>
    <x v="479"/>
    <s v="Campaña 2026"/>
    <s v="Total"/>
    <x v="5"/>
    <x v="1"/>
    <x v="1"/>
    <x v="0"/>
    <n v="120000"/>
    <n v="120000"/>
    <n v="76.92307692307692"/>
    <m/>
    <d v="2026-11-14T00:00:00"/>
    <n v="46"/>
    <x v="368"/>
    <x v="0"/>
  </r>
  <r>
    <x v="3"/>
    <x v="461"/>
    <s v="Combustible"/>
    <s v="Total"/>
    <x v="2"/>
    <x v="0"/>
    <x v="2"/>
    <x v="0"/>
    <n v="104999.95"/>
    <n v="104999.95"/>
    <n v="67.307660256410259"/>
    <m/>
    <m/>
    <s v="44"/>
    <x v="1873"/>
    <x v="2"/>
  </r>
  <r>
    <x v="37"/>
    <x v="480"/>
    <s v="Recapado 2 cubiertas - Campo"/>
    <s v="Total"/>
    <x v="1"/>
    <x v="1"/>
    <x v="1"/>
    <x v="0"/>
    <n v="600000"/>
    <n v="600000"/>
    <n v="384.61538461538464"/>
    <m/>
    <d v="2026-07-27T00:00:00"/>
    <n v="31"/>
    <x v="1874"/>
    <x v="0"/>
  </r>
  <r>
    <x v="37"/>
    <x v="480"/>
    <s v="Recapado 2 cubiertas - Campo"/>
    <s v="Total"/>
    <x v="2"/>
    <x v="1"/>
    <x v="2"/>
    <x v="0"/>
    <n v="60000"/>
    <n v="60000"/>
    <n v="38.46153846153846"/>
    <m/>
    <m/>
    <s v="29"/>
    <x v="1874"/>
    <x v="0"/>
  </r>
  <r>
    <x v="4"/>
    <x v="481"/>
    <s v="Materiales Cava Bodega"/>
    <s v="Total"/>
    <x v="1"/>
    <x v="0"/>
    <x v="1"/>
    <x v="0"/>
    <n v="170671.18"/>
    <n v="170671.18"/>
    <n v="109.40460256410256"/>
    <m/>
    <d v="2026-01-16T00:00:00"/>
    <n v="3"/>
    <x v="1875"/>
    <x v="0"/>
  </r>
  <r>
    <x v="4"/>
    <x v="481"/>
    <s v="Materiales Cava Bodega"/>
    <s v="Total"/>
    <x v="1"/>
    <x v="0"/>
    <x v="1"/>
    <x v="0"/>
    <n v="530539.55000000005"/>
    <n v="530539.55000000005"/>
    <n v="340.08945512820515"/>
    <m/>
    <d v="2026-01-16T00:00:00"/>
    <n v="3"/>
    <x v="1875"/>
    <x v="0"/>
  </r>
  <r>
    <x v="4"/>
    <x v="481"/>
    <s v="Materiales Cava Bodega"/>
    <s v="Total"/>
    <x v="2"/>
    <x v="0"/>
    <x v="2"/>
    <x v="0"/>
    <n v="45967.6"/>
    <n v="45967.6"/>
    <n v="29.466410256410256"/>
    <m/>
    <m/>
    <s v="51"/>
    <x v="1875"/>
    <x v="0"/>
  </r>
  <r>
    <x v="78"/>
    <x v="482"/>
    <s v="Servicio equipo de frio ZR144KC (anticipo)"/>
    <s v="Total"/>
    <x v="1"/>
    <x v="0"/>
    <x v="0"/>
    <x v="0"/>
    <n v="750000"/>
    <n v="750000"/>
    <n v="480.76923076923077"/>
    <m/>
    <m/>
    <s v="13"/>
    <x v="0"/>
    <x v="0"/>
  </r>
  <r>
    <x v="78"/>
    <x v="482"/>
    <s v="Servicio equipo de frio ZR144KC (Saldo)"/>
    <s v="Total"/>
    <x v="1"/>
    <x v="0"/>
    <x v="1"/>
    <x v="0"/>
    <n v="750000"/>
    <n v="750000"/>
    <n v="480.76923076923077"/>
    <m/>
    <m/>
    <s v="13"/>
    <x v="0"/>
    <x v="0"/>
  </r>
  <r>
    <x v="26"/>
    <x v="482"/>
    <s v="Reparacion equipo de frio bodega - saldo 50%"/>
    <s v="Total"/>
    <x v="1"/>
    <x v="0"/>
    <x v="1"/>
    <x v="0"/>
    <n v="1300000"/>
    <n v="1300000"/>
    <n v="833.33333333333337"/>
    <s v="CH 30 días"/>
    <d v="2025-08-26T00:00:00"/>
    <n v="35"/>
    <x v="1876"/>
    <x v="0"/>
  </r>
  <r>
    <x v="44"/>
    <x v="483"/>
    <s v="Campaña 2026"/>
    <s v="Total"/>
    <x v="5"/>
    <x v="1"/>
    <x v="1"/>
    <x v="1"/>
    <n v="589"/>
    <n v="918840"/>
    <n v="589"/>
    <m/>
    <m/>
    <s v="31"/>
    <x v="95"/>
    <x v="0"/>
  </r>
  <r>
    <x v="36"/>
    <x v="484"/>
    <s v="Campaña 2026"/>
    <s v="Total"/>
    <x v="4"/>
    <x v="1"/>
    <x v="1"/>
    <x v="0"/>
    <n v="2726733"/>
    <n v="2726733"/>
    <n v="1747.9057692307692"/>
    <m/>
    <d v="2026-09-02T00:00:00"/>
    <n v="36"/>
    <x v="1877"/>
    <x v="0"/>
  </r>
  <r>
    <x v="36"/>
    <x v="484"/>
    <s v="Campaña 2026"/>
    <s v="Total"/>
    <x v="4"/>
    <x v="1"/>
    <x v="1"/>
    <x v="0"/>
    <n v="2726733"/>
    <n v="2726733"/>
    <n v="1747.9057692307692"/>
    <m/>
    <d v="2026-08-25T00:00:00"/>
    <n v="35"/>
    <x v="1877"/>
    <x v="0"/>
  </r>
  <r>
    <x v="37"/>
    <x v="484"/>
    <s v="Campaña 2026"/>
    <s v="Total"/>
    <x v="2"/>
    <x v="1"/>
    <x v="2"/>
    <x v="0"/>
    <n v="1000000"/>
    <n v="1000000"/>
    <n v="641.02564102564099"/>
    <m/>
    <m/>
    <s v="29"/>
    <x v="1878"/>
    <x v="0"/>
  </r>
  <r>
    <x v="37"/>
    <x v="484"/>
    <s v="Campaña 2026"/>
    <s v="Total"/>
    <x v="4"/>
    <x v="1"/>
    <x v="2"/>
    <x v="0"/>
    <n v="1500000"/>
    <n v="1500000"/>
    <n v="961.53846153846155"/>
    <m/>
    <d v="2026-08-05T00:00:00"/>
    <n v="32"/>
    <x v="1879"/>
    <x v="0"/>
  </r>
  <r>
    <x v="37"/>
    <x v="484"/>
    <s v="Campaña 2026"/>
    <s v="Total"/>
    <x v="4"/>
    <x v="1"/>
    <x v="2"/>
    <x v="0"/>
    <n v="2416500"/>
    <n v="2416500"/>
    <n v="1549.0384615384614"/>
    <m/>
    <d v="2026-08-08T00:00:00"/>
    <n v="32"/>
    <x v="1879"/>
    <x v="0"/>
  </r>
  <r>
    <x v="58"/>
    <x v="484"/>
    <s v="Campaña 2026"/>
    <s v="Total"/>
    <x v="4"/>
    <x v="1"/>
    <x v="1"/>
    <x v="0"/>
    <n v="500000"/>
    <n v="500000"/>
    <n v="320.5128205128205"/>
    <m/>
    <m/>
    <s v="30"/>
    <x v="1880"/>
    <x v="0"/>
  </r>
  <r>
    <x v="44"/>
    <x v="484"/>
    <s v="Campaña 2026"/>
    <s v="Total"/>
    <x v="5"/>
    <x v="1"/>
    <x v="2"/>
    <x v="0"/>
    <n v="500000"/>
    <n v="500000"/>
    <n v="320.5128205128205"/>
    <m/>
    <m/>
    <s v="31"/>
    <x v="1881"/>
    <x v="0"/>
  </r>
  <r>
    <x v="39"/>
    <x v="484"/>
    <s v="Campaña 2026"/>
    <s v="Total"/>
    <x v="5"/>
    <x v="0"/>
    <x v="1"/>
    <x v="0"/>
    <n v="11311397"/>
    <n v="11311397"/>
    <n v="7250.8955128205125"/>
    <m/>
    <d v="2026-10-04T00:00:00"/>
    <n v="41"/>
    <x v="1882"/>
    <x v="0"/>
  </r>
  <r>
    <x v="39"/>
    <x v="484"/>
    <s v="Campaña 2026"/>
    <s v="Total"/>
    <x v="5"/>
    <x v="0"/>
    <x v="1"/>
    <x v="0"/>
    <n v="11311397"/>
    <n v="11311397"/>
    <n v="7250.8955128205125"/>
    <m/>
    <d v="2026-10-09T00:00:00"/>
    <n v="41"/>
    <x v="1882"/>
    <x v="0"/>
  </r>
  <r>
    <x v="39"/>
    <x v="484"/>
    <s v="Campaña 2026"/>
    <s v="Total"/>
    <x v="5"/>
    <x v="0"/>
    <x v="1"/>
    <x v="0"/>
    <n v="412447.44"/>
    <n v="412447.44"/>
    <n v="264.38938461538464"/>
    <s v="Retenciones"/>
    <m/>
    <s v="38"/>
    <x v="1882"/>
    <x v="0"/>
  </r>
  <r>
    <x v="3"/>
    <x v="463"/>
    <s v="Pedidos varios campo"/>
    <s v="Total"/>
    <x v="0"/>
    <x v="0"/>
    <x v="1"/>
    <x v="0"/>
    <n v="0"/>
    <n v="0"/>
    <n v="0"/>
    <m/>
    <m/>
    <s v="44"/>
    <x v="0"/>
    <x v="1"/>
  </r>
  <r>
    <x v="3"/>
    <x v="466"/>
    <s v="Pedido Planta - Alginato"/>
    <s v="Total"/>
    <x v="1"/>
    <x v="0"/>
    <x v="1"/>
    <x v="0"/>
    <n v="4365955.5"/>
    <n v="4365955.5"/>
    <n v="2798.689423076923"/>
    <m/>
    <m/>
    <s v="44"/>
    <x v="0"/>
    <x v="2"/>
  </r>
  <r>
    <x v="16"/>
    <x v="484"/>
    <s v="Campaña 2026"/>
    <s v="Total"/>
    <x v="5"/>
    <x v="1"/>
    <x v="1"/>
    <x v="0"/>
    <n v="2628000"/>
    <n v="2628000"/>
    <n v="1684.6153846153845"/>
    <m/>
    <d v="2026-11-06T00:00:00"/>
    <n v="45"/>
    <x v="1883"/>
    <x v="0"/>
  </r>
  <r>
    <x v="16"/>
    <x v="484"/>
    <s v="Campaña 2026"/>
    <s v="Total"/>
    <x v="5"/>
    <x v="1"/>
    <x v="1"/>
    <x v="0"/>
    <n v="2628000"/>
    <n v="2628000"/>
    <n v="1684.6153846153845"/>
    <m/>
    <d v="2026-11-09T00:00:00"/>
    <n v="46"/>
    <x v="1883"/>
    <x v="0"/>
  </r>
  <r>
    <x v="16"/>
    <x v="484"/>
    <s v="Campaña 2026"/>
    <s v="Total"/>
    <x v="5"/>
    <x v="1"/>
    <x v="1"/>
    <x v="0"/>
    <n v="90651.22"/>
    <n v="90651.22"/>
    <n v="58.109756410256409"/>
    <s v="Retenciones"/>
    <m/>
    <s v="43"/>
    <x v="1883"/>
    <x v="0"/>
  </r>
  <r>
    <x v="16"/>
    <x v="484"/>
    <s v="Campaña 2026"/>
    <s v="Total"/>
    <x v="5"/>
    <x v="1"/>
    <x v="1"/>
    <x v="0"/>
    <n v="420000"/>
    <n v="420000"/>
    <n v="269.23076923076923"/>
    <m/>
    <d v="2026-10-04T00:00:00"/>
    <n v="41"/>
    <x v="558"/>
    <x v="0"/>
  </r>
  <r>
    <x v="16"/>
    <x v="484"/>
    <s v="Campaña 2026"/>
    <s v="Total"/>
    <x v="5"/>
    <x v="1"/>
    <x v="1"/>
    <x v="0"/>
    <n v="910000"/>
    <n v="910000"/>
    <n v="583.33333333333337"/>
    <m/>
    <d v="2026-10-04T00:00:00"/>
    <n v="41"/>
    <x v="558"/>
    <x v="0"/>
  </r>
  <r>
    <x v="16"/>
    <x v="484"/>
    <s v="Campaña 2026"/>
    <s v="Total"/>
    <x v="5"/>
    <x v="1"/>
    <x v="1"/>
    <x v="0"/>
    <n v="8743000"/>
    <n v="8743000"/>
    <n v="5604.4871794871797"/>
    <m/>
    <d v="2026-11-12T00:00:00"/>
    <n v="46"/>
    <x v="1884"/>
    <x v="0"/>
  </r>
  <r>
    <x v="16"/>
    <x v="484"/>
    <s v="Campaña 2026"/>
    <s v="Total"/>
    <x v="5"/>
    <x v="1"/>
    <x v="2"/>
    <x v="0"/>
    <n v="159885"/>
    <n v="159885"/>
    <n v="102.49038461538461"/>
    <s v="Retenciones"/>
    <m/>
    <s v="43"/>
    <x v="1884"/>
    <x v="0"/>
  </r>
  <r>
    <x v="28"/>
    <x v="485"/>
    <s v="Maderas - pedido campo"/>
    <s v="Total"/>
    <x v="1"/>
    <x v="0"/>
    <x v="1"/>
    <x v="0"/>
    <n v="688500"/>
    <n v="688500"/>
    <n v="441.34615384615387"/>
    <m/>
    <d v="2025-10-25T00:00:00"/>
    <n v="43"/>
    <x v="1885"/>
    <x v="0"/>
  </r>
  <r>
    <x v="28"/>
    <x v="485"/>
    <s v="Maderas - pedido campo"/>
    <s v="Total"/>
    <x v="1"/>
    <x v="0"/>
    <x v="1"/>
    <x v="0"/>
    <n v="190000"/>
    <n v="190000"/>
    <n v="121.7948717948718"/>
    <m/>
    <d v="2025-10-25T00:00:00"/>
    <n v="43"/>
    <x v="1885"/>
    <x v="0"/>
  </r>
  <r>
    <x v="28"/>
    <x v="485"/>
    <s v="Maderas - pedido campo"/>
    <s v="Total"/>
    <x v="1"/>
    <x v="0"/>
    <x v="1"/>
    <x v="0"/>
    <n v="1512650"/>
    <n v="1512650"/>
    <n v="969.64743589743591"/>
    <m/>
    <d v="2025-11-08T00:00:00"/>
    <n v="45"/>
    <x v="1885"/>
    <x v="0"/>
  </r>
  <r>
    <x v="28"/>
    <x v="485"/>
    <s v="Maderas - pedido campo"/>
    <s v="Total"/>
    <x v="1"/>
    <x v="0"/>
    <x v="1"/>
    <x v="0"/>
    <n v="2036000"/>
    <n v="2036000"/>
    <n v="1305.1282051282051"/>
    <m/>
    <d v="2025-11-10T00:00:00"/>
    <n v="46"/>
    <x v="1885"/>
    <x v="0"/>
  </r>
  <r>
    <x v="28"/>
    <x v="485"/>
    <s v="Maderas - pedido campo"/>
    <s v="Total"/>
    <x v="1"/>
    <x v="0"/>
    <x v="1"/>
    <x v="0"/>
    <n v="2056691.6"/>
    <n v="2056691.6"/>
    <n v="1318.3920512820514"/>
    <m/>
    <d v="2025-12-05T00:00:00"/>
    <n v="49"/>
    <x v="1885"/>
    <x v="0"/>
  </r>
  <r>
    <x v="6"/>
    <x v="485"/>
    <s v="Maderas - pedido campo"/>
    <s v="Total"/>
    <x v="1"/>
    <x v="0"/>
    <x v="1"/>
    <x v="0"/>
    <n v="979660"/>
    <n v="979660"/>
    <n v="627.98717948717945"/>
    <m/>
    <d v="2025-11-10T00:00:00"/>
    <n v="46"/>
    <x v="1885"/>
    <x v="0"/>
  </r>
  <r>
    <x v="63"/>
    <x v="485"/>
    <s v="Pedido campo - maderas - PIC 38"/>
    <s v="Total"/>
    <x v="1"/>
    <x v="0"/>
    <x v="1"/>
    <x v="0"/>
    <n v="5084709.2"/>
    <n v="5084709.2"/>
    <n v="3259.4289743589743"/>
    <m/>
    <d v="2025-11-28T00:00:00"/>
    <n v="48"/>
    <x v="1886"/>
    <x v="0"/>
  </r>
  <r>
    <x v="19"/>
    <x v="485"/>
    <s v="Pedido campo - maderas - PIC 38"/>
    <s v="Total"/>
    <x v="0"/>
    <x v="0"/>
    <x v="1"/>
    <x v="0"/>
    <n v="2366780"/>
    <n v="2366780"/>
    <n v="1517.1666666666667"/>
    <m/>
    <d v="2025-12-22T00:00:00"/>
    <n v="52"/>
    <x v="1887"/>
    <x v="0"/>
  </r>
  <r>
    <x v="50"/>
    <x v="485"/>
    <s v="Escaleras - pedido planta campaña 250 unidades "/>
    <s v="Total"/>
    <x v="1"/>
    <x v="0"/>
    <x v="1"/>
    <x v="0"/>
    <n v="684105.46"/>
    <n v="684105.46"/>
    <n v="438.52914102564102"/>
    <m/>
    <m/>
    <s v="04"/>
    <x v="1888"/>
    <x v="0"/>
  </r>
  <r>
    <x v="59"/>
    <x v="485"/>
    <s v="Escaleras - pedido planta campaña 250 unidades "/>
    <s v="Total"/>
    <x v="1"/>
    <x v="0"/>
    <x v="1"/>
    <x v="0"/>
    <n v="301636"/>
    <n v="301636"/>
    <n v="193.35641025641024"/>
    <m/>
    <d v="2026-03-02T00:00:00"/>
    <n v="10"/>
    <x v="1889"/>
    <x v="0"/>
  </r>
  <r>
    <x v="59"/>
    <x v="485"/>
    <s v="Escaleras - pedido planta campaña 250 unidades "/>
    <s v="Total"/>
    <x v="1"/>
    <x v="0"/>
    <x v="1"/>
    <x v="0"/>
    <n v="600000"/>
    <n v="600000"/>
    <n v="384.61538461538464"/>
    <m/>
    <d v="2026-03-02T00:00:00"/>
    <n v="10"/>
    <x v="1889"/>
    <x v="0"/>
  </r>
  <r>
    <x v="59"/>
    <x v="485"/>
    <s v="Escaleras - pedido planta campaña 250 unidades "/>
    <s v="Total"/>
    <x v="1"/>
    <x v="0"/>
    <x v="1"/>
    <x v="0"/>
    <n v="886244"/>
    <n v="886244"/>
    <n v="568.10512820512815"/>
    <m/>
    <d v="2026-03-02T00:00:00"/>
    <n v="10"/>
    <x v="1889"/>
    <x v="0"/>
  </r>
  <r>
    <x v="73"/>
    <x v="485"/>
    <s v="Escaleras - pedido planta campaña 250 unidades "/>
    <s v="Total"/>
    <x v="0"/>
    <x v="0"/>
    <x v="0"/>
    <x v="0"/>
    <n v="4500119.53"/>
    <n v="4500119.53"/>
    <n v="2884.6920064102565"/>
    <m/>
    <m/>
    <s v="10"/>
    <x v="1890"/>
    <x v="0"/>
  </r>
  <r>
    <x v="73"/>
    <x v="485"/>
    <s v="Escaleras - Reposición cheque rechasado + gastos"/>
    <s v="Total"/>
    <x v="0"/>
    <x v="0"/>
    <x v="1"/>
    <x v="0"/>
    <n v="4500119.53"/>
    <n v="4500119.53"/>
    <n v="2884.6920064102565"/>
    <m/>
    <m/>
    <s v="10"/>
    <x v="1891"/>
    <x v="0"/>
  </r>
  <r>
    <x v="75"/>
    <x v="486"/>
    <s v="Manguera compresor campo / oring bodega"/>
    <s v="Total"/>
    <x v="1"/>
    <x v="0"/>
    <x v="0"/>
    <x v="0"/>
    <n v="145502.5"/>
    <n v="145502.5"/>
    <n v="93.270833333333329"/>
    <m/>
    <m/>
    <s v="52"/>
    <x v="1892"/>
    <x v="0"/>
  </r>
  <r>
    <x v="83"/>
    <x v="487"/>
    <s v="Trabajo tinglado Bodega"/>
    <s v="Total"/>
    <x v="1"/>
    <x v="1"/>
    <x v="2"/>
    <x v="0"/>
    <n v="5000000"/>
    <n v="5000000"/>
    <n v="3205.1282051282051"/>
    <m/>
    <m/>
    <s v="14"/>
    <x v="0"/>
    <x v="0"/>
  </r>
  <r>
    <x v="0"/>
    <x v="487"/>
    <s v="Tinglado Bodega"/>
    <s v="Total"/>
    <x v="1"/>
    <x v="1"/>
    <x v="2"/>
    <x v="0"/>
    <n v="500000"/>
    <n v="500000"/>
    <n v="320.5128205128205"/>
    <m/>
    <m/>
    <s v="22"/>
    <x v="1893"/>
    <x v="0"/>
  </r>
  <r>
    <x v="16"/>
    <x v="488"/>
    <s v="Cheque Rechasado N119"/>
    <s v="Total"/>
    <x v="1"/>
    <x v="0"/>
    <x v="0"/>
    <x v="0"/>
    <n v="9370210.1099999994"/>
    <n v="9370210.1099999994"/>
    <n v="6006.5449423076916"/>
    <m/>
    <m/>
    <s v="43"/>
    <x v="1894"/>
    <x v="0"/>
  </r>
  <r>
    <x v="16"/>
    <x v="488"/>
    <s v="Cheque Rechasado N119 - Gatos"/>
    <s v="Total"/>
    <x v="1"/>
    <x v="0"/>
    <x v="0"/>
    <x v="0"/>
    <n v="146331.48000000001"/>
    <n v="146331.48000000001"/>
    <n v="93.802230769230775"/>
    <m/>
    <m/>
    <s v="43"/>
    <x v="1895"/>
    <x v="0"/>
  </r>
  <r>
    <x v="55"/>
    <x v="489"/>
    <s v="Materiales electricos planta de aceite"/>
    <s v="Total"/>
    <x v="1"/>
    <x v="0"/>
    <x v="1"/>
    <x v="0"/>
    <n v="16902599.600000001"/>
    <n v="16902599.600000001"/>
    <n v="10834.999743589744"/>
    <m/>
    <m/>
    <s v="19"/>
    <x v="616"/>
    <x v="0"/>
  </r>
  <r>
    <x v="80"/>
    <x v="489"/>
    <s v="Planta de aceite - Gabinete"/>
    <s v="Total"/>
    <x v="1"/>
    <x v="0"/>
    <x v="1"/>
    <x v="0"/>
    <n v="122571.92"/>
    <n v="122571.92"/>
    <n v="78.571743589743591"/>
    <s v="CH 30 días"/>
    <m/>
    <s v="20"/>
    <x v="1896"/>
    <x v="0"/>
  </r>
  <r>
    <x v="67"/>
    <x v="489"/>
    <s v="Materiales electricos Bodega / campo"/>
    <s v="Total"/>
    <x v="1"/>
    <x v="0"/>
    <x v="1"/>
    <x v="0"/>
    <n v="347558.77"/>
    <n v="347558.77"/>
    <n v="222.79408333333333"/>
    <s v="CH 30 días"/>
    <d v="2025-07-10T00:00:00"/>
    <n v="28"/>
    <x v="1897"/>
    <x v="0"/>
  </r>
  <r>
    <x v="67"/>
    <x v="489"/>
    <s v="Pedido Bruno"/>
    <s v="Total"/>
    <x v="1"/>
    <x v="0"/>
    <x v="1"/>
    <x v="0"/>
    <n v="387802.79"/>
    <n v="387802.79"/>
    <n v="248.59153205128203"/>
    <s v="CH 30 días"/>
    <d v="2025-07-12T00:00:00"/>
    <n v="28"/>
    <x v="1898"/>
    <x v="0"/>
  </r>
  <r>
    <x v="25"/>
    <x v="489"/>
    <s v="Materiales electricos para bajada de linea entrada"/>
    <s v="Total"/>
    <x v="1"/>
    <x v="0"/>
    <x v="1"/>
    <x v="0"/>
    <n v="1817270.7"/>
    <n v="1817270.7"/>
    <n v="1164.9171153846153"/>
    <s v="CH 30 Días"/>
    <d v="2025-09-08T00:00:00"/>
    <n v="37"/>
    <x v="1899"/>
    <x v="0"/>
  </r>
  <r>
    <x v="25"/>
    <x v="489"/>
    <s v="Pedido Planta / campo"/>
    <s v="Total"/>
    <x v="1"/>
    <x v="0"/>
    <x v="1"/>
    <x v="0"/>
    <n v="96225.77"/>
    <n v="96225.77"/>
    <n v="61.683185897435898"/>
    <s v="CH 30 Días"/>
    <d v="2025-09-15T00:00:00"/>
    <n v="38"/>
    <x v="1900"/>
    <x v="0"/>
  </r>
  <r>
    <x v="61"/>
    <x v="489"/>
    <s v="Fusibles"/>
    <s v="Total"/>
    <x v="1"/>
    <x v="0"/>
    <x v="1"/>
    <x v="0"/>
    <n v="199814.95"/>
    <n v="199814.95"/>
    <n v="128.08650641025642"/>
    <s v="CH 30 días"/>
    <d v="2025-08-23T00:00:00"/>
    <n v="34"/>
    <x v="1901"/>
    <x v="0"/>
  </r>
  <r>
    <x v="60"/>
    <x v="489"/>
    <s v="materiales para reparacion de molrdora bodega"/>
    <s v="Total"/>
    <x v="1"/>
    <x v="0"/>
    <x v="1"/>
    <x v="0"/>
    <n v="1252759.68"/>
    <n v="1252759.68"/>
    <n v="803.05107692307683"/>
    <m/>
    <d v="2025-10-11T00:00:00"/>
    <n v="41"/>
    <x v="1902"/>
    <x v="0"/>
  </r>
  <r>
    <x v="60"/>
    <x v="489"/>
    <s v="materiales para reparacion de molrdora bodega"/>
    <s v="Total"/>
    <x v="1"/>
    <x v="0"/>
    <x v="1"/>
    <x v="0"/>
    <n v="1252759.68"/>
    <n v="1252759.68"/>
    <n v="803.05107692307683"/>
    <m/>
    <d v="2025-11-11T00:00:00"/>
    <n v="46"/>
    <x v="1902"/>
    <x v="0"/>
  </r>
  <r>
    <x v="10"/>
    <x v="489"/>
    <s v="Pedido materiales electricos planta / campo"/>
    <s v="Total"/>
    <x v="1"/>
    <x v="0"/>
    <x v="1"/>
    <x v="0"/>
    <n v="1831795.48"/>
    <n v="1831795.48"/>
    <n v="1174.2278717948718"/>
    <m/>
    <d v="2025-12-20T00:00:00"/>
    <n v="51"/>
    <x v="1903"/>
    <x v="0"/>
  </r>
  <r>
    <x v="33"/>
    <x v="489"/>
    <s v="Pedido de Planta - Materiales electrico"/>
    <s v="Total"/>
    <x v="1"/>
    <x v="0"/>
    <x v="1"/>
    <x v="0"/>
    <n v="445024.69"/>
    <n v="445024.69"/>
    <n v="285.27223717948721"/>
    <m/>
    <d v="2026-04-20T00:00:00"/>
    <n v="17"/>
    <x v="1904"/>
    <x v="0"/>
  </r>
  <r>
    <x v="33"/>
    <x v="489"/>
    <s v="Pedido de Planta - Materiales electrico"/>
    <s v="Total"/>
    <x v="1"/>
    <x v="0"/>
    <x v="1"/>
    <x v="0"/>
    <n v="2924.11"/>
    <n v="2924.11"/>
    <n v="1.8744294871794873"/>
    <m/>
    <m/>
    <s v="12"/>
    <x v="1904"/>
    <x v="0"/>
  </r>
  <r>
    <x v="47"/>
    <x v="489"/>
    <s v="Pedido mantenimiento planta de aceite"/>
    <s v="Total"/>
    <x v="1"/>
    <x v="0"/>
    <x v="1"/>
    <x v="0"/>
    <n v="910515.62"/>
    <n v="910515.62"/>
    <n v="583.66385897435896"/>
    <m/>
    <d v="2026-06-12T00:00:00"/>
    <n v="24"/>
    <x v="1905"/>
    <x v="0"/>
  </r>
  <r>
    <x v="47"/>
    <x v="489"/>
    <s v="Pedido mantenimiento planta de aceite"/>
    <s v="Total"/>
    <x v="1"/>
    <x v="0"/>
    <x v="1"/>
    <x v="0"/>
    <n v="10747.49"/>
    <n v="10747.49"/>
    <n v="6.8894166666666665"/>
    <s v="Retenciones"/>
    <m/>
    <s v="20"/>
    <x v="1905"/>
    <x v="0"/>
  </r>
  <r>
    <x v="64"/>
    <x v="489"/>
    <s v="Pedido Montacarga Cava / Planta de aceite"/>
    <s v="Total"/>
    <x v="1"/>
    <x v="0"/>
    <x v="1"/>
    <x v="0"/>
    <n v="1437716.75"/>
    <n v="1437716.75"/>
    <n v="921.61330128205134"/>
    <m/>
    <d v="2026-06-28T00:00:00"/>
    <n v="27"/>
    <x v="1906"/>
    <x v="0"/>
  </r>
  <r>
    <x v="64"/>
    <x v="489"/>
    <s v="Pedido Montacarga Cava / Planta de aceite"/>
    <s v="Total"/>
    <x v="1"/>
    <x v="0"/>
    <x v="1"/>
    <x v="0"/>
    <n v="24165.7"/>
    <n v="24165.7"/>
    <n v="15.490833333333335"/>
    <s v="Retenciones"/>
    <m/>
    <s v="22"/>
    <x v="1906"/>
    <x v="0"/>
  </r>
  <r>
    <x v="35"/>
    <x v="489"/>
    <s v="Reposición de chueque sin fondos"/>
    <s v="Total"/>
    <x v="1"/>
    <x v="0"/>
    <x v="0"/>
    <x v="0"/>
    <n v="1437716.75"/>
    <n v="1437716.75"/>
    <n v="921.61330128205134"/>
    <m/>
    <m/>
    <s v="27"/>
    <x v="1907"/>
    <x v="0"/>
  </r>
  <r>
    <x v="5"/>
    <x v="490"/>
    <s v="Pedido Cava - Soporte para malla estructural"/>
    <s v="Total"/>
    <x v="1"/>
    <x v="0"/>
    <x v="0"/>
    <x v="0"/>
    <n v="169998"/>
    <n v="169998"/>
    <n v="108.97307692307692"/>
    <m/>
    <m/>
    <s v="34"/>
    <x v="1908"/>
    <x v="0"/>
  </r>
  <r>
    <x v="68"/>
    <x v="491"/>
    <s v="Factura N° 431 - Repuestos / reparaciones varias campo"/>
    <s v="Total"/>
    <x v="1"/>
    <x v="0"/>
    <x v="0"/>
    <x v="0"/>
    <n v="558000"/>
    <n v="558000"/>
    <n v="357.69230769230768"/>
    <m/>
    <m/>
    <s v="23"/>
    <x v="0"/>
    <x v="0"/>
  </r>
  <r>
    <x v="45"/>
    <x v="491"/>
    <s v="Bolones - pedido campo"/>
    <s v="Total"/>
    <x v="1"/>
    <x v="0"/>
    <x v="1"/>
    <x v="0"/>
    <n v="80000"/>
    <n v="80000"/>
    <n v="51.282051282051285"/>
    <m/>
    <d v="2026-06-28T00:00:00"/>
    <n v="27"/>
    <x v="1909"/>
    <x v="0"/>
  </r>
  <r>
    <x v="69"/>
    <x v="492"/>
    <s v="Mosuse - Compras / Planta"/>
    <s v="Total"/>
    <x v="2"/>
    <x v="0"/>
    <x v="2"/>
    <x v="0"/>
    <n v="25896"/>
    <n v="25896"/>
    <n v="16.600000000000001"/>
    <m/>
    <m/>
    <s v="31"/>
    <x v="0"/>
    <x v="0"/>
  </r>
  <r>
    <x v="18"/>
    <x v="493"/>
    <s v="Flete Cordoba / anguinan"/>
    <s v="Total"/>
    <x v="1"/>
    <x v="0"/>
    <x v="0"/>
    <x v="0"/>
    <n v="417843.4"/>
    <n v="417843.4"/>
    <n v="267.84833333333336"/>
    <m/>
    <m/>
    <s v="39"/>
    <x v="1910"/>
    <x v="0"/>
  </r>
  <r>
    <x v="27"/>
    <x v="494"/>
    <s v="Pedido de planta - Rodamientos YAT 205"/>
    <s v="Total"/>
    <x v="1"/>
    <x v="0"/>
    <x v="1"/>
    <x v="0"/>
    <n v="548235.71"/>
    <n v="548235.71"/>
    <n v="351.43314743589741"/>
    <m/>
    <d v="2025-09-26T00:00:00"/>
    <n v="39"/>
    <x v="1911"/>
    <x v="0"/>
  </r>
  <r>
    <x v="14"/>
    <x v="494"/>
    <s v="Pedido 1 - rodamientos planta"/>
    <s v="Total"/>
    <x v="1"/>
    <x v="0"/>
    <x v="1"/>
    <x v="0"/>
    <n v="809947.77"/>
    <n v="809947.77"/>
    <n v="519.19728846153851"/>
    <m/>
    <d v="2025-12-17T00:00:00"/>
    <n v="51"/>
    <x v="1912"/>
    <x v="0"/>
  </r>
  <r>
    <x v="56"/>
    <x v="494"/>
    <s v="Pedido de planta - Rodamientos"/>
    <s v="Total"/>
    <x v="1"/>
    <x v="0"/>
    <x v="1"/>
    <x v="0"/>
    <n v="169743.8"/>
    <n v="169743.8"/>
    <n v="108.81012820512819"/>
    <m/>
    <d v="2026-04-12T00:00:00"/>
    <n v="16"/>
    <x v="1913"/>
    <x v="0"/>
  </r>
  <r>
    <x v="57"/>
    <x v="494"/>
    <s v="Repuestos bomba - Planta"/>
    <s v="Total"/>
    <x v="1"/>
    <x v="0"/>
    <x v="1"/>
    <x v="0"/>
    <n v="213461.28"/>
    <n v="213461.28"/>
    <n v="136.83415384615384"/>
    <m/>
    <d v="2026-05-13T00:00:00"/>
    <n v="20"/>
    <x v="1914"/>
    <x v="0"/>
  </r>
  <r>
    <x v="22"/>
    <x v="494"/>
    <s v="Pedido Planta - Retenes y rodamientos"/>
    <s v="Total"/>
    <x v="1"/>
    <x v="0"/>
    <x v="1"/>
    <x v="0"/>
    <n v="1522410.96"/>
    <n v="1522410.96"/>
    <n v="975.90446153846153"/>
    <m/>
    <d v="2026-07-02T00:00:00"/>
    <n v="27"/>
    <x v="1915"/>
    <x v="0"/>
  </r>
  <r>
    <x v="22"/>
    <x v="494"/>
    <s v="Pedido Planta - Retenes y rodamientos"/>
    <s v="Total"/>
    <x v="1"/>
    <x v="0"/>
    <x v="1"/>
    <x v="0"/>
    <n v="21031.439999999999"/>
    <n v="21031.439999999999"/>
    <n v="13.481692307692306"/>
    <s v="Retenciones"/>
    <m/>
    <s v="23"/>
    <x v="1915"/>
    <x v="0"/>
  </r>
  <r>
    <x v="49"/>
    <x v="495"/>
    <s v="Pedido de planta - rodamientos/retenes"/>
    <s v="Total"/>
    <x v="1"/>
    <x v="0"/>
    <x v="0"/>
    <x v="0"/>
    <n v="185580.41"/>
    <n v="185580.41"/>
    <n v="118.96180128205128"/>
    <m/>
    <m/>
    <s v="25"/>
    <x v="1916"/>
    <x v="0"/>
  </r>
  <r>
    <x v="56"/>
    <x v="496"/>
    <s v="Reparación y mantenimeinto"/>
    <s v="Parcial"/>
    <x v="0"/>
    <x v="0"/>
    <x v="1"/>
    <x v="0"/>
    <n v="301296"/>
    <n v="301296"/>
    <n v="193.13846153846154"/>
    <m/>
    <d v="2026-04-09T00:00:00"/>
    <n v="15"/>
    <x v="1917"/>
    <x v="0"/>
  </r>
  <r>
    <x v="56"/>
    <x v="496"/>
    <s v="Reparación y mantenimeinto"/>
    <s v="Parcial"/>
    <x v="0"/>
    <x v="0"/>
    <x v="1"/>
    <x v="0"/>
    <n v="301296"/>
    <n v="301296"/>
    <n v="193.13846153846154"/>
    <m/>
    <d v="2026-04-14T00:00:00"/>
    <n v="16"/>
    <x v="1917"/>
    <x v="0"/>
  </r>
  <r>
    <x v="53"/>
    <x v="496"/>
    <s v="Reparación y mantenimeinto"/>
    <s v="Parcial"/>
    <x v="0"/>
    <x v="0"/>
    <x v="1"/>
    <x v="0"/>
    <n v="3547.72"/>
    <n v="3547.72"/>
    <n v="2.2741794871794871"/>
    <s v="Retenciones"/>
    <m/>
    <s v="17"/>
    <x v="1918"/>
    <x v="0"/>
  </r>
  <r>
    <x v="53"/>
    <x v="496"/>
    <s v="Reparación y mantenimeinto"/>
    <s v="Parcial"/>
    <x v="0"/>
    <x v="0"/>
    <x v="1"/>
    <x v="0"/>
    <n v="1190922.75"/>
    <n v="1190922.75"/>
    <n v="763.41201923076926"/>
    <m/>
    <d v="2026-04-16T00:00:00"/>
    <n v="16"/>
    <x v="1918"/>
    <x v="0"/>
  </r>
  <r>
    <x v="53"/>
    <x v="496"/>
    <s v="Reparación y mantenimeinto"/>
    <s v="Parcial"/>
    <x v="0"/>
    <x v="0"/>
    <x v="1"/>
    <x v="0"/>
    <n v="1190922.75"/>
    <n v="1190922.75"/>
    <n v="763.41201923076926"/>
    <m/>
    <d v="2026-04-16T00:00:00"/>
    <n v="16"/>
    <x v="1918"/>
    <x v="0"/>
  </r>
  <r>
    <x v="49"/>
    <x v="497"/>
    <s v="Insumos planta conserva"/>
    <s v="Parcial"/>
    <x v="1"/>
    <x v="0"/>
    <x v="1"/>
    <x v="0"/>
    <n v="2282108.4"/>
    <n v="2282108.4"/>
    <n v="1462.8899999999999"/>
    <s v="CH 30 días"/>
    <d v="2025-07-19T00:00:00"/>
    <n v="29"/>
    <x v="1919"/>
    <x v="0"/>
  </r>
  <r>
    <x v="18"/>
    <x v="498"/>
    <s v="Pedido de Planta - "/>
    <s v="Total"/>
    <x v="1"/>
    <x v="0"/>
    <x v="1"/>
    <x v="0"/>
    <n v="280345.07"/>
    <n v="280345.07"/>
    <n v="179.70837820512821"/>
    <m/>
    <d v="2025-10-27T00:00:00"/>
    <n v="44"/>
    <x v="1920"/>
    <x v="0"/>
  </r>
  <r>
    <x v="18"/>
    <x v="498"/>
    <s v="Pedido de Planta - "/>
    <s v="Total"/>
    <x v="1"/>
    <x v="0"/>
    <x v="1"/>
    <x v="0"/>
    <n v="336039.12"/>
    <n v="336039.12"/>
    <n v="215.4096923076923"/>
    <m/>
    <d v="2025-10-30T00:00:00"/>
    <n v="44"/>
    <x v="1920"/>
    <x v="0"/>
  </r>
  <r>
    <x v="18"/>
    <x v="498"/>
    <s v="Pedido de Planta - "/>
    <s v="Total"/>
    <x v="1"/>
    <x v="0"/>
    <x v="1"/>
    <x v="0"/>
    <n v="345087.25"/>
    <n v="345087.25"/>
    <n v="221.20977564102563"/>
    <m/>
    <d v="2025-10-30T00:00:00"/>
    <n v="44"/>
    <x v="1920"/>
    <x v="0"/>
  </r>
  <r>
    <x v="18"/>
    <x v="498"/>
    <s v="Pedido de Planta - "/>
    <s v="Total"/>
    <x v="1"/>
    <x v="0"/>
    <x v="0"/>
    <x v="0"/>
    <n v="13758.36"/>
    <n v="13758.36"/>
    <n v="8.8194615384615389"/>
    <m/>
    <m/>
    <s v="39"/>
    <x v="1920"/>
    <x v="0"/>
  </r>
  <r>
    <x v="15"/>
    <x v="498"/>
    <s v="Productos solicitados por planta (2 facturas)"/>
    <s v="Total"/>
    <x v="0"/>
    <x v="0"/>
    <x v="1"/>
    <x v="0"/>
    <n v="1950000"/>
    <n v="1950000"/>
    <n v="1250"/>
    <m/>
    <d v="2025-12-26T00:00:00"/>
    <n v="52"/>
    <x v="1921"/>
    <x v="0"/>
  </r>
  <r>
    <x v="15"/>
    <x v="498"/>
    <s v="Productos solicitados por planta (2 facturas)"/>
    <s v="Total"/>
    <x v="1"/>
    <x v="0"/>
    <x v="1"/>
    <x v="0"/>
    <n v="695946.8"/>
    <n v="695946.8"/>
    <n v="446.11974358974362"/>
    <m/>
    <d v="2026-01-04T00:00:00"/>
    <n v="2"/>
    <x v="1921"/>
    <x v="0"/>
  </r>
  <r>
    <x v="74"/>
    <x v="498"/>
    <s v="E100 - Planta"/>
    <s v="Total"/>
    <x v="0"/>
    <x v="0"/>
    <x v="1"/>
    <x v="0"/>
    <n v="621518.80000000005"/>
    <n v="621518.80000000005"/>
    <n v="398.4094871794872"/>
    <m/>
    <d v="2026-02-13T00:00:00"/>
    <n v="7"/>
    <x v="1922"/>
    <x v="0"/>
  </r>
  <r>
    <x v="20"/>
    <x v="498"/>
    <s v="Pedido Planta"/>
    <s v="Total"/>
    <x v="1"/>
    <x v="0"/>
    <x v="1"/>
    <x v="0"/>
    <n v="575282.4"/>
    <n v="575282.4"/>
    <n v="368.77076923076925"/>
    <m/>
    <d v="2026-05-10T00:00:00"/>
    <n v="20"/>
    <x v="1923"/>
    <x v="0"/>
  </r>
  <r>
    <x v="20"/>
    <x v="498"/>
    <s v="Pedido Planta"/>
    <s v="Total"/>
    <x v="1"/>
    <x v="0"/>
    <x v="1"/>
    <x v="0"/>
    <n v="5028.8"/>
    <n v="5028.8"/>
    <n v="3.2235897435897436"/>
    <s v="Retenciones"/>
    <m/>
    <s v="15"/>
    <x v="1923"/>
    <x v="0"/>
  </r>
  <r>
    <x v="47"/>
    <x v="498"/>
    <s v="Pedido Planta - "/>
    <s v="Total"/>
    <x v="1"/>
    <x v="0"/>
    <x v="1"/>
    <x v="0"/>
    <n v="2581425"/>
    <n v="2581425"/>
    <n v="1654.7596153846155"/>
    <m/>
    <m/>
    <s v="20"/>
    <x v="1924"/>
    <x v="0"/>
  </r>
  <r>
    <x v="47"/>
    <x v="498"/>
    <s v="Pedido Planta - "/>
    <s v="Total"/>
    <x v="1"/>
    <x v="0"/>
    <x v="1"/>
    <x v="0"/>
    <n v="38830"/>
    <n v="38830"/>
    <n v="24.891025641025642"/>
    <s v="Retenciones"/>
    <m/>
    <s v="20"/>
    <x v="1924"/>
    <x v="0"/>
  </r>
  <r>
    <x v="22"/>
    <x v="498"/>
    <s v="E-70"/>
    <s v="Total"/>
    <x v="1"/>
    <x v="0"/>
    <x v="1"/>
    <x v="0"/>
    <n v="242242"/>
    <n v="242242"/>
    <n v="155.28333333333333"/>
    <m/>
    <d v="2026-07-05T00:00:00"/>
    <n v="28"/>
    <x v="1925"/>
    <x v="0"/>
  </r>
  <r>
    <x v="11"/>
    <x v="498"/>
    <s v="Pedido de Planta - E100"/>
    <s v="Total"/>
    <x v="0"/>
    <x v="0"/>
    <x v="1"/>
    <x v="0"/>
    <n v="1376529.35"/>
    <n v="1376529.35"/>
    <n v="882.390608974359"/>
    <m/>
    <d v="2026-10-18T00:00:00"/>
    <n v="43"/>
    <x v="1926"/>
    <x v="0"/>
  </r>
  <r>
    <x v="11"/>
    <x v="498"/>
    <s v="Pedido de Planta - E100"/>
    <s v="Total"/>
    <x v="0"/>
    <x v="0"/>
    <x v="1"/>
    <x v="0"/>
    <n v="1376529.35"/>
    <n v="1376529.35"/>
    <n v="882.390608974359"/>
    <m/>
    <d v="2026-10-02T00:00:00"/>
    <n v="40"/>
    <x v="1926"/>
    <x v="0"/>
  </r>
  <r>
    <x v="11"/>
    <x v="498"/>
    <s v="Pedido de Planta - E100"/>
    <s v="Total"/>
    <x v="0"/>
    <x v="0"/>
    <x v="1"/>
    <x v="0"/>
    <n v="41714.6"/>
    <n v="41714.6"/>
    <n v="26.740128205128205"/>
    <s v="Retenciones"/>
    <m/>
    <s v="37"/>
    <x v="1926"/>
    <x v="0"/>
  </r>
  <r>
    <x v="40"/>
    <x v="499"/>
    <s v="E-100"/>
    <s v="Total"/>
    <x v="1"/>
    <x v="0"/>
    <x v="1"/>
    <x v="0"/>
    <n v="400000"/>
    <n v="400000"/>
    <n v="256.41025641025641"/>
    <m/>
    <d v="2026-10-23T00:00:00"/>
    <n v="43"/>
    <x v="1927"/>
    <x v="0"/>
  </r>
  <r>
    <x v="40"/>
    <x v="499"/>
    <s v="E-100"/>
    <s v="Total"/>
    <x v="1"/>
    <x v="0"/>
    <x v="1"/>
    <x v="0"/>
    <n v="241886"/>
    <n v="241886"/>
    <n v="155.0551282051282"/>
    <m/>
    <d v="2026-10-18T00:00:00"/>
    <n v="43"/>
    <x v="1927"/>
    <x v="0"/>
  </r>
  <r>
    <x v="40"/>
    <x v="499"/>
    <s v="E-100"/>
    <s v="Total"/>
    <x v="1"/>
    <x v="0"/>
    <x v="1"/>
    <x v="0"/>
    <n v="10788"/>
    <n v="10788"/>
    <n v="6.9153846153846157"/>
    <s v="Retenciones"/>
    <m/>
    <s v="40"/>
    <x v="1927"/>
    <x v="0"/>
  </r>
  <r>
    <x v="2"/>
    <x v="500"/>
    <s v="Trabajo herreria planta de aceite"/>
    <s v="Total"/>
    <x v="1"/>
    <x v="1"/>
    <x v="2"/>
    <x v="0"/>
    <n v="250000"/>
    <n v="250000"/>
    <n v="160.25641025641025"/>
    <m/>
    <m/>
    <s v="32"/>
    <x v="0"/>
    <x v="0"/>
  </r>
  <r>
    <x v="42"/>
    <x v="500"/>
    <s v="Trabajo herreria porton montacarga - Cava"/>
    <s v="Total"/>
    <x v="2"/>
    <x v="1"/>
    <x v="2"/>
    <x v="0"/>
    <n v="250000"/>
    <n v="250000"/>
    <n v="160.25641025641025"/>
    <m/>
    <m/>
    <s v="24"/>
    <x v="1928"/>
    <x v="0"/>
  </r>
  <r>
    <x v="77"/>
    <x v="500"/>
    <s v="Trabajo de herreria montacarga Cava (autoriza Jorge Fernandez)"/>
    <s v="Total"/>
    <x v="2"/>
    <x v="1"/>
    <x v="2"/>
    <x v="0"/>
    <n v="200000"/>
    <n v="200000"/>
    <n v="128.2051282051282"/>
    <m/>
    <m/>
    <s v="35"/>
    <x v="1929"/>
    <x v="0"/>
  </r>
  <r>
    <x v="71"/>
    <x v="500"/>
    <s v="Trabajo de herreria montacarga Cava (autoriza Jorge Fernandez)"/>
    <s v="Total"/>
    <x v="2"/>
    <x v="1"/>
    <x v="2"/>
    <x v="0"/>
    <n v="350000"/>
    <n v="350000"/>
    <n v="224.35897435897436"/>
    <m/>
    <m/>
    <s v="36"/>
    <x v="1930"/>
    <x v="0"/>
  </r>
  <r>
    <x v="27"/>
    <x v="501"/>
    <s v="Combustible"/>
    <s v="Total"/>
    <x v="2"/>
    <x v="0"/>
    <x v="2"/>
    <x v="0"/>
    <n v="20000"/>
    <n v="20000"/>
    <n v="12.820512820512821"/>
    <m/>
    <m/>
    <s v="35"/>
    <x v="712"/>
    <x v="0"/>
  </r>
  <r>
    <x v="27"/>
    <x v="501"/>
    <s v="Combustible"/>
    <s v="Total"/>
    <x v="2"/>
    <x v="0"/>
    <x v="2"/>
    <x v="0"/>
    <n v="20000"/>
    <n v="20000"/>
    <n v="12.820512820512821"/>
    <m/>
    <m/>
    <s v="35"/>
    <x v="712"/>
    <x v="0"/>
  </r>
  <r>
    <x v="70"/>
    <x v="501"/>
    <s v="Combustible"/>
    <s v="Total"/>
    <x v="2"/>
    <x v="0"/>
    <x v="2"/>
    <x v="0"/>
    <n v="40000"/>
    <n v="40000"/>
    <n v="25.641025641025642"/>
    <m/>
    <m/>
    <s v="36"/>
    <x v="1931"/>
    <x v="0"/>
  </r>
  <r>
    <x v="30"/>
    <x v="501"/>
    <s v="Combustible"/>
    <s v="Total"/>
    <x v="2"/>
    <x v="0"/>
    <x v="2"/>
    <x v="0"/>
    <n v="127000"/>
    <n v="127000"/>
    <n v="81.410256410256409"/>
    <m/>
    <m/>
    <s v="43"/>
    <x v="1932"/>
    <x v="0"/>
  </r>
  <r>
    <x v="63"/>
    <x v="501"/>
    <s v="Combustible"/>
    <s v="Total"/>
    <x v="2"/>
    <x v="0"/>
    <x v="2"/>
    <x v="0"/>
    <n v="113004"/>
    <n v="113004"/>
    <n v="72.438461538461539"/>
    <m/>
    <m/>
    <s v="44"/>
    <x v="1933"/>
    <x v="0"/>
  </r>
  <r>
    <x v="14"/>
    <x v="501"/>
    <s v="Combustible"/>
    <s v="Total"/>
    <x v="2"/>
    <x v="0"/>
    <x v="2"/>
    <x v="0"/>
    <n v="130000"/>
    <n v="130000"/>
    <n v="83.333333333333329"/>
    <m/>
    <m/>
    <s v="47"/>
    <x v="1934"/>
    <x v="0"/>
  </r>
  <r>
    <x v="15"/>
    <x v="501"/>
    <s v="Combustible"/>
    <s v="Total"/>
    <x v="2"/>
    <x v="0"/>
    <x v="2"/>
    <x v="0"/>
    <n v="51000"/>
    <n v="51000"/>
    <n v="32.692307692307693"/>
    <m/>
    <m/>
    <s v="49"/>
    <x v="1935"/>
    <x v="0"/>
  </r>
  <r>
    <x v="19"/>
    <x v="501"/>
    <s v="Combustible"/>
    <s v="Total"/>
    <x v="2"/>
    <x v="0"/>
    <x v="2"/>
    <x v="0"/>
    <n v="143007"/>
    <n v="143007"/>
    <n v="91.671153846153842"/>
    <m/>
    <m/>
    <s v="50"/>
    <x v="1936"/>
    <x v="0"/>
  </r>
  <r>
    <x v="9"/>
    <x v="501"/>
    <s v="Combustible"/>
    <s v="Total"/>
    <x v="2"/>
    <x v="0"/>
    <x v="2"/>
    <x v="0"/>
    <n v="158000"/>
    <n v="158000"/>
    <n v="101.28205128205128"/>
    <m/>
    <m/>
    <s v="05"/>
    <x v="1937"/>
    <x v="0"/>
  </r>
  <r>
    <x v="59"/>
    <x v="501"/>
    <s v="Combustible"/>
    <s v="Total"/>
    <x v="2"/>
    <x v="0"/>
    <x v="2"/>
    <x v="0"/>
    <n v="160031.92000000001"/>
    <n v="160031.92000000001"/>
    <n v="102.58456410256412"/>
    <m/>
    <m/>
    <s v="06"/>
    <x v="1938"/>
    <x v="0"/>
  </r>
  <r>
    <x v="41"/>
    <x v="501"/>
    <s v="Nafta taller"/>
    <s v="Total"/>
    <x v="2"/>
    <x v="0"/>
    <x v="2"/>
    <x v="0"/>
    <n v="159003"/>
    <n v="159003"/>
    <n v="101.925"/>
    <m/>
    <m/>
    <s v="08"/>
    <x v="1939"/>
    <x v="0"/>
  </r>
  <r>
    <x v="73"/>
    <x v="501"/>
    <s v="Combustible"/>
    <s v="Total"/>
    <x v="2"/>
    <x v="0"/>
    <x v="2"/>
    <x v="0"/>
    <n v="4500119.54"/>
    <n v="4500119.54"/>
    <n v="2884.6920128205129"/>
    <m/>
    <m/>
    <s v="10"/>
    <x v="1940"/>
    <x v="0"/>
  </r>
  <r>
    <x v="65"/>
    <x v="501"/>
    <s v="Combustible"/>
    <s v="Total"/>
    <x v="2"/>
    <x v="0"/>
    <x v="2"/>
    <x v="0"/>
    <n v="180009.64"/>
    <n v="180009.64"/>
    <n v="115.39079487179488"/>
    <m/>
    <m/>
    <s v="13"/>
    <x v="1941"/>
    <x v="0"/>
  </r>
  <r>
    <x v="57"/>
    <x v="501"/>
    <s v="Combustible"/>
    <s v="Total"/>
    <x v="2"/>
    <x v="0"/>
    <x v="2"/>
    <x v="0"/>
    <n v="195022.91"/>
    <n v="195022.91"/>
    <n v="125.0146858974359"/>
    <m/>
    <m/>
    <s v="16"/>
    <x v="1942"/>
    <x v="0"/>
  </r>
  <r>
    <x v="47"/>
    <x v="501"/>
    <s v="Combustible"/>
    <s v="Total"/>
    <x v="2"/>
    <x v="0"/>
    <x v="2"/>
    <x v="0"/>
    <n v="39999.1"/>
    <n v="39999.1"/>
    <n v="25.640448717948718"/>
    <m/>
    <m/>
    <s v="20"/>
    <x v="1943"/>
    <x v="0"/>
  </r>
  <r>
    <x v="47"/>
    <x v="501"/>
    <s v="Combustible"/>
    <s v="Total"/>
    <x v="2"/>
    <x v="0"/>
    <x v="2"/>
    <x v="0"/>
    <n v="30006.95"/>
    <n v="30006.95"/>
    <n v="19.23522435897436"/>
    <m/>
    <m/>
    <s v="20"/>
    <x v="1944"/>
    <x v="0"/>
  </r>
  <r>
    <x v="22"/>
    <x v="501"/>
    <s v="Combustible"/>
    <s v="Total"/>
    <x v="2"/>
    <x v="0"/>
    <x v="2"/>
    <x v="0"/>
    <n v="198007"/>
    <n v="198007"/>
    <n v="126.92756410256411"/>
    <m/>
    <m/>
    <s v="23"/>
    <x v="1945"/>
    <x v="0"/>
  </r>
  <r>
    <x v="22"/>
    <x v="501"/>
    <s v="Service Camioneta (Andina Motors SA)"/>
    <s v="Total"/>
    <x v="2"/>
    <x v="0"/>
    <x v="2"/>
    <x v="0"/>
    <n v="379982"/>
    <n v="379982"/>
    <n v="243.57820512820513"/>
    <m/>
    <m/>
    <s v="23"/>
    <x v="1946"/>
    <x v="0"/>
  </r>
  <r>
    <x v="43"/>
    <x v="501"/>
    <s v="Combustible"/>
    <s v="Total"/>
    <x v="2"/>
    <x v="0"/>
    <x v="2"/>
    <x v="0"/>
    <n v="50000"/>
    <n v="50000"/>
    <n v="32.051282051282051"/>
    <m/>
    <m/>
    <s v="26"/>
    <x v="1947"/>
    <x v="0"/>
  </r>
  <r>
    <x v="36"/>
    <x v="501"/>
    <s v="Combustible"/>
    <s v="Total"/>
    <x v="2"/>
    <x v="0"/>
    <x v="2"/>
    <x v="0"/>
    <n v="50000"/>
    <n v="50000"/>
    <n v="32.051282051282051"/>
    <m/>
    <m/>
    <s v="28"/>
    <x v="1948"/>
    <x v="0"/>
  </r>
  <r>
    <x v="36"/>
    <x v="501"/>
    <s v="Combustible"/>
    <s v="Total"/>
    <x v="2"/>
    <x v="0"/>
    <x v="2"/>
    <x v="0"/>
    <n v="80000"/>
    <n v="80000"/>
    <n v="51.282051282051285"/>
    <m/>
    <m/>
    <s v="28"/>
    <x v="1949"/>
    <x v="0"/>
  </r>
  <r>
    <x v="37"/>
    <x v="501"/>
    <s v="Combustible"/>
    <s v="Total"/>
    <x v="2"/>
    <x v="0"/>
    <x v="2"/>
    <x v="0"/>
    <n v="161000.06"/>
    <n v="161000.06"/>
    <n v="103.20516666666667"/>
    <m/>
    <m/>
    <s v="29"/>
    <x v="1950"/>
    <x v="0"/>
  </r>
  <r>
    <x v="38"/>
    <x v="501"/>
    <s v="Combustible"/>
    <s v="Total"/>
    <x v="2"/>
    <x v="0"/>
    <x v="2"/>
    <x v="0"/>
    <n v="50005"/>
    <n v="50005"/>
    <n v="32.054487179487182"/>
    <m/>
    <m/>
    <s v="32"/>
    <x v="1951"/>
    <x v="0"/>
  </r>
  <r>
    <x v="77"/>
    <x v="501"/>
    <s v="Combustible"/>
    <s v="Total"/>
    <x v="2"/>
    <x v="0"/>
    <x v="2"/>
    <x v="0"/>
    <n v="100000"/>
    <n v="100000"/>
    <n v="64.102564102564102"/>
    <m/>
    <m/>
    <s v="35"/>
    <x v="1952"/>
    <x v="0"/>
  </r>
  <r>
    <x v="71"/>
    <x v="501"/>
    <s v="Combustible"/>
    <s v="Total"/>
    <x v="2"/>
    <x v="0"/>
    <x v="2"/>
    <x v="0"/>
    <n v="50005"/>
    <n v="50005"/>
    <n v="32.054487179487182"/>
    <m/>
    <m/>
    <s v="36"/>
    <x v="1953"/>
    <x v="0"/>
  </r>
  <r>
    <x v="11"/>
    <x v="501"/>
    <s v="Combustible"/>
    <s v="Total"/>
    <x v="2"/>
    <x v="0"/>
    <x v="2"/>
    <x v="0"/>
    <n v="50005"/>
    <n v="50005"/>
    <n v="32.054487179487182"/>
    <m/>
    <m/>
    <s v="37"/>
    <x v="1954"/>
    <x v="0"/>
  </r>
  <r>
    <x v="3"/>
    <x v="466"/>
    <s v="Pedido Planta - Alginato"/>
    <s v="Total"/>
    <x v="1"/>
    <x v="0"/>
    <x v="1"/>
    <x v="0"/>
    <n v="5000000"/>
    <n v="5000000"/>
    <n v="3205.1282051282051"/>
    <m/>
    <d v="2026-11-15T00:00:00"/>
    <n v="47"/>
    <x v="1955"/>
    <x v="0"/>
  </r>
  <r>
    <x v="3"/>
    <x v="466"/>
    <s v="Pedido Planta - Alginato"/>
    <s v="Total"/>
    <x v="1"/>
    <x v="0"/>
    <x v="1"/>
    <x v="0"/>
    <n v="3000000"/>
    <n v="3000000"/>
    <n v="1923.0769230769231"/>
    <m/>
    <d v="2026-11-10T00:00:00"/>
    <n v="46"/>
    <x v="1955"/>
    <x v="0"/>
  </r>
  <r>
    <x v="16"/>
    <x v="501"/>
    <s v="Combustible"/>
    <s v="Total"/>
    <x v="2"/>
    <x v="0"/>
    <x v="2"/>
    <x v="0"/>
    <n v="50014"/>
    <n v="50014"/>
    <n v="32.060256410256407"/>
    <m/>
    <m/>
    <s v="43"/>
    <x v="1956"/>
    <x v="0"/>
  </r>
  <r>
    <x v="21"/>
    <x v="502"/>
    <s v="Combustible"/>
    <s v="Total"/>
    <x v="2"/>
    <x v="0"/>
    <x v="2"/>
    <x v="0"/>
    <n v="100025.38"/>
    <n v="100025.38"/>
    <n v="64.118833333333342"/>
    <m/>
    <m/>
    <s v="28"/>
    <x v="1957"/>
    <x v="0"/>
  </r>
  <r>
    <x v="26"/>
    <x v="502"/>
    <s v="Combustible"/>
    <s v="Total"/>
    <x v="2"/>
    <x v="0"/>
    <x v="2"/>
    <x v="0"/>
    <n v="103007"/>
    <n v="103007"/>
    <n v="66.030128205128207"/>
    <m/>
    <m/>
    <s v="29"/>
    <x v="1958"/>
    <x v="0"/>
  </r>
  <r>
    <x v="2"/>
    <x v="502"/>
    <s v="Combustible"/>
    <s v="Total"/>
    <x v="2"/>
    <x v="0"/>
    <x v="2"/>
    <x v="0"/>
    <n v="102953.01"/>
    <n v="102953.01"/>
    <n v="65.995519230769233"/>
    <m/>
    <m/>
    <s v="32"/>
    <x v="0"/>
    <x v="0"/>
  </r>
  <r>
    <x v="41"/>
    <x v="503"/>
    <s v="Servicio Medico - Informe psiquiatrico"/>
    <s v="Total"/>
    <x v="1"/>
    <x v="0"/>
    <x v="0"/>
    <x v="0"/>
    <n v="40000"/>
    <n v="40000"/>
    <n v="25.641025641025642"/>
    <m/>
    <m/>
    <s v="08"/>
    <x v="1959"/>
    <x v="0"/>
  </r>
  <r>
    <x v="59"/>
    <x v="504"/>
    <m/>
    <s v="Total"/>
    <x v="1"/>
    <x v="0"/>
    <x v="0"/>
    <x v="0"/>
    <n v="2119693.33"/>
    <n v="2119693.33"/>
    <n v="1358.7777756410258"/>
    <m/>
    <m/>
    <s v="06"/>
    <x v="1960"/>
    <x v="0"/>
  </r>
  <r>
    <x v="59"/>
    <x v="504"/>
    <m/>
    <s v="Total"/>
    <x v="1"/>
    <x v="0"/>
    <x v="1"/>
    <x v="0"/>
    <n v="2119693.33"/>
    <n v="2119693.33"/>
    <n v="1358.7777756410258"/>
    <m/>
    <d v="2026-03-02T00:00:00"/>
    <n v="10"/>
    <x v="1960"/>
    <x v="0"/>
  </r>
  <r>
    <x v="59"/>
    <x v="504"/>
    <m/>
    <s v="Total"/>
    <x v="1"/>
    <x v="0"/>
    <x v="1"/>
    <x v="0"/>
    <n v="2119693.34"/>
    <n v="2119693.34"/>
    <n v="1358.777782051282"/>
    <m/>
    <d v="2026-04-02T00:00:00"/>
    <n v="14"/>
    <x v="1960"/>
    <x v="0"/>
  </r>
  <r>
    <x v="64"/>
    <x v="505"/>
    <s v="Servicios medicos"/>
    <s v="Total"/>
    <x v="1"/>
    <x v="0"/>
    <x v="0"/>
    <x v="0"/>
    <n v="50000"/>
    <n v="50000"/>
    <n v="32.051282051282051"/>
    <m/>
    <m/>
    <s v="22"/>
    <x v="1961"/>
    <x v="0"/>
  </r>
  <r>
    <x v="68"/>
    <x v="506"/>
    <s v="Columna acidificacion p/vino"/>
    <s v="Fijo"/>
    <x v="0"/>
    <x v="0"/>
    <x v="1"/>
    <x v="0"/>
    <n v="5308355"/>
    <n v="5308355"/>
    <n v="3402.7916666666665"/>
    <s v="Pago 20/06/2025"/>
    <m/>
    <s v="23"/>
    <x v="1962"/>
    <x v="0"/>
  </r>
  <r>
    <x v="17"/>
    <x v="506"/>
    <s v="Pedido Producción - Productos Químico"/>
    <s v="Fijo"/>
    <x v="1"/>
    <x v="0"/>
    <x v="1"/>
    <x v="0"/>
    <n v="17247889.039999999"/>
    <n v="17247889.039999999"/>
    <n v="11056.339128205127"/>
    <s v="CH 30 días"/>
    <d v="2025-07-25T00:00:00"/>
    <n v="30"/>
    <x v="1963"/>
    <x v="0"/>
  </r>
  <r>
    <x v="17"/>
    <x v="506"/>
    <s v="Pedido Producción - Productos Químico"/>
    <s v="Fijo"/>
    <x v="1"/>
    <x v="0"/>
    <x v="1"/>
    <x v="0"/>
    <n v="17247889.039999999"/>
    <n v="17247889.039999999"/>
    <n v="11056.339128205127"/>
    <s v="CH 60 días"/>
    <d v="2025-08-25T00:00:00"/>
    <n v="35"/>
    <x v="1963"/>
    <x v="0"/>
  </r>
  <r>
    <x v="2"/>
    <x v="506"/>
    <s v="Insumos Planta"/>
    <s v="Total"/>
    <x v="1"/>
    <x v="0"/>
    <x v="1"/>
    <x v="0"/>
    <n v="307623.40000000002"/>
    <n v="307623.40000000002"/>
    <n v="197.1944871794872"/>
    <s v="CH 30 días"/>
    <d v="2025-07-31T00:00:00"/>
    <n v="31"/>
    <x v="0"/>
    <x v="0"/>
  </r>
  <r>
    <x v="2"/>
    <x v="506"/>
    <s v="Insumos Planta"/>
    <s v="Total"/>
    <x v="1"/>
    <x v="0"/>
    <x v="1"/>
    <x v="0"/>
    <n v="406441"/>
    <n v="406441"/>
    <n v="260.53910256410256"/>
    <s v="CH 30 días"/>
    <d v="2025-07-28T00:00:00"/>
    <n v="31"/>
    <x v="0"/>
    <x v="0"/>
  </r>
  <r>
    <x v="2"/>
    <x v="506"/>
    <s v="Insumos Planta"/>
    <s v="Total"/>
    <x v="1"/>
    <x v="0"/>
    <x v="1"/>
    <x v="0"/>
    <n v="600000"/>
    <n v="600000"/>
    <n v="384.61538461538464"/>
    <s v="CH 30 días"/>
    <d v="2025-08-22T00:00:00"/>
    <n v="34"/>
    <x v="0"/>
    <x v="0"/>
  </r>
  <r>
    <x v="2"/>
    <x v="506"/>
    <s v="Insumos Planta"/>
    <s v="Total"/>
    <x v="1"/>
    <x v="0"/>
    <x v="1"/>
    <x v="0"/>
    <n v="650000"/>
    <n v="650000"/>
    <n v="416.66666666666669"/>
    <s v="CH 30 días"/>
    <d v="2025-08-15T00:00:00"/>
    <n v="33"/>
    <x v="34"/>
    <x v="0"/>
  </r>
  <r>
    <x v="2"/>
    <x v="506"/>
    <s v="Insumos Planta"/>
    <s v="Total"/>
    <x v="1"/>
    <x v="0"/>
    <x v="1"/>
    <x v="0"/>
    <n v="700000"/>
    <n v="700000"/>
    <n v="448.71794871794873"/>
    <s v="CH 30 días"/>
    <d v="2025-07-25T00:00:00"/>
    <n v="30"/>
    <x v="34"/>
    <x v="0"/>
  </r>
  <r>
    <x v="2"/>
    <x v="506"/>
    <s v="Insumos Planta"/>
    <s v="Total"/>
    <x v="1"/>
    <x v="0"/>
    <x v="1"/>
    <x v="0"/>
    <n v="700000"/>
    <n v="700000"/>
    <n v="448.71794871794873"/>
    <s v="CH 30 días"/>
    <d v="2025-08-15T00:00:00"/>
    <n v="33"/>
    <x v="34"/>
    <x v="0"/>
  </r>
  <r>
    <x v="2"/>
    <x v="506"/>
    <s v="Insumos Planta"/>
    <s v="Total"/>
    <x v="1"/>
    <x v="0"/>
    <x v="1"/>
    <x v="0"/>
    <n v="713817"/>
    <n v="713817"/>
    <n v="457.57499999999999"/>
    <s v="CH 30 días"/>
    <d v="2025-08-29T00:00:00"/>
    <n v="35"/>
    <x v="34"/>
    <x v="0"/>
  </r>
  <r>
    <x v="2"/>
    <x v="506"/>
    <s v="Insumos Planta"/>
    <s v="Total"/>
    <x v="1"/>
    <x v="0"/>
    <x v="1"/>
    <x v="0"/>
    <n v="812500"/>
    <n v="812500"/>
    <n v="520.83333333333337"/>
    <s v="CH 30 días"/>
    <d v="2025-08-23T00:00:00"/>
    <n v="34"/>
    <x v="34"/>
    <x v="0"/>
  </r>
  <r>
    <x v="2"/>
    <x v="506"/>
    <s v="Insumos Planta"/>
    <s v="Total"/>
    <x v="1"/>
    <x v="0"/>
    <x v="1"/>
    <x v="0"/>
    <n v="1000000"/>
    <n v="1000000"/>
    <n v="641.02564102564099"/>
    <s v="CH 30 días"/>
    <d v="2025-08-16T00:00:00"/>
    <n v="33"/>
    <x v="0"/>
    <x v="0"/>
  </r>
  <r>
    <x v="2"/>
    <x v="506"/>
    <s v="Insumos Planta"/>
    <s v="Total"/>
    <x v="1"/>
    <x v="0"/>
    <x v="1"/>
    <x v="0"/>
    <n v="1293800"/>
    <n v="1293800"/>
    <n v="829.35897435897436"/>
    <s v="CH 30 días"/>
    <d v="2025-09-09T00:00:00"/>
    <n v="37"/>
    <x v="34"/>
    <x v="0"/>
  </r>
  <r>
    <x v="2"/>
    <x v="506"/>
    <s v="Insumos Planta"/>
    <s v="Total"/>
    <x v="1"/>
    <x v="0"/>
    <x v="1"/>
    <x v="0"/>
    <n v="1386028"/>
    <n v="1386028"/>
    <n v="888.47948717948714"/>
    <s v="CH 30 días"/>
    <d v="2025-07-26T00:00:00"/>
    <n v="30"/>
    <x v="34"/>
    <x v="0"/>
  </r>
  <r>
    <x v="2"/>
    <x v="506"/>
    <s v="Insumos Planta"/>
    <s v="Total"/>
    <x v="1"/>
    <x v="0"/>
    <x v="1"/>
    <x v="0"/>
    <n v="1500000"/>
    <n v="1500000"/>
    <n v="961.53846153846155"/>
    <s v="CH 30 días"/>
    <d v="2025-08-19T00:00:00"/>
    <n v="34"/>
    <x v="0"/>
    <x v="0"/>
  </r>
  <r>
    <x v="2"/>
    <x v="506"/>
    <s v="Insumos Planta"/>
    <s v="Total"/>
    <x v="1"/>
    <x v="0"/>
    <x v="1"/>
    <x v="0"/>
    <n v="1539339.7"/>
    <n v="1539339.7"/>
    <n v="986.7562179487179"/>
    <s v="CH 30 días"/>
    <d v="2025-08-16T00:00:00"/>
    <n v="33"/>
    <x v="34"/>
    <x v="0"/>
  </r>
  <r>
    <x v="2"/>
    <x v="506"/>
    <s v="Insumos Planta"/>
    <s v="Total"/>
    <x v="1"/>
    <x v="0"/>
    <x v="1"/>
    <x v="0"/>
    <n v="1600000"/>
    <n v="1600000"/>
    <n v="1025.6410256410256"/>
    <s v="CH 30 días"/>
    <d v="2025-08-20T00:00:00"/>
    <n v="34"/>
    <x v="34"/>
    <x v="0"/>
  </r>
  <r>
    <x v="2"/>
    <x v="506"/>
    <s v="Insumos Planta"/>
    <s v="Total"/>
    <x v="1"/>
    <x v="0"/>
    <x v="1"/>
    <x v="0"/>
    <n v="1650000"/>
    <n v="1650000"/>
    <n v="1057.6923076923076"/>
    <s v="CH 30 días"/>
    <d v="2025-09-18T00:00:00"/>
    <n v="38"/>
    <x v="34"/>
    <x v="0"/>
  </r>
  <r>
    <x v="2"/>
    <x v="506"/>
    <s v="Insumos Planta"/>
    <s v="Total"/>
    <x v="1"/>
    <x v="0"/>
    <x v="1"/>
    <x v="0"/>
    <n v="2600000"/>
    <n v="2600000"/>
    <n v="1666.6666666666667"/>
    <s v="CH 30 días"/>
    <d v="2025-07-31T00:00:00"/>
    <n v="31"/>
    <x v="34"/>
    <x v="0"/>
  </r>
  <r>
    <x v="2"/>
    <x v="506"/>
    <s v="Insumos Planta"/>
    <s v="Total"/>
    <x v="1"/>
    <x v="0"/>
    <x v="1"/>
    <x v="0"/>
    <n v="3000000"/>
    <n v="3000000"/>
    <n v="1923.0769230769231"/>
    <s v="CH 30 días"/>
    <d v="2025-09-08T00:00:00"/>
    <n v="37"/>
    <x v="0"/>
    <x v="0"/>
  </r>
  <r>
    <x v="27"/>
    <x v="506"/>
    <s v="Insumos Planta"/>
    <s v="Total"/>
    <x v="1"/>
    <x v="0"/>
    <x v="1"/>
    <x v="0"/>
    <n v="10213893.52"/>
    <n v="10213893.52"/>
    <n v="6547.3676410256403"/>
    <s v="CH 30 días"/>
    <d v="2025-09-25T00:00:00"/>
    <n v="39"/>
    <x v="1964"/>
    <x v="0"/>
  </r>
  <r>
    <x v="60"/>
    <x v="506"/>
    <s v="Insumos Planta"/>
    <s v="Total"/>
    <x v="1"/>
    <x v="0"/>
    <x v="0"/>
    <x v="0"/>
    <n v="5000000"/>
    <n v="5000000"/>
    <n v="3205.1282051282051"/>
    <m/>
    <m/>
    <s v="37"/>
    <x v="1965"/>
    <x v="0"/>
  </r>
  <r>
    <x v="18"/>
    <x v="506"/>
    <s v="Insumos Planta"/>
    <s v="Total"/>
    <x v="1"/>
    <x v="0"/>
    <x v="0"/>
    <x v="0"/>
    <n v="3933884.3"/>
    <n v="3933884.3"/>
    <n v="2521.7207051282048"/>
    <m/>
    <m/>
    <s v="39"/>
    <x v="1966"/>
    <x v="0"/>
  </r>
  <r>
    <x v="6"/>
    <x v="506"/>
    <s v="Insumos planta"/>
    <s v="Total"/>
    <x v="1"/>
    <x v="0"/>
    <x v="1"/>
    <x v="0"/>
    <n v="744600"/>
    <n v="744600"/>
    <n v="477.30769230769232"/>
    <m/>
    <d v="2025-11-04T00:00:00"/>
    <n v="45"/>
    <x v="1967"/>
    <x v="0"/>
  </r>
  <r>
    <x v="6"/>
    <x v="506"/>
    <s v="Insumos planta"/>
    <s v="Total"/>
    <x v="1"/>
    <x v="0"/>
    <x v="1"/>
    <x v="0"/>
    <n v="744600"/>
    <n v="744600"/>
    <n v="477.30769230769232"/>
    <m/>
    <d v="2025-11-07T00:00:00"/>
    <n v="45"/>
    <x v="1967"/>
    <x v="0"/>
  </r>
  <r>
    <x v="6"/>
    <x v="506"/>
    <s v="Insumos planta"/>
    <s v="Total"/>
    <x v="1"/>
    <x v="0"/>
    <x v="1"/>
    <x v="0"/>
    <n v="744600"/>
    <n v="744600"/>
    <n v="477.30769230769232"/>
    <m/>
    <d v="2025-11-11T00:00:00"/>
    <n v="46"/>
    <x v="1967"/>
    <x v="0"/>
  </r>
  <r>
    <x v="6"/>
    <x v="506"/>
    <s v="Insumos planta"/>
    <s v="Total"/>
    <x v="1"/>
    <x v="0"/>
    <x v="1"/>
    <x v="0"/>
    <n v="744600"/>
    <n v="744600"/>
    <n v="477.30769230769232"/>
    <m/>
    <d v="2025-11-14T00:00:00"/>
    <n v="46"/>
    <x v="1967"/>
    <x v="0"/>
  </r>
  <r>
    <x v="6"/>
    <x v="506"/>
    <s v="Insumos planta"/>
    <s v="Total"/>
    <x v="1"/>
    <x v="0"/>
    <x v="1"/>
    <x v="0"/>
    <n v="744600"/>
    <n v="744600"/>
    <n v="477.30769230769232"/>
    <m/>
    <d v="2025-11-18T00:00:00"/>
    <n v="47"/>
    <x v="1967"/>
    <x v="0"/>
  </r>
  <r>
    <x v="6"/>
    <x v="506"/>
    <s v="Insumos planta"/>
    <s v="Total"/>
    <x v="1"/>
    <x v="0"/>
    <x v="1"/>
    <x v="0"/>
    <n v="744600"/>
    <n v="744600"/>
    <n v="477.30769230769232"/>
    <m/>
    <d v="2025-11-21T00:00:00"/>
    <n v="47"/>
    <x v="1967"/>
    <x v="0"/>
  </r>
  <r>
    <x v="63"/>
    <x v="506"/>
    <s v="Insumos Planta"/>
    <s v="Total"/>
    <x v="1"/>
    <x v="0"/>
    <x v="1"/>
    <x v="0"/>
    <n v="3756000"/>
    <n v="3756000"/>
    <n v="2407.6923076923076"/>
    <m/>
    <d v="2025-12-05T00:00:00"/>
    <n v="49"/>
    <x v="1968"/>
    <x v="0"/>
  </r>
  <r>
    <x v="10"/>
    <x v="506"/>
    <s v="Insumos Planta"/>
    <s v="Total"/>
    <x v="0"/>
    <x v="0"/>
    <x v="1"/>
    <x v="0"/>
    <n v="9191840.8399999999"/>
    <n v="9191840.8399999999"/>
    <n v="5892.2056666666667"/>
    <m/>
    <d v="2025-12-12T00:00:00"/>
    <n v="50"/>
    <x v="1969"/>
    <x v="0"/>
  </r>
  <r>
    <x v="9"/>
    <x v="506"/>
    <s v="Insumos Planta"/>
    <s v="Total"/>
    <x v="1"/>
    <x v="0"/>
    <x v="1"/>
    <x v="0"/>
    <n v="3548110.63"/>
    <n v="3548110.63"/>
    <n v="2274.4298910256412"/>
    <m/>
    <d v="2026-03-12T00:00:00"/>
    <n v="11"/>
    <x v="1970"/>
    <x v="0"/>
  </r>
  <r>
    <x v="9"/>
    <x v="506"/>
    <s v="Insumos Planta"/>
    <s v="Total"/>
    <x v="1"/>
    <x v="0"/>
    <x v="1"/>
    <x v="0"/>
    <n v="7569606.1900000004"/>
    <n v="7569606.1900000004"/>
    <n v="4852.3116602564105"/>
    <m/>
    <d v="2026-02-27T00:00:00"/>
    <n v="9"/>
    <x v="1970"/>
    <x v="0"/>
  </r>
  <r>
    <x v="9"/>
    <x v="506"/>
    <s v="Insumos Planta"/>
    <s v="Total"/>
    <x v="1"/>
    <x v="0"/>
    <x v="1"/>
    <x v="0"/>
    <n v="9136948.8300000001"/>
    <n v="9136948.8300000001"/>
    <n v="5857.0184807692312"/>
    <m/>
    <d v="2026-02-28T00:00:00"/>
    <n v="9"/>
    <x v="1970"/>
    <x v="0"/>
  </r>
  <r>
    <x v="9"/>
    <x v="506"/>
    <s v="Insumos Planta"/>
    <s v="Total"/>
    <x v="1"/>
    <x v="0"/>
    <x v="1"/>
    <x v="0"/>
    <n v="13066830.689999999"/>
    <n v="13066830.689999999"/>
    <n v="8376.1735192307697"/>
    <m/>
    <d v="2026-02-27T00:00:00"/>
    <n v="9"/>
    <x v="1970"/>
    <x v="0"/>
  </r>
  <r>
    <x v="32"/>
    <x v="506"/>
    <s v="Insumos planta"/>
    <s v="Total"/>
    <x v="0"/>
    <x v="0"/>
    <x v="1"/>
    <x v="0"/>
    <n v="5000000"/>
    <n v="5000000"/>
    <n v="3205.1282051282051"/>
    <m/>
    <d v="2026-04-13T00:00:00"/>
    <n v="16"/>
    <x v="1971"/>
    <x v="0"/>
  </r>
  <r>
    <x v="32"/>
    <x v="506"/>
    <s v="Insumos planta"/>
    <s v="Total"/>
    <x v="0"/>
    <x v="0"/>
    <x v="1"/>
    <x v="0"/>
    <n v="5000000"/>
    <n v="5000000"/>
    <n v="3205.1282051282051"/>
    <m/>
    <d v="2026-04-06T00:00:00"/>
    <n v="15"/>
    <x v="1971"/>
    <x v="0"/>
  </r>
  <r>
    <x v="56"/>
    <x v="506"/>
    <s v="Insumos planta"/>
    <s v="Total"/>
    <x v="0"/>
    <x v="0"/>
    <x v="1"/>
    <x v="0"/>
    <n v="4783718.84"/>
    <n v="4783718.84"/>
    <n v="3066.486435897436"/>
    <m/>
    <d v="2026-04-25T00:00:00"/>
    <n v="17"/>
    <x v="1972"/>
    <x v="0"/>
  </r>
  <r>
    <x v="56"/>
    <x v="506"/>
    <s v="Insumos planta"/>
    <s v="Total"/>
    <x v="0"/>
    <x v="0"/>
    <x v="1"/>
    <x v="0"/>
    <n v="73376.89"/>
    <n v="73376.89"/>
    <n v="47.036467948717949"/>
    <m/>
    <m/>
    <s v="11"/>
    <x v="1972"/>
    <x v="0"/>
  </r>
  <r>
    <x v="64"/>
    <x v="506"/>
    <s v="Insumos planta"/>
    <s v="Parcial"/>
    <x v="0"/>
    <x v="0"/>
    <x v="1"/>
    <x v="0"/>
    <n v="4777271"/>
    <n v="4777271"/>
    <n v="3062.353205128205"/>
    <m/>
    <d v="2026-07-10T00:00:00"/>
    <n v="28"/>
    <x v="1973"/>
    <x v="0"/>
  </r>
  <r>
    <x v="64"/>
    <x v="506"/>
    <s v="Insumos planta"/>
    <s v="Parcial"/>
    <x v="0"/>
    <x v="0"/>
    <x v="1"/>
    <x v="0"/>
    <n v="91065.42"/>
    <n v="91065.42"/>
    <n v="58.375269230769227"/>
    <s v="Retenciones"/>
    <m/>
    <s v="22"/>
    <x v="1973"/>
    <x v="0"/>
  </r>
  <r>
    <x v="58"/>
    <x v="506"/>
    <s v="Insumos planta"/>
    <s v="Parcial"/>
    <x v="0"/>
    <x v="0"/>
    <x v="1"/>
    <x v="0"/>
    <n v="2618473"/>
    <n v="2618473"/>
    <n v="1678.5083333333334"/>
    <m/>
    <d v="2026-09-02T00:00:00"/>
    <n v="36"/>
    <x v="1974"/>
    <x v="0"/>
  </r>
  <r>
    <x v="58"/>
    <x v="506"/>
    <s v="Insumos planta"/>
    <s v="Parcial"/>
    <x v="0"/>
    <x v="0"/>
    <x v="1"/>
    <x v="0"/>
    <n v="47889.46"/>
    <n v="47889.46"/>
    <n v="30.698371794871793"/>
    <s v="Retenciones"/>
    <m/>
    <s v="30"/>
    <x v="1974"/>
    <x v="0"/>
  </r>
  <r>
    <x v="46"/>
    <x v="506"/>
    <s v="Insumos planta"/>
    <s v="Parcial"/>
    <x v="0"/>
    <x v="0"/>
    <x v="1"/>
    <x v="0"/>
    <n v="2400000"/>
    <n v="2400000"/>
    <n v="1538.4615384615386"/>
    <m/>
    <d v="2026-12-04T00:00:00"/>
    <n v="49"/>
    <x v="1975"/>
    <x v="0"/>
  </r>
  <r>
    <x v="46"/>
    <x v="506"/>
    <s v="Insumos planta"/>
    <s v="Parcial"/>
    <x v="0"/>
    <x v="0"/>
    <x v="1"/>
    <x v="0"/>
    <n v="2400000"/>
    <n v="2400000"/>
    <n v="1538.4615384615386"/>
    <m/>
    <d v="2026-12-03T00:00:00"/>
    <n v="49"/>
    <x v="1975"/>
    <x v="0"/>
  </r>
  <r>
    <x v="46"/>
    <x v="506"/>
    <s v="Insumos planta"/>
    <s v="Parcial"/>
    <x v="0"/>
    <x v="0"/>
    <x v="1"/>
    <x v="0"/>
    <n v="2400000"/>
    <n v="2400000"/>
    <n v="1538.4615384615386"/>
    <m/>
    <d v="2026-12-07T00:00:00"/>
    <n v="50"/>
    <x v="1975"/>
    <x v="0"/>
  </r>
  <r>
    <x v="46"/>
    <x v="506"/>
    <s v="Insumos planta"/>
    <s v="Parcial"/>
    <x v="0"/>
    <x v="0"/>
    <x v="1"/>
    <x v="0"/>
    <n v="139520"/>
    <n v="139520"/>
    <n v="89.435897435897431"/>
    <s v="Retenciones"/>
    <m/>
    <s v="42"/>
    <x v="1975"/>
    <x v="0"/>
  </r>
  <r>
    <x v="3"/>
    <x v="466"/>
    <s v="Pedido Planta - Alginato"/>
    <s v="Total"/>
    <x v="1"/>
    <x v="0"/>
    <x v="1"/>
    <x v="0"/>
    <n v="1360000"/>
    <n v="1360000"/>
    <n v="871.79487179487182"/>
    <m/>
    <d v="2026-11-14T00:00:00"/>
    <n v="46"/>
    <x v="1955"/>
    <x v="0"/>
  </r>
  <r>
    <x v="16"/>
    <x v="506"/>
    <s v="Insumos planta"/>
    <s v="Parcial"/>
    <x v="0"/>
    <x v="0"/>
    <x v="1"/>
    <x v="0"/>
    <n v="2400000"/>
    <n v="2400000"/>
    <n v="1538.4615384615386"/>
    <m/>
    <d v="2026-12-04T00:00:00"/>
    <n v="49"/>
    <x v="1975"/>
    <x v="0"/>
  </r>
  <r>
    <x v="16"/>
    <x v="506"/>
    <s v="Insumos planta"/>
    <s v="Parcial"/>
    <x v="0"/>
    <x v="0"/>
    <x v="1"/>
    <x v="0"/>
    <n v="2400000"/>
    <n v="2400000"/>
    <n v="1538.4615384615386"/>
    <m/>
    <d v="2026-12-03T00:00:00"/>
    <n v="49"/>
    <x v="1975"/>
    <x v="0"/>
  </r>
  <r>
    <x v="16"/>
    <x v="506"/>
    <s v="Insumos planta"/>
    <s v="Parcial"/>
    <x v="0"/>
    <x v="0"/>
    <x v="1"/>
    <x v="0"/>
    <n v="2400000"/>
    <n v="2400000"/>
    <n v="1538.4615384615386"/>
    <m/>
    <d v="2026-12-07T00:00:00"/>
    <n v="50"/>
    <x v="1975"/>
    <x v="0"/>
  </r>
  <r>
    <x v="16"/>
    <x v="506"/>
    <s v="Insumos planta"/>
    <s v="Parcial"/>
    <x v="0"/>
    <x v="0"/>
    <x v="1"/>
    <x v="0"/>
    <n v="139520"/>
    <n v="139520"/>
    <n v="89.435897435897431"/>
    <s v="Retenciones"/>
    <m/>
    <s v="43"/>
    <x v="1975"/>
    <x v="0"/>
  </r>
  <r>
    <x v="63"/>
    <x v="507"/>
    <s v="Viaticos consultora"/>
    <s v="Total"/>
    <x v="1"/>
    <x v="0"/>
    <x v="0"/>
    <x v="0"/>
    <n v="66005.039999999994"/>
    <n v="66005.039999999994"/>
    <n v="42.310923076923075"/>
    <m/>
    <m/>
    <s v="44"/>
    <x v="1976"/>
    <x v="0"/>
  </r>
  <r>
    <x v="70"/>
    <x v="507"/>
    <s v="Honorarios profesionales - capacitación"/>
    <s v="Total"/>
    <x v="3"/>
    <x v="0"/>
    <x v="0"/>
    <x v="0"/>
    <n v="1300000"/>
    <n v="1300000"/>
    <n v="833.33333333333337"/>
    <m/>
    <m/>
    <s v="36"/>
    <x v="1977"/>
    <x v="0"/>
  </r>
  <r>
    <x v="6"/>
    <x v="507"/>
    <s v="Asesoría - capacitación"/>
    <s v="Total"/>
    <x v="3"/>
    <x v="0"/>
    <x v="0"/>
    <x v="0"/>
    <n v="1130000"/>
    <n v="1130000"/>
    <n v="724.35897435897436"/>
    <m/>
    <m/>
    <s v="41"/>
    <x v="1978"/>
    <x v="0"/>
  </r>
  <r>
    <x v="31"/>
    <x v="507"/>
    <s v="Honorarios consultora"/>
    <s v="Total"/>
    <x v="3"/>
    <x v="0"/>
    <x v="0"/>
    <x v="0"/>
    <n v="1130000"/>
    <n v="1130000"/>
    <n v="724.35897435897436"/>
    <m/>
    <m/>
    <s v="45"/>
    <x v="1979"/>
    <x v="0"/>
  </r>
  <r>
    <x v="7"/>
    <x v="507"/>
    <s v="Viaticos consultora"/>
    <s v="Total"/>
    <x v="1"/>
    <x v="0"/>
    <x v="0"/>
    <x v="0"/>
    <n v="70006.960000000006"/>
    <n v="70006.960000000006"/>
    <n v="44.876256410256417"/>
    <m/>
    <m/>
    <s v="46"/>
    <x v="1980"/>
    <x v="0"/>
  </r>
  <r>
    <x v="19"/>
    <x v="507"/>
    <m/>
    <s v="Total"/>
    <x v="3"/>
    <x v="0"/>
    <x v="0"/>
    <x v="0"/>
    <n v="1130000"/>
    <n v="1130000"/>
    <n v="724.35897435897436"/>
    <m/>
    <m/>
    <s v="50"/>
    <x v="1981"/>
    <x v="0"/>
  </r>
  <r>
    <x v="15"/>
    <x v="508"/>
    <s v="Reparacion telefon NINA - Autoriza LH"/>
    <s v="Total"/>
    <x v="2"/>
    <x v="1"/>
    <x v="2"/>
    <x v="0"/>
    <n v="68500"/>
    <n v="68500"/>
    <n v="43.910256410256409"/>
    <m/>
    <m/>
    <s v="49"/>
    <x v="1982"/>
    <x v="0"/>
  </r>
  <r>
    <x v="31"/>
    <x v="509"/>
    <s v="Pimenton /  aji"/>
    <s v="Total"/>
    <x v="1"/>
    <x v="1"/>
    <x v="1"/>
    <x v="0"/>
    <n v="613494"/>
    <n v="613494"/>
    <n v="393.26538461538462"/>
    <m/>
    <d v="2025-11-17T00:00:00"/>
    <n v="47"/>
    <x v="1983"/>
    <x v="0"/>
  </r>
  <r>
    <x v="31"/>
    <x v="509"/>
    <s v="Cheques rechazados "/>
    <s v="Total"/>
    <x v="1"/>
    <x v="1"/>
    <x v="1"/>
    <x v="0"/>
    <n v="1000000"/>
    <n v="1000000"/>
    <n v="641.02564102564099"/>
    <m/>
    <d v="2025-12-09T00:00:00"/>
    <n v="50"/>
    <x v="1983"/>
    <x v="0"/>
  </r>
  <r>
    <x v="31"/>
    <x v="509"/>
    <s v="Cheques rechazados "/>
    <s v="Total"/>
    <x v="1"/>
    <x v="1"/>
    <x v="2"/>
    <x v="0"/>
    <n v="36506"/>
    <n v="36506"/>
    <n v="23.401282051282053"/>
    <m/>
    <m/>
    <s v="45"/>
    <x v="1983"/>
    <x v="0"/>
  </r>
  <r>
    <x v="25"/>
    <x v="509"/>
    <s v="Pedido Producción - Pimentón"/>
    <s v="Parcial"/>
    <x v="1"/>
    <x v="1"/>
    <x v="1"/>
    <x v="0"/>
    <n v="2400000"/>
    <n v="2400000"/>
    <n v="1538.4615384615386"/>
    <s v="CH 30 Días"/>
    <d v="2025-09-29T00:00:00"/>
    <n v="40"/>
    <x v="1984"/>
    <x v="0"/>
  </r>
  <r>
    <x v="8"/>
    <x v="509"/>
    <s v="Pedido Producción - Pimentón"/>
    <s v="Parcial"/>
    <x v="1"/>
    <x v="1"/>
    <x v="1"/>
    <x v="0"/>
    <n v="200000"/>
    <n v="200000"/>
    <n v="128.2051282051282"/>
    <s v="CH 30 Días"/>
    <d v="2025-07-31T00:00:00"/>
    <n v="31"/>
    <x v="1985"/>
    <x v="0"/>
  </r>
  <r>
    <x v="8"/>
    <x v="509"/>
    <s v="Pedido Producción - Pimentón"/>
    <s v="Parcial"/>
    <x v="1"/>
    <x v="1"/>
    <x v="1"/>
    <x v="0"/>
    <n v="241690"/>
    <n v="241690"/>
    <n v="154.92948717948718"/>
    <s v="CH 30 Días"/>
    <d v="2025-08-07T00:00:00"/>
    <n v="32"/>
    <x v="1985"/>
    <x v="0"/>
  </r>
  <r>
    <x v="8"/>
    <x v="509"/>
    <s v="Pedido Producción - Pimentón"/>
    <s v="Parcial"/>
    <x v="1"/>
    <x v="1"/>
    <x v="1"/>
    <x v="0"/>
    <n v="300000"/>
    <n v="300000"/>
    <n v="192.30769230769232"/>
    <s v="CH 30 Días"/>
    <d v="2025-07-26T00:00:00"/>
    <n v="30"/>
    <x v="1985"/>
    <x v="0"/>
  </r>
  <r>
    <x v="8"/>
    <x v="509"/>
    <s v="Pedido Producción - Pimentón"/>
    <s v="Parcial"/>
    <x v="1"/>
    <x v="1"/>
    <x v="1"/>
    <x v="0"/>
    <n v="476041.54"/>
    <n v="476041.54"/>
    <n v="305.15483333333333"/>
    <s v="CH 30 Días"/>
    <d v="2025-07-22T00:00:00"/>
    <n v="30"/>
    <x v="1985"/>
    <x v="0"/>
  </r>
  <r>
    <x v="8"/>
    <x v="509"/>
    <s v="Pedido Producción - Pimentón"/>
    <s v="Parcial"/>
    <x v="1"/>
    <x v="1"/>
    <x v="1"/>
    <x v="0"/>
    <n v="1165000"/>
    <n v="1165000"/>
    <n v="746.79487179487182"/>
    <s v="CH 30 Días"/>
    <d v="2025-08-05T00:00:00"/>
    <n v="32"/>
    <x v="1985"/>
    <x v="0"/>
  </r>
  <r>
    <x v="8"/>
    <x v="509"/>
    <s v="Pedido Producción - Pimentón"/>
    <s v="Parcial"/>
    <x v="1"/>
    <x v="1"/>
    <x v="2"/>
    <x v="0"/>
    <n v="41639.86"/>
    <n v="41639.86"/>
    <n v="26.69221794871795"/>
    <s v="CH 30 Días"/>
    <m/>
    <s v="33"/>
    <x v="1985"/>
    <x v="0"/>
  </r>
  <r>
    <x v="32"/>
    <x v="509"/>
    <s v="Pimenton - pedido planta"/>
    <s v="Total"/>
    <x v="1"/>
    <x v="1"/>
    <x v="1"/>
    <x v="0"/>
    <n v="200000"/>
    <n v="200000"/>
    <n v="128.2051282051282"/>
    <m/>
    <d v="2026-03-10T00:00:00"/>
    <n v="11"/>
    <x v="1986"/>
    <x v="0"/>
  </r>
  <r>
    <x v="32"/>
    <x v="509"/>
    <s v="Pimenton - pedido planta"/>
    <s v="Total"/>
    <x v="1"/>
    <x v="1"/>
    <x v="1"/>
    <x v="0"/>
    <n v="200000"/>
    <n v="200000"/>
    <n v="128.2051282051282"/>
    <m/>
    <d v="2026-03-18T00:00:00"/>
    <n v="12"/>
    <x v="1986"/>
    <x v="0"/>
  </r>
  <r>
    <x v="32"/>
    <x v="509"/>
    <s v="Pimenton - pedido planta"/>
    <s v="Total"/>
    <x v="1"/>
    <x v="1"/>
    <x v="1"/>
    <x v="0"/>
    <n v="200000"/>
    <n v="200000"/>
    <n v="128.2051282051282"/>
    <m/>
    <d v="2026-03-12T00:00:00"/>
    <n v="11"/>
    <x v="1986"/>
    <x v="0"/>
  </r>
  <r>
    <x v="32"/>
    <x v="509"/>
    <s v="Pimenton - pedido planta"/>
    <s v="Total"/>
    <x v="1"/>
    <x v="1"/>
    <x v="1"/>
    <x v="0"/>
    <n v="200000"/>
    <n v="200000"/>
    <n v="128.2051282051282"/>
    <m/>
    <d v="2026-03-11T00:00:00"/>
    <n v="11"/>
    <x v="1986"/>
    <x v="0"/>
  </r>
  <r>
    <x v="32"/>
    <x v="509"/>
    <s v="Pimenton - pedido planta"/>
    <s v="Total"/>
    <x v="1"/>
    <x v="1"/>
    <x v="1"/>
    <x v="0"/>
    <n v="200000"/>
    <n v="200000"/>
    <n v="128.2051282051282"/>
    <m/>
    <d v="2026-03-17T00:00:00"/>
    <n v="12"/>
    <x v="1986"/>
    <x v="0"/>
  </r>
  <r>
    <x v="32"/>
    <x v="509"/>
    <s v="Pimenton - pedido planta"/>
    <s v="Total"/>
    <x v="1"/>
    <x v="1"/>
    <x v="1"/>
    <x v="0"/>
    <n v="250000"/>
    <n v="250000"/>
    <n v="160.25641025641025"/>
    <m/>
    <d v="2026-03-07T00:00:00"/>
    <n v="10"/>
    <x v="1986"/>
    <x v="0"/>
  </r>
  <r>
    <x v="32"/>
    <x v="509"/>
    <s v="Pimenton - pedido planta"/>
    <s v="Total"/>
    <x v="1"/>
    <x v="1"/>
    <x v="1"/>
    <x v="0"/>
    <n v="277000"/>
    <n v="277000"/>
    <n v="177.56410256410257"/>
    <m/>
    <d v="2026-03-01T00:00:00"/>
    <n v="10"/>
    <x v="1986"/>
    <x v="0"/>
  </r>
  <r>
    <x v="32"/>
    <x v="509"/>
    <s v="Pimenton - pedido planta"/>
    <s v="Total"/>
    <x v="1"/>
    <x v="1"/>
    <x v="1"/>
    <x v="0"/>
    <n v="350000"/>
    <n v="350000"/>
    <n v="224.35897435897436"/>
    <m/>
    <d v="2026-03-02T00:00:00"/>
    <n v="10"/>
    <x v="1986"/>
    <x v="0"/>
  </r>
  <r>
    <x v="32"/>
    <x v="509"/>
    <s v="Pimenton - pedido planta"/>
    <s v="Total"/>
    <x v="1"/>
    <x v="1"/>
    <x v="2"/>
    <x v="0"/>
    <n v="203000"/>
    <n v="203000"/>
    <n v="130.12820512820514"/>
    <m/>
    <d v="2026-02-18T00:00:00"/>
    <n v="8"/>
    <x v="1986"/>
    <x v="0"/>
  </r>
  <r>
    <x v="34"/>
    <x v="509"/>
    <s v="Pimenton"/>
    <s v="Total"/>
    <x v="1"/>
    <x v="1"/>
    <x v="1"/>
    <x v="0"/>
    <n v="1214000"/>
    <n v="1214000"/>
    <n v="778.20512820512818"/>
    <m/>
    <d v="2026-07-11T00:00:00"/>
    <n v="28"/>
    <x v="1987"/>
    <x v="0"/>
  </r>
  <r>
    <x v="36"/>
    <x v="509"/>
    <s v="Pimenton"/>
    <s v="Total"/>
    <x v="1"/>
    <x v="1"/>
    <x v="1"/>
    <x v="0"/>
    <n v="2726733"/>
    <n v="2726733"/>
    <n v="1747.9057692307692"/>
    <m/>
    <d v="2026-08-24T00:00:00"/>
    <n v="35"/>
    <x v="1988"/>
    <x v="0"/>
  </r>
  <r>
    <x v="36"/>
    <x v="509"/>
    <s v="Pimenton"/>
    <s v="Total"/>
    <x v="2"/>
    <x v="1"/>
    <x v="2"/>
    <x v="0"/>
    <n v="249167"/>
    <n v="249167"/>
    <n v="159.7224358974359"/>
    <m/>
    <m/>
    <s v="28"/>
    <x v="1988"/>
    <x v="0"/>
  </r>
  <r>
    <x v="66"/>
    <x v="509"/>
    <s v="Pimiento - insumos pasta"/>
    <s v="Total"/>
    <x v="0"/>
    <x v="1"/>
    <x v="1"/>
    <x v="0"/>
    <n v="2500000"/>
    <n v="2500000"/>
    <n v="1602.5641025641025"/>
    <m/>
    <d v="2026-09-20T00:00:00"/>
    <n v="39"/>
    <x v="1989"/>
    <x v="0"/>
  </r>
  <r>
    <x v="72"/>
    <x v="509"/>
    <s v="Pimiento - insumos pasta"/>
    <s v="Total"/>
    <x v="0"/>
    <x v="1"/>
    <x v="1"/>
    <x v="0"/>
    <n v="1100000"/>
    <n v="1100000"/>
    <n v="705.12820512820508"/>
    <m/>
    <d v="2026-10-23T00:00:00"/>
    <n v="43"/>
    <x v="1990"/>
    <x v="0"/>
  </r>
  <r>
    <x v="72"/>
    <x v="509"/>
    <s v="Pimiento - insumos pasta"/>
    <s v="Total"/>
    <x v="0"/>
    <x v="1"/>
    <x v="1"/>
    <x v="0"/>
    <n v="1100000"/>
    <n v="1100000"/>
    <n v="705.12820512820508"/>
    <m/>
    <d v="2026-11-06T00:00:00"/>
    <n v="45"/>
    <x v="1990"/>
    <x v="0"/>
  </r>
  <r>
    <x v="72"/>
    <x v="509"/>
    <s v="Pimiento - insumos pasta"/>
    <s v="Total"/>
    <x v="0"/>
    <x v="1"/>
    <x v="1"/>
    <x v="0"/>
    <n v="1340400"/>
    <n v="1340400"/>
    <n v="859.23076923076928"/>
    <m/>
    <d v="2026-10-23T00:00:00"/>
    <n v="43"/>
    <x v="1990"/>
    <x v="0"/>
  </r>
  <r>
    <x v="54"/>
    <x v="509"/>
    <s v="Pimiento - insumos pasta"/>
    <s v="Total"/>
    <x v="0"/>
    <x v="1"/>
    <x v="1"/>
    <x v="0"/>
    <n v="300000"/>
    <n v="300000"/>
    <n v="192.30769230769232"/>
    <m/>
    <d v="2026-09-18T00:00:00"/>
    <n v="38"/>
    <x v="1991"/>
    <x v="0"/>
  </r>
  <r>
    <x v="54"/>
    <x v="509"/>
    <s v="Pimiento - insumos pasta"/>
    <s v="Total"/>
    <x v="0"/>
    <x v="1"/>
    <x v="1"/>
    <x v="0"/>
    <n v="1000000"/>
    <n v="1000000"/>
    <n v="641.02564102564099"/>
    <m/>
    <d v="2026-10-30T00:00:00"/>
    <n v="44"/>
    <x v="1991"/>
    <x v="0"/>
  </r>
  <r>
    <x v="46"/>
    <x v="509"/>
    <s v="Pimiento - insumos pasta"/>
    <s v="Total"/>
    <x v="1"/>
    <x v="1"/>
    <x v="1"/>
    <x v="0"/>
    <n v="2000000"/>
    <n v="2000000"/>
    <n v="1282.051282051282"/>
    <m/>
    <m/>
    <s v="42"/>
    <x v="1992"/>
    <x v="0"/>
  </r>
  <r>
    <x v="3"/>
    <x v="466"/>
    <s v="Pedido Planta - Alginato"/>
    <s v="Total"/>
    <x v="1"/>
    <x v="0"/>
    <x v="1"/>
    <x v="0"/>
    <n v="154710.75"/>
    <n v="154710.75"/>
    <n v="99.173557692307696"/>
    <s v="Retenciones"/>
    <m/>
    <s v="44"/>
    <x v="1955"/>
    <x v="0"/>
  </r>
  <r>
    <x v="3"/>
    <x v="471"/>
    <s v="Insumos Campaña 2026"/>
    <s v="Parcial"/>
    <x v="0"/>
    <x v="0"/>
    <x v="1"/>
    <x v="0"/>
    <n v="8431119.3300000001"/>
    <n v="8431119.3300000001"/>
    <n v="5404.5636730769229"/>
    <m/>
    <m/>
    <s v="44"/>
    <x v="0"/>
    <x v="1"/>
  </r>
  <r>
    <x v="74"/>
    <x v="510"/>
    <s v="Trabajo de pintura administración"/>
    <s v="Total"/>
    <x v="2"/>
    <x v="1"/>
    <x v="2"/>
    <x v="0"/>
    <n v="350000"/>
    <n v="350000"/>
    <n v="224.35897435897436"/>
    <m/>
    <m/>
    <s v="03"/>
    <x v="1993"/>
    <x v="0"/>
  </r>
  <r>
    <x v="9"/>
    <x v="510"/>
    <s v="Pintura administración "/>
    <s v="Total"/>
    <x v="1"/>
    <x v="1"/>
    <x v="2"/>
    <x v="0"/>
    <n v="200000"/>
    <n v="200000"/>
    <n v="128.2051282051282"/>
    <m/>
    <m/>
    <s v="05"/>
    <x v="1994"/>
    <x v="0"/>
  </r>
  <r>
    <x v="59"/>
    <x v="510"/>
    <s v="Pintura administración "/>
    <s v="Total"/>
    <x v="2"/>
    <x v="1"/>
    <x v="2"/>
    <x v="0"/>
    <n v="200000"/>
    <n v="200000"/>
    <n v="128.2051282051282"/>
    <m/>
    <m/>
    <s v="06"/>
    <x v="1995"/>
    <x v="0"/>
  </r>
  <r>
    <x v="13"/>
    <x v="510"/>
    <s v="Pintura administración "/>
    <s v="Total"/>
    <x v="2"/>
    <x v="1"/>
    <x v="2"/>
    <x v="0"/>
    <n v="407940"/>
    <n v="407940"/>
    <n v="261.5"/>
    <m/>
    <m/>
    <s v="07"/>
    <x v="1996"/>
    <x v="0"/>
  </r>
  <r>
    <x v="41"/>
    <x v="510"/>
    <s v="Pintura administración "/>
    <s v="Total"/>
    <x v="2"/>
    <x v="1"/>
    <x v="2"/>
    <x v="0"/>
    <n v="1000000"/>
    <n v="1000000"/>
    <n v="641.02564102564099"/>
    <m/>
    <m/>
    <s v="08"/>
    <x v="1997"/>
    <x v="0"/>
  </r>
  <r>
    <x v="45"/>
    <x v="511"/>
    <s v="Consulta oftalmologica"/>
    <s v="Total"/>
    <x v="1"/>
    <x v="0"/>
    <x v="0"/>
    <x v="0"/>
    <n v="48400"/>
    <n v="48400"/>
    <n v="31.025641025641026"/>
    <m/>
    <m/>
    <s v="25"/>
    <x v="1998"/>
    <x v="0"/>
  </r>
  <r>
    <x v="14"/>
    <x v="512"/>
    <s v="Acoples Fafer 45 - Bodega"/>
    <s v="Total"/>
    <x v="1"/>
    <x v="0"/>
    <x v="1"/>
    <x v="0"/>
    <n v="508689.13"/>
    <n v="508689.13"/>
    <n v="326.08277564102565"/>
    <m/>
    <d v="2025-12-06T00:00:00"/>
    <n v="49"/>
    <x v="1999"/>
    <x v="0"/>
  </r>
  <r>
    <x v="14"/>
    <x v="512"/>
    <s v="Acoples Fafer 45 - Bodega"/>
    <s v="Total"/>
    <x v="1"/>
    <x v="0"/>
    <x v="1"/>
    <x v="0"/>
    <n v="508689.12"/>
    <n v="508689.12"/>
    <n v="326.0827692307692"/>
    <m/>
    <d v="2025-12-20T00:00:00"/>
    <n v="51"/>
    <x v="1999"/>
    <x v="0"/>
  </r>
  <r>
    <x v="8"/>
    <x v="513"/>
    <s v="Servicio de filtrado de vino (Bodega)"/>
    <s v="Total"/>
    <x v="3"/>
    <x v="1"/>
    <x v="2"/>
    <x v="0"/>
    <n v="2479182.89"/>
    <n v="2479182.89"/>
    <n v="1589.2198012820513"/>
    <m/>
    <m/>
    <s v="33"/>
    <x v="2000"/>
    <x v="0"/>
  </r>
  <r>
    <x v="68"/>
    <x v="514"/>
    <s v="Comision por venta"/>
    <s v="Total"/>
    <x v="3"/>
    <x v="0"/>
    <x v="0"/>
    <x v="0"/>
    <n v="1522457.94"/>
    <n v="1522457.94"/>
    <n v="975.93457692307686"/>
    <m/>
    <m/>
    <s v="23"/>
    <x v="2001"/>
    <x v="0"/>
  </r>
  <r>
    <x v="18"/>
    <x v="514"/>
    <m/>
    <s v="Total"/>
    <x v="3"/>
    <x v="0"/>
    <x v="0"/>
    <x v="0"/>
    <n v="2195215.59"/>
    <n v="2195215.59"/>
    <n v="1407.1894807692306"/>
    <m/>
    <m/>
    <s v="39"/>
    <x v="1391"/>
    <x v="0"/>
  </r>
  <r>
    <x v="6"/>
    <x v="514"/>
    <m/>
    <s v="Total"/>
    <x v="3"/>
    <x v="0"/>
    <x v="0"/>
    <x v="0"/>
    <n v="1015185.53"/>
    <n v="1015185.53"/>
    <n v="650.75995512820509"/>
    <m/>
    <m/>
    <s v="41"/>
    <x v="2002"/>
    <x v="0"/>
  </r>
  <r>
    <x v="30"/>
    <x v="514"/>
    <s v="Pago Comision"/>
    <s v="Total"/>
    <x v="3"/>
    <x v="0"/>
    <x v="0"/>
    <x v="0"/>
    <n v="2152257.06"/>
    <n v="2152257.06"/>
    <n v="1379.6519615384616"/>
    <m/>
    <m/>
    <s v="43"/>
    <x v="2003"/>
    <x v="0"/>
  </r>
  <r>
    <x v="19"/>
    <x v="514"/>
    <m/>
    <s v="Total"/>
    <x v="3"/>
    <x v="0"/>
    <x v="0"/>
    <x v="0"/>
    <n v="1264683.08"/>
    <n v="1264683.08"/>
    <n v="810.69428205128213"/>
    <m/>
    <m/>
    <s v="50"/>
    <x v="2004"/>
    <x v="0"/>
  </r>
  <r>
    <x v="3"/>
    <x v="479"/>
    <s v="Campaña 2026"/>
    <s v="Total"/>
    <x v="5"/>
    <x v="1"/>
    <x v="1"/>
    <x v="1"/>
    <n v="8785.0362946254008"/>
    <n v="13704656.619615626"/>
    <n v="8785.0362946254008"/>
    <m/>
    <m/>
    <s v="44"/>
    <x v="0"/>
    <x v="1"/>
  </r>
  <r>
    <x v="2"/>
    <x v="515"/>
    <s v="Servicio de filtrado de vino (Bodega)"/>
    <s v="Total"/>
    <x v="3"/>
    <x v="1"/>
    <x v="2"/>
    <x v="0"/>
    <n v="1000000"/>
    <n v="1000000"/>
    <n v="641.02564102564099"/>
    <m/>
    <m/>
    <s v="32"/>
    <x v="34"/>
    <x v="0"/>
  </r>
  <r>
    <x v="71"/>
    <x v="516"/>
    <s v="Pedido Casa Doctor"/>
    <s v="Total"/>
    <x v="2"/>
    <x v="0"/>
    <x v="2"/>
    <x v="0"/>
    <n v="16000"/>
    <n v="16000"/>
    <n v="10.256410256410257"/>
    <m/>
    <m/>
    <s v="36"/>
    <x v="2005"/>
    <x v="0"/>
  </r>
  <r>
    <x v="55"/>
    <x v="517"/>
    <s v="Desagote Bodega"/>
    <s v="Total"/>
    <x v="1"/>
    <x v="1"/>
    <x v="2"/>
    <x v="0"/>
    <n v="140000"/>
    <n v="140000"/>
    <n v="89.743589743589737"/>
    <m/>
    <m/>
    <s v="19"/>
    <x v="2006"/>
    <x v="0"/>
  </r>
  <r>
    <x v="2"/>
    <x v="517"/>
    <s v="Desagote 2 pozo mas una cama septica planta"/>
    <s v="Total"/>
    <x v="2"/>
    <x v="1"/>
    <x v="2"/>
    <x v="0"/>
    <n v="150000"/>
    <n v="150000"/>
    <n v="96.15384615384616"/>
    <m/>
    <m/>
    <s v="32"/>
    <x v="0"/>
    <x v="0"/>
  </r>
  <r>
    <x v="9"/>
    <x v="517"/>
    <s v="Desagote pozo planta"/>
    <s v="Total"/>
    <x v="2"/>
    <x v="1"/>
    <x v="2"/>
    <x v="0"/>
    <n v="100000"/>
    <n v="100000"/>
    <n v="64.102564102564102"/>
    <m/>
    <m/>
    <s v="05"/>
    <x v="2007"/>
    <x v="0"/>
  </r>
  <r>
    <x v="85"/>
    <x v="517"/>
    <s v="Desagote pozo planta"/>
    <s v="Total"/>
    <x v="2"/>
    <x v="1"/>
    <x v="2"/>
    <x v="0"/>
    <n v="100000"/>
    <n v="100000"/>
    <n v="64.102564102564102"/>
    <m/>
    <m/>
    <s v="05"/>
    <x v="2007"/>
    <x v="0"/>
  </r>
  <r>
    <x v="20"/>
    <x v="517"/>
    <s v="Desagote pozo planta"/>
    <s v="Total"/>
    <x v="2"/>
    <x v="1"/>
    <x v="2"/>
    <x v="0"/>
    <n v="85000"/>
    <n v="85000"/>
    <n v="54.487179487179489"/>
    <m/>
    <m/>
    <s v="15"/>
    <x v="2008"/>
    <x v="0"/>
  </r>
  <r>
    <x v="20"/>
    <x v="517"/>
    <s v="Desagote pozo planta"/>
    <s v="Total"/>
    <x v="2"/>
    <x v="1"/>
    <x v="2"/>
    <x v="0"/>
    <n v="85000"/>
    <n v="85000"/>
    <n v="54.487179487179489"/>
    <m/>
    <m/>
    <s v="15"/>
    <x v="2009"/>
    <x v="0"/>
  </r>
  <r>
    <x v="22"/>
    <x v="517"/>
    <s v="Desagote pozo planta -  Casa"/>
    <s v="Total"/>
    <x v="2"/>
    <x v="1"/>
    <x v="2"/>
    <x v="0"/>
    <n v="285000"/>
    <n v="285000"/>
    <n v="182.69230769230768"/>
    <m/>
    <m/>
    <s v="23"/>
    <x v="2010"/>
    <x v="0"/>
  </r>
  <r>
    <x v="43"/>
    <x v="517"/>
    <s v="Desagote pozo mas camara planta"/>
    <s v="Total"/>
    <x v="2"/>
    <x v="1"/>
    <x v="2"/>
    <x v="0"/>
    <n v="190000"/>
    <n v="190000"/>
    <n v="121.7948717948718"/>
    <m/>
    <m/>
    <s v="26"/>
    <x v="2011"/>
    <x v="0"/>
  </r>
  <r>
    <x v="54"/>
    <x v="517"/>
    <s v="Desagote 2 pozos plantas"/>
    <s v="Total"/>
    <x v="1"/>
    <x v="0"/>
    <x v="3"/>
    <x v="0"/>
    <n v="190000"/>
    <n v="190000"/>
    <n v="121.7948717948718"/>
    <m/>
    <m/>
    <s v="41"/>
    <x v="2012"/>
    <x v="0"/>
  </r>
  <r>
    <x v="19"/>
    <x v="518"/>
    <s v="Honorarios Profesionales"/>
    <s v="Total"/>
    <x v="3"/>
    <x v="0"/>
    <x v="0"/>
    <x v="0"/>
    <n v="130000"/>
    <n v="130000"/>
    <n v="83.333333333333329"/>
    <m/>
    <m/>
    <s v="50"/>
    <x v="2013"/>
    <x v="0"/>
  </r>
  <r>
    <x v="68"/>
    <x v="518"/>
    <s v="Honorarios Profesionales"/>
    <s v="Total"/>
    <x v="3"/>
    <x v="0"/>
    <x v="0"/>
    <x v="0"/>
    <n v="130000"/>
    <n v="130000"/>
    <n v="83.333333333333329"/>
    <m/>
    <m/>
    <s v="23"/>
    <x v="2014"/>
    <x v="0"/>
  </r>
  <r>
    <x v="26"/>
    <x v="518"/>
    <s v="Honorarios Profesionales"/>
    <s v="Total"/>
    <x v="3"/>
    <x v="0"/>
    <x v="0"/>
    <x v="0"/>
    <n v="260000"/>
    <n v="260000"/>
    <n v="166.66666666666666"/>
    <m/>
    <m/>
    <s v="29"/>
    <x v="2015"/>
    <x v="0"/>
  </r>
  <r>
    <x v="6"/>
    <x v="518"/>
    <s v="Honorarios Profesionales"/>
    <s v="Total"/>
    <x v="3"/>
    <x v="0"/>
    <x v="0"/>
    <x v="0"/>
    <n v="130000"/>
    <n v="130000"/>
    <n v="83.333333333333329"/>
    <m/>
    <m/>
    <s v="41"/>
    <x v="2016"/>
    <x v="0"/>
  </r>
  <r>
    <x v="7"/>
    <x v="518"/>
    <s v="Honorarios Profesionales"/>
    <s v="Total"/>
    <x v="3"/>
    <x v="0"/>
    <x v="0"/>
    <x v="0"/>
    <n v="130000"/>
    <n v="130000"/>
    <n v="83.333333333333329"/>
    <m/>
    <m/>
    <s v="46"/>
    <x v="2017"/>
    <x v="0"/>
  </r>
  <r>
    <x v="13"/>
    <x v="518"/>
    <s v="Honorarios Profesionales"/>
    <s v="Total"/>
    <x v="3"/>
    <x v="0"/>
    <x v="0"/>
    <x v="0"/>
    <n v="170000"/>
    <n v="170000"/>
    <n v="108.97435897435898"/>
    <m/>
    <m/>
    <s v="07"/>
    <x v="2018"/>
    <x v="0"/>
  </r>
  <r>
    <x v="65"/>
    <x v="518"/>
    <m/>
    <s v="Total"/>
    <x v="3"/>
    <x v="0"/>
    <x v="0"/>
    <x v="0"/>
    <n v="170000"/>
    <n v="170000"/>
    <n v="108.97435897435898"/>
    <m/>
    <m/>
    <s v="13"/>
    <x v="2019"/>
    <x v="0"/>
  </r>
  <r>
    <x v="20"/>
    <x v="518"/>
    <s v="Marzo"/>
    <s v="Total"/>
    <x v="3"/>
    <x v="0"/>
    <x v="0"/>
    <x v="0"/>
    <n v="170000"/>
    <n v="170000"/>
    <n v="108.97435897435898"/>
    <m/>
    <m/>
    <s v="15"/>
    <x v="2020"/>
    <x v="0"/>
  </r>
  <r>
    <x v="64"/>
    <x v="518"/>
    <s v="Honorarios"/>
    <s v="Total"/>
    <x v="3"/>
    <x v="0"/>
    <x v="0"/>
    <x v="0"/>
    <n v="170000"/>
    <n v="170000"/>
    <n v="108.97435897435898"/>
    <m/>
    <m/>
    <s v="22"/>
    <x v="2021"/>
    <x v="0"/>
  </r>
  <r>
    <x v="43"/>
    <x v="518"/>
    <s v="Acesoramiento"/>
    <s v="Total"/>
    <x v="3"/>
    <x v="0"/>
    <x v="0"/>
    <x v="0"/>
    <n v="170000"/>
    <n v="170000"/>
    <n v="108.97435897435898"/>
    <m/>
    <m/>
    <s v="26"/>
    <x v="2022"/>
    <x v="0"/>
  </r>
  <r>
    <x v="44"/>
    <x v="518"/>
    <s v=" Honorarios 6-2026"/>
    <s v="Total"/>
    <x v="3"/>
    <x v="0"/>
    <x v="0"/>
    <x v="0"/>
    <n v="170000"/>
    <n v="170000"/>
    <n v="108.97435897435898"/>
    <m/>
    <m/>
    <s v="31"/>
    <x v="2023"/>
    <x v="0"/>
  </r>
  <r>
    <x v="16"/>
    <x v="518"/>
    <s v="Honorarios profesionales"/>
    <s v="Total"/>
    <x v="3"/>
    <x v="0"/>
    <x v="0"/>
    <x v="0"/>
    <n v="170000"/>
    <n v="170000"/>
    <n v="108.97435897435898"/>
    <m/>
    <m/>
    <s v="43"/>
    <x v="2024"/>
    <x v="0"/>
  </r>
  <r>
    <x v="68"/>
    <x v="519"/>
    <s v="Alojamiento  "/>
    <s v="Total"/>
    <x v="1"/>
    <x v="0"/>
    <x v="0"/>
    <x v="0"/>
    <n v="70000"/>
    <n v="70000"/>
    <n v="44.871794871794869"/>
    <s v="Pago 02/06/2025"/>
    <m/>
    <s v="23"/>
    <x v="2025"/>
    <x v="0"/>
  </r>
  <r>
    <x v="27"/>
    <x v="519"/>
    <s v="Alojamiento Personal Bodega"/>
    <s v="Total"/>
    <x v="1"/>
    <x v="0"/>
    <x v="0"/>
    <x v="0"/>
    <n v="120000"/>
    <n v="120000"/>
    <n v="76.92307692307692"/>
    <m/>
    <m/>
    <s v="35"/>
    <x v="2026"/>
    <x v="0"/>
  </r>
  <r>
    <x v="10"/>
    <x v="519"/>
    <s v="Alojamiento - Luis Coita"/>
    <s v="Total"/>
    <x v="1"/>
    <x v="0"/>
    <x v="0"/>
    <x v="0"/>
    <n v="55000"/>
    <n v="55000"/>
    <n v="35.256410256410255"/>
    <m/>
    <m/>
    <s v="48"/>
    <x v="2027"/>
    <x v="0"/>
  </r>
  <r>
    <x v="13"/>
    <x v="519"/>
    <m/>
    <s v="Total"/>
    <x v="3"/>
    <x v="0"/>
    <x v="0"/>
    <x v="0"/>
    <n v="120000"/>
    <n v="120000"/>
    <n v="76.92307692307692"/>
    <m/>
    <m/>
    <s v="07"/>
    <x v="2028"/>
    <x v="0"/>
  </r>
  <r>
    <x v="20"/>
    <x v="519"/>
    <s v="Alojamiento"/>
    <s v="Total"/>
    <x v="1"/>
    <x v="0"/>
    <x v="0"/>
    <x v="0"/>
    <n v="120000"/>
    <n v="120000"/>
    <n v="76.92307692307692"/>
    <m/>
    <m/>
    <s v="15"/>
    <x v="2029"/>
    <x v="0"/>
  </r>
  <r>
    <x v="44"/>
    <x v="519"/>
    <s v="Alojamiento Coita Luis"/>
    <s v="Total"/>
    <x v="2"/>
    <x v="0"/>
    <x v="2"/>
    <x v="0"/>
    <n v="237376.46"/>
    <n v="237376.46"/>
    <n v="152.16439743589743"/>
    <m/>
    <m/>
    <s v="31"/>
    <x v="2030"/>
    <x v="0"/>
  </r>
  <r>
    <x v="44"/>
    <x v="519"/>
    <s v="Alojamiento Coita Luis"/>
    <s v="Total"/>
    <x v="2"/>
    <x v="0"/>
    <x v="2"/>
    <x v="0"/>
    <n v="2623.54"/>
    <n v="2623.54"/>
    <n v="1.6817564102564102"/>
    <s v="Retenciones"/>
    <m/>
    <s v="31"/>
    <x v="2030"/>
    <x v="0"/>
  </r>
  <r>
    <x v="39"/>
    <x v="520"/>
    <s v="Pago "/>
    <s v="Total"/>
    <x v="1"/>
    <x v="0"/>
    <x v="0"/>
    <x v="0"/>
    <n v="96800"/>
    <n v="96800"/>
    <n v="62.051282051282051"/>
    <m/>
    <m/>
    <s v="38"/>
    <x v="2031"/>
    <x v="0"/>
  </r>
  <r>
    <x v="70"/>
    <x v="521"/>
    <s v="Materiales entregados en enero"/>
    <s v="Total"/>
    <x v="1"/>
    <x v="0"/>
    <x v="1"/>
    <x v="0"/>
    <n v="220000"/>
    <n v="220000"/>
    <n v="141.02564102564102"/>
    <m/>
    <d v="2025-09-01T00:00:00"/>
    <n v="36"/>
    <x v="2032"/>
    <x v="0"/>
  </r>
  <r>
    <x v="70"/>
    <x v="521"/>
    <s v="Materiales entregados en enero"/>
    <s v="Total"/>
    <x v="1"/>
    <x v="0"/>
    <x v="1"/>
    <x v="0"/>
    <n v="400000"/>
    <n v="400000"/>
    <n v="256.41025641025641"/>
    <m/>
    <d v="2025-09-01T00:00:00"/>
    <n v="36"/>
    <x v="2032"/>
    <x v="0"/>
  </r>
  <r>
    <x v="70"/>
    <x v="521"/>
    <s v="Materiales entregados en enero"/>
    <s v="Total"/>
    <x v="1"/>
    <x v="0"/>
    <x v="1"/>
    <x v="0"/>
    <n v="445000"/>
    <n v="445000"/>
    <n v="285.25641025641028"/>
    <m/>
    <d v="2025-09-01T00:00:00"/>
    <n v="36"/>
    <x v="2032"/>
    <x v="0"/>
  </r>
  <r>
    <x v="70"/>
    <x v="521"/>
    <s v="Materiales entregados en enero"/>
    <s v="Total"/>
    <x v="1"/>
    <x v="0"/>
    <x v="1"/>
    <x v="0"/>
    <n v="1700000"/>
    <n v="1700000"/>
    <n v="1089.7435897435898"/>
    <m/>
    <d v="2025-09-01T00:00:00"/>
    <n v="36"/>
    <x v="2032"/>
    <x v="0"/>
  </r>
  <r>
    <x v="70"/>
    <x v="521"/>
    <s v="Materiales entregados en enero"/>
    <s v="Total"/>
    <x v="1"/>
    <x v="0"/>
    <x v="1"/>
    <x v="0"/>
    <n v="230000"/>
    <n v="230000"/>
    <n v="147.43589743589743"/>
    <m/>
    <d v="2025-09-01T00:00:00"/>
    <n v="36"/>
    <x v="2032"/>
    <x v="0"/>
  </r>
  <r>
    <x v="70"/>
    <x v="521"/>
    <s v="Materiales entregados en enero"/>
    <s v="Total"/>
    <x v="1"/>
    <x v="0"/>
    <x v="1"/>
    <x v="0"/>
    <n v="250000"/>
    <n v="250000"/>
    <n v="160.25641025641025"/>
    <m/>
    <d v="2025-09-01T00:00:00"/>
    <n v="36"/>
    <x v="2032"/>
    <x v="0"/>
  </r>
  <r>
    <x v="70"/>
    <x v="521"/>
    <s v="Materiales entregados en enero"/>
    <s v="Total"/>
    <x v="1"/>
    <x v="0"/>
    <x v="1"/>
    <x v="0"/>
    <n v="13882.12"/>
    <n v="13882.12"/>
    <n v="8.8987948717948715"/>
    <m/>
    <d v="2025-09-01T00:00:00"/>
    <n v="36"/>
    <x v="2032"/>
    <x v="0"/>
  </r>
  <r>
    <x v="63"/>
    <x v="521"/>
    <s v="Banda trasportadora planta - Saldo "/>
    <s v="Total"/>
    <x v="1"/>
    <x v="0"/>
    <x v="1"/>
    <x v="0"/>
    <n v="950122.63"/>
    <n v="950122.63"/>
    <n v="609.05296794871799"/>
    <m/>
    <m/>
    <s v="44"/>
    <x v="2033"/>
    <x v="0"/>
  </r>
  <r>
    <x v="74"/>
    <x v="521"/>
    <s v="Banda trasportadora planta - 5/9"/>
    <s v="Total"/>
    <x v="1"/>
    <x v="0"/>
    <x v="1"/>
    <x v="0"/>
    <n v="1779769.03"/>
    <n v="1779769.03"/>
    <n v="1140.8775833333334"/>
    <m/>
    <d v="2026-02-01T00:00:00"/>
    <n v="6"/>
    <x v="2034"/>
    <x v="0"/>
  </r>
  <r>
    <x v="9"/>
    <x v="521"/>
    <s v="Banda trasportadora planta - Saldo "/>
    <s v="Total"/>
    <x v="0"/>
    <x v="0"/>
    <x v="1"/>
    <x v="0"/>
    <n v="2500000"/>
    <n v="2500000"/>
    <n v="1602.5641025641025"/>
    <m/>
    <m/>
    <s v="05"/>
    <x v="2035"/>
    <x v="0"/>
  </r>
  <r>
    <x v="33"/>
    <x v="521"/>
    <s v="Banda trasportadora planta - Saldo "/>
    <s v="Total"/>
    <x v="0"/>
    <x v="0"/>
    <x v="1"/>
    <x v="0"/>
    <n v="1391920"/>
    <n v="1391920"/>
    <n v="892.25641025641028"/>
    <m/>
    <d v="2026-05-17T00:00:00"/>
    <n v="21"/>
    <x v="2036"/>
    <x v="0"/>
  </r>
  <r>
    <x v="33"/>
    <x v="521"/>
    <s v="Banda trasportadora planta - Saldo "/>
    <s v="Total"/>
    <x v="0"/>
    <x v="0"/>
    <x v="1"/>
    <x v="0"/>
    <n v="18526.939999999999"/>
    <n v="18526.939999999999"/>
    <n v="11.87624358974359"/>
    <s v="Retenciones"/>
    <m/>
    <s v="12"/>
    <x v="2036"/>
    <x v="0"/>
  </r>
  <r>
    <x v="64"/>
    <x v="521"/>
    <s v="Banda trasportadora planta - Saldo "/>
    <s v="Total"/>
    <x v="0"/>
    <x v="0"/>
    <x v="1"/>
    <x v="0"/>
    <n v="2407700"/>
    <n v="2407700"/>
    <n v="1543.3974358974358"/>
    <m/>
    <d v="2026-07-11T00:00:00"/>
    <n v="28"/>
    <x v="2037"/>
    <x v="0"/>
  </r>
  <r>
    <x v="64"/>
    <x v="521"/>
    <s v="Banda trasportadora planta - Saldo "/>
    <s v="Total"/>
    <x v="0"/>
    <x v="0"/>
    <x v="1"/>
    <x v="0"/>
    <n v="20474.900000000001"/>
    <n v="20474.900000000001"/>
    <n v="13.124935897435899"/>
    <s v="Retenciones"/>
    <m/>
    <s v="22"/>
    <x v="2037"/>
    <x v="0"/>
  </r>
  <r>
    <x v="5"/>
    <x v="522"/>
    <s v="Reparacion y mantenimiento"/>
    <s v="Total"/>
    <x v="1"/>
    <x v="0"/>
    <x v="0"/>
    <x v="0"/>
    <n v="789880"/>
    <n v="789880"/>
    <n v="506.33333333333331"/>
    <m/>
    <m/>
    <s v="34"/>
    <x v="2038"/>
    <x v="0"/>
  </r>
  <r>
    <x v="70"/>
    <x v="522"/>
    <s v="Trabajos de torneria / repuestos"/>
    <s v="Total"/>
    <x v="1"/>
    <x v="0"/>
    <x v="0"/>
    <x v="0"/>
    <n v="200000"/>
    <n v="200000"/>
    <n v="128.2051282051282"/>
    <m/>
    <m/>
    <s v="36"/>
    <x v="2039"/>
    <x v="0"/>
  </r>
  <r>
    <x v="6"/>
    <x v="522"/>
    <s v="Trabajos torneria"/>
    <s v="Total"/>
    <x v="1"/>
    <x v="0"/>
    <x v="1"/>
    <x v="0"/>
    <n v="500000"/>
    <n v="500000"/>
    <n v="320.5128205128205"/>
    <m/>
    <d v="2025-09-19T00:00:00"/>
    <n v="38"/>
    <x v="2040"/>
    <x v="0"/>
  </r>
  <r>
    <x v="6"/>
    <x v="522"/>
    <s v="Trabajos torneria"/>
    <s v="Total"/>
    <x v="1"/>
    <x v="0"/>
    <x v="1"/>
    <x v="0"/>
    <n v="136519"/>
    <n v="136519"/>
    <n v="87.51217948717948"/>
    <m/>
    <d v="2025-09-24T00:00:00"/>
    <n v="39"/>
    <x v="2040"/>
    <x v="0"/>
  </r>
  <r>
    <x v="63"/>
    <x v="522"/>
    <s v="Trabajos torneria planta"/>
    <s v="Total"/>
    <x v="1"/>
    <x v="0"/>
    <x v="1"/>
    <x v="0"/>
    <n v="108900"/>
    <n v="108900"/>
    <n v="69.807692307692307"/>
    <m/>
    <d v="2025-10-13T00:00:00"/>
    <n v="42"/>
    <x v="2041"/>
    <x v="0"/>
  </r>
  <r>
    <x v="63"/>
    <x v="522"/>
    <s v="Trabajos torneria planta"/>
    <s v="Total"/>
    <x v="1"/>
    <x v="0"/>
    <x v="1"/>
    <x v="0"/>
    <n v="315000"/>
    <n v="315000"/>
    <n v="201.92307692307693"/>
    <m/>
    <d v="2025-11-20T00:00:00"/>
    <n v="47"/>
    <x v="2041"/>
    <x v="0"/>
  </r>
  <r>
    <x v="63"/>
    <x v="522"/>
    <s v="Trabajos torneria planta"/>
    <s v="Total"/>
    <x v="2"/>
    <x v="0"/>
    <x v="2"/>
    <x v="0"/>
    <n v="28300"/>
    <n v="28300"/>
    <n v="18.141025641025642"/>
    <m/>
    <m/>
    <s v="44"/>
    <x v="2041"/>
    <x v="0"/>
  </r>
  <r>
    <x v="19"/>
    <x v="522"/>
    <s v="Trabajos de torneria planta - bodega"/>
    <s v="Total"/>
    <x v="0"/>
    <x v="0"/>
    <x v="0"/>
    <x v="0"/>
    <n v="1146880"/>
    <n v="1146880"/>
    <n v="735.17948717948718"/>
    <m/>
    <m/>
    <s v="50"/>
    <x v="2042"/>
    <x v="0"/>
  </r>
  <r>
    <x v="13"/>
    <x v="522"/>
    <s v="Reparaciones Varias - Planta / Bodega"/>
    <s v="Total"/>
    <x v="1"/>
    <x v="0"/>
    <x v="0"/>
    <x v="0"/>
    <n v="1200000"/>
    <n v="1200000"/>
    <n v="769.23076923076928"/>
    <m/>
    <m/>
    <s v="07"/>
    <x v="2043"/>
    <x v="0"/>
  </r>
  <r>
    <x v="56"/>
    <x v="522"/>
    <s v="Trabajos de torneria"/>
    <s v="Total"/>
    <x v="1"/>
    <x v="0"/>
    <x v="1"/>
    <x v="0"/>
    <n v="320402.09999999998"/>
    <n v="320402.09999999998"/>
    <n v="205.38596153846152"/>
    <m/>
    <d v="2026-03-20T00:00:00"/>
    <n v="12"/>
    <x v="2044"/>
    <x v="0"/>
  </r>
  <r>
    <x v="56"/>
    <x v="522"/>
    <s v="Trabajos de torneria"/>
    <s v="Total"/>
    <x v="1"/>
    <x v="0"/>
    <x v="1"/>
    <x v="0"/>
    <n v="655970.30000000005"/>
    <n v="655970.30000000005"/>
    <n v="420.4937820512821"/>
    <m/>
    <d v="2026-02-27T00:00:00"/>
    <n v="9"/>
    <x v="2044"/>
    <x v="0"/>
  </r>
  <r>
    <x v="53"/>
    <x v="522"/>
    <s v="Trabajos Varios"/>
    <s v="Total"/>
    <x v="0"/>
    <x v="0"/>
    <x v="1"/>
    <x v="0"/>
    <n v="151150"/>
    <n v="151150"/>
    <n v="96.891025641025635"/>
    <m/>
    <d v="2026-04-14T00:00:00"/>
    <n v="16"/>
    <x v="2045"/>
    <x v="0"/>
  </r>
  <r>
    <x v="53"/>
    <x v="522"/>
    <s v="Trabajos Varios"/>
    <s v="Total"/>
    <x v="0"/>
    <x v="0"/>
    <x v="1"/>
    <x v="0"/>
    <n v="750000"/>
    <n v="750000"/>
    <n v="480.76923076923077"/>
    <m/>
    <d v="2026-04-07T00:00:00"/>
    <n v="15"/>
    <x v="2045"/>
    <x v="0"/>
  </r>
  <r>
    <x v="53"/>
    <x v="522"/>
    <s v="Trabajos Varios"/>
    <s v="Total"/>
    <x v="0"/>
    <x v="0"/>
    <x v="1"/>
    <x v="0"/>
    <n v="10415.040000000001"/>
    <n v="10415.040000000001"/>
    <n v="6.6763076923076925"/>
    <s v="Retenciones"/>
    <m/>
    <s v="17"/>
    <x v="2045"/>
    <x v="0"/>
  </r>
  <r>
    <x v="23"/>
    <x v="522"/>
    <s v="Trabajos de torneria"/>
    <s v="Total"/>
    <x v="0"/>
    <x v="0"/>
    <x v="1"/>
    <x v="0"/>
    <n v="151150"/>
    <n v="151150"/>
    <n v="96.891025641025635"/>
    <m/>
    <d v="2026-04-14T00:00:00"/>
    <n v="16"/>
    <x v="2045"/>
    <x v="0"/>
  </r>
  <r>
    <x v="23"/>
    <x v="522"/>
    <s v="Trabajos de torneria"/>
    <s v="Total"/>
    <x v="0"/>
    <x v="0"/>
    <x v="1"/>
    <x v="0"/>
    <n v="750000"/>
    <n v="750000"/>
    <n v="480.76923076923077"/>
    <m/>
    <d v="2026-04-07T00:00:00"/>
    <n v="15"/>
    <x v="2045"/>
    <x v="0"/>
  </r>
  <r>
    <x v="23"/>
    <x v="522"/>
    <s v="Trabajos de torneria"/>
    <s v="Total"/>
    <x v="0"/>
    <x v="0"/>
    <x v="1"/>
    <x v="0"/>
    <n v="10415.040000000001"/>
    <n v="10415.040000000001"/>
    <n v="6.6763076923076925"/>
    <s v="Retenciones"/>
    <m/>
    <s v="18"/>
    <x v="2045"/>
    <x v="0"/>
  </r>
  <r>
    <x v="42"/>
    <x v="522"/>
    <s v="Trabajos de torneria"/>
    <s v="Total"/>
    <x v="1"/>
    <x v="0"/>
    <x v="0"/>
    <x v="0"/>
    <n v="672458.55"/>
    <n v="672458.55"/>
    <n v="431.06317307692308"/>
    <m/>
    <m/>
    <s v="24"/>
    <x v="2046"/>
    <x v="0"/>
  </r>
  <r>
    <x v="42"/>
    <x v="522"/>
    <s v="Trabajos de torneria"/>
    <s v="Total"/>
    <x v="1"/>
    <x v="0"/>
    <x v="0"/>
    <x v="0"/>
    <n v="6746.53"/>
    <n v="6746.53"/>
    <n v="4.324698717948718"/>
    <s v="Retenciones"/>
    <m/>
    <s v="24"/>
    <x v="2046"/>
    <x v="0"/>
  </r>
  <r>
    <x v="35"/>
    <x v="522"/>
    <s v="Trabajos de torneria"/>
    <s v="Total"/>
    <x v="1"/>
    <x v="0"/>
    <x v="0"/>
    <x v="0"/>
    <n v="337680"/>
    <n v="337680"/>
    <n v="216.46153846153845"/>
    <m/>
    <m/>
    <s v="27"/>
    <x v="2047"/>
    <x v="0"/>
  </r>
  <r>
    <x v="35"/>
    <x v="522"/>
    <s v="Trabajos de torneria"/>
    <s v="Total"/>
    <x v="1"/>
    <x v="0"/>
    <x v="0"/>
    <x v="0"/>
    <n v="1120"/>
    <n v="1120"/>
    <n v="0.71794871794871795"/>
    <s v="Retenciones"/>
    <m/>
    <s v="27"/>
    <x v="2047"/>
    <x v="0"/>
  </r>
  <r>
    <x v="38"/>
    <x v="522"/>
    <s v="Trabajos torneria"/>
    <s v="Total"/>
    <x v="1"/>
    <x v="0"/>
    <x v="1"/>
    <x v="0"/>
    <n v="5732316.5199999996"/>
    <n v="5732316.5199999996"/>
    <n v="3674.5618717948714"/>
    <m/>
    <d v="2026-10-05T00:00:00"/>
    <n v="41"/>
    <x v="2048"/>
    <x v="0"/>
  </r>
  <r>
    <x v="38"/>
    <x v="522"/>
    <s v="Trabajos torneria"/>
    <s v="Total"/>
    <x v="1"/>
    <x v="0"/>
    <x v="1"/>
    <x v="0"/>
    <n v="91786.16"/>
    <n v="91786.16"/>
    <n v="58.837282051282052"/>
    <s v="Retenciones"/>
    <m/>
    <s v="32"/>
    <x v="2048"/>
    <x v="0"/>
  </r>
  <r>
    <x v="12"/>
    <x v="522"/>
    <s v="Trabajos torneria"/>
    <s v="Total"/>
    <x v="0"/>
    <x v="0"/>
    <x v="0"/>
    <x v="0"/>
    <n v="620000"/>
    <n v="620000"/>
    <n v="397.43589743589746"/>
    <m/>
    <d v="2026-09-05T00:00:00"/>
    <n v="36"/>
    <x v="2049"/>
    <x v="0"/>
  </r>
  <r>
    <x v="12"/>
    <x v="522"/>
    <s v="Trabajos torneria"/>
    <s v="Total"/>
    <x v="0"/>
    <x v="0"/>
    <x v="0"/>
    <x v="0"/>
    <n v="10247.93"/>
    <n v="10247.93"/>
    <n v="6.5691858974358972"/>
    <s v="Retenciones"/>
    <m/>
    <s v="33"/>
    <x v="2049"/>
    <x v="0"/>
  </r>
  <r>
    <x v="16"/>
    <x v="522"/>
    <s v="Trabajos torneria"/>
    <s v="Total"/>
    <x v="0"/>
    <x v="0"/>
    <x v="0"/>
    <x v="0"/>
    <n v="956000"/>
    <n v="956000"/>
    <n v="612.82051282051282"/>
    <m/>
    <d v="2026-11-12T00:00:00"/>
    <n v="46"/>
    <x v="2050"/>
    <x v="0"/>
  </r>
  <r>
    <x v="16"/>
    <x v="522"/>
    <s v="Trabajos torneria"/>
    <s v="Total"/>
    <x v="0"/>
    <x v="0"/>
    <x v="0"/>
    <x v="0"/>
    <n v="114317.32"/>
    <n v="114317.32"/>
    <n v="73.280333333333331"/>
    <m/>
    <m/>
    <s v="43"/>
    <x v="2050"/>
    <x v="0"/>
  </r>
  <r>
    <x v="16"/>
    <x v="522"/>
    <s v="Trabajos torneria"/>
    <s v="Total"/>
    <x v="0"/>
    <x v="0"/>
    <x v="0"/>
    <x v="0"/>
    <n v="18682.68"/>
    <n v="18682.68"/>
    <n v="11.976076923076922"/>
    <s v="Retenciones"/>
    <m/>
    <s v="43"/>
    <x v="2050"/>
    <x v="0"/>
  </r>
  <r>
    <x v="13"/>
    <x v="523"/>
    <m/>
    <s v="Total"/>
    <x v="3"/>
    <x v="0"/>
    <x v="0"/>
    <x v="0"/>
    <n v="372445.28"/>
    <n v="372445.28"/>
    <n v="238.74697435897437"/>
    <m/>
    <m/>
    <s v="07"/>
    <x v="2051"/>
    <x v="0"/>
  </r>
  <r>
    <x v="31"/>
    <x v="523"/>
    <s v="Cajones cosecha"/>
    <s v="Total"/>
    <x v="1"/>
    <x v="0"/>
    <x v="1"/>
    <x v="0"/>
    <n v="14547672.710000001"/>
    <n v="14547672.710000001"/>
    <n v="9325.4312243589757"/>
    <m/>
    <d v="2025-12-11T00:00:00"/>
    <n v="50"/>
    <x v="2052"/>
    <x v="0"/>
  </r>
  <r>
    <x v="50"/>
    <x v="523"/>
    <s v="Cajones cosecha ($17028000)"/>
    <s v="Total"/>
    <x v="1"/>
    <x v="0"/>
    <x v="1"/>
    <x v="0"/>
    <n v="582500"/>
    <n v="582500"/>
    <n v="373.39743589743591"/>
    <m/>
    <d v="2026-01-14T00:00:00"/>
    <n v="3"/>
    <x v="2053"/>
    <x v="0"/>
  </r>
  <r>
    <x v="50"/>
    <x v="523"/>
    <s v="Cajones cosecha ($17028000)"/>
    <s v="Total"/>
    <x v="1"/>
    <x v="0"/>
    <x v="1"/>
    <x v="0"/>
    <n v="625000"/>
    <n v="625000"/>
    <n v="400.64102564102564"/>
    <m/>
    <d v="2026-02-12T00:00:00"/>
    <n v="7"/>
    <x v="2053"/>
    <x v="0"/>
  </r>
  <r>
    <x v="50"/>
    <x v="523"/>
    <s v="Cajones cosecha ($17028000)"/>
    <s v="Total"/>
    <x v="1"/>
    <x v="0"/>
    <x v="1"/>
    <x v="0"/>
    <n v="652650"/>
    <n v="652650"/>
    <n v="418.36538461538464"/>
    <m/>
    <d v="2026-01-19T00:00:00"/>
    <n v="4"/>
    <x v="2053"/>
    <x v="0"/>
  </r>
  <r>
    <x v="63"/>
    <x v="524"/>
    <s v="Reparacion vehiculo"/>
    <s v="Total"/>
    <x v="2"/>
    <x v="1"/>
    <x v="2"/>
    <x v="0"/>
    <n v="140000"/>
    <n v="140000"/>
    <n v="89.743589743589737"/>
    <m/>
    <m/>
    <s v="44"/>
    <x v="2054"/>
    <x v="0"/>
  </r>
  <r>
    <x v="25"/>
    <x v="525"/>
    <s v="Fruta Fresca"/>
    <s v="Total"/>
    <x v="4"/>
    <x v="0"/>
    <x v="1"/>
    <x v="0"/>
    <n v="12927648.810000001"/>
    <n v="12927648.810000001"/>
    <n v="8286.9543653846158"/>
    <s v="52 días"/>
    <d v="2025-08-22T00:00:00"/>
    <n v="34"/>
    <x v="2055"/>
    <x v="0"/>
  </r>
  <r>
    <x v="25"/>
    <x v="525"/>
    <s v="Fruta Fresca"/>
    <s v="Total"/>
    <x v="4"/>
    <x v="0"/>
    <x v="1"/>
    <x v="0"/>
    <n v="12927648.810000001"/>
    <n v="12927648.810000001"/>
    <n v="8286.9543653846158"/>
    <s v="31 días"/>
    <d v="2025-08-01T00:00:00"/>
    <n v="31"/>
    <x v="2055"/>
    <x v="0"/>
  </r>
  <r>
    <x v="25"/>
    <x v="525"/>
    <s v="Fruta Fresca"/>
    <s v="Total"/>
    <x v="4"/>
    <x v="0"/>
    <x v="1"/>
    <x v="0"/>
    <n v="12927648.810000001"/>
    <n v="12927648.810000001"/>
    <n v="8286.9543653846158"/>
    <s v="45 días"/>
    <d v="2025-08-15T00:00:00"/>
    <n v="33"/>
    <x v="2055"/>
    <x v="0"/>
  </r>
  <r>
    <x v="25"/>
    <x v="525"/>
    <s v="Fruta Fresca"/>
    <s v="Total"/>
    <x v="4"/>
    <x v="0"/>
    <x v="1"/>
    <x v="0"/>
    <n v="12927648.810000001"/>
    <n v="12927648.810000001"/>
    <n v="8286.9543653846158"/>
    <s v="73 día"/>
    <d v="2025-09-12T00:00:00"/>
    <n v="37"/>
    <x v="2055"/>
    <x v="0"/>
  </r>
  <r>
    <x v="25"/>
    <x v="525"/>
    <s v="Fruta Fresca"/>
    <s v="Total"/>
    <x v="4"/>
    <x v="0"/>
    <x v="1"/>
    <x v="0"/>
    <n v="12927648.810000001"/>
    <n v="12927648.810000001"/>
    <n v="8286.9543653846158"/>
    <s v="66 días"/>
    <d v="2025-09-05T00:00:00"/>
    <n v="36"/>
    <x v="2055"/>
    <x v="0"/>
  </r>
  <r>
    <x v="25"/>
    <x v="525"/>
    <s v="Fruta Fresca"/>
    <s v="Total"/>
    <x v="4"/>
    <x v="0"/>
    <x v="1"/>
    <x v="0"/>
    <n v="12927648.84"/>
    <n v="12927648.84"/>
    <n v="8286.9543846153847"/>
    <s v="87 días"/>
    <d v="2025-09-26T00:00:00"/>
    <n v="39"/>
    <x v="2055"/>
    <x v="0"/>
  </r>
  <r>
    <x v="25"/>
    <x v="525"/>
    <s v="Fruta Fresca"/>
    <s v="Total"/>
    <x v="4"/>
    <x v="0"/>
    <x v="1"/>
    <x v="0"/>
    <n v="12927648.810000001"/>
    <n v="12927648.810000001"/>
    <n v="8286.9543653846158"/>
    <s v="59 días"/>
    <d v="2025-08-29T00:00:00"/>
    <n v="35"/>
    <x v="2055"/>
    <x v="0"/>
  </r>
  <r>
    <x v="25"/>
    <x v="525"/>
    <s v="Fruta Fresca"/>
    <s v="Total"/>
    <x v="4"/>
    <x v="0"/>
    <x v="1"/>
    <x v="0"/>
    <n v="12927648.810000001"/>
    <n v="12927648.810000001"/>
    <n v="8286.9543653846158"/>
    <s v="80 días"/>
    <d v="2025-09-19T00:00:00"/>
    <n v="38"/>
    <x v="2055"/>
    <x v="0"/>
  </r>
  <r>
    <x v="49"/>
    <x v="526"/>
    <s v="Honorarios"/>
    <s v="Total"/>
    <x v="3"/>
    <x v="0"/>
    <x v="0"/>
    <x v="0"/>
    <n v="813400"/>
    <n v="813400"/>
    <n v="521.41025641025647"/>
    <m/>
    <m/>
    <s v="25"/>
    <x v="2056"/>
    <x v="0"/>
  </r>
  <r>
    <x v="68"/>
    <x v="526"/>
    <s v="Honorarios profesionales - Liquidación de haberes"/>
    <s v="Total"/>
    <x v="3"/>
    <x v="0"/>
    <x v="0"/>
    <x v="0"/>
    <n v="839150"/>
    <n v="839150"/>
    <n v="537.91666666666663"/>
    <m/>
    <m/>
    <s v="23"/>
    <x v="0"/>
    <x v="0"/>
  </r>
  <r>
    <x v="26"/>
    <x v="526"/>
    <s v="Honorarios"/>
    <s v="Total"/>
    <x v="3"/>
    <x v="0"/>
    <x v="0"/>
    <x v="0"/>
    <n v="247200"/>
    <n v="247200"/>
    <n v="158.46153846153845"/>
    <m/>
    <m/>
    <s v="29"/>
    <x v="2057"/>
    <x v="0"/>
  </r>
  <r>
    <x v="26"/>
    <x v="526"/>
    <s v="Honorarios"/>
    <s v="Total"/>
    <x v="3"/>
    <x v="0"/>
    <x v="0"/>
    <x v="0"/>
    <n v="545600"/>
    <n v="545600"/>
    <n v="349.74358974358972"/>
    <m/>
    <m/>
    <s v="29"/>
    <x v="2057"/>
    <x v="0"/>
  </r>
  <r>
    <x v="5"/>
    <x v="526"/>
    <s v="Liquidacion de sueldos julio 2025"/>
    <s v="Total"/>
    <x v="3"/>
    <x v="0"/>
    <x v="0"/>
    <x v="0"/>
    <n v="508520"/>
    <n v="508520"/>
    <n v="325.97435897435895"/>
    <m/>
    <m/>
    <s v="34"/>
    <x v="34"/>
    <x v="0"/>
  </r>
  <r>
    <x v="18"/>
    <x v="526"/>
    <s v="Liquidación de sueldos"/>
    <s v="Total"/>
    <x v="3"/>
    <x v="0"/>
    <x v="0"/>
    <x v="0"/>
    <n v="570835"/>
    <n v="570835"/>
    <n v="365.91987179487177"/>
    <m/>
    <m/>
    <s v="39"/>
    <x v="2058"/>
    <x v="0"/>
  </r>
  <r>
    <x v="30"/>
    <x v="526"/>
    <m/>
    <s v="Total"/>
    <x v="3"/>
    <x v="0"/>
    <x v="0"/>
    <x v="0"/>
    <n v="541910"/>
    <n v="541910"/>
    <n v="347.37820512820514"/>
    <m/>
    <m/>
    <s v="43"/>
    <x v="2059"/>
    <x v="0"/>
  </r>
  <r>
    <x v="7"/>
    <x v="526"/>
    <s v="Honorarios profesionales"/>
    <s v="Total"/>
    <x v="3"/>
    <x v="0"/>
    <x v="0"/>
    <x v="0"/>
    <n v="672805"/>
    <n v="672805"/>
    <n v="431.28525641025641"/>
    <m/>
    <m/>
    <s v="46"/>
    <x v="2060"/>
    <x v="0"/>
  </r>
  <r>
    <x v="19"/>
    <x v="526"/>
    <m/>
    <s v="Total"/>
    <x v="3"/>
    <x v="0"/>
    <x v="0"/>
    <x v="0"/>
    <n v="580000"/>
    <n v="580000"/>
    <n v="371.79487179487177"/>
    <m/>
    <m/>
    <s v="50"/>
    <x v="2061"/>
    <x v="0"/>
  </r>
  <r>
    <x v="13"/>
    <x v="526"/>
    <m/>
    <s v="Total"/>
    <x v="3"/>
    <x v="0"/>
    <x v="0"/>
    <x v="0"/>
    <n v="562460"/>
    <n v="562460"/>
    <n v="360.55128205128204"/>
    <m/>
    <m/>
    <s v="07"/>
    <x v="2062"/>
    <x v="0"/>
  </r>
  <r>
    <x v="20"/>
    <x v="526"/>
    <s v="Febrero"/>
    <s v="Total"/>
    <x v="3"/>
    <x v="0"/>
    <x v="0"/>
    <x v="0"/>
    <n v="1423730"/>
    <n v="1423730"/>
    <n v="912.64743589743591"/>
    <m/>
    <m/>
    <s v="15"/>
    <x v="2063"/>
    <x v="0"/>
  </r>
  <r>
    <x v="22"/>
    <x v="526"/>
    <s v="Marzo"/>
    <s v="Total"/>
    <x v="3"/>
    <x v="0"/>
    <x v="0"/>
    <x v="0"/>
    <n v="1890650"/>
    <n v="1890650"/>
    <n v="1211.9551282051282"/>
    <m/>
    <m/>
    <s v="23"/>
    <x v="2064"/>
    <x v="0"/>
  </r>
  <r>
    <x v="43"/>
    <x v="526"/>
    <s v="Servicio liquidación de sueldos"/>
    <s v="Total"/>
    <x v="3"/>
    <x v="0"/>
    <x v="0"/>
    <x v="0"/>
    <n v="1572885"/>
    <n v="1572885"/>
    <n v="1008.2596153846154"/>
    <m/>
    <m/>
    <s v="26"/>
    <x v="2065"/>
    <x v="0"/>
  </r>
  <r>
    <x v="44"/>
    <x v="526"/>
    <s v="Honorarios"/>
    <s v="Total"/>
    <x v="3"/>
    <x v="0"/>
    <x v="0"/>
    <x v="0"/>
    <n v="1736307"/>
    <n v="1736307"/>
    <n v="1113.0173076923077"/>
    <m/>
    <m/>
    <s v="31"/>
    <x v="2066"/>
    <x v="0"/>
  </r>
  <r>
    <x v="39"/>
    <x v="526"/>
    <s v="Honorarios"/>
    <s v="Total"/>
    <x v="3"/>
    <x v="0"/>
    <x v="0"/>
    <x v="0"/>
    <n v="659148.5"/>
    <n v="659148.5"/>
    <n v="422.53108974358975"/>
    <m/>
    <m/>
    <s v="38"/>
    <x v="2067"/>
    <x v="0"/>
  </r>
  <r>
    <x v="16"/>
    <x v="526"/>
    <s v="Honorarios"/>
    <s v="Total"/>
    <x v="3"/>
    <x v="0"/>
    <x v="0"/>
    <x v="0"/>
    <n v="1375378.5"/>
    <n v="1375378.5"/>
    <n v="881.65288461538466"/>
    <m/>
    <m/>
    <s v="43"/>
    <x v="2068"/>
    <x v="0"/>
  </r>
  <r>
    <x v="70"/>
    <x v="527"/>
    <s v="Honorarios profesionales - capacitación"/>
    <s v="Total"/>
    <x v="3"/>
    <x v="0"/>
    <x v="0"/>
    <x v="0"/>
    <n v="1300000"/>
    <n v="1300000"/>
    <n v="833.33333333333337"/>
    <m/>
    <m/>
    <s v="36"/>
    <x v="2069"/>
    <x v="0"/>
  </r>
  <r>
    <x v="6"/>
    <x v="527"/>
    <s v="Asesoría - capacitación"/>
    <s v="Total"/>
    <x v="3"/>
    <x v="0"/>
    <x v="0"/>
    <x v="0"/>
    <n v="1130000"/>
    <n v="1130000"/>
    <n v="724.35897435897436"/>
    <m/>
    <m/>
    <s v="41"/>
    <x v="1920"/>
    <x v="0"/>
  </r>
  <r>
    <x v="31"/>
    <x v="527"/>
    <s v="Honorarios consultora"/>
    <s v="Total"/>
    <x v="3"/>
    <x v="0"/>
    <x v="0"/>
    <x v="0"/>
    <n v="1130000"/>
    <n v="1130000"/>
    <n v="724.35897435897436"/>
    <m/>
    <m/>
    <s v="45"/>
    <x v="2070"/>
    <x v="0"/>
  </r>
  <r>
    <x v="19"/>
    <x v="527"/>
    <s v="Consultora"/>
    <s v="Total"/>
    <x v="3"/>
    <x v="0"/>
    <x v="0"/>
    <x v="0"/>
    <n v="1130000"/>
    <n v="1130000"/>
    <n v="724.35897435897436"/>
    <m/>
    <m/>
    <s v="50"/>
    <x v="2071"/>
    <x v="0"/>
  </r>
  <r>
    <x v="66"/>
    <x v="528"/>
    <s v="Pedido Casa Doctor"/>
    <s v="Total"/>
    <x v="2"/>
    <x v="1"/>
    <x v="2"/>
    <x v="0"/>
    <n v="192038.92"/>
    <n v="192038.92"/>
    <n v="123.1018717948718"/>
    <m/>
    <m/>
    <s v="34"/>
    <x v="2072"/>
    <x v="0"/>
  </r>
  <r>
    <x v="71"/>
    <x v="528"/>
    <s v="Pedido Casa Doctor"/>
    <s v="Total"/>
    <x v="2"/>
    <x v="1"/>
    <x v="2"/>
    <x v="0"/>
    <n v="42040.28"/>
    <n v="42040.28"/>
    <n v="26.948897435897436"/>
    <m/>
    <m/>
    <s v="36"/>
    <x v="2073"/>
    <x v="0"/>
  </r>
  <r>
    <x v="39"/>
    <x v="528"/>
    <s v="Pedido Casa Doctor"/>
    <s v="Total"/>
    <x v="2"/>
    <x v="1"/>
    <x v="2"/>
    <x v="0"/>
    <n v="64450"/>
    <n v="64450"/>
    <n v="41.314102564102562"/>
    <m/>
    <m/>
    <s v="38"/>
    <x v="2074"/>
    <x v="0"/>
  </r>
  <r>
    <x v="3"/>
    <x v="484"/>
    <s v="Campaña 2026"/>
    <s v="Total"/>
    <x v="5"/>
    <x v="1"/>
    <x v="1"/>
    <x v="1"/>
    <n v="33157.376990553261"/>
    <n v="51725508.105263084"/>
    <n v="33157.376990553261"/>
    <m/>
    <m/>
    <s v="44"/>
    <x v="0"/>
    <x v="1"/>
  </r>
  <r>
    <x v="16"/>
    <x v="529"/>
    <s v="Sistema Synagro"/>
    <s v="Total"/>
    <x v="3"/>
    <x v="0"/>
    <x v="1"/>
    <x v="0"/>
    <n v="955088.91"/>
    <n v="955088.91"/>
    <n v="612.23648076923075"/>
    <m/>
    <d v="2026-11-13T00:00:00"/>
    <n v="46"/>
    <x v="2075"/>
    <x v="0"/>
  </r>
  <r>
    <x v="16"/>
    <x v="529"/>
    <s v="Sistema Synagro"/>
    <s v="Total"/>
    <x v="3"/>
    <x v="0"/>
    <x v="1"/>
    <x v="0"/>
    <n v="208003.89"/>
    <n v="208003.89"/>
    <n v="133.33582692307692"/>
    <m/>
    <m/>
    <s v="43"/>
    <x v="2075"/>
    <x v="0"/>
  </r>
  <r>
    <x v="16"/>
    <x v="529"/>
    <s v="Sistema Synagro"/>
    <s v="Total"/>
    <x v="3"/>
    <x v="0"/>
    <x v="1"/>
    <x v="0"/>
    <n v="18181.8"/>
    <n v="18181.8"/>
    <n v="11.654999999999999"/>
    <m/>
    <m/>
    <s v="43"/>
    <x v="2075"/>
    <x v="0"/>
  </r>
  <r>
    <x v="56"/>
    <x v="530"/>
    <s v="Banda para cubrir almohada COE"/>
    <s v="Total"/>
    <x v="1"/>
    <x v="0"/>
    <x v="1"/>
    <x v="0"/>
    <n v="501281.2"/>
    <n v="501281.2"/>
    <n v="321.33410256410258"/>
    <m/>
    <d v="2026-04-11T00:00:00"/>
    <n v="15"/>
    <x v="2076"/>
    <x v="0"/>
  </r>
  <r>
    <x v="67"/>
    <x v="531"/>
    <s v="Envases (Doctor)"/>
    <s v="Parcial"/>
    <x v="1"/>
    <x v="0"/>
    <x v="1"/>
    <x v="0"/>
    <n v="767670.95"/>
    <n v="767670.95"/>
    <n v="492.09676282051277"/>
    <s v="CH 30 Días"/>
    <d v="2025-07-03T00:00:00"/>
    <n v="27"/>
    <x v="0"/>
    <x v="0"/>
  </r>
  <r>
    <x v="18"/>
    <x v="531"/>
    <s v="Frascos morrones"/>
    <s v="Total"/>
    <x v="1"/>
    <x v="0"/>
    <x v="1"/>
    <x v="0"/>
    <n v="759462.17"/>
    <n v="759462.17"/>
    <n v="486.83472435897437"/>
    <m/>
    <d v="2025-10-13T00:00:00"/>
    <n v="42"/>
    <x v="2077"/>
    <x v="0"/>
  </r>
  <r>
    <x v="30"/>
    <x v="531"/>
    <s v="Bidones 2lts - 5lts"/>
    <s v="Total"/>
    <x v="1"/>
    <x v="0"/>
    <x v="1"/>
    <x v="0"/>
    <n v="700000"/>
    <n v="700000"/>
    <n v="448.71794871794873"/>
    <m/>
    <d v="2025-11-07T00:00:00"/>
    <n v="45"/>
    <x v="2078"/>
    <x v="0"/>
  </r>
  <r>
    <x v="13"/>
    <x v="531"/>
    <s v="Envases"/>
    <s v="Total"/>
    <x v="1"/>
    <x v="0"/>
    <x v="1"/>
    <x v="0"/>
    <n v="870952.85"/>
    <n v="870952.85"/>
    <n v="558.30310897435891"/>
    <m/>
    <d v="2026-03-05T00:00:00"/>
    <n v="10"/>
    <x v="2079"/>
    <x v="0"/>
  </r>
  <r>
    <x v="53"/>
    <x v="531"/>
    <s v="Bidones para aceite"/>
    <s v="Total"/>
    <x v="1"/>
    <x v="0"/>
    <x v="1"/>
    <x v="0"/>
    <n v="15124.39"/>
    <n v="15124.39"/>
    <n v="9.6951217948717954"/>
    <s v="Retenciones"/>
    <m/>
    <s v="17"/>
    <x v="2080"/>
    <x v="0"/>
  </r>
  <r>
    <x v="53"/>
    <x v="531"/>
    <s v="Bidones para aceite"/>
    <s v="Total"/>
    <x v="1"/>
    <x v="0"/>
    <x v="1"/>
    <x v="0"/>
    <n v="170941.23"/>
    <n v="170941.23"/>
    <n v="109.57771153846154"/>
    <m/>
    <d v="2026-05-21T00:00:00"/>
    <n v="21"/>
    <x v="2080"/>
    <x v="0"/>
  </r>
  <r>
    <x v="53"/>
    <x v="531"/>
    <s v="Bidones para aceite"/>
    <s v="Total"/>
    <x v="1"/>
    <x v="0"/>
    <x v="1"/>
    <x v="0"/>
    <n v="1000000"/>
    <n v="1000000"/>
    <n v="641.02564102564099"/>
    <m/>
    <d v="2026-05-15T00:00:00"/>
    <n v="20"/>
    <x v="2080"/>
    <x v="0"/>
  </r>
  <r>
    <x v="11"/>
    <x v="531"/>
    <s v="Envases para aceite 2Lts"/>
    <s v="Total"/>
    <x v="1"/>
    <x v="0"/>
    <x v="1"/>
    <x v="0"/>
    <n v="800000"/>
    <n v="800000"/>
    <n v="512.82051282051282"/>
    <m/>
    <d v="2026-10-05T00:00:00"/>
    <n v="41"/>
    <x v="2081"/>
    <x v="0"/>
  </r>
  <r>
    <x v="11"/>
    <x v="531"/>
    <s v="Envases para aceite 2Lts"/>
    <s v="Total"/>
    <x v="1"/>
    <x v="0"/>
    <x v="1"/>
    <x v="0"/>
    <n v="900000"/>
    <n v="900000"/>
    <n v="576.92307692307691"/>
    <m/>
    <d v="2026-10-13T00:00:00"/>
    <n v="42"/>
    <x v="2081"/>
    <x v="0"/>
  </r>
  <r>
    <x v="11"/>
    <x v="531"/>
    <s v="Envases para aceite 2Lts"/>
    <s v="Total"/>
    <x v="1"/>
    <x v="0"/>
    <x v="2"/>
    <x v="0"/>
    <n v="39734.19"/>
    <n v="39734.19"/>
    <n v="25.470634615384618"/>
    <m/>
    <d v="2026-09-10T00:00:00"/>
    <n v="37"/>
    <x v="2081"/>
    <x v="0"/>
  </r>
  <r>
    <x v="11"/>
    <x v="531"/>
    <s v="Envases para aceite 2Lts"/>
    <s v="Total"/>
    <x v="1"/>
    <x v="0"/>
    <x v="1"/>
    <x v="0"/>
    <n v="24683.94"/>
    <n v="24683.94"/>
    <n v="15.823038461538461"/>
    <s v="Retenciones"/>
    <m/>
    <s v="37"/>
    <x v="2081"/>
    <x v="0"/>
  </r>
  <r>
    <x v="16"/>
    <x v="531"/>
    <m/>
    <s v="Total"/>
    <x v="0"/>
    <x v="0"/>
    <x v="1"/>
    <x v="0"/>
    <n v="956000"/>
    <n v="956000"/>
    <n v="612.82051282051282"/>
    <m/>
    <d v="2026-11-10T00:00:00"/>
    <n v="46"/>
    <x v="2082"/>
    <x v="0"/>
  </r>
  <r>
    <x v="16"/>
    <x v="531"/>
    <m/>
    <s v="Total"/>
    <x v="0"/>
    <x v="0"/>
    <x v="0"/>
    <x v="0"/>
    <n v="783734.19"/>
    <n v="783734.19"/>
    <n v="502.3937115384615"/>
    <m/>
    <m/>
    <s v="43"/>
    <x v="2082"/>
    <x v="0"/>
  </r>
  <r>
    <x v="16"/>
    <x v="531"/>
    <m/>
    <s v="Total"/>
    <x v="0"/>
    <x v="0"/>
    <x v="1"/>
    <x v="0"/>
    <n v="24683.94"/>
    <n v="24683.94"/>
    <n v="15.823038461538461"/>
    <s v="Retenciones"/>
    <m/>
    <s v="43"/>
    <x v="2082"/>
    <x v="0"/>
  </r>
  <r>
    <x v="2"/>
    <x v="532"/>
    <s v="Maderas Cavas"/>
    <s v="Total"/>
    <x v="1"/>
    <x v="0"/>
    <x v="1"/>
    <x v="0"/>
    <n v="116130"/>
    <n v="116130"/>
    <n v="74.442307692307693"/>
    <m/>
    <d v="2025-07-19T00:00:00"/>
    <n v="29"/>
    <x v="0"/>
    <x v="0"/>
  </r>
  <r>
    <x v="2"/>
    <x v="532"/>
    <s v="Maderas Cavas"/>
    <s v="Total"/>
    <x v="1"/>
    <x v="0"/>
    <x v="1"/>
    <x v="0"/>
    <n v="500000"/>
    <n v="500000"/>
    <n v="320.5128205128205"/>
    <m/>
    <d v="2025-07-25T00:00:00"/>
    <n v="30"/>
    <x v="34"/>
    <x v="0"/>
  </r>
  <r>
    <x v="2"/>
    <x v="532"/>
    <s v="Maderas Cavas"/>
    <s v="Total"/>
    <x v="1"/>
    <x v="0"/>
    <x v="2"/>
    <x v="0"/>
    <n v="31870"/>
    <n v="31870"/>
    <n v="20.429487179487179"/>
    <m/>
    <d v="2025-07-19T00:00:00"/>
    <n v="29"/>
    <x v="0"/>
    <x v="0"/>
  </r>
  <r>
    <x v="22"/>
    <x v="533"/>
    <s v="Gastos casa "/>
    <s v="Total"/>
    <x v="2"/>
    <x v="0"/>
    <x v="2"/>
    <x v="0"/>
    <n v="9800"/>
    <n v="9800"/>
    <n v="6.2820512820512819"/>
    <m/>
    <m/>
    <s v="23"/>
    <x v="2083"/>
    <x v="0"/>
  </r>
  <r>
    <x v="37"/>
    <x v="533"/>
    <s v="Pedido Casa Doctor"/>
    <s v="Total"/>
    <x v="2"/>
    <x v="0"/>
    <x v="2"/>
    <x v="0"/>
    <n v="20000"/>
    <n v="20000"/>
    <n v="12.820512820512821"/>
    <m/>
    <m/>
    <s v="29"/>
    <x v="2084"/>
    <x v="0"/>
  </r>
  <r>
    <x v="44"/>
    <x v="533"/>
    <s v="Compras casa Doctor"/>
    <s v="Total"/>
    <x v="2"/>
    <x v="0"/>
    <x v="2"/>
    <x v="0"/>
    <n v="11300"/>
    <n v="11300"/>
    <n v="7.2435897435897436"/>
    <m/>
    <m/>
    <s v="31"/>
    <x v="2085"/>
    <x v="0"/>
  </r>
  <r>
    <x v="54"/>
    <x v="533"/>
    <s v="Pedido Casa Doctor"/>
    <s v="Total"/>
    <x v="2"/>
    <x v="0"/>
    <x v="2"/>
    <x v="0"/>
    <n v="25000"/>
    <n v="25000"/>
    <n v="16.025641025641026"/>
    <m/>
    <m/>
    <s v="41"/>
    <x v="2086"/>
    <x v="0"/>
  </r>
  <r>
    <x v="54"/>
    <x v="533"/>
    <s v="Pedido Casa Doctor"/>
    <s v="Total"/>
    <x v="2"/>
    <x v="0"/>
    <x v="2"/>
    <x v="0"/>
    <n v="13400"/>
    <n v="13400"/>
    <n v="8.5897435897435894"/>
    <m/>
    <m/>
    <s v="41"/>
    <x v="2087"/>
    <x v="0"/>
  </r>
  <r>
    <x v="72"/>
    <x v="534"/>
    <s v="Pedido Casa Doctor"/>
    <s v="Total"/>
    <x v="2"/>
    <x v="0"/>
    <x v="2"/>
    <x v="0"/>
    <n v="13000"/>
    <n v="13000"/>
    <n v="8.3333333333333339"/>
    <m/>
    <m/>
    <s v="39"/>
    <x v="2088"/>
    <x v="0"/>
  </r>
  <r>
    <x v="14"/>
    <x v="535"/>
    <s v="Tolva Carro viñatero"/>
    <s v="Total"/>
    <x v="1"/>
    <x v="1"/>
    <x v="1"/>
    <x v="0"/>
    <n v="449000"/>
    <n v="449000"/>
    <n v="287.82051282051282"/>
    <m/>
    <d v="2025-12-29T00:00:00"/>
    <n v="53"/>
    <x v="2089"/>
    <x v="0"/>
  </r>
  <r>
    <x v="14"/>
    <x v="535"/>
    <s v="Tolva Carro viñatero"/>
    <s v="Total"/>
    <x v="1"/>
    <x v="1"/>
    <x v="1"/>
    <x v="0"/>
    <n v="700000"/>
    <n v="700000"/>
    <n v="448.71794871794873"/>
    <m/>
    <d v="2025-12-24T00:00:00"/>
    <n v="52"/>
    <x v="2089"/>
    <x v="0"/>
  </r>
  <r>
    <x v="14"/>
    <x v="535"/>
    <s v="Tolva Carro viñatero"/>
    <s v="Total"/>
    <x v="1"/>
    <x v="1"/>
    <x v="1"/>
    <x v="0"/>
    <n v="700000"/>
    <n v="700000"/>
    <n v="448.71794871794873"/>
    <m/>
    <d v="2025-12-20T00:00:00"/>
    <n v="51"/>
    <x v="2089"/>
    <x v="0"/>
  </r>
  <r>
    <x v="14"/>
    <x v="535"/>
    <s v="Tolva Carro viñatero"/>
    <s v="Total"/>
    <x v="1"/>
    <x v="1"/>
    <x v="1"/>
    <x v="0"/>
    <n v="700000"/>
    <n v="700000"/>
    <n v="448.71794871794873"/>
    <m/>
    <d v="2025-12-27T00:00:00"/>
    <n v="52"/>
    <x v="2089"/>
    <x v="0"/>
  </r>
  <r>
    <x v="14"/>
    <x v="535"/>
    <s v="Tolva Carro viñatero"/>
    <s v="Total"/>
    <x v="1"/>
    <x v="1"/>
    <x v="1"/>
    <x v="0"/>
    <n v="750000"/>
    <n v="750000"/>
    <n v="480.76923076923077"/>
    <m/>
    <d v="2025-12-26T00:00:00"/>
    <n v="52"/>
    <x v="2089"/>
    <x v="0"/>
  </r>
  <r>
    <x v="14"/>
    <x v="535"/>
    <s v="Tolva Carro viñatero"/>
    <s v="Total"/>
    <x v="1"/>
    <x v="1"/>
    <x v="1"/>
    <x v="0"/>
    <n v="964000"/>
    <n v="964000"/>
    <n v="617.9487179487179"/>
    <m/>
    <d v="2025-12-24T00:00:00"/>
    <n v="52"/>
    <x v="2089"/>
    <x v="0"/>
  </r>
  <r>
    <x v="14"/>
    <x v="535"/>
    <s v="Tolva Carro viñatero"/>
    <s v="Total"/>
    <x v="1"/>
    <x v="1"/>
    <x v="1"/>
    <x v="0"/>
    <n v="964500"/>
    <n v="964500"/>
    <n v="618.26923076923072"/>
    <m/>
    <d v="2025-12-27T00:00:00"/>
    <n v="52"/>
    <x v="2089"/>
    <x v="0"/>
  </r>
  <r>
    <x v="14"/>
    <x v="535"/>
    <s v="Tolva Carro viñatero"/>
    <s v="Total"/>
    <x v="1"/>
    <x v="1"/>
    <x v="1"/>
    <x v="0"/>
    <n v="2000000"/>
    <n v="2000000"/>
    <n v="1282.051282051282"/>
    <m/>
    <d v="2025-11-21T00:00:00"/>
    <n v="47"/>
    <x v="2089"/>
    <x v="0"/>
  </r>
  <r>
    <x v="19"/>
    <x v="535"/>
    <s v="Carro tipo viñatero volcador"/>
    <s v="Total"/>
    <x v="0"/>
    <x v="0"/>
    <x v="1"/>
    <x v="0"/>
    <n v="1144833.03"/>
    <n v="1144833.03"/>
    <n v="733.86732692307692"/>
    <m/>
    <d v="2026-01-16T00:00:00"/>
    <n v="3"/>
    <x v="2090"/>
    <x v="0"/>
  </r>
  <r>
    <x v="19"/>
    <x v="535"/>
    <s v="Carro tipo viñatero volcador"/>
    <s v="Total"/>
    <x v="0"/>
    <x v="0"/>
    <x v="1"/>
    <x v="0"/>
    <n v="1950000"/>
    <n v="1950000"/>
    <n v="1250"/>
    <m/>
    <d v="2026-01-20T00:00:00"/>
    <n v="4"/>
    <x v="2090"/>
    <x v="0"/>
  </r>
  <r>
    <x v="19"/>
    <x v="535"/>
    <s v="Carro tipo viñatero volcador"/>
    <s v="Total"/>
    <x v="2"/>
    <x v="0"/>
    <x v="2"/>
    <x v="0"/>
    <n v="2623.58"/>
    <n v="2623.58"/>
    <n v="1.6817820512820512"/>
    <m/>
    <m/>
    <s v="50"/>
    <x v="2090"/>
    <x v="0"/>
  </r>
  <r>
    <x v="45"/>
    <x v="535"/>
    <s v="Reposición de cheque"/>
    <s v="Total"/>
    <x v="0"/>
    <x v="0"/>
    <x v="0"/>
    <x v="0"/>
    <n v="964500"/>
    <n v="964500"/>
    <n v="618.26923076923072"/>
    <m/>
    <m/>
    <s v="25"/>
    <x v="2091"/>
    <x v="0"/>
  </r>
  <r>
    <x v="45"/>
    <x v="535"/>
    <s v="Reposición de cheque"/>
    <s v="Total"/>
    <x v="0"/>
    <x v="0"/>
    <x v="0"/>
    <x v="0"/>
    <n v="48400"/>
    <n v="48400"/>
    <n v="31.025641025641026"/>
    <m/>
    <m/>
    <s v="25"/>
    <x v="2091"/>
    <x v="0"/>
  </r>
  <r>
    <x v="74"/>
    <x v="536"/>
    <s v="Sebo bodeguero"/>
    <s v="Total"/>
    <x v="1"/>
    <x v="0"/>
    <x v="0"/>
    <x v="0"/>
    <n v="152218"/>
    <n v="152218"/>
    <n v="97.575641025641019"/>
    <m/>
    <m/>
    <s v="03"/>
    <x v="2092"/>
    <x v="0"/>
  </r>
  <r>
    <x v="9"/>
    <x v="537"/>
    <s v="Importación  "/>
    <s v="Total"/>
    <x v="0"/>
    <x v="0"/>
    <x v="1"/>
    <x v="0"/>
    <n v="1615435"/>
    <n v="1615435"/>
    <n v="1035.5352564102564"/>
    <m/>
    <d v="2026-02-21T00:00:00"/>
    <n v="8"/>
    <x v="2093"/>
    <x v="0"/>
  </r>
  <r>
    <x v="9"/>
    <x v="537"/>
    <s v="Importación  "/>
    <s v="Total"/>
    <x v="0"/>
    <x v="0"/>
    <x v="1"/>
    <x v="0"/>
    <n v="3589008.88"/>
    <n v="3589008.88"/>
    <n v="2300.6467179487177"/>
    <m/>
    <d v="2026-02-27T00:00:00"/>
    <n v="9"/>
    <x v="2093"/>
    <x v="0"/>
  </r>
  <r>
    <x v="59"/>
    <x v="537"/>
    <s v="Importación  - Pago factura 27347"/>
    <s v="Total"/>
    <x v="0"/>
    <x v="0"/>
    <x v="0"/>
    <x v="0"/>
    <n v="4582328.2"/>
    <n v="4582328.2"/>
    <n v="2937.3898717948719"/>
    <m/>
    <m/>
    <s v="06"/>
    <x v="2094"/>
    <x v="0"/>
  </r>
  <r>
    <x v="13"/>
    <x v="537"/>
    <s v="Importación  "/>
    <s v="Total"/>
    <x v="0"/>
    <x v="0"/>
    <x v="1"/>
    <x v="0"/>
    <n v="2061076.88"/>
    <n v="2061076.88"/>
    <n v="1321.2031282051282"/>
    <m/>
    <m/>
    <s v="07"/>
    <x v="2095"/>
    <x v="0"/>
  </r>
  <r>
    <x v="5"/>
    <x v="537"/>
    <s v="Servicio de aduana "/>
    <s v="Total"/>
    <x v="1"/>
    <x v="0"/>
    <x v="1"/>
    <x v="0"/>
    <n v="2540161.14"/>
    <n v="2540161.14"/>
    <n v="1628.3084230769232"/>
    <m/>
    <d v="2025-09-18T00:00:00"/>
    <n v="38"/>
    <x v="34"/>
    <x v="0"/>
  </r>
  <r>
    <x v="5"/>
    <x v="537"/>
    <s v="Servicio de aduana "/>
    <s v="Total"/>
    <x v="1"/>
    <x v="0"/>
    <x v="1"/>
    <x v="0"/>
    <n v="5327130.3600000003"/>
    <n v="5327130.3600000003"/>
    <n v="3414.827153846154"/>
    <m/>
    <d v="2025-09-11T00:00:00"/>
    <n v="37"/>
    <x v="34"/>
    <x v="0"/>
  </r>
  <r>
    <x v="5"/>
    <x v="537"/>
    <s v="Servicio de aduana "/>
    <s v="Total"/>
    <x v="1"/>
    <x v="0"/>
    <x v="0"/>
    <x v="0"/>
    <n v="2010472.6"/>
    <n v="2010472.6"/>
    <n v="1288.7644871794873"/>
    <m/>
    <m/>
    <s v="34"/>
    <x v="34"/>
    <x v="0"/>
  </r>
  <r>
    <x v="30"/>
    <x v="537"/>
    <s v="Deuda facturas "/>
    <s v="Total"/>
    <x v="1"/>
    <x v="0"/>
    <x v="0"/>
    <x v="0"/>
    <n v="4000000"/>
    <n v="4000000"/>
    <n v="2564.102564102564"/>
    <m/>
    <m/>
    <s v="43"/>
    <x v="2096"/>
    <x v="0"/>
  </r>
  <r>
    <x v="10"/>
    <x v="537"/>
    <s v="Deuda facturas "/>
    <s v="Total"/>
    <x v="0"/>
    <x v="0"/>
    <x v="0"/>
    <x v="0"/>
    <n v="6000000"/>
    <n v="6000000"/>
    <n v="3846.1538461538462"/>
    <m/>
    <m/>
    <s v="48"/>
    <x v="2097"/>
    <x v="0"/>
  </r>
  <r>
    <x v="10"/>
    <x v="537"/>
    <s v="Deuda facturas "/>
    <s v="Total"/>
    <x v="0"/>
    <x v="0"/>
    <x v="1"/>
    <x v="0"/>
    <n v="1200000"/>
    <n v="1200000"/>
    <n v="769.23076923076928"/>
    <m/>
    <d v="2025-12-15T00:00:00"/>
    <n v="51"/>
    <x v="2097"/>
    <x v="0"/>
  </r>
  <r>
    <x v="10"/>
    <x v="537"/>
    <s v="Deuda facturas "/>
    <s v="Total"/>
    <x v="0"/>
    <x v="0"/>
    <x v="1"/>
    <x v="0"/>
    <n v="1200000"/>
    <n v="1200000"/>
    <n v="769.23076923076928"/>
    <m/>
    <d v="2025-12-16T00:00:00"/>
    <n v="51"/>
    <x v="2097"/>
    <x v="0"/>
  </r>
  <r>
    <x v="10"/>
    <x v="537"/>
    <s v="Deuda facturas "/>
    <s v="Total"/>
    <x v="0"/>
    <x v="0"/>
    <x v="1"/>
    <x v="0"/>
    <n v="1447897.81"/>
    <n v="1447897.81"/>
    <n v="928.1396217948718"/>
    <m/>
    <d v="2026-01-02T00:00:00"/>
    <n v="1"/>
    <x v="2097"/>
    <x v="0"/>
  </r>
  <r>
    <x v="19"/>
    <x v="537"/>
    <s v="Deuda facturas "/>
    <s v="Total"/>
    <x v="0"/>
    <x v="0"/>
    <x v="1"/>
    <x v="0"/>
    <n v="2500000"/>
    <n v="2500000"/>
    <n v="1602.5641025641025"/>
    <m/>
    <d v="2026-01-24T00:00:00"/>
    <n v="4"/>
    <x v="2098"/>
    <x v="0"/>
  </r>
  <r>
    <x v="19"/>
    <x v="537"/>
    <s v="Deuda facturas "/>
    <s v="Total"/>
    <x v="0"/>
    <x v="0"/>
    <x v="1"/>
    <x v="0"/>
    <n v="2500000"/>
    <n v="2500000"/>
    <n v="1602.5641025641025"/>
    <m/>
    <d v="2026-01-28T00:00:00"/>
    <n v="5"/>
    <x v="2098"/>
    <x v="0"/>
  </r>
  <r>
    <x v="19"/>
    <x v="537"/>
    <s v="Deuda facturas "/>
    <s v="Total"/>
    <x v="0"/>
    <x v="0"/>
    <x v="1"/>
    <x v="0"/>
    <n v="2500000"/>
    <n v="2500000"/>
    <n v="1602.5641025641025"/>
    <m/>
    <d v="2026-01-22T00:00:00"/>
    <n v="4"/>
    <x v="2098"/>
    <x v="0"/>
  </r>
  <r>
    <x v="19"/>
    <x v="537"/>
    <s v="Deuda facturas "/>
    <s v="Total"/>
    <x v="0"/>
    <x v="0"/>
    <x v="0"/>
    <x v="0"/>
    <n v="53343.69"/>
    <n v="53343.69"/>
    <n v="34.194673076923081"/>
    <m/>
    <m/>
    <s v="50"/>
    <x v="2098"/>
    <x v="0"/>
  </r>
  <r>
    <x v="13"/>
    <x v="537"/>
    <m/>
    <s v="Total"/>
    <x v="3"/>
    <x v="0"/>
    <x v="0"/>
    <x v="0"/>
    <n v="2061076.88"/>
    <n v="2061076.88"/>
    <n v="1321.2031282051282"/>
    <m/>
    <m/>
    <s v="07"/>
    <x v="2095"/>
    <x v="0"/>
  </r>
  <r>
    <x v="32"/>
    <x v="537"/>
    <s v="Importación  "/>
    <s v="Total"/>
    <x v="0"/>
    <x v="0"/>
    <x v="0"/>
    <x v="0"/>
    <n v="9241217.6999999993"/>
    <n v="9241217.6999999993"/>
    <n v="5923.8574999999992"/>
    <m/>
    <m/>
    <s v="09"/>
    <x v="2099"/>
    <x v="0"/>
  </r>
  <r>
    <x v="32"/>
    <x v="537"/>
    <s v="Importación  "/>
    <s v="Total"/>
    <x v="0"/>
    <x v="0"/>
    <x v="0"/>
    <x v="0"/>
    <n v="4672064"/>
    <n v="4672064"/>
    <n v="2994.9128205128204"/>
    <m/>
    <m/>
    <s v="09"/>
    <x v="2100"/>
    <x v="0"/>
  </r>
  <r>
    <x v="57"/>
    <x v="537"/>
    <s v="Importación  "/>
    <s v="Total"/>
    <x v="0"/>
    <x v="0"/>
    <x v="0"/>
    <x v="0"/>
    <n v="5196927.97"/>
    <n v="5196927.97"/>
    <n v="3331.3640833333334"/>
    <m/>
    <d v="2026-05-09T00:00:00"/>
    <n v="19"/>
    <x v="2101"/>
    <x v="0"/>
  </r>
  <r>
    <x v="57"/>
    <x v="537"/>
    <s v="Importación  "/>
    <s v="Total"/>
    <x v="0"/>
    <x v="0"/>
    <x v="0"/>
    <x v="0"/>
    <n v="84556.24"/>
    <n v="84556.24"/>
    <n v="54.202717948717954"/>
    <s v="Retenciones"/>
    <m/>
    <s v="16"/>
    <x v="2101"/>
    <x v="0"/>
  </r>
  <r>
    <x v="62"/>
    <x v="537"/>
    <s v="Importación  "/>
    <s v="Total"/>
    <x v="0"/>
    <x v="0"/>
    <x v="0"/>
    <x v="0"/>
    <n v="1874781.77"/>
    <n v="1874781.77"/>
    <n v="1201.7831858974359"/>
    <m/>
    <d v="2026-06-10T00:00:00"/>
    <n v="24"/>
    <x v="2102"/>
    <x v="0"/>
  </r>
  <r>
    <x v="62"/>
    <x v="537"/>
    <s v="Importación  "/>
    <s v="Total"/>
    <x v="0"/>
    <x v="0"/>
    <x v="0"/>
    <x v="0"/>
    <n v="29644.73"/>
    <n v="29644.73"/>
    <n v="19.003032051282052"/>
    <s v="Retenciones"/>
    <m/>
    <s v="19"/>
    <x v="2102"/>
    <x v="0"/>
  </r>
  <r>
    <x v="22"/>
    <x v="537"/>
    <s v="Importación  "/>
    <s v="Total"/>
    <x v="0"/>
    <x v="0"/>
    <x v="0"/>
    <x v="0"/>
    <n v="2002136.78"/>
    <n v="2002136.78"/>
    <n v="1283.4210128205129"/>
    <m/>
    <m/>
    <s v="23"/>
    <x v="2103"/>
    <x v="0"/>
  </r>
  <r>
    <x v="22"/>
    <x v="537"/>
    <s v="Importación  "/>
    <s v="Total"/>
    <x v="0"/>
    <x v="0"/>
    <x v="0"/>
    <x v="0"/>
    <n v="34147.589999999997"/>
    <n v="34147.589999999997"/>
    <n v="21.889480769230769"/>
    <s v="Retenciones"/>
    <m/>
    <s v="23"/>
    <x v="2103"/>
    <x v="0"/>
  </r>
  <r>
    <x v="36"/>
    <x v="537"/>
    <s v="Importación  "/>
    <s v="Total"/>
    <x v="0"/>
    <x v="0"/>
    <x v="1"/>
    <x v="0"/>
    <n v="2618473"/>
    <n v="2618473"/>
    <n v="1678.5083333333334"/>
    <m/>
    <d v="2026-08-03T00:00:00"/>
    <n v="32"/>
    <x v="2104"/>
    <x v="0"/>
  </r>
  <r>
    <x v="36"/>
    <x v="537"/>
    <s v="Importación  "/>
    <s v="Total"/>
    <x v="0"/>
    <x v="0"/>
    <x v="1"/>
    <x v="0"/>
    <n v="2618473"/>
    <n v="2618473"/>
    <n v="1678.5083333333334"/>
    <m/>
    <d v="2026-07-31T00:00:00"/>
    <n v="31"/>
    <x v="2104"/>
    <x v="0"/>
  </r>
  <r>
    <x v="36"/>
    <x v="537"/>
    <s v="Importación  "/>
    <s v="Total"/>
    <x v="0"/>
    <x v="0"/>
    <x v="1"/>
    <x v="0"/>
    <n v="85217.69"/>
    <n v="85217.69"/>
    <n v="54.626724358974357"/>
    <s v="Retenciones"/>
    <m/>
    <s v="28"/>
    <x v="2104"/>
    <x v="0"/>
  </r>
  <r>
    <x v="71"/>
    <x v="537"/>
    <s v="Importación  "/>
    <s v="Total"/>
    <x v="0"/>
    <x v="0"/>
    <x v="0"/>
    <x v="0"/>
    <n v="3703000"/>
    <n v="3703000"/>
    <n v="2373.7179487179487"/>
    <m/>
    <d v="2026-09-23T00:00:00"/>
    <n v="39"/>
    <x v="2105"/>
    <x v="0"/>
  </r>
  <r>
    <x v="71"/>
    <x v="537"/>
    <s v="Importación  "/>
    <s v="Total"/>
    <x v="0"/>
    <x v="0"/>
    <x v="0"/>
    <x v="0"/>
    <n v="3703000"/>
    <n v="3703000"/>
    <n v="2373.7179487179487"/>
    <m/>
    <d v="2026-10-23T00:00:00"/>
    <n v="43"/>
    <x v="2105"/>
    <x v="0"/>
  </r>
  <r>
    <x v="71"/>
    <x v="537"/>
    <s v="Importación  "/>
    <s v="Total"/>
    <x v="0"/>
    <x v="0"/>
    <x v="0"/>
    <x v="0"/>
    <n v="3703655"/>
    <n v="3703655"/>
    <n v="2374.1378205128203"/>
    <m/>
    <d v="2026-09-27T00:00:00"/>
    <n v="40"/>
    <x v="2105"/>
    <x v="0"/>
  </r>
  <r>
    <x v="71"/>
    <x v="537"/>
    <s v="Importación  "/>
    <s v="Total"/>
    <x v="0"/>
    <x v="0"/>
    <x v="0"/>
    <x v="0"/>
    <n v="182287.26"/>
    <n v="182287.26"/>
    <n v="116.8508076923077"/>
    <s v="Retenciones"/>
    <m/>
    <s v="36"/>
    <x v="2105"/>
    <x v="0"/>
  </r>
  <r>
    <x v="3"/>
    <x v="484"/>
    <s v="Campaña 2026"/>
    <s v="Total"/>
    <x v="5"/>
    <x v="0"/>
    <x v="2"/>
    <x v="0"/>
    <n v="1000000"/>
    <n v="1000000"/>
    <n v="641.02564102564099"/>
    <s v="50% efectivo 50% Chachos"/>
    <m/>
    <s v="44"/>
    <x v="2106"/>
    <x v="0"/>
  </r>
  <r>
    <x v="13"/>
    <x v="538"/>
    <m/>
    <s v="Total"/>
    <x v="3"/>
    <x v="0"/>
    <x v="0"/>
    <x v="0"/>
    <n v="235000"/>
    <n v="235000"/>
    <n v="150.64102564102564"/>
    <m/>
    <m/>
    <s v="07"/>
    <x v="499"/>
    <x v="0"/>
  </r>
  <r>
    <x v="4"/>
    <x v="538"/>
    <s v="Consulta (Julio Tello)"/>
    <s v="Total"/>
    <x v="2"/>
    <x v="0"/>
    <x v="2"/>
    <x v="0"/>
    <n v="30000"/>
    <n v="30000"/>
    <n v="19.23076923076923"/>
    <m/>
    <m/>
    <s v="51"/>
    <x v="2107"/>
    <x v="0"/>
  </r>
  <r>
    <x v="49"/>
    <x v="538"/>
    <m/>
    <s v="Total"/>
    <x v="3"/>
    <x v="0"/>
    <x v="0"/>
    <x v="0"/>
    <n v="195100.02"/>
    <n v="195100.02"/>
    <n v="125.06411538461538"/>
    <m/>
    <m/>
    <s v="25"/>
    <x v="2108"/>
    <x v="0"/>
  </r>
  <r>
    <x v="17"/>
    <x v="538"/>
    <s v="Preocupacional"/>
    <s v="Total"/>
    <x v="3"/>
    <x v="0"/>
    <x v="0"/>
    <x v="0"/>
    <n v="101780.81"/>
    <n v="101780.81"/>
    <n v="65.24410897435898"/>
    <m/>
    <m/>
    <s v="26"/>
    <x v="2108"/>
    <x v="0"/>
  </r>
  <r>
    <x v="26"/>
    <x v="538"/>
    <s v="Servicio"/>
    <s v="Total"/>
    <x v="3"/>
    <x v="0"/>
    <x v="0"/>
    <x v="0"/>
    <n v="195100.02"/>
    <n v="195100.02"/>
    <n v="125.06411538461538"/>
    <m/>
    <m/>
    <s v="29"/>
    <x v="2109"/>
    <x v="0"/>
  </r>
  <r>
    <x v="26"/>
    <x v="538"/>
    <s v="Area protegida"/>
    <s v="Total"/>
    <x v="3"/>
    <x v="0"/>
    <x v="0"/>
    <x v="0"/>
    <n v="160000"/>
    <n v="160000"/>
    <n v="102.56410256410257"/>
    <m/>
    <m/>
    <s v="29"/>
    <x v="2109"/>
    <x v="0"/>
  </r>
  <r>
    <x v="26"/>
    <x v="538"/>
    <s v="Control ausentismo"/>
    <s v="Total"/>
    <x v="3"/>
    <x v="0"/>
    <x v="0"/>
    <x v="0"/>
    <n v="35100"/>
    <n v="35100"/>
    <n v="22.5"/>
    <m/>
    <m/>
    <s v="29"/>
    <x v="2109"/>
    <x v="0"/>
  </r>
  <r>
    <x v="5"/>
    <x v="538"/>
    <s v="Preocupacional - Llanos - Viña - Paez"/>
    <s v="Total"/>
    <x v="3"/>
    <x v="0"/>
    <x v="0"/>
    <x v="0"/>
    <n v="305342.42"/>
    <n v="305342.42"/>
    <n v="195.73232051282051"/>
    <m/>
    <m/>
    <s v="34"/>
    <x v="34"/>
    <x v="0"/>
  </r>
  <r>
    <x v="27"/>
    <x v="538"/>
    <s v="Control Ausentismo"/>
    <s v="Total"/>
    <x v="3"/>
    <x v="0"/>
    <x v="0"/>
    <x v="0"/>
    <n v="231115.7"/>
    <n v="231115.7"/>
    <n v="148.15108974358975"/>
    <m/>
    <m/>
    <s v="35"/>
    <x v="2110"/>
    <x v="0"/>
  </r>
  <r>
    <x v="18"/>
    <x v="538"/>
    <s v="Control Ausentismo"/>
    <s v="Total"/>
    <x v="3"/>
    <x v="0"/>
    <x v="0"/>
    <x v="0"/>
    <n v="235000"/>
    <n v="235000"/>
    <n v="150.64102564102564"/>
    <m/>
    <m/>
    <s v="39"/>
    <x v="2111"/>
    <x v="0"/>
  </r>
  <r>
    <x v="7"/>
    <x v="538"/>
    <m/>
    <s v="Total"/>
    <x v="3"/>
    <x v="0"/>
    <x v="0"/>
    <x v="0"/>
    <n v="235000"/>
    <n v="235000"/>
    <n v="150.64102564102564"/>
    <m/>
    <m/>
    <s v="46"/>
    <x v="2112"/>
    <x v="0"/>
  </r>
  <r>
    <x v="14"/>
    <x v="538"/>
    <s v="Preocupacional Herrera"/>
    <s v="Total"/>
    <x v="3"/>
    <x v="0"/>
    <x v="0"/>
    <x v="0"/>
    <n v="101780.81"/>
    <n v="101780.81"/>
    <n v="65.24410897435898"/>
    <m/>
    <m/>
    <s v="47"/>
    <x v="2113"/>
    <x v="0"/>
  </r>
  <r>
    <x v="19"/>
    <x v="538"/>
    <m/>
    <s v="Total"/>
    <x v="3"/>
    <x v="0"/>
    <x v="0"/>
    <x v="0"/>
    <n v="232459.1"/>
    <n v="232459.1"/>
    <n v="149.0122435897436"/>
    <m/>
    <m/>
    <s v="50"/>
    <x v="2114"/>
    <x v="0"/>
  </r>
  <r>
    <x v="74"/>
    <x v="538"/>
    <s v="Control Ausentismo"/>
    <s v="Total"/>
    <x v="3"/>
    <x v="0"/>
    <x v="0"/>
    <x v="0"/>
    <n v="43000"/>
    <n v="43000"/>
    <n v="27.564102564102566"/>
    <m/>
    <m/>
    <s v="03"/>
    <x v="2115"/>
    <x v="0"/>
  </r>
  <r>
    <x v="74"/>
    <x v="538"/>
    <s v="Area protegida"/>
    <s v="Total"/>
    <x v="3"/>
    <x v="0"/>
    <x v="0"/>
    <x v="0"/>
    <n v="192000"/>
    <n v="192000"/>
    <n v="123.07692307692308"/>
    <m/>
    <m/>
    <s v="03"/>
    <x v="2115"/>
    <x v="0"/>
  </r>
  <r>
    <x v="24"/>
    <x v="538"/>
    <s v="Atencion medica Paez Luis Fernando"/>
    <s v="Total"/>
    <x v="2"/>
    <x v="0"/>
    <x v="2"/>
    <x v="0"/>
    <n v="30000"/>
    <n v="30000"/>
    <n v="19.23076923076923"/>
    <m/>
    <m/>
    <s v="14"/>
    <x v="2116"/>
    <x v="0"/>
  </r>
  <r>
    <x v="56"/>
    <x v="538"/>
    <s v="Atencion medica Paez Luis Fernando"/>
    <s v="Total"/>
    <x v="1"/>
    <x v="0"/>
    <x v="0"/>
    <x v="0"/>
    <n v="55000"/>
    <n v="55000"/>
    <n v="35.256410256410255"/>
    <m/>
    <m/>
    <s v="11"/>
    <x v="2117"/>
    <x v="0"/>
  </r>
  <r>
    <x v="20"/>
    <x v="538"/>
    <m/>
    <s v="Total"/>
    <x v="3"/>
    <x v="0"/>
    <x v="0"/>
    <x v="0"/>
    <n v="231963.23"/>
    <n v="231963.23"/>
    <n v="148.6943782051282"/>
    <m/>
    <m/>
    <s v="15"/>
    <x v="2118"/>
    <x v="0"/>
  </r>
  <r>
    <x v="20"/>
    <x v="538"/>
    <m/>
    <s v="Total"/>
    <x v="3"/>
    <x v="0"/>
    <x v="0"/>
    <x v="0"/>
    <n v="3036.77"/>
    <n v="3036.77"/>
    <n v="1.9466474358974359"/>
    <s v="Retenciones"/>
    <m/>
    <s v="15"/>
    <x v="2118"/>
    <x v="0"/>
  </r>
  <r>
    <x v="23"/>
    <x v="538"/>
    <s v="Atención Médica"/>
    <s v="Total"/>
    <x v="3"/>
    <x v="0"/>
    <x v="0"/>
    <x v="0"/>
    <n v="140000.01"/>
    <n v="140000.01"/>
    <n v="89.743596153846156"/>
    <m/>
    <m/>
    <s v="18"/>
    <x v="2119"/>
    <x v="0"/>
  </r>
  <r>
    <x v="22"/>
    <x v="538"/>
    <s v="Servicio medico"/>
    <s v="Total"/>
    <x v="3"/>
    <x v="0"/>
    <x v="0"/>
    <x v="0"/>
    <n v="80000"/>
    <n v="80000"/>
    <n v="51.282051282051285"/>
    <m/>
    <m/>
    <s v="23"/>
    <x v="2120"/>
    <x v="0"/>
  </r>
  <r>
    <x v="22"/>
    <x v="538"/>
    <s v="Sericio Medico"/>
    <s v="Total"/>
    <x v="3"/>
    <x v="0"/>
    <x v="0"/>
    <x v="0"/>
    <n v="232459.1"/>
    <n v="232459.1"/>
    <n v="149.0122435897436"/>
    <m/>
    <m/>
    <s v="23"/>
    <x v="2121"/>
    <x v="0"/>
  </r>
  <r>
    <x v="22"/>
    <x v="538"/>
    <s v="Sericio Medico"/>
    <s v="Total"/>
    <x v="3"/>
    <x v="0"/>
    <x v="0"/>
    <x v="0"/>
    <n v="2540.9"/>
    <n v="2540.9"/>
    <n v="1.6287820512820514"/>
    <s v="Retenciones"/>
    <m/>
    <s v="23"/>
    <x v="2121"/>
    <x v="0"/>
  </r>
  <r>
    <x v="3"/>
    <x v="484"/>
    <s v="Campaña 2026"/>
    <s v="Total"/>
    <x v="5"/>
    <x v="0"/>
    <x v="2"/>
    <x v="0"/>
    <n v="20993.4"/>
    <n v="20993.4"/>
    <n v="13.457307692307694"/>
    <s v="Retenciones"/>
    <m/>
    <s v="44"/>
    <x v="2106"/>
    <x v="0"/>
  </r>
  <r>
    <x v="16"/>
    <x v="539"/>
    <s v="Servicios Medicos"/>
    <s v="Total"/>
    <x v="0"/>
    <x v="0"/>
    <x v="0"/>
    <x v="0"/>
    <n v="694690.51"/>
    <n v="694690.51"/>
    <n v="445.3144294871795"/>
    <m/>
    <m/>
    <s v="43"/>
    <x v="2122"/>
    <x v="0"/>
  </r>
  <r>
    <x v="16"/>
    <x v="539"/>
    <s v="Servicios Medicos"/>
    <s v="Total"/>
    <x v="0"/>
    <x v="0"/>
    <x v="0"/>
    <x v="0"/>
    <n v="10309.49"/>
    <n v="10309.49"/>
    <n v="6.6086474358974359"/>
    <s v="Retenciones"/>
    <m/>
    <s v="43"/>
    <x v="2122"/>
    <x v="0"/>
  </r>
  <r>
    <x v="33"/>
    <x v="540"/>
    <s v="Honorarios profesionales"/>
    <s v="Total"/>
    <x v="1"/>
    <x v="0"/>
    <x v="0"/>
    <x v="0"/>
    <n v="280000"/>
    <n v="280000"/>
    <n v="179.48717948717947"/>
    <m/>
    <m/>
    <s v="12"/>
    <x v="2123"/>
    <x v="0"/>
  </r>
  <r>
    <x v="31"/>
    <x v="541"/>
    <s v="2 entrega de calsado anual"/>
    <s v="Total"/>
    <x v="1"/>
    <x v="0"/>
    <x v="1"/>
    <x v="0"/>
    <n v="2474473.2799999998"/>
    <n v="2474473.2799999998"/>
    <n v="1586.2008205128204"/>
    <m/>
    <d v="2025-12-05T00:00:00"/>
    <n v="49"/>
    <x v="2124"/>
    <x v="0"/>
  </r>
  <r>
    <x v="31"/>
    <x v="541"/>
    <s v="2 entrega de calsado anual"/>
    <s v="Total"/>
    <x v="1"/>
    <x v="0"/>
    <x v="1"/>
    <x v="0"/>
    <n v="2500000"/>
    <n v="2500000"/>
    <n v="1602.5641025641025"/>
    <m/>
    <d v="2025-12-04T00:00:00"/>
    <n v="49"/>
    <x v="2124"/>
    <x v="0"/>
  </r>
  <r>
    <x v="31"/>
    <x v="541"/>
    <s v="2 entrega de calsado anual"/>
    <s v="Total"/>
    <x v="1"/>
    <x v="0"/>
    <x v="1"/>
    <x v="0"/>
    <n v="2134182.25"/>
    <n v="2134182.25"/>
    <n v="1368.0655448717948"/>
    <m/>
    <d v="2025-12-05T00:00:00"/>
    <n v="49"/>
    <x v="2124"/>
    <x v="0"/>
  </r>
  <r>
    <x v="49"/>
    <x v="542"/>
    <s v="Sistema"/>
    <s v="Parcial"/>
    <x v="3"/>
    <x v="0"/>
    <x v="1"/>
    <x v="0"/>
    <n v="894177.9"/>
    <n v="894177.9"/>
    <n v="573.19096153846158"/>
    <s v="CH 30 días"/>
    <d v="2025-07-19T00:00:00"/>
    <n v="29"/>
    <x v="336"/>
    <x v="0"/>
  </r>
  <r>
    <x v="5"/>
    <x v="542"/>
    <s v="Synagro"/>
    <s v="Total"/>
    <x v="3"/>
    <x v="0"/>
    <x v="0"/>
    <x v="0"/>
    <n v="1500000"/>
    <n v="1500000"/>
    <n v="961.53846153846155"/>
    <m/>
    <m/>
    <s v="34"/>
    <x v="34"/>
    <x v="0"/>
  </r>
  <r>
    <x v="5"/>
    <x v="542"/>
    <s v="Synagro"/>
    <s v="Total"/>
    <x v="3"/>
    <x v="0"/>
    <x v="1"/>
    <x v="0"/>
    <n v="491314.95"/>
    <n v="491314.95"/>
    <n v="314.94548076923076"/>
    <s v="CH 30 días"/>
    <d v="2025-09-21T00:00:00"/>
    <n v="39"/>
    <x v="34"/>
    <x v="0"/>
  </r>
  <r>
    <x v="18"/>
    <x v="542"/>
    <s v="Synagro"/>
    <s v="Total"/>
    <x v="3"/>
    <x v="0"/>
    <x v="1"/>
    <x v="0"/>
    <n v="703604.01"/>
    <n v="703604.01"/>
    <n v="451.02821153846156"/>
    <m/>
    <d v="2025-10-29T00:00:00"/>
    <n v="44"/>
    <x v="2125"/>
    <x v="0"/>
  </r>
  <r>
    <x v="18"/>
    <x v="542"/>
    <s v="Synagro"/>
    <s v="Total"/>
    <x v="3"/>
    <x v="0"/>
    <x v="1"/>
    <x v="0"/>
    <n v="208223.84"/>
    <n v="208223.84"/>
    <n v="133.47682051282052"/>
    <m/>
    <d v="2025-10-30T00:00:00"/>
    <n v="44"/>
    <x v="2125"/>
    <x v="0"/>
  </r>
  <r>
    <x v="18"/>
    <x v="542"/>
    <s v="Synagro"/>
    <s v="Total"/>
    <x v="3"/>
    <x v="0"/>
    <x v="1"/>
    <x v="0"/>
    <n v="90557.75"/>
    <n v="90557.75"/>
    <n v="58.049839743589743"/>
    <m/>
    <d v="2025-10-14T00:00:00"/>
    <n v="42"/>
    <x v="2125"/>
    <x v="0"/>
  </r>
  <r>
    <x v="18"/>
    <x v="542"/>
    <s v="Synagro"/>
    <s v="Total"/>
    <x v="3"/>
    <x v="0"/>
    <x v="0"/>
    <x v="0"/>
    <n v="2640.8"/>
    <n v="2640.8"/>
    <n v="1.6928205128205129"/>
    <m/>
    <m/>
    <s v="39"/>
    <x v="2125"/>
    <x v="0"/>
  </r>
  <r>
    <x v="63"/>
    <x v="542"/>
    <m/>
    <s v="Total"/>
    <x v="3"/>
    <x v="0"/>
    <x v="1"/>
    <x v="0"/>
    <n v="1021917.6"/>
    <n v="1021917.6"/>
    <n v="655.07538461538456"/>
    <m/>
    <m/>
    <s v="44"/>
    <x v="2126"/>
    <x v="0"/>
  </r>
  <r>
    <x v="7"/>
    <x v="542"/>
    <s v="Sistema Synagro"/>
    <s v="Total"/>
    <x v="3"/>
    <x v="0"/>
    <x v="0"/>
    <x v="0"/>
    <n v="1091353.6499999999"/>
    <n v="1091353.6499999999"/>
    <n v="699.58567307692306"/>
    <m/>
    <m/>
    <s v="46"/>
    <x v="1308"/>
    <x v="0"/>
  </r>
  <r>
    <x v="19"/>
    <x v="542"/>
    <m/>
    <s v="Total"/>
    <x v="3"/>
    <x v="0"/>
    <x v="0"/>
    <x v="0"/>
    <n v="1091353.6499999999"/>
    <n v="1091353.6499999999"/>
    <n v="699.58567307692306"/>
    <m/>
    <m/>
    <s v="50"/>
    <x v="2127"/>
    <x v="0"/>
  </r>
  <r>
    <x v="74"/>
    <x v="542"/>
    <s v="Synagro"/>
    <s v="Total"/>
    <x v="3"/>
    <x v="0"/>
    <x v="1"/>
    <x v="0"/>
    <n v="1138948.8"/>
    <n v="1138948.8"/>
    <n v="730.09538461538466"/>
    <m/>
    <d v="2026-02-02T00:00:00"/>
    <n v="6"/>
    <x v="2128"/>
    <x v="0"/>
  </r>
  <r>
    <x v="13"/>
    <x v="542"/>
    <m/>
    <s v="Total"/>
    <x v="3"/>
    <x v="0"/>
    <x v="0"/>
    <x v="0"/>
    <n v="1127405.3999999999"/>
    <n v="1127405.3999999999"/>
    <n v="722.6957692307692"/>
    <m/>
    <m/>
    <s v="07"/>
    <x v="2129"/>
    <x v="0"/>
  </r>
  <r>
    <x v="24"/>
    <x v="542"/>
    <s v="Synagro"/>
    <s v="Total"/>
    <x v="3"/>
    <x v="0"/>
    <x v="1"/>
    <x v="0"/>
    <n v="1076056.2"/>
    <n v="1076056.2"/>
    <n v="689.77961538461534"/>
    <m/>
    <d v="2026-04-19T00:00:00"/>
    <n v="17"/>
    <x v="2130"/>
    <x v="0"/>
  </r>
  <r>
    <x v="24"/>
    <x v="542"/>
    <s v="Synagro"/>
    <s v="Total"/>
    <x v="3"/>
    <x v="0"/>
    <x v="1"/>
    <x v="0"/>
    <n v="16719"/>
    <n v="16719"/>
    <n v="10.717307692307692"/>
    <s v="Retenciones"/>
    <m/>
    <s v="14"/>
    <x v="2130"/>
    <x v="0"/>
  </r>
  <r>
    <x v="20"/>
    <x v="542"/>
    <s v="Marzo"/>
    <s v="Total"/>
    <x v="3"/>
    <x v="0"/>
    <x v="1"/>
    <x v="0"/>
    <n v="1072272"/>
    <n v="1072272"/>
    <n v="687.35384615384612"/>
    <m/>
    <d v="2026-05-09T00:00:00"/>
    <n v="19"/>
    <x v="2131"/>
    <x v="0"/>
  </r>
  <r>
    <x v="20"/>
    <x v="542"/>
    <s v="Marzo"/>
    <s v="Total"/>
    <x v="3"/>
    <x v="0"/>
    <x v="0"/>
    <x v="0"/>
    <n v="16655.400000000001"/>
    <n v="16655.400000000001"/>
    <n v="10.676538461538463"/>
    <s v="Retenciones"/>
    <m/>
    <s v="15"/>
    <x v="2131"/>
    <x v="0"/>
  </r>
  <r>
    <x v="64"/>
    <x v="542"/>
    <s v="Synagro"/>
    <s v="Total"/>
    <x v="3"/>
    <x v="0"/>
    <x v="1"/>
    <x v="0"/>
    <n v="1072272"/>
    <n v="1072272"/>
    <n v="687.35384615384612"/>
    <m/>
    <m/>
    <s v="22"/>
    <x v="2132"/>
    <x v="0"/>
  </r>
  <r>
    <x v="64"/>
    <x v="542"/>
    <s v="Synagro"/>
    <s v="Total"/>
    <x v="3"/>
    <x v="0"/>
    <x v="1"/>
    <x v="0"/>
    <n v="16655.400000000001"/>
    <n v="16655.400000000001"/>
    <n v="10.676538461538463"/>
    <s v="Retenciones"/>
    <m/>
    <s v="22"/>
    <x v="2132"/>
    <x v="0"/>
  </r>
  <r>
    <x v="35"/>
    <x v="542"/>
    <s v="Reposición de chueque sin fondos"/>
    <s v="Total"/>
    <x v="1"/>
    <x v="0"/>
    <x v="0"/>
    <x v="0"/>
    <n v="1072272"/>
    <n v="1072272"/>
    <n v="687.35384615384612"/>
    <m/>
    <m/>
    <s v="27"/>
    <x v="2133"/>
    <x v="0"/>
  </r>
  <r>
    <x v="36"/>
    <x v="542"/>
    <s v="Sistema Synagro"/>
    <s v="Total"/>
    <x v="3"/>
    <x v="0"/>
    <x v="1"/>
    <x v="0"/>
    <n v="2218884.6"/>
    <n v="2218884.6"/>
    <n v="1422.3619230769232"/>
    <m/>
    <d v="2026-08-07T00:00:00"/>
    <n v="32"/>
    <x v="2134"/>
    <x v="0"/>
  </r>
  <r>
    <x v="36"/>
    <x v="542"/>
    <s v="Sistema Synagro"/>
    <s v="Total"/>
    <x v="3"/>
    <x v="0"/>
    <x v="1"/>
    <x v="0"/>
    <n v="35926.199999999997"/>
    <n v="35926.199999999997"/>
    <n v="23.029615384615383"/>
    <s v="Retenciones"/>
    <m/>
    <s v="28"/>
    <x v="2134"/>
    <x v="0"/>
  </r>
  <r>
    <x v="39"/>
    <x v="542"/>
    <s v="Honorarios"/>
    <s v="Total"/>
    <x v="3"/>
    <x v="0"/>
    <x v="1"/>
    <x v="0"/>
    <n v="1077255.93"/>
    <n v="1077255.93"/>
    <n v="690.54867307692302"/>
    <m/>
    <d v="2026-10-17T00:00:00"/>
    <n v="42"/>
    <x v="2135"/>
    <x v="0"/>
  </r>
  <r>
    <x v="39"/>
    <x v="542"/>
    <s v="Honorarios"/>
    <s v="Total"/>
    <x v="3"/>
    <x v="0"/>
    <x v="0"/>
    <x v="0"/>
    <n v="70700.070000000007"/>
    <n v="70700.070000000007"/>
    <n v="45.320557692307695"/>
    <m/>
    <m/>
    <s v="38"/>
    <x v="2135"/>
    <x v="0"/>
  </r>
  <r>
    <x v="39"/>
    <x v="542"/>
    <s v="Honorarios"/>
    <s v="Total"/>
    <x v="3"/>
    <x v="0"/>
    <x v="0"/>
    <x v="0"/>
    <n v="17927.400000000001"/>
    <n v="17927.400000000001"/>
    <n v="11.491923076923078"/>
    <s v="Retenciones"/>
    <m/>
    <s v="38"/>
    <x v="2135"/>
    <x v="0"/>
  </r>
  <r>
    <x v="3"/>
    <x v="501"/>
    <s v="Combustible"/>
    <s v="Total"/>
    <x v="2"/>
    <x v="0"/>
    <x v="2"/>
    <x v="0"/>
    <n v="198009.4"/>
    <n v="198009.4"/>
    <n v="126.92910256410256"/>
    <m/>
    <m/>
    <s v="44"/>
    <x v="2136"/>
    <x v="2"/>
  </r>
  <r>
    <x v="3"/>
    <x v="506"/>
    <s v="Insumos planta"/>
    <s v="Parcial"/>
    <x v="0"/>
    <x v="0"/>
    <x v="1"/>
    <x v="0"/>
    <n v="8498294.4499999993"/>
    <n v="8498294.4499999993"/>
    <n v="5447.6246474358968"/>
    <m/>
    <m/>
    <s v="44"/>
    <x v="0"/>
    <x v="1"/>
  </r>
  <r>
    <x v="76"/>
    <x v="543"/>
    <s v="Nafta"/>
    <s v="Total"/>
    <x v="1"/>
    <x v="0"/>
    <x v="2"/>
    <x v="0"/>
    <n v="100000"/>
    <n v="100000"/>
    <n v="64.102564102564102"/>
    <m/>
    <m/>
    <s v="12"/>
    <x v="0"/>
    <x v="0"/>
  </r>
  <r>
    <x v="76"/>
    <x v="544"/>
    <s v="Bolsones Big-Bag"/>
    <s v="Total"/>
    <x v="1"/>
    <x v="1"/>
    <x v="2"/>
    <x v="0"/>
    <n v="600000"/>
    <n v="600000"/>
    <n v="384.61538461538464"/>
    <m/>
    <m/>
    <s v="12"/>
    <x v="0"/>
    <x v="0"/>
  </r>
  <r>
    <x v="68"/>
    <x v="545"/>
    <m/>
    <s v="Total"/>
    <x v="3"/>
    <x v="0"/>
    <x v="0"/>
    <x v="0"/>
    <n v="500000"/>
    <n v="500000"/>
    <n v="320.5128205128205"/>
    <m/>
    <m/>
    <s v="23"/>
    <x v="0"/>
    <x v="0"/>
  </r>
  <r>
    <x v="21"/>
    <x v="546"/>
    <s v="Semillas"/>
    <s v="Total"/>
    <x v="1"/>
    <x v="0"/>
    <x v="1"/>
    <x v="0"/>
    <n v="2866757.89"/>
    <n v="2866757.89"/>
    <n v="1837.6653141025643"/>
    <s v="CH 30 días"/>
    <d v="2025-08-26T00:00:00"/>
    <n v="35"/>
    <x v="2137"/>
    <x v="0"/>
  </r>
  <r>
    <x v="21"/>
    <x v="546"/>
    <s v="Semillas"/>
    <s v="Total"/>
    <x v="1"/>
    <x v="0"/>
    <x v="1"/>
    <x v="0"/>
    <n v="2866757.89"/>
    <n v="2866757.89"/>
    <n v="1837.6653141025643"/>
    <m/>
    <d v="2025-08-11T00:00:00"/>
    <n v="33"/>
    <x v="2137"/>
    <x v="0"/>
  </r>
  <r>
    <x v="29"/>
    <x v="546"/>
    <s v="Pedido Semillas campo"/>
    <s v="Total"/>
    <x v="1"/>
    <x v="0"/>
    <x v="2"/>
    <x v="0"/>
    <n v="12282304.65"/>
    <n v="12282304.65"/>
    <n v="7873.2722115384622"/>
    <m/>
    <m/>
    <s v="42"/>
    <x v="2138"/>
    <x v="0"/>
  </r>
  <r>
    <x v="30"/>
    <x v="546"/>
    <s v="Pedido agroquimicos campo"/>
    <s v="Total"/>
    <x v="1"/>
    <x v="0"/>
    <x v="1"/>
    <x v="0"/>
    <n v="19669299.34"/>
    <n v="19669299.34"/>
    <n v="12608.525217948718"/>
    <m/>
    <d v="2025-11-17T00:00:00"/>
    <n v="47"/>
    <x v="2139"/>
    <x v="0"/>
  </r>
  <r>
    <x v="65"/>
    <x v="546"/>
    <s v="Pedido agroquimicos campo"/>
    <s v="Total"/>
    <x v="0"/>
    <x v="0"/>
    <x v="1"/>
    <x v="0"/>
    <n v="4000000"/>
    <n v="4000000"/>
    <n v="2564.102564102564"/>
    <m/>
    <m/>
    <s v="13"/>
    <x v="2140"/>
    <x v="0"/>
  </r>
  <r>
    <x v="77"/>
    <x v="546"/>
    <s v="Pedido agroquimicos campo"/>
    <s v="Total"/>
    <x v="0"/>
    <x v="0"/>
    <x v="1"/>
    <x v="0"/>
    <n v="3500000"/>
    <n v="3500000"/>
    <n v="2243.5897435897436"/>
    <s v="AgroNacion"/>
    <m/>
    <s v="35"/>
    <x v="2141"/>
    <x v="0"/>
  </r>
  <r>
    <x v="3"/>
    <x v="509"/>
    <s v="Pimiento - insumos pasta"/>
    <s v="Total"/>
    <x v="0"/>
    <x v="1"/>
    <x v="1"/>
    <x v="0"/>
    <n v="2500000"/>
    <n v="2500000"/>
    <n v="1602.5641025641025"/>
    <m/>
    <m/>
    <s v="44"/>
    <x v="0"/>
    <x v="1"/>
  </r>
  <r>
    <x v="49"/>
    <x v="547"/>
    <s v="Repuestos maquina deshuesadora"/>
    <s v="Parcial"/>
    <x v="1"/>
    <x v="0"/>
    <x v="1"/>
    <x v="0"/>
    <n v="4958796.166666667"/>
    <n v="4958796.166666667"/>
    <n v="3178.7154914529915"/>
    <s v="CH 15 días"/>
    <d v="2025-07-02T00:00:00"/>
    <n v="27"/>
    <x v="2142"/>
    <x v="0"/>
  </r>
  <r>
    <x v="49"/>
    <x v="547"/>
    <s v="Repuestos maquina deshuesadora"/>
    <s v="Parcial"/>
    <x v="1"/>
    <x v="0"/>
    <x v="1"/>
    <x v="0"/>
    <n v="4958796.166666667"/>
    <n v="4958796.166666667"/>
    <n v="3178.7154914529915"/>
    <s v="CH 30 días"/>
    <d v="2025-07-17T00:00:00"/>
    <n v="29"/>
    <x v="2142"/>
    <x v="0"/>
  </r>
  <r>
    <x v="49"/>
    <x v="547"/>
    <s v="Repuestos maquina deshuesadora"/>
    <s v="Parcial"/>
    <x v="1"/>
    <x v="0"/>
    <x v="1"/>
    <x v="0"/>
    <n v="4958796.166666667"/>
    <n v="4958796.166666667"/>
    <n v="3178.7154914529915"/>
    <s v="CH 45 días"/>
    <d v="2025-08-01T00:00:00"/>
    <n v="31"/>
    <x v="2142"/>
    <x v="0"/>
  </r>
  <r>
    <x v="52"/>
    <x v="547"/>
    <s v="Repuestos Deshuesadora - repuetos entregados"/>
    <s v="Total"/>
    <x v="1"/>
    <x v="0"/>
    <x v="1"/>
    <x v="0"/>
    <n v="5000000"/>
    <n v="5000000"/>
    <n v="3205.1282051282051"/>
    <m/>
    <d v="2025-09-08T00:00:00"/>
    <n v="37"/>
    <x v="2143"/>
    <x v="0"/>
  </r>
  <r>
    <x v="52"/>
    <x v="547"/>
    <s v="Repuestos Deshuesadora - repuetos entregados"/>
    <s v="Total"/>
    <x v="1"/>
    <x v="0"/>
    <x v="1"/>
    <x v="0"/>
    <n v="1232659.02"/>
    <n v="1232659.02"/>
    <n v="790.16603846153851"/>
    <m/>
    <d v="2025-08-21T00:00:00"/>
    <n v="34"/>
    <x v="2143"/>
    <x v="0"/>
  </r>
  <r>
    <x v="52"/>
    <x v="547"/>
    <s v="Repuestos Deshuesadora - repuetos entregados"/>
    <s v="Total"/>
    <x v="1"/>
    <x v="0"/>
    <x v="0"/>
    <x v="0"/>
    <n v="2000000"/>
    <n v="2000000"/>
    <n v="1282.051282051282"/>
    <m/>
    <m/>
    <s v="38"/>
    <x v="2143"/>
    <x v="0"/>
  </r>
  <r>
    <x v="18"/>
    <x v="547"/>
    <s v="Repuestos Deshuesadora - repuetos entregados"/>
    <s v="Total"/>
    <x v="1"/>
    <x v="0"/>
    <x v="1"/>
    <x v="0"/>
    <n v="3600000"/>
    <n v="3600000"/>
    <n v="2307.6923076923076"/>
    <m/>
    <d v="2025-09-22T00:00:00"/>
    <n v="39"/>
    <x v="2144"/>
    <x v="0"/>
  </r>
  <r>
    <x v="63"/>
    <x v="547"/>
    <s v="Repuestos Deshuesadora - repuetos entregados"/>
    <s v="Parcial"/>
    <x v="0"/>
    <x v="0"/>
    <x v="1"/>
    <x v="0"/>
    <n v="4882779.1500000004"/>
    <n v="4882779.1500000004"/>
    <n v="3129.9866346153849"/>
    <m/>
    <m/>
    <s v="44"/>
    <x v="2145"/>
    <x v="0"/>
  </r>
  <r>
    <x v="14"/>
    <x v="547"/>
    <s v="Repuestos Deshuesadora - repuetos entregados"/>
    <s v="Parcial"/>
    <x v="0"/>
    <x v="0"/>
    <x v="1"/>
    <x v="0"/>
    <n v="1950000"/>
    <n v="1950000"/>
    <n v="1250"/>
    <m/>
    <d v="2025-12-19T00:00:00"/>
    <n v="51"/>
    <x v="2146"/>
    <x v="0"/>
  </r>
  <r>
    <x v="14"/>
    <x v="547"/>
    <s v="Repuestos Deshuesadora - repuetos entregados"/>
    <s v="Parcial"/>
    <x v="0"/>
    <x v="0"/>
    <x v="1"/>
    <x v="0"/>
    <n v="1950000"/>
    <n v="1950000"/>
    <n v="1250"/>
    <m/>
    <d v="2026-01-15T00:00:00"/>
    <n v="3"/>
    <x v="2146"/>
    <x v="0"/>
  </r>
  <r>
    <x v="14"/>
    <x v="547"/>
    <s v="Repuestos Deshuesadora - repuetos entregados"/>
    <s v="Parcial"/>
    <x v="0"/>
    <x v="0"/>
    <x v="1"/>
    <x v="0"/>
    <n v="2063973.82"/>
    <n v="2063973.82"/>
    <n v="1323.0601410256411"/>
    <m/>
    <d v="2026-01-23T00:00:00"/>
    <n v="4"/>
    <x v="2146"/>
    <x v="0"/>
  </r>
  <r>
    <x v="14"/>
    <x v="547"/>
    <s v="Repuestos Deshuesadora - repuetos entregados"/>
    <s v="Parcial"/>
    <x v="0"/>
    <x v="0"/>
    <x v="1"/>
    <x v="0"/>
    <n v="1950000"/>
    <n v="1950000"/>
    <n v="1250"/>
    <m/>
    <d v="2026-01-08T00:00:00"/>
    <n v="2"/>
    <x v="2146"/>
    <x v="0"/>
  </r>
  <r>
    <x v="14"/>
    <x v="547"/>
    <s v="Repuestos Deshuesadora - repuetos entregados"/>
    <s v="Parcial"/>
    <x v="0"/>
    <x v="0"/>
    <x v="1"/>
    <x v="0"/>
    <n v="1950000"/>
    <n v="1950000"/>
    <n v="1250"/>
    <m/>
    <d v="2026-01-08T00:00:00"/>
    <n v="2"/>
    <x v="2146"/>
    <x v="0"/>
  </r>
  <r>
    <x v="33"/>
    <x v="547"/>
    <s v="Repuestos desrabadora - Anticipo"/>
    <s v="Total"/>
    <x v="1"/>
    <x v="0"/>
    <x v="1"/>
    <x v="0"/>
    <n v="3706710"/>
    <n v="3706710"/>
    <n v="2376.0961538461538"/>
    <s v="Anticipo 30/45 - Saldo 30/60"/>
    <d v="2026-05-02T00:00:00"/>
    <n v="18"/>
    <x v="2147"/>
    <x v="0"/>
  </r>
  <r>
    <x v="33"/>
    <x v="547"/>
    <s v="Repuestos desrabadora - Anticipo"/>
    <s v="Total"/>
    <x v="1"/>
    <x v="0"/>
    <x v="1"/>
    <x v="0"/>
    <n v="3706710"/>
    <n v="3706710"/>
    <n v="2376.0961538461538"/>
    <m/>
    <d v="2026-05-08T00:00:00"/>
    <n v="19"/>
    <x v="2147"/>
    <x v="0"/>
  </r>
  <r>
    <x v="33"/>
    <x v="547"/>
    <s v="Repuestos desrabadora - Anticipo"/>
    <s v="Total"/>
    <x v="1"/>
    <x v="0"/>
    <x v="1"/>
    <x v="0"/>
    <n v="120040"/>
    <n v="120040"/>
    <n v="76.948717948717942"/>
    <m/>
    <m/>
    <s v="12"/>
    <x v="2147"/>
    <x v="0"/>
  </r>
  <r>
    <x v="62"/>
    <x v="547"/>
    <s v="Repuestos desrabadora - Saldo"/>
    <s v="Total"/>
    <x v="0"/>
    <x v="0"/>
    <x v="1"/>
    <x v="0"/>
    <n v="3732890"/>
    <n v="3732890"/>
    <n v="2392.8782051282051"/>
    <m/>
    <d v="2026-06-18T00:00:00"/>
    <n v="25"/>
    <x v="2148"/>
    <x v="0"/>
  </r>
  <r>
    <x v="62"/>
    <x v="547"/>
    <s v="Repuestos desrabadora - Saldo"/>
    <s v="Total"/>
    <x v="0"/>
    <x v="0"/>
    <x v="1"/>
    <x v="0"/>
    <n v="3732780"/>
    <n v="3732780"/>
    <n v="2392.8076923076924"/>
    <m/>
    <d v="2026-07-03T00:00:00"/>
    <n v="27"/>
    <x v="2148"/>
    <x v="0"/>
  </r>
  <r>
    <x v="62"/>
    <x v="547"/>
    <s v="Repuestos desrabadora - Saldo"/>
    <s v="Total"/>
    <x v="0"/>
    <x v="0"/>
    <x v="1"/>
    <x v="0"/>
    <n v="120920"/>
    <n v="120920"/>
    <n v="77.512820512820511"/>
    <s v="Retenciones"/>
    <m/>
    <s v="19"/>
    <x v="2148"/>
    <x v="0"/>
  </r>
  <r>
    <x v="64"/>
    <x v="547"/>
    <s v="Repuestos Deshuesadora - repuetos entregados N"/>
    <s v="Parcial"/>
    <x v="0"/>
    <x v="0"/>
    <x v="1"/>
    <x v="0"/>
    <n v="355985"/>
    <n v="355985"/>
    <n v="228.19551282051282"/>
    <m/>
    <d v="2026-06-19T00:00:00"/>
    <n v="25"/>
    <x v="2149"/>
    <x v="0"/>
  </r>
  <r>
    <x v="64"/>
    <x v="547"/>
    <s v="Repuestos Deshuesadora - repuetos entregados N"/>
    <s v="Parcial"/>
    <x v="0"/>
    <x v="0"/>
    <x v="1"/>
    <x v="0"/>
    <n v="1524000"/>
    <n v="1524000"/>
    <n v="976.92307692307691"/>
    <m/>
    <d v="2026-06-20T00:00:00"/>
    <n v="25"/>
    <x v="2149"/>
    <x v="0"/>
  </r>
  <r>
    <x v="64"/>
    <x v="547"/>
    <s v="Repuestos Deshuesadora - repuetos entregados N"/>
    <s v="Parcial"/>
    <x v="0"/>
    <x v="0"/>
    <x v="1"/>
    <x v="0"/>
    <n v="26594.13"/>
    <n v="26594.13"/>
    <n v="17.047519230769232"/>
    <s v="Retenciones"/>
    <m/>
    <s v="22"/>
    <x v="2149"/>
    <x v="0"/>
  </r>
  <r>
    <x v="42"/>
    <x v="547"/>
    <s v="Cunas 8.5"/>
    <s v="Parcial"/>
    <x v="1"/>
    <x v="0"/>
    <x v="1"/>
    <x v="0"/>
    <n v="2075080"/>
    <n v="2075080"/>
    <n v="1330.1794871794871"/>
    <m/>
    <d v="2026-07-12T00:00:00"/>
    <n v="29"/>
    <x v="2150"/>
    <x v="0"/>
  </r>
  <r>
    <x v="42"/>
    <x v="547"/>
    <s v="Cunas 8.5"/>
    <s v="Parcial"/>
    <x v="1"/>
    <x v="0"/>
    <x v="1"/>
    <x v="0"/>
    <n v="30320"/>
    <n v="30320"/>
    <n v="19.435897435897434"/>
    <s v="Retenciones"/>
    <m/>
    <s v="24"/>
    <x v="2150"/>
    <x v="0"/>
  </r>
  <r>
    <x v="36"/>
    <x v="547"/>
    <s v="Repuestos de maquina"/>
    <s v="Total"/>
    <x v="0"/>
    <x v="0"/>
    <x v="1"/>
    <x v="0"/>
    <n v="2618473"/>
    <n v="2618473"/>
    <n v="1678.5083333333334"/>
    <m/>
    <d v="2026-07-27T00:00:00"/>
    <n v="31"/>
    <x v="2151"/>
    <x v="0"/>
  </r>
  <r>
    <x v="36"/>
    <x v="547"/>
    <s v="Repuestos de maquina"/>
    <s v="Total"/>
    <x v="0"/>
    <x v="0"/>
    <x v="1"/>
    <x v="0"/>
    <n v="1148379.3999999999"/>
    <n v="1148379.3999999999"/>
    <n v="736.140641025641"/>
    <m/>
    <d v="2026-07-28T00:00:00"/>
    <n v="31"/>
    <x v="2151"/>
    <x v="0"/>
  </r>
  <r>
    <x v="36"/>
    <x v="547"/>
    <s v="Repuestos de maquina"/>
    <s v="Total"/>
    <x v="0"/>
    <x v="0"/>
    <x v="1"/>
    <x v="0"/>
    <n v="57782.02"/>
    <n v="57782.02"/>
    <n v="37.039756410256409"/>
    <s v="Retenciones"/>
    <m/>
    <s v="28"/>
    <x v="2151"/>
    <x v="0"/>
  </r>
  <r>
    <x v="71"/>
    <x v="547"/>
    <s v="Deuda Tecnica de Samuel Carrasco SAS - Operativa"/>
    <s v="Total"/>
    <x v="0"/>
    <x v="0"/>
    <x v="1"/>
    <x v="0"/>
    <n v="4304308.8"/>
    <n v="4304308.8"/>
    <n v="2759.1723076923076"/>
    <m/>
    <d v="2026-09-28T00:00:00"/>
    <n v="40"/>
    <x v="2152"/>
    <x v="0"/>
  </r>
  <r>
    <x v="71"/>
    <x v="547"/>
    <s v="Deuda Tecnica de Samuel Carrasco SAS - Operativa"/>
    <s v="Total"/>
    <x v="0"/>
    <x v="0"/>
    <x v="1"/>
    <x v="0"/>
    <n v="81606.179999999993"/>
    <n v="81606.179999999993"/>
    <n v="52.311653846153838"/>
    <s v="Retenciones"/>
    <m/>
    <s v="36"/>
    <x v="2152"/>
    <x v="0"/>
  </r>
  <r>
    <x v="46"/>
    <x v="547"/>
    <s v="Deuda Carrasco Samuel Vicente - Inoperativa"/>
    <s v="Total"/>
    <x v="0"/>
    <x v="0"/>
    <x v="1"/>
    <x v="0"/>
    <n v="2400000"/>
    <n v="2400000"/>
    <n v="1538.4615384615386"/>
    <m/>
    <d v="2026-12-09T00:00:00"/>
    <n v="50"/>
    <x v="2153"/>
    <x v="0"/>
  </r>
  <r>
    <x v="46"/>
    <x v="547"/>
    <s v="Deuda Carrasco Samuel Vicente - Inoperativa"/>
    <s v="Total"/>
    <x v="0"/>
    <x v="0"/>
    <x v="1"/>
    <x v="0"/>
    <n v="2400000"/>
    <n v="2400000"/>
    <n v="1538.4615384615386"/>
    <m/>
    <d v="2026-12-14T00:00:00"/>
    <n v="51"/>
    <x v="2153"/>
    <x v="0"/>
  </r>
  <r>
    <x v="46"/>
    <x v="547"/>
    <s v="Deuda Carrasco Samuel Vicente - Inoperativa"/>
    <s v="Total"/>
    <x v="0"/>
    <x v="0"/>
    <x v="1"/>
    <x v="0"/>
    <n v="91520"/>
    <n v="91520"/>
    <n v="58.666666666666664"/>
    <s v="Retenciones"/>
    <m/>
    <s v="42"/>
    <x v="2153"/>
    <x v="0"/>
  </r>
  <r>
    <x v="3"/>
    <x v="509"/>
    <s v="Pimiento - insumos pasta"/>
    <s v="Total"/>
    <x v="0"/>
    <x v="1"/>
    <x v="1"/>
    <x v="0"/>
    <n v="2000000"/>
    <n v="2000000"/>
    <n v="1282.051282051282"/>
    <m/>
    <m/>
    <s v="44"/>
    <x v="0"/>
    <x v="1"/>
  </r>
  <r>
    <x v="21"/>
    <x v="548"/>
    <s v="Desmoldante de encofrado + Sikador32(Cava)"/>
    <s v="Total"/>
    <x v="1"/>
    <x v="0"/>
    <x v="0"/>
    <x v="0"/>
    <n v="588999.99"/>
    <n v="588999.99"/>
    <n v="377.56409615384615"/>
    <m/>
    <m/>
    <s v="28"/>
    <x v="2154"/>
    <x v="0"/>
  </r>
  <r>
    <x v="63"/>
    <x v="549"/>
    <s v="Fabricación hidrociclones"/>
    <s v="Total"/>
    <x v="2"/>
    <x v="1"/>
    <x v="2"/>
    <x v="0"/>
    <n v="250000"/>
    <n v="250000"/>
    <n v="160.25641025641025"/>
    <m/>
    <m/>
    <s v="44"/>
    <x v="2155"/>
    <x v="0"/>
  </r>
  <r>
    <x v="4"/>
    <x v="549"/>
    <s v="Reparación hidrociclon"/>
    <s v="Total"/>
    <x v="2"/>
    <x v="1"/>
    <x v="2"/>
    <x v="0"/>
    <n v="120000"/>
    <n v="120000"/>
    <n v="76.92307692307692"/>
    <m/>
    <m/>
    <s v="51"/>
    <x v="2156"/>
    <x v="0"/>
  </r>
  <r>
    <x v="9"/>
    <x v="549"/>
    <s v="Mano de obra trabajo Departamento Maria M - Rejas"/>
    <s v="Total"/>
    <x v="2"/>
    <x v="1"/>
    <x v="2"/>
    <x v="0"/>
    <n v="150000"/>
    <n v="150000"/>
    <n v="96.15384615384616"/>
    <m/>
    <m/>
    <s v="05"/>
    <x v="2157"/>
    <x v="0"/>
  </r>
  <r>
    <x v="80"/>
    <x v="550"/>
    <m/>
    <s v="Total"/>
    <x v="1"/>
    <x v="1"/>
    <x v="2"/>
    <x v="0"/>
    <n v="51036.6"/>
    <n v="51036.6"/>
    <n v="32.715769230769233"/>
    <m/>
    <m/>
    <s v="20"/>
    <x v="0"/>
    <x v="0"/>
  </r>
  <r>
    <x v="62"/>
    <x v="551"/>
    <s v="Deuda facturas "/>
    <s v="Total"/>
    <x v="0"/>
    <x v="0"/>
    <x v="1"/>
    <x v="0"/>
    <n v="183902"/>
    <n v="183902"/>
    <n v="117.88589743589743"/>
    <m/>
    <d v="2026-06-23T00:00:00"/>
    <n v="26"/>
    <x v="2158"/>
    <x v="0"/>
  </r>
  <r>
    <x v="16"/>
    <x v="552"/>
    <s v="Pintura - Mary"/>
    <s v="Total"/>
    <x v="1"/>
    <x v="0"/>
    <x v="0"/>
    <x v="0"/>
    <n v="17000"/>
    <n v="17000"/>
    <n v="10.897435897435898"/>
    <m/>
    <m/>
    <s v="43"/>
    <x v="2159"/>
    <x v="0"/>
  </r>
  <r>
    <x v="13"/>
    <x v="553"/>
    <s v="Servicio de grua - Cava"/>
    <s v="Total"/>
    <x v="1"/>
    <x v="0"/>
    <x v="0"/>
    <x v="0"/>
    <n v="240000"/>
    <n v="240000"/>
    <n v="153.84615384615384"/>
    <m/>
    <m/>
    <s v="07"/>
    <x v="2160"/>
    <x v="0"/>
  </r>
  <r>
    <x v="11"/>
    <x v="554"/>
    <s v="Combustible"/>
    <s v="Total"/>
    <x v="2"/>
    <x v="0"/>
    <x v="2"/>
    <x v="0"/>
    <n v="10000.81"/>
    <n v="10000.81"/>
    <n v="6.4107756410256407"/>
    <m/>
    <m/>
    <s v="37"/>
    <x v="2161"/>
    <x v="0"/>
  </r>
  <r>
    <x v="42"/>
    <x v="555"/>
    <s v="Tanza - Bodega"/>
    <s v="Total"/>
    <x v="2"/>
    <x v="0"/>
    <x v="2"/>
    <x v="0"/>
    <n v="3500"/>
    <n v="3500"/>
    <n v="2.2435897435897436"/>
    <m/>
    <m/>
    <s v="24"/>
    <x v="2162"/>
    <x v="0"/>
  </r>
  <r>
    <x v="17"/>
    <x v="556"/>
    <s v="Fletes"/>
    <s v="Total"/>
    <x v="1"/>
    <x v="0"/>
    <x v="1"/>
    <x v="0"/>
    <n v="1000000"/>
    <n v="1000000"/>
    <n v="641.02564102564099"/>
    <s v="CH 20 Días"/>
    <d v="2025-07-13T00:00:00"/>
    <n v="29"/>
    <x v="2163"/>
    <x v="0"/>
  </r>
  <r>
    <x v="17"/>
    <x v="556"/>
    <s v="Fletes"/>
    <s v="Total"/>
    <x v="1"/>
    <x v="0"/>
    <x v="0"/>
    <x v="0"/>
    <n v="901595.71"/>
    <n v="901595.71"/>
    <n v="577.94596794871791"/>
    <m/>
    <m/>
    <s v="26"/>
    <x v="2163"/>
    <x v="0"/>
  </r>
  <r>
    <x v="18"/>
    <x v="557"/>
    <s v="Viaticos consultora"/>
    <s v="Total"/>
    <x v="1"/>
    <x v="0"/>
    <x v="0"/>
    <x v="0"/>
    <n v="72004.97"/>
    <n v="72004.97"/>
    <n v="46.157032051282052"/>
    <m/>
    <m/>
    <s v="39"/>
    <x v="2164"/>
    <x v="0"/>
  </r>
  <r>
    <x v="69"/>
    <x v="558"/>
    <s v="Analisis planta"/>
    <s v="Total"/>
    <x v="1"/>
    <x v="0"/>
    <x v="0"/>
    <x v="0"/>
    <n v="2900"/>
    <n v="2900"/>
    <n v="1.858974358974359"/>
    <m/>
    <m/>
    <s v="31"/>
    <x v="34"/>
    <x v="0"/>
  </r>
  <r>
    <x v="54"/>
    <x v="559"/>
    <s v="Indumentaria -  1 entrega 2026"/>
    <s v="Total"/>
    <x v="1"/>
    <x v="0"/>
    <x v="1"/>
    <x v="0"/>
    <n v="1509012.74"/>
    <n v="1509012.74"/>
    <n v="967.315858974359"/>
    <m/>
    <d v="2026-11-20T00:00:00"/>
    <n v="47"/>
    <x v="2165"/>
    <x v="0"/>
  </r>
  <r>
    <x v="54"/>
    <x v="559"/>
    <s v="Indumentaria -  1 entrega 2026"/>
    <s v="Total"/>
    <x v="1"/>
    <x v="0"/>
    <x v="1"/>
    <x v="0"/>
    <n v="25700.25"/>
    <n v="25700.25"/>
    <n v="16.474519230769232"/>
    <s v="Retenciones"/>
    <m/>
    <s v="41"/>
    <x v="2165"/>
    <x v="0"/>
  </r>
  <r>
    <x v="46"/>
    <x v="559"/>
    <s v="Indumentaria - 1 entrega 2026"/>
    <s v="Total"/>
    <x v="1"/>
    <x v="0"/>
    <x v="0"/>
    <x v="0"/>
    <n v="135116.17000000001"/>
    <n v="135116.17000000001"/>
    <n v="86.6129294871795"/>
    <m/>
    <m/>
    <s v="42"/>
    <x v="2166"/>
    <x v="0"/>
  </r>
  <r>
    <x v="85"/>
    <x v="560"/>
    <s v="EPP - Chaqueta Laura Cerezo"/>
    <s v="Total"/>
    <x v="1"/>
    <x v="0"/>
    <x v="0"/>
    <x v="0"/>
    <n v="43600"/>
    <n v="43600"/>
    <n v="27.948717948717949"/>
    <m/>
    <m/>
    <s v="05"/>
    <x v="2167"/>
    <x v="0"/>
  </r>
  <r>
    <x v="31"/>
    <x v="560"/>
    <s v="2 entrega indumentaria Mujeres Anual"/>
    <s v="Total"/>
    <x v="1"/>
    <x v="0"/>
    <x v="1"/>
    <x v="0"/>
    <n v="913010.59"/>
    <n v="913010.59"/>
    <n v="585.26319871794874"/>
    <m/>
    <d v="2025-11-20T00:00:00"/>
    <n v="47"/>
    <x v="2168"/>
    <x v="0"/>
  </r>
  <r>
    <x v="14"/>
    <x v="560"/>
    <s v="Pedido de gorras (entrega de indumentaria)"/>
    <s v="Total"/>
    <x v="1"/>
    <x v="0"/>
    <x v="1"/>
    <x v="0"/>
    <n v="391814.66"/>
    <n v="391814.66"/>
    <n v="251.16324358974359"/>
    <m/>
    <d v="2025-12-17T00:00:00"/>
    <n v="51"/>
    <x v="2169"/>
    <x v="0"/>
  </r>
  <r>
    <x v="48"/>
    <x v="561"/>
    <s v="Analisis"/>
    <s v="Total"/>
    <x v="1"/>
    <x v="0"/>
    <x v="0"/>
    <x v="0"/>
    <n v="245500"/>
    <n v="245500"/>
    <n v="157.37179487179486"/>
    <m/>
    <m/>
    <s v="16"/>
    <x v="2170"/>
    <x v="0"/>
  </r>
  <r>
    <x v="48"/>
    <x v="561"/>
    <s v="Analisis"/>
    <s v="Total"/>
    <x v="1"/>
    <x v="0"/>
    <x v="0"/>
    <x v="0"/>
    <n v="103400"/>
    <n v="103400"/>
    <n v="66.282051282051285"/>
    <m/>
    <m/>
    <s v="16"/>
    <x v="2170"/>
    <x v="0"/>
  </r>
  <r>
    <x v="60"/>
    <x v="561"/>
    <s v="Analisis"/>
    <s v="Total"/>
    <x v="1"/>
    <x v="0"/>
    <x v="0"/>
    <x v="0"/>
    <n v="2700"/>
    <n v="2700"/>
    <n v="1.7307692307692308"/>
    <m/>
    <m/>
    <s v="37"/>
    <x v="2171"/>
    <x v="0"/>
  </r>
  <r>
    <x v="28"/>
    <x v="561"/>
    <s v="Analisis de suelo Finaca 2"/>
    <s v="Total"/>
    <x v="1"/>
    <x v="0"/>
    <x v="0"/>
    <x v="0"/>
    <n v="47300"/>
    <n v="47300"/>
    <n v="30.320512820512821"/>
    <m/>
    <m/>
    <s v="40"/>
    <x v="2172"/>
    <x v="0"/>
  </r>
  <r>
    <x v="63"/>
    <x v="561"/>
    <s v="Analisis de agua"/>
    <s v="Total"/>
    <x v="1"/>
    <x v="0"/>
    <x v="0"/>
    <x v="0"/>
    <n v="463400"/>
    <n v="463400"/>
    <n v="297.05128205128204"/>
    <m/>
    <m/>
    <s v="44"/>
    <x v="2173"/>
    <x v="0"/>
  </r>
  <r>
    <x v="62"/>
    <x v="562"/>
    <s v="Repuestos  Combi - discos de freno"/>
    <s v="Total"/>
    <x v="1"/>
    <x v="0"/>
    <x v="1"/>
    <x v="0"/>
    <n v="614232.06999999995"/>
    <n v="614232.06999999995"/>
    <n v="393.73850641025638"/>
    <m/>
    <d v="2026-05-25T00:00:00"/>
    <n v="22"/>
    <x v="2174"/>
    <x v="0"/>
  </r>
  <r>
    <x v="62"/>
    <x v="562"/>
    <s v="Repuestos  Combi - discos de freno"/>
    <s v="Total"/>
    <x v="1"/>
    <x v="0"/>
    <x v="1"/>
    <x v="0"/>
    <n v="5767.93"/>
    <n v="5767.93"/>
    <n v="3.6973910256410258"/>
    <s v="Retenciones"/>
    <m/>
    <s v="19"/>
    <x v="2174"/>
    <x v="0"/>
  </r>
  <r>
    <x v="80"/>
    <x v="563"/>
    <s v="Repuesto Toyota 3.0 (Olmos)"/>
    <s v="Total"/>
    <x v="1"/>
    <x v="0"/>
    <x v="1"/>
    <x v="0"/>
    <n v="362000"/>
    <n v="362000"/>
    <n v="232.05128205128204"/>
    <s v="CH 15 días"/>
    <m/>
    <s v="20"/>
    <x v="2175"/>
    <x v="0"/>
  </r>
  <r>
    <x v="17"/>
    <x v="563"/>
    <s v="Repustos Toyota Hilux"/>
    <s v="Total"/>
    <x v="1"/>
    <x v="0"/>
    <x v="1"/>
    <x v="0"/>
    <n v="520000"/>
    <n v="520000"/>
    <n v="333.33333333333331"/>
    <s v="CH 15 días"/>
    <d v="2025-07-12T00:00:00"/>
    <n v="28"/>
    <x v="2176"/>
    <x v="0"/>
  </r>
  <r>
    <x v="63"/>
    <x v="563"/>
    <s v="Pedido Campo - Repuesto camioneta"/>
    <s v="Total"/>
    <x v="1"/>
    <x v="0"/>
    <x v="0"/>
    <x v="0"/>
    <n v="276920"/>
    <n v="276920"/>
    <n v="177.51282051282053"/>
    <m/>
    <m/>
    <s v="44"/>
    <x v="2177"/>
    <x v="0"/>
  </r>
  <r>
    <x v="59"/>
    <x v="563"/>
    <s v="Repuestos Toyota 3.0"/>
    <s v="Total"/>
    <x v="1"/>
    <x v="0"/>
    <x v="1"/>
    <x v="0"/>
    <n v="646413.55000000005"/>
    <n v="646413.55000000005"/>
    <n v="414.36766025641026"/>
    <m/>
    <d v="2026-03-06T00:00:00"/>
    <n v="10"/>
    <x v="2178"/>
    <x v="0"/>
  </r>
  <r>
    <x v="59"/>
    <x v="563"/>
    <s v="Repuestos Toyota 3.0"/>
    <s v="Total"/>
    <x v="1"/>
    <x v="0"/>
    <x v="1"/>
    <x v="0"/>
    <n v="646413.56000000006"/>
    <n v="646413.56000000006"/>
    <n v="414.36766666666671"/>
    <m/>
    <d v="2026-02-19T00:00:00"/>
    <n v="8"/>
    <x v="2178"/>
    <x v="0"/>
  </r>
  <r>
    <x v="68"/>
    <x v="564"/>
    <s v="Asesoramiento poda"/>
    <s v="Total"/>
    <x v="3"/>
    <x v="0"/>
    <x v="1"/>
    <x v="0"/>
    <n v="400000"/>
    <n v="400000"/>
    <n v="256.41025641025641"/>
    <m/>
    <d v="2025-07-24T00:00:00"/>
    <n v="30"/>
    <x v="34"/>
    <x v="0"/>
  </r>
  <r>
    <x v="49"/>
    <x v="565"/>
    <s v="Fruta Fresca"/>
    <s v="Total"/>
    <x v="4"/>
    <x v="0"/>
    <x v="0"/>
    <x v="0"/>
    <n v="10000000"/>
    <n v="10000000"/>
    <n v="6410.2564102564102"/>
    <m/>
    <m/>
    <s v="25"/>
    <x v="2179"/>
    <x v="0"/>
  </r>
  <r>
    <x v="68"/>
    <x v="565"/>
    <s v="Fruta Fresca"/>
    <s v="Total"/>
    <x v="4"/>
    <x v="0"/>
    <x v="1"/>
    <x v="0"/>
    <n v="82321916.200000003"/>
    <n v="82321916.200000003"/>
    <n v="52770.459102564106"/>
    <s v="Pago 13/6 20/6 27/6"/>
    <d v="2025-06-13T00:00:00"/>
    <n v="24"/>
    <x v="2180"/>
    <x v="0"/>
  </r>
  <r>
    <x v="68"/>
    <x v="565"/>
    <s v="Fruta Fresca"/>
    <s v="Total"/>
    <x v="4"/>
    <x v="0"/>
    <x v="1"/>
    <x v="0"/>
    <n v="82321916.200000003"/>
    <n v="82321916.200000003"/>
    <n v="52770.459102564106"/>
    <s v="Pago 13/6 20/6 27/6"/>
    <d v="2025-06-20T00:00:00"/>
    <n v="25"/>
    <x v="2180"/>
    <x v="0"/>
  </r>
  <r>
    <x v="68"/>
    <x v="565"/>
    <s v="Fruta Fresca"/>
    <s v="Total"/>
    <x v="4"/>
    <x v="0"/>
    <x v="1"/>
    <x v="0"/>
    <n v="82321916.200000003"/>
    <n v="82321916.200000003"/>
    <n v="52770.459102564106"/>
    <s v="Pago 13/6 20/6 27/6"/>
    <d v="2025-06-27T00:00:00"/>
    <n v="26"/>
    <x v="2180"/>
    <x v="0"/>
  </r>
  <r>
    <x v="67"/>
    <x v="565"/>
    <s v="Fruta fresca"/>
    <s v="Total"/>
    <x v="1"/>
    <x v="0"/>
    <x v="1"/>
    <x v="0"/>
    <n v="23000000"/>
    <n v="23000000"/>
    <n v="14743.589743589744"/>
    <s v="CH al días"/>
    <d v="2025-06-12T00:00:00"/>
    <n v="24"/>
    <x v="2181"/>
    <x v="0"/>
  </r>
  <r>
    <x v="17"/>
    <x v="565"/>
    <s v="Fruta Fresca"/>
    <s v="Total"/>
    <x v="4"/>
    <x v="0"/>
    <x v="0"/>
    <x v="0"/>
    <n v="10000000"/>
    <n v="10000000"/>
    <n v="6410.2564102564102"/>
    <m/>
    <m/>
    <s v="26"/>
    <x v="2182"/>
    <x v="0"/>
  </r>
  <r>
    <x v="17"/>
    <x v="565"/>
    <s v="Fruta Fresca"/>
    <s v="Total"/>
    <x v="4"/>
    <x v="0"/>
    <x v="0"/>
    <x v="0"/>
    <n v="3585586.82"/>
    <n v="3585586.82"/>
    <n v="2298.4530897435898"/>
    <m/>
    <d v="2025-06-27T00:00:00"/>
    <n v="26"/>
    <x v="2182"/>
    <x v="0"/>
  </r>
  <r>
    <x v="25"/>
    <x v="565"/>
    <s v="Fruta Fresca"/>
    <s v="Total"/>
    <x v="4"/>
    <x v="0"/>
    <x v="1"/>
    <x v="0"/>
    <n v="53975785.920000002"/>
    <n v="53975785.920000002"/>
    <n v="34599.862769230771"/>
    <s v="CH 87 días"/>
    <d v="2025-09-26T00:00:00"/>
    <n v="39"/>
    <x v="2183"/>
    <x v="0"/>
  </r>
  <r>
    <x v="25"/>
    <x v="565"/>
    <s v="Fruta Fresca"/>
    <s v="Total"/>
    <x v="4"/>
    <x v="0"/>
    <x v="1"/>
    <x v="0"/>
    <n v="50000000"/>
    <n v="50000000"/>
    <n v="32051.282051282051"/>
    <s v="CH 66 días"/>
    <d v="2025-09-05T00:00:00"/>
    <n v="36"/>
    <x v="2183"/>
    <x v="0"/>
  </r>
  <r>
    <x v="25"/>
    <x v="565"/>
    <s v="Fruta Fresca"/>
    <s v="Total"/>
    <x v="4"/>
    <x v="0"/>
    <x v="1"/>
    <x v="0"/>
    <n v="50000000"/>
    <n v="50000000"/>
    <n v="32051.282051282051"/>
    <s v="CH 80 días"/>
    <d v="2025-09-19T00:00:00"/>
    <n v="38"/>
    <x v="2183"/>
    <x v="0"/>
  </r>
  <r>
    <x v="25"/>
    <x v="565"/>
    <s v="Fruta Fresca"/>
    <s v="Total"/>
    <x v="4"/>
    <x v="0"/>
    <x v="1"/>
    <x v="0"/>
    <n v="50000000"/>
    <n v="50000000"/>
    <n v="32051.282051282051"/>
    <s v="CH 73 días"/>
    <d v="2025-09-12T00:00:00"/>
    <n v="37"/>
    <x v="2183"/>
    <x v="0"/>
  </r>
  <r>
    <x v="26"/>
    <x v="565"/>
    <s v="Fruta Fresca"/>
    <s v="Total"/>
    <x v="4"/>
    <x v="0"/>
    <x v="1"/>
    <x v="0"/>
    <n v="8801522.9900000002"/>
    <n v="8801522.9900000002"/>
    <n v="5642.0019166666671"/>
    <m/>
    <d v="2025-08-21T00:00:00"/>
    <n v="34"/>
    <x v="2184"/>
    <x v="0"/>
  </r>
  <r>
    <x v="26"/>
    <x v="565"/>
    <s v="Fruta Fresca"/>
    <s v="Total"/>
    <x v="4"/>
    <x v="0"/>
    <x v="1"/>
    <x v="0"/>
    <n v="13771419.970000001"/>
    <n v="13771419.970000001"/>
    <n v="8827.8333141025651"/>
    <m/>
    <d v="2025-08-26T00:00:00"/>
    <n v="35"/>
    <x v="2184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09-26T00:00:00"/>
    <n v="39"/>
    <x v="0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09-24T00:00:00"/>
    <n v="39"/>
    <x v="0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09-30T00:00:00"/>
    <n v="40"/>
    <x v="0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10-02T00:00:00"/>
    <n v="40"/>
    <x v="0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10-03T00:00:00"/>
    <n v="40"/>
    <x v="34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10-01T00:00:00"/>
    <n v="40"/>
    <x v="0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09-25T00:00:00"/>
    <n v="39"/>
    <x v="34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09-23T00:00:00"/>
    <n v="39"/>
    <x v="34"/>
    <x v="0"/>
  </r>
  <r>
    <x v="61"/>
    <x v="565"/>
    <s v="Fruta Fresca campaña 2025"/>
    <s v="Total"/>
    <x v="4"/>
    <x v="0"/>
    <x v="1"/>
    <x v="0"/>
    <n v="2001500"/>
    <n v="2001500"/>
    <n v="1283.0128205128206"/>
    <m/>
    <d v="2025-09-29T00:00:00"/>
    <n v="40"/>
    <x v="34"/>
    <x v="0"/>
  </r>
  <r>
    <x v="61"/>
    <x v="565"/>
    <s v="Fruta Fresca campaña 2025"/>
    <s v="Total"/>
    <x v="4"/>
    <x v="0"/>
    <x v="1"/>
    <x v="0"/>
    <n v="2003809.12"/>
    <n v="2003809.12"/>
    <n v="1284.4930256410257"/>
    <m/>
    <d v="2025-10-06T00:00:00"/>
    <n v="41"/>
    <x v="34"/>
    <x v="0"/>
  </r>
  <r>
    <x v="69"/>
    <x v="565"/>
    <s v="Fruta Fresca"/>
    <s v="Total"/>
    <x v="4"/>
    <x v="0"/>
    <x v="0"/>
    <x v="0"/>
    <n v="10000000"/>
    <n v="10000000"/>
    <n v="6410.2564102564102"/>
    <m/>
    <m/>
    <s v="31"/>
    <x v="34"/>
    <x v="0"/>
  </r>
  <r>
    <x v="69"/>
    <x v="565"/>
    <s v="Fruta Fresca"/>
    <s v="Total"/>
    <x v="4"/>
    <x v="0"/>
    <x v="1"/>
    <x v="0"/>
    <n v="2001500"/>
    <n v="2001500"/>
    <n v="1283.0128205128206"/>
    <m/>
    <d v="2025-09-08T00:00:00"/>
    <n v="37"/>
    <x v="34"/>
    <x v="0"/>
  </r>
  <r>
    <x v="69"/>
    <x v="565"/>
    <s v="Fruta Fresca"/>
    <s v="Total"/>
    <x v="4"/>
    <x v="0"/>
    <x v="1"/>
    <x v="0"/>
    <n v="2001500"/>
    <n v="2001500"/>
    <n v="1283.0128205128206"/>
    <m/>
    <d v="2025-09-15T00:00:00"/>
    <n v="38"/>
    <x v="0"/>
    <x v="0"/>
  </r>
  <r>
    <x v="69"/>
    <x v="565"/>
    <s v="Fruta Fresca"/>
    <s v="Total"/>
    <x v="4"/>
    <x v="0"/>
    <x v="1"/>
    <x v="0"/>
    <n v="2001500"/>
    <n v="2001500"/>
    <n v="1283.0128205128206"/>
    <m/>
    <d v="2025-09-09T00:00:00"/>
    <n v="37"/>
    <x v="0"/>
    <x v="0"/>
  </r>
  <r>
    <x v="69"/>
    <x v="565"/>
    <s v="Fruta Fresca"/>
    <s v="Total"/>
    <x v="4"/>
    <x v="0"/>
    <x v="1"/>
    <x v="0"/>
    <n v="2001500"/>
    <n v="2001500"/>
    <n v="1283.0128205128206"/>
    <m/>
    <d v="2025-09-11T00:00:00"/>
    <n v="37"/>
    <x v="0"/>
    <x v="0"/>
  </r>
  <r>
    <x v="69"/>
    <x v="565"/>
    <s v="Fruta Fresca"/>
    <s v="Total"/>
    <x v="4"/>
    <x v="0"/>
    <x v="1"/>
    <x v="0"/>
    <n v="2001500"/>
    <n v="2001500"/>
    <n v="1283.0128205128206"/>
    <m/>
    <d v="2025-09-05T00:00:00"/>
    <n v="36"/>
    <x v="34"/>
    <x v="0"/>
  </r>
  <r>
    <x v="69"/>
    <x v="565"/>
    <s v="Fruta Fresca"/>
    <s v="Total"/>
    <x v="4"/>
    <x v="0"/>
    <x v="1"/>
    <x v="0"/>
    <n v="2001500"/>
    <n v="2001500"/>
    <n v="1283.0128205128206"/>
    <m/>
    <d v="2025-09-10T00:00:00"/>
    <n v="37"/>
    <x v="34"/>
    <x v="0"/>
  </r>
  <r>
    <x v="69"/>
    <x v="565"/>
    <s v="Fruta Fresca"/>
    <s v="Total"/>
    <x v="4"/>
    <x v="0"/>
    <x v="1"/>
    <x v="0"/>
    <n v="2001500"/>
    <n v="2001500"/>
    <n v="1283.0128205128206"/>
    <m/>
    <d v="2025-09-12T00:00:00"/>
    <n v="37"/>
    <x v="0"/>
    <x v="0"/>
  </r>
  <r>
    <x v="2"/>
    <x v="565"/>
    <s v="Fruta Fresca"/>
    <s v="Total"/>
    <x v="4"/>
    <x v="0"/>
    <x v="1"/>
    <x v="0"/>
    <n v="1000000"/>
    <n v="1000000"/>
    <n v="641.02564102564099"/>
    <m/>
    <d v="2025-08-09T00:00:00"/>
    <n v="32"/>
    <x v="0"/>
    <x v="0"/>
  </r>
  <r>
    <x v="2"/>
    <x v="565"/>
    <s v="Fruta Fresca"/>
    <s v="Total"/>
    <x v="4"/>
    <x v="0"/>
    <x v="1"/>
    <x v="0"/>
    <n v="1000000"/>
    <n v="1000000"/>
    <n v="641.02564102564099"/>
    <m/>
    <d v="2025-08-02T00:00:00"/>
    <n v="31"/>
    <x v="0"/>
    <x v="0"/>
  </r>
  <r>
    <x v="2"/>
    <x v="565"/>
    <s v="Fruta Fresca"/>
    <s v="Total"/>
    <x v="4"/>
    <x v="0"/>
    <x v="1"/>
    <x v="0"/>
    <n v="1400000"/>
    <n v="1400000"/>
    <n v="897.43589743589746"/>
    <m/>
    <d v="2025-08-13T00:00:00"/>
    <n v="33"/>
    <x v="34"/>
    <x v="0"/>
  </r>
  <r>
    <x v="2"/>
    <x v="565"/>
    <s v="Fruta Fresca"/>
    <s v="Total"/>
    <x v="4"/>
    <x v="0"/>
    <x v="1"/>
    <x v="0"/>
    <n v="1539339.7"/>
    <n v="1539339.7"/>
    <n v="986.7562179487179"/>
    <m/>
    <d v="2025-08-09T00:00:00"/>
    <n v="32"/>
    <x v="0"/>
    <x v="0"/>
  </r>
  <r>
    <x v="2"/>
    <x v="565"/>
    <s v="Fruta Fresca"/>
    <s v="Total"/>
    <x v="4"/>
    <x v="0"/>
    <x v="1"/>
    <x v="0"/>
    <n v="1553079"/>
    <n v="1553079"/>
    <n v="995.56346153846152"/>
    <m/>
    <d v="2025-08-01T00:00:00"/>
    <n v="31"/>
    <x v="34"/>
    <x v="0"/>
  </r>
  <r>
    <x v="2"/>
    <x v="565"/>
    <s v="Fruta Fresca"/>
    <s v="Total"/>
    <x v="4"/>
    <x v="0"/>
    <x v="1"/>
    <x v="0"/>
    <n v="2223597"/>
    <n v="2223597"/>
    <n v="1425.3826923076922"/>
    <m/>
    <d v="2025-07-23T00:00:00"/>
    <n v="30"/>
    <x v="34"/>
    <x v="0"/>
  </r>
  <r>
    <x v="2"/>
    <x v="565"/>
    <s v="Fruta Fresca"/>
    <s v="Total"/>
    <x v="4"/>
    <x v="0"/>
    <x v="1"/>
    <x v="0"/>
    <n v="2273672"/>
    <n v="2273672"/>
    <n v="1457.4820512820513"/>
    <m/>
    <d v="2025-08-01T00:00:00"/>
    <n v="31"/>
    <x v="2185"/>
    <x v="0"/>
  </r>
  <r>
    <x v="2"/>
    <x v="565"/>
    <s v="Fruta Fresca"/>
    <s v="Total"/>
    <x v="4"/>
    <x v="0"/>
    <x v="1"/>
    <x v="0"/>
    <n v="2500000"/>
    <n v="2500000"/>
    <n v="1602.5641025641025"/>
    <m/>
    <d v="2025-08-12T00:00:00"/>
    <n v="33"/>
    <x v="2185"/>
    <x v="0"/>
  </r>
  <r>
    <x v="2"/>
    <x v="565"/>
    <s v="Fruta Fresca"/>
    <s v="Total"/>
    <x v="4"/>
    <x v="0"/>
    <x v="1"/>
    <x v="0"/>
    <n v="2500000"/>
    <n v="2500000"/>
    <n v="1602.5641025641025"/>
    <m/>
    <d v="2025-08-05T00:00:00"/>
    <n v="32"/>
    <x v="2185"/>
    <x v="0"/>
  </r>
  <r>
    <x v="2"/>
    <x v="565"/>
    <s v="Fruta Fresca"/>
    <s v="Total"/>
    <x v="4"/>
    <x v="0"/>
    <x v="1"/>
    <x v="0"/>
    <n v="5052109.74"/>
    <n v="5052109.74"/>
    <n v="3238.5318846153846"/>
    <m/>
    <d v="2025-08-02T00:00:00"/>
    <n v="31"/>
    <x v="2185"/>
    <x v="0"/>
  </r>
  <r>
    <x v="8"/>
    <x v="565"/>
    <s v="Fruta Fresca"/>
    <s v="Total"/>
    <x v="4"/>
    <x v="0"/>
    <x v="0"/>
    <x v="0"/>
    <n v="9812122"/>
    <n v="9812122"/>
    <n v="6289.8217948717947"/>
    <m/>
    <m/>
    <s v="33"/>
    <x v="2186"/>
    <x v="0"/>
  </r>
  <r>
    <x v="8"/>
    <x v="565"/>
    <s v="Fruta Fresca"/>
    <s v="Total"/>
    <x v="4"/>
    <x v="0"/>
    <x v="0"/>
    <x v="0"/>
    <n v="4909502"/>
    <n v="4909502"/>
    <n v="3147.1166666666668"/>
    <m/>
    <m/>
    <s v="33"/>
    <x v="2187"/>
    <x v="0"/>
  </r>
  <r>
    <x v="5"/>
    <x v="565"/>
    <s v="Fruta Fresca campaña 2025"/>
    <s v="Total"/>
    <x v="1"/>
    <x v="0"/>
    <x v="0"/>
    <x v="0"/>
    <n v="5000000"/>
    <n v="5000000"/>
    <n v="3205.1282051282051"/>
    <m/>
    <m/>
    <s v="34"/>
    <x v="34"/>
    <x v="0"/>
  </r>
  <r>
    <x v="5"/>
    <x v="565"/>
    <s v="Fruta Fresca campaña 2025"/>
    <s v="Total"/>
    <x v="1"/>
    <x v="0"/>
    <x v="0"/>
    <x v="0"/>
    <n v="11095475.119999999"/>
    <n v="11095475.119999999"/>
    <n v="7112.484051282051"/>
    <m/>
    <m/>
    <s v="34"/>
    <x v="34"/>
    <x v="0"/>
  </r>
  <r>
    <x v="27"/>
    <x v="565"/>
    <s v="Fruta Fresca campaña 2025"/>
    <s v="Total"/>
    <x v="1"/>
    <x v="0"/>
    <x v="0"/>
    <x v="0"/>
    <n v="9813710.9399999995"/>
    <n v="9813710.9399999995"/>
    <n v="6290.8403461538455"/>
    <m/>
    <m/>
    <s v="35"/>
    <x v="2188"/>
    <x v="0"/>
  </r>
  <r>
    <x v="27"/>
    <x v="565"/>
    <s v="Fruta Fresca campaña 2025"/>
    <s v="Total"/>
    <x v="1"/>
    <x v="0"/>
    <x v="1"/>
    <x v="0"/>
    <n v="10000000"/>
    <n v="10000000"/>
    <n v="6410.2564102564102"/>
    <m/>
    <d v="2025-08-27T00:00:00"/>
    <n v="35"/>
    <x v="2189"/>
    <x v="0"/>
  </r>
  <r>
    <x v="27"/>
    <x v="565"/>
    <s v="Fruta Fresca campaña 2025"/>
    <s v="Total"/>
    <x v="1"/>
    <x v="0"/>
    <x v="1"/>
    <x v="0"/>
    <n v="80891.850000000006"/>
    <n v="80891.850000000006"/>
    <n v="51.853750000000005"/>
    <m/>
    <d v="2025-08-29T00:00:00"/>
    <n v="35"/>
    <x v="2189"/>
    <x v="0"/>
  </r>
  <r>
    <x v="27"/>
    <x v="565"/>
    <s v="Fruta Fresca campaña 2025"/>
    <s v="Total"/>
    <x v="1"/>
    <x v="0"/>
    <x v="1"/>
    <x v="0"/>
    <n v="80891.850000000006"/>
    <n v="80891.850000000006"/>
    <n v="51.853750000000005"/>
    <m/>
    <d v="2025-08-25T00:00:00"/>
    <n v="35"/>
    <x v="2189"/>
    <x v="0"/>
  </r>
  <r>
    <x v="27"/>
    <x v="565"/>
    <s v="Fruta Fresca campaña 2025"/>
    <s v="Total"/>
    <x v="1"/>
    <x v="0"/>
    <x v="1"/>
    <x v="0"/>
    <n v="80891.850000000006"/>
    <n v="80891.850000000006"/>
    <n v="51.853750000000005"/>
    <m/>
    <d v="2025-08-27T00:00:00"/>
    <n v="35"/>
    <x v="2189"/>
    <x v="0"/>
  </r>
  <r>
    <x v="27"/>
    <x v="565"/>
    <s v="Fruta Fresca campaña 2025"/>
    <s v="Total"/>
    <x v="1"/>
    <x v="0"/>
    <x v="1"/>
    <x v="0"/>
    <n v="82443.509999999995"/>
    <n v="82443.509999999995"/>
    <n v="52.848403846153843"/>
    <m/>
    <d v="2025-08-16T00:00:00"/>
    <n v="33"/>
    <x v="2189"/>
    <x v="0"/>
  </r>
  <r>
    <x v="27"/>
    <x v="565"/>
    <s v="Fruta Fresca campaña 2025"/>
    <s v="Total"/>
    <x v="1"/>
    <x v="0"/>
    <x v="1"/>
    <x v="0"/>
    <n v="206689.03"/>
    <n v="206689.03"/>
    <n v="132.49296794871796"/>
    <m/>
    <d v="2025-08-15T00:00:00"/>
    <n v="33"/>
    <x v="2189"/>
    <x v="0"/>
  </r>
  <r>
    <x v="27"/>
    <x v="565"/>
    <s v="Fruta Fresca campaña 2025"/>
    <s v="Total"/>
    <x v="1"/>
    <x v="0"/>
    <x v="1"/>
    <x v="0"/>
    <n v="206689.03"/>
    <n v="206689.03"/>
    <n v="132.49296794871796"/>
    <m/>
    <d v="2025-08-20T00:00:00"/>
    <n v="34"/>
    <x v="2189"/>
    <x v="0"/>
  </r>
  <r>
    <x v="27"/>
    <x v="565"/>
    <s v="Fruta Fresca campaña 2025"/>
    <s v="Total"/>
    <x v="1"/>
    <x v="0"/>
    <x v="1"/>
    <x v="0"/>
    <n v="206689.03"/>
    <n v="206689.03"/>
    <n v="132.49296794871796"/>
    <m/>
    <d v="2025-08-18T00:00:00"/>
    <n v="34"/>
    <x v="2189"/>
    <x v="0"/>
  </r>
  <r>
    <x v="27"/>
    <x v="565"/>
    <s v="Fruta Fresca campaña 2025"/>
    <s v="Total"/>
    <x v="1"/>
    <x v="0"/>
    <x v="1"/>
    <x v="0"/>
    <n v="213798.75"/>
    <n v="213798.75"/>
    <n v="137.05048076923077"/>
    <m/>
    <d v="2025-08-25T00:00:00"/>
    <n v="35"/>
    <x v="2189"/>
    <x v="0"/>
  </r>
  <r>
    <x v="60"/>
    <x v="565"/>
    <s v="Fruta Fresca campaña 2025"/>
    <s v="Total"/>
    <x v="1"/>
    <x v="0"/>
    <x v="0"/>
    <x v="0"/>
    <n v="10000000"/>
    <n v="10000000"/>
    <n v="6410.2564102564102"/>
    <m/>
    <m/>
    <s v="37"/>
    <x v="2190"/>
    <x v="0"/>
  </r>
  <r>
    <x v="60"/>
    <x v="565"/>
    <s v="Fruta Fresca campaña 2025"/>
    <s v="Total"/>
    <x v="1"/>
    <x v="0"/>
    <x v="0"/>
    <x v="0"/>
    <n v="11782805.43"/>
    <n v="11782805.43"/>
    <n v="7553.0804038461538"/>
    <m/>
    <m/>
    <s v="37"/>
    <x v="2191"/>
    <x v="0"/>
  </r>
  <r>
    <x v="52"/>
    <x v="565"/>
    <s v="Fruta Fresca campaña 2025"/>
    <s v="Total"/>
    <x v="1"/>
    <x v="0"/>
    <x v="0"/>
    <x v="0"/>
    <n v="12000000"/>
    <n v="12000000"/>
    <n v="7692.3076923076924"/>
    <m/>
    <m/>
    <s v="38"/>
    <x v="2192"/>
    <x v="0"/>
  </r>
  <r>
    <x v="18"/>
    <x v="565"/>
    <s v="Fruta Fresca campaña 2025"/>
    <s v="Total"/>
    <x v="1"/>
    <x v="0"/>
    <x v="0"/>
    <x v="0"/>
    <n v="9819004.5199999996"/>
    <n v="9819004.5199999996"/>
    <n v="6294.2336666666661"/>
    <m/>
    <m/>
    <s v="39"/>
    <x v="2193"/>
    <x v="0"/>
  </r>
  <r>
    <x v="6"/>
    <x v="565"/>
    <s v="Campaña 2025"/>
    <s v="Total"/>
    <x v="4"/>
    <x v="0"/>
    <x v="0"/>
    <x v="0"/>
    <n v="14732986.789999999"/>
    <n v="14732986.789999999"/>
    <n v="9444.2223012820505"/>
    <m/>
    <m/>
    <s v="41"/>
    <x v="2194"/>
    <x v="0"/>
  </r>
  <r>
    <x v="29"/>
    <x v="565"/>
    <s v="Campaña 2025"/>
    <s v="Total"/>
    <x v="4"/>
    <x v="0"/>
    <x v="1"/>
    <x v="0"/>
    <n v="5000000"/>
    <n v="5000000"/>
    <n v="3205.1282051282051"/>
    <m/>
    <d v="2025-11-26T00:00:00"/>
    <n v="48"/>
    <x v="2195"/>
    <x v="0"/>
  </r>
  <r>
    <x v="29"/>
    <x v="565"/>
    <s v="Campaña 2025"/>
    <s v="Total"/>
    <x v="4"/>
    <x v="0"/>
    <x v="1"/>
    <x v="0"/>
    <n v="4728506.78"/>
    <n v="4728506.78"/>
    <n v="3031.0940897435898"/>
    <m/>
    <d v="2025-12-05T00:00:00"/>
    <n v="49"/>
    <x v="2195"/>
    <x v="0"/>
  </r>
  <r>
    <x v="29"/>
    <x v="565"/>
    <s v="Campaña 2025"/>
    <s v="Total"/>
    <x v="4"/>
    <x v="0"/>
    <x v="1"/>
    <x v="0"/>
    <n v="5000000"/>
    <n v="5000000"/>
    <n v="3205.1282051282051"/>
    <m/>
    <d v="2025-12-01T00:00:00"/>
    <n v="49"/>
    <x v="2195"/>
    <x v="0"/>
  </r>
  <r>
    <x v="30"/>
    <x v="565"/>
    <s v="Campaña 2025"/>
    <s v="Total"/>
    <x v="4"/>
    <x v="0"/>
    <x v="1"/>
    <x v="0"/>
    <n v="4000000"/>
    <n v="4000000"/>
    <n v="2564.102564102564"/>
    <m/>
    <d v="2025-11-14T00:00:00"/>
    <n v="46"/>
    <x v="2196"/>
    <x v="0"/>
  </r>
  <r>
    <x v="30"/>
    <x v="565"/>
    <s v="Campaña 2025"/>
    <s v="Total"/>
    <x v="4"/>
    <x v="0"/>
    <x v="1"/>
    <x v="0"/>
    <n v="4000000"/>
    <n v="4000000"/>
    <n v="2564.102564102564"/>
    <m/>
    <d v="2025-11-24T00:00:00"/>
    <n v="48"/>
    <x v="2196"/>
    <x v="0"/>
  </r>
  <r>
    <x v="30"/>
    <x v="565"/>
    <s v="Campaña 2025"/>
    <s v="Total"/>
    <x v="4"/>
    <x v="0"/>
    <x v="1"/>
    <x v="0"/>
    <n v="4000000"/>
    <n v="4000000"/>
    <n v="2564.102564102564"/>
    <m/>
    <d v="2025-11-19T00:00:00"/>
    <n v="47"/>
    <x v="2196"/>
    <x v="0"/>
  </r>
  <r>
    <x v="7"/>
    <x v="565"/>
    <s v="Campaña 2025"/>
    <s v="Total"/>
    <x v="4"/>
    <x v="0"/>
    <x v="0"/>
    <x v="0"/>
    <n v="9804480"/>
    <n v="9804480"/>
    <n v="6284.9230769230771"/>
    <m/>
    <m/>
    <s v="46"/>
    <x v="2197"/>
    <x v="0"/>
  </r>
  <r>
    <x v="14"/>
    <x v="565"/>
    <s v="Campaña 2025"/>
    <s v="Total"/>
    <x v="4"/>
    <x v="0"/>
    <x v="1"/>
    <x v="0"/>
    <n v="9800000"/>
    <n v="9800000"/>
    <n v="6282.0512820512822"/>
    <m/>
    <m/>
    <s v="47"/>
    <x v="2198"/>
    <x v="0"/>
  </r>
  <r>
    <x v="15"/>
    <x v="565"/>
    <s v="Campaña 2025"/>
    <s v="Total"/>
    <x v="4"/>
    <x v="0"/>
    <x v="0"/>
    <x v="0"/>
    <n v="9804480"/>
    <n v="9804480"/>
    <n v="6284.9230769230771"/>
    <m/>
    <m/>
    <s v="49"/>
    <x v="2199"/>
    <x v="0"/>
  </r>
  <r>
    <x v="19"/>
    <x v="565"/>
    <s v="Campaña 2025"/>
    <s v="Total"/>
    <x v="4"/>
    <x v="0"/>
    <x v="1"/>
    <x v="0"/>
    <n v="4900000"/>
    <n v="4900000"/>
    <n v="3141.0256410256411"/>
    <m/>
    <m/>
    <s v="50"/>
    <x v="2200"/>
    <x v="0"/>
  </r>
  <r>
    <x v="74"/>
    <x v="565"/>
    <s v="Campaña 2025"/>
    <s v="Total"/>
    <x v="4"/>
    <x v="0"/>
    <x v="0"/>
    <x v="0"/>
    <n v="5880000"/>
    <n v="5880000"/>
    <n v="3769.2307692307691"/>
    <m/>
    <m/>
    <s v="03"/>
    <x v="2201"/>
    <x v="0"/>
  </r>
  <r>
    <x v="59"/>
    <x v="565"/>
    <s v="Campaña 2025"/>
    <s v="Total"/>
    <x v="4"/>
    <x v="0"/>
    <x v="0"/>
    <x v="0"/>
    <n v="4904480"/>
    <n v="4904480"/>
    <n v="3143.897435897436"/>
    <m/>
    <m/>
    <s v="06"/>
    <x v="2202"/>
    <x v="0"/>
  </r>
  <r>
    <x v="3"/>
    <x v="514"/>
    <m/>
    <s v="Total"/>
    <x v="3"/>
    <x v="0"/>
    <x v="0"/>
    <x v="0"/>
    <n v="0"/>
    <n v="0"/>
    <n v="0"/>
    <m/>
    <m/>
    <s v="44"/>
    <x v="0"/>
    <x v="2"/>
  </r>
  <r>
    <x v="34"/>
    <x v="566"/>
    <s v="Servicio pasas"/>
    <s v="Total"/>
    <x v="1"/>
    <x v="0"/>
    <x v="1"/>
    <x v="0"/>
    <n v="300000"/>
    <n v="300000"/>
    <n v="192.30769230769232"/>
    <m/>
    <d v="2026-06-18T00:00:00"/>
    <n v="25"/>
    <x v="2203"/>
    <x v="0"/>
  </r>
  <r>
    <x v="34"/>
    <x v="566"/>
    <s v="Servicio pasas"/>
    <s v="Total"/>
    <x v="1"/>
    <x v="0"/>
    <x v="1"/>
    <x v="0"/>
    <n v="300000"/>
    <n v="300000"/>
    <n v="192.30769230769232"/>
    <m/>
    <d v="2026-06-12T00:00:00"/>
    <n v="24"/>
    <x v="2203"/>
    <x v="0"/>
  </r>
  <r>
    <x v="34"/>
    <x v="566"/>
    <s v="Servicio pasas"/>
    <s v="Total"/>
    <x v="1"/>
    <x v="0"/>
    <x v="1"/>
    <x v="0"/>
    <n v="314950"/>
    <n v="314950"/>
    <n v="201.89102564102564"/>
    <m/>
    <d v="2026-06-11T00:00:00"/>
    <n v="24"/>
    <x v="2203"/>
    <x v="0"/>
  </r>
  <r>
    <x v="34"/>
    <x v="566"/>
    <s v="Servicio pasas"/>
    <s v="Total"/>
    <x v="1"/>
    <x v="0"/>
    <x v="1"/>
    <x v="0"/>
    <n v="575000"/>
    <n v="575000"/>
    <n v="368.58974358974359"/>
    <m/>
    <d v="2026-06-25T00:00:00"/>
    <n v="26"/>
    <x v="2203"/>
    <x v="0"/>
  </r>
  <r>
    <x v="34"/>
    <x v="566"/>
    <s v="Servicio pasas"/>
    <s v="Total"/>
    <x v="1"/>
    <x v="0"/>
    <x v="1"/>
    <x v="0"/>
    <n v="23283.85"/>
    <n v="23283.85"/>
    <n v="14.925544871794871"/>
    <s v="Retenciones"/>
    <m/>
    <s v="21"/>
    <x v="2203"/>
    <x v="0"/>
  </r>
  <r>
    <x v="64"/>
    <x v="566"/>
    <s v="Servicio pasas"/>
    <s v="Total"/>
    <x v="1"/>
    <x v="0"/>
    <x v="1"/>
    <x v="0"/>
    <n v="4031846.59"/>
    <n v="4031846.59"/>
    <n v="2584.517044871795"/>
    <m/>
    <d v="2026-06-27T00:00:00"/>
    <n v="26"/>
    <x v="2204"/>
    <x v="0"/>
  </r>
  <r>
    <x v="64"/>
    <x v="566"/>
    <s v="Servicio pasas"/>
    <s v="Total"/>
    <x v="1"/>
    <x v="0"/>
    <x v="1"/>
    <x v="0"/>
    <n v="68153.41"/>
    <n v="68153.41"/>
    <n v="43.688083333333338"/>
    <s v="Retenciones"/>
    <m/>
    <s v="22"/>
    <x v="2204"/>
    <x v="0"/>
  </r>
  <r>
    <x v="22"/>
    <x v="567"/>
    <s v="Servicio pasas"/>
    <s v="Total"/>
    <x v="1"/>
    <x v="0"/>
    <x v="1"/>
    <x v="0"/>
    <n v="1897959.91"/>
    <n v="1897959.91"/>
    <n v="1216.6409679487178"/>
    <m/>
    <d v="2026-07-10T00:00:00"/>
    <n v="28"/>
    <x v="2205"/>
    <x v="0"/>
  </r>
  <r>
    <x v="22"/>
    <x v="567"/>
    <s v="Servicio pasas"/>
    <s v="Total"/>
    <x v="1"/>
    <x v="0"/>
    <x v="1"/>
    <x v="0"/>
    <n v="1897959.9"/>
    <n v="1897959.9"/>
    <n v="1216.6409615384614"/>
    <m/>
    <d v="2026-07-21T00:00:00"/>
    <n v="30"/>
    <x v="2205"/>
    <x v="0"/>
  </r>
  <r>
    <x v="22"/>
    <x v="567"/>
    <s v="Servicio pasas"/>
    <s v="Total"/>
    <x v="1"/>
    <x v="0"/>
    <x v="1"/>
    <x v="0"/>
    <n v="62430.94"/>
    <n v="62430.94"/>
    <n v="40.019833333333338"/>
    <s v="Retenciones"/>
    <m/>
    <s v="23"/>
    <x v="2205"/>
    <x v="0"/>
  </r>
  <r>
    <x v="11"/>
    <x v="567"/>
    <s v="Servicio pasas de Uva"/>
    <s v="Total"/>
    <x v="1"/>
    <x v="0"/>
    <x v="1"/>
    <x v="0"/>
    <n v="8505718.3699999992"/>
    <n v="8505718.3699999992"/>
    <n v="5452.3835705128204"/>
    <m/>
    <d v="2026-10-05T00:00:00"/>
    <n v="41"/>
    <x v="2206"/>
    <x v="0"/>
  </r>
  <r>
    <x v="11"/>
    <x v="567"/>
    <s v="Servicio pasas de Uva"/>
    <s v="Total"/>
    <x v="1"/>
    <x v="0"/>
    <x v="1"/>
    <x v="0"/>
    <n v="139246.99"/>
    <n v="139246.99"/>
    <n v="89.260891025641016"/>
    <s v="Retenciones"/>
    <d v="2026-10-05T00:00:00"/>
    <n v="41"/>
    <x v="2206"/>
    <x v="0"/>
  </r>
  <r>
    <x v="39"/>
    <x v="567"/>
    <s v="Servicio pasas de Uva"/>
    <s v="Total"/>
    <x v="1"/>
    <x v="0"/>
    <x v="1"/>
    <x v="0"/>
    <n v="746948.23"/>
    <n v="746948.23"/>
    <n v="478.81296794871793"/>
    <m/>
    <d v="2026-10-20T00:00:00"/>
    <n v="43"/>
    <x v="2207"/>
    <x v="0"/>
  </r>
  <r>
    <x v="39"/>
    <x v="567"/>
    <s v="Servicio pasas de Uva"/>
    <s v="Total"/>
    <x v="1"/>
    <x v="0"/>
    <x v="1"/>
    <x v="0"/>
    <n v="1225219.9099999999"/>
    <n v="1225219.9099999999"/>
    <n v="785.39737820512812"/>
    <m/>
    <d v="2026-10-10T00:00:00"/>
    <n v="41"/>
    <x v="2207"/>
    <x v="0"/>
  </r>
  <r>
    <x v="39"/>
    <x v="567"/>
    <s v="Servicio pasas de Uva"/>
    <s v="Total"/>
    <x v="1"/>
    <x v="0"/>
    <x v="1"/>
    <x v="0"/>
    <n v="34899.42"/>
    <n v="34899.42"/>
    <n v="22.371423076923076"/>
    <s v="Retenciones"/>
    <m/>
    <s v="38"/>
    <x v="2207"/>
    <x v="0"/>
  </r>
  <r>
    <x v="40"/>
    <x v="567"/>
    <s v="Servicio pasas de Uva"/>
    <s v="Total"/>
    <x v="0"/>
    <x v="0"/>
    <x v="1"/>
    <x v="0"/>
    <n v="1500000"/>
    <n v="1500000"/>
    <n v="961.53846153846155"/>
    <m/>
    <d v="2026-10-23T00:00:00"/>
    <n v="43"/>
    <x v="2208"/>
    <x v="0"/>
  </r>
  <r>
    <x v="40"/>
    <x v="567"/>
    <s v="Servicio pasas de Uva"/>
    <s v="Total"/>
    <x v="0"/>
    <x v="0"/>
    <x v="1"/>
    <x v="0"/>
    <n v="1500000"/>
    <n v="1500000"/>
    <n v="961.53846153846155"/>
    <m/>
    <d v="2026-10-28T00:00:00"/>
    <n v="44"/>
    <x v="2208"/>
    <x v="0"/>
  </r>
  <r>
    <x v="40"/>
    <x v="567"/>
    <s v="Servicio pasas de Uva"/>
    <s v="Total"/>
    <x v="0"/>
    <x v="0"/>
    <x v="1"/>
    <x v="0"/>
    <n v="50163.63"/>
    <n v="50163.63"/>
    <n v="32.156173076923075"/>
    <s v="Retenciones"/>
    <m/>
    <s v="40"/>
    <x v="2208"/>
    <x v="0"/>
  </r>
  <r>
    <x v="54"/>
    <x v="567"/>
    <s v="Servicio pasas de Uva"/>
    <s v="Total"/>
    <x v="0"/>
    <x v="0"/>
    <x v="1"/>
    <x v="0"/>
    <n v="1565529.54"/>
    <n v="1565529.54"/>
    <n v="1003.544576923077"/>
    <m/>
    <m/>
    <s v="41"/>
    <x v="2209"/>
    <x v="0"/>
  </r>
  <r>
    <x v="54"/>
    <x v="567"/>
    <s v="Servicio pasas de Uva"/>
    <s v="Total"/>
    <x v="0"/>
    <x v="0"/>
    <x v="1"/>
    <x v="0"/>
    <n v="1730741.73"/>
    <n v="1730741.73"/>
    <n v="1109.4498269230769"/>
    <m/>
    <m/>
    <s v="41"/>
    <x v="2209"/>
    <x v="0"/>
  </r>
  <r>
    <x v="54"/>
    <x v="567"/>
    <s v="Servicio pasas de Uva"/>
    <s v="Total"/>
    <x v="0"/>
    <x v="0"/>
    <x v="1"/>
    <x v="0"/>
    <n v="53142.080000000002"/>
    <n v="53142.080000000002"/>
    <n v="34.065435897435897"/>
    <s v="Retenciones"/>
    <m/>
    <s v="41"/>
    <x v="2209"/>
    <x v="0"/>
  </r>
  <r>
    <x v="3"/>
    <x v="568"/>
    <s v="Pedido Casa Doctor"/>
    <s v="Total"/>
    <x v="2"/>
    <x v="0"/>
    <x v="2"/>
    <x v="0"/>
    <n v="16200"/>
    <n v="16200"/>
    <n v="10.384615384615385"/>
    <m/>
    <m/>
    <s v="44"/>
    <x v="2210"/>
    <x v="0"/>
  </r>
  <r>
    <x v="16"/>
    <x v="567"/>
    <s v="Cheque Rechasado"/>
    <s v="Total"/>
    <x v="0"/>
    <x v="0"/>
    <x v="1"/>
    <x v="0"/>
    <n v="2400000"/>
    <n v="2400000"/>
    <n v="1538.4615384615386"/>
    <m/>
    <d v="2026-12-15T00:00:00"/>
    <n v="51"/>
    <x v="2211"/>
    <x v="0"/>
  </r>
  <r>
    <x v="16"/>
    <x v="567"/>
    <s v="Cheque Rechasado"/>
    <s v="Total"/>
    <x v="0"/>
    <x v="0"/>
    <x v="1"/>
    <x v="0"/>
    <n v="2400000"/>
    <n v="2400000"/>
    <n v="1538.4615384615386"/>
    <m/>
    <d v="2026-11-16T00:00:00"/>
    <n v="47"/>
    <x v="2211"/>
    <x v="0"/>
  </r>
  <r>
    <x v="16"/>
    <x v="567"/>
    <s v="Cheque Rechasado"/>
    <s v="Total"/>
    <x v="0"/>
    <x v="0"/>
    <x v="1"/>
    <x v="0"/>
    <n v="3795588.24"/>
    <n v="3795588.24"/>
    <n v="2433.0693846153849"/>
    <m/>
    <d v="2026-10-20T00:00:00"/>
    <n v="43"/>
    <x v="2211"/>
    <x v="0"/>
  </r>
  <r>
    <x v="74"/>
    <x v="569"/>
    <s v="Envasado pasas (87 cajas)"/>
    <s v="Total"/>
    <x v="1"/>
    <x v="0"/>
    <x v="1"/>
    <x v="0"/>
    <n v="381176.42"/>
    <n v="381176.42"/>
    <n v="244.34385897435897"/>
    <m/>
    <d v="2026-02-02T00:00:00"/>
    <n v="6"/>
    <x v="2212"/>
    <x v="0"/>
  </r>
  <r>
    <x v="59"/>
    <x v="570"/>
    <s v="Trabajos varios Electricidad (Facturas 174/175/176)"/>
    <s v="Total"/>
    <x v="1"/>
    <x v="0"/>
    <x v="0"/>
    <x v="0"/>
    <n v="465000"/>
    <n v="465000"/>
    <n v="298.07692307692309"/>
    <m/>
    <m/>
    <s v="06"/>
    <x v="2213"/>
    <x v="0"/>
  </r>
  <r>
    <x v="51"/>
    <x v="570"/>
    <s v="Factura 148/147/146/145"/>
    <s v="Total"/>
    <x v="1"/>
    <x v="0"/>
    <x v="0"/>
    <x v="0"/>
    <n v="1900000"/>
    <n v="1900000"/>
    <n v="1217.948717948718"/>
    <m/>
    <m/>
    <s v="17"/>
    <x v="2214"/>
    <x v="0"/>
  </r>
  <r>
    <x v="25"/>
    <x v="570"/>
    <s v="Trabajos realizados de elecricidad"/>
    <s v="Total"/>
    <x v="1"/>
    <x v="0"/>
    <x v="1"/>
    <x v="0"/>
    <n v="1663100"/>
    <n v="1663100"/>
    <n v="1066.0897435897436"/>
    <s v="CH al día"/>
    <d v="2025-06-19T00:00:00"/>
    <n v="25"/>
    <x v="2215"/>
    <x v="0"/>
  </r>
  <r>
    <x v="27"/>
    <x v="570"/>
    <s v="Factura 148/147/146/145"/>
    <s v="Total"/>
    <x v="1"/>
    <x v="0"/>
    <x v="0"/>
    <x v="0"/>
    <n v="429000"/>
    <n v="429000"/>
    <n v="275"/>
    <m/>
    <m/>
    <s v="35"/>
    <x v="2216"/>
    <x v="0"/>
  </r>
  <r>
    <x v="70"/>
    <x v="570"/>
    <s v="Factura 148/147/146/145"/>
    <s v="Total"/>
    <x v="2"/>
    <x v="0"/>
    <x v="2"/>
    <x v="0"/>
    <n v="492500"/>
    <n v="492500"/>
    <n v="315.70512820512823"/>
    <m/>
    <m/>
    <s v="36"/>
    <x v="2217"/>
    <x v="0"/>
  </r>
  <r>
    <x v="6"/>
    <x v="570"/>
    <s v="Trabajos de electricidad Facturas 163/164/165/166"/>
    <s v="Total"/>
    <x v="1"/>
    <x v="0"/>
    <x v="0"/>
    <x v="0"/>
    <n v="651873.19999999995"/>
    <n v="651873.19999999995"/>
    <n v="417.86743589743588"/>
    <m/>
    <d v="2025-09-15T00:00:00"/>
    <n v="38"/>
    <x v="2218"/>
    <x v="0"/>
  </r>
  <r>
    <x v="6"/>
    <x v="570"/>
    <s v="Trabajos de electricidad Facturas 163/164/165/166"/>
    <s v="Total"/>
    <x v="1"/>
    <x v="0"/>
    <x v="0"/>
    <x v="0"/>
    <n v="291500"/>
    <n v="291500"/>
    <n v="186.85897435897436"/>
    <m/>
    <d v="2025-09-18T00:00:00"/>
    <n v="38"/>
    <x v="2218"/>
    <x v="0"/>
  </r>
  <r>
    <x v="29"/>
    <x v="570"/>
    <s v="Trabajos de electricidad Facturas 163/164/165/166"/>
    <s v="Total"/>
    <x v="1"/>
    <x v="0"/>
    <x v="1"/>
    <x v="0"/>
    <n v="1690000"/>
    <n v="1690000"/>
    <n v="1083.3333333333333"/>
    <m/>
    <m/>
    <s v="42"/>
    <x v="2219"/>
    <x v="0"/>
  </r>
  <r>
    <x v="29"/>
    <x v="570"/>
    <s v="Trabajos de electricidad Facturas 163/164/165/166"/>
    <s v="Total"/>
    <x v="2"/>
    <x v="0"/>
    <x v="2"/>
    <x v="0"/>
    <n v="4626"/>
    <n v="4626"/>
    <n v="2.9653846153846155"/>
    <m/>
    <m/>
    <s v="42"/>
    <x v="2219"/>
    <x v="0"/>
  </r>
  <r>
    <x v="13"/>
    <x v="570"/>
    <s v="Servicio de trabajos electricos - Varios"/>
    <s v="Total"/>
    <x v="1"/>
    <x v="0"/>
    <x v="0"/>
    <x v="0"/>
    <n v="412200"/>
    <n v="412200"/>
    <n v="264.23076923076923"/>
    <m/>
    <m/>
    <s v="07"/>
    <x v="2220"/>
    <x v="0"/>
  </r>
  <r>
    <x v="32"/>
    <x v="570"/>
    <s v="Trabajos varios Electricidad (Facturas 174/175/176)"/>
    <s v="Total"/>
    <x v="1"/>
    <x v="0"/>
    <x v="2"/>
    <x v="0"/>
    <n v="254900"/>
    <n v="254900"/>
    <n v="163.39743589743588"/>
    <m/>
    <m/>
    <s v="09"/>
    <x v="2221"/>
    <x v="0"/>
  </r>
  <r>
    <x v="23"/>
    <x v="571"/>
    <s v="Trabajos según facturas 180/181/182"/>
    <s v="Total"/>
    <x v="0"/>
    <x v="0"/>
    <x v="0"/>
    <x v="0"/>
    <n v="345000"/>
    <n v="345000"/>
    <n v="221.15384615384616"/>
    <m/>
    <m/>
    <s v="18"/>
    <x v="2222"/>
    <x v="0"/>
  </r>
  <r>
    <x v="34"/>
    <x v="571"/>
    <s v="Trabajos según facturas 180/181/182"/>
    <s v="Total"/>
    <x v="0"/>
    <x v="0"/>
    <x v="1"/>
    <x v="0"/>
    <n v="50000"/>
    <n v="50000"/>
    <n v="32.051282051282051"/>
    <m/>
    <d v="2026-04-28T00:00:00"/>
    <n v="18"/>
    <x v="2223"/>
    <x v="0"/>
  </r>
  <r>
    <x v="34"/>
    <x v="571"/>
    <s v="Trabajos según facturas 180/181/182"/>
    <s v="Total"/>
    <x v="0"/>
    <x v="0"/>
    <x v="1"/>
    <x v="0"/>
    <n v="70000"/>
    <n v="70000"/>
    <n v="44.871794871794869"/>
    <m/>
    <d v="2026-05-12T00:00:00"/>
    <n v="20"/>
    <x v="2223"/>
    <x v="0"/>
  </r>
  <r>
    <x v="34"/>
    <x v="571"/>
    <s v="Trabajos según facturas 180/181/182"/>
    <s v="Total"/>
    <x v="0"/>
    <x v="0"/>
    <x v="1"/>
    <x v="0"/>
    <n v="415000"/>
    <n v="415000"/>
    <n v="266.02564102564105"/>
    <m/>
    <d v="2026-04-30T00:00:00"/>
    <n v="18"/>
    <x v="2223"/>
    <x v="0"/>
  </r>
  <r>
    <x v="45"/>
    <x v="571"/>
    <s v="Trabajos según facturas 180/181/182"/>
    <s v="Total"/>
    <x v="0"/>
    <x v="0"/>
    <x v="2"/>
    <x v="0"/>
    <n v="100000"/>
    <n v="100000"/>
    <n v="64.102564102564102"/>
    <m/>
    <m/>
    <s v="25"/>
    <x v="2224"/>
    <x v="0"/>
  </r>
  <r>
    <x v="37"/>
    <x v="571"/>
    <s v="Trabajos según facturas 180/181/182"/>
    <s v="Total"/>
    <x v="2"/>
    <x v="0"/>
    <x v="2"/>
    <x v="0"/>
    <n v="335000"/>
    <n v="335000"/>
    <n v="214.74358974358975"/>
    <m/>
    <m/>
    <s v="29"/>
    <x v="2225"/>
    <x v="0"/>
  </r>
  <r>
    <x v="58"/>
    <x v="571"/>
    <s v="Trabajos según facturas 180/181/182"/>
    <s v="Total"/>
    <x v="2"/>
    <x v="0"/>
    <x v="2"/>
    <x v="0"/>
    <n v="300000"/>
    <n v="300000"/>
    <n v="192.30769230769232"/>
    <m/>
    <m/>
    <s v="30"/>
    <x v="2226"/>
    <x v="0"/>
  </r>
  <r>
    <x v="12"/>
    <x v="571"/>
    <s v="Trabajos electricos"/>
    <s v="Total"/>
    <x v="0"/>
    <x v="0"/>
    <x v="1"/>
    <x v="0"/>
    <n v="980000"/>
    <n v="980000"/>
    <n v="628.20512820512818"/>
    <m/>
    <d v="2026-08-31T00:00:00"/>
    <n v="36"/>
    <x v="2227"/>
    <x v="0"/>
  </r>
  <r>
    <x v="12"/>
    <x v="571"/>
    <s v="Trabajos electricos"/>
    <s v="Total"/>
    <x v="2"/>
    <x v="0"/>
    <x v="1"/>
    <x v="0"/>
    <n v="5000"/>
    <n v="5000"/>
    <n v="3.2051282051282053"/>
    <m/>
    <m/>
    <s v="33"/>
    <x v="2227"/>
    <x v="0"/>
  </r>
  <r>
    <x v="12"/>
    <x v="571"/>
    <s v="Trabajos electricos"/>
    <s v="Total"/>
    <x v="2"/>
    <x v="0"/>
    <x v="1"/>
    <x v="0"/>
    <n v="120000"/>
    <n v="120000"/>
    <n v="76.92307692307692"/>
    <m/>
    <m/>
    <s v="33"/>
    <x v="2228"/>
    <x v="0"/>
  </r>
  <r>
    <x v="77"/>
    <x v="571"/>
    <s v="Trabajos electricos"/>
    <s v="Total"/>
    <x v="2"/>
    <x v="0"/>
    <x v="2"/>
    <x v="0"/>
    <n v="200000"/>
    <n v="200000"/>
    <n v="128.2051282051282"/>
    <m/>
    <m/>
    <s v="35"/>
    <x v="2229"/>
    <x v="0"/>
  </r>
  <r>
    <x v="71"/>
    <x v="571"/>
    <s v="Trabajos electricos"/>
    <s v="Total"/>
    <x v="0"/>
    <x v="0"/>
    <x v="2"/>
    <x v="0"/>
    <n v="300000"/>
    <n v="300000"/>
    <n v="192.30769230769232"/>
    <m/>
    <m/>
    <s v="36"/>
    <x v="2230"/>
    <x v="0"/>
  </r>
  <r>
    <x v="11"/>
    <x v="571"/>
    <s v="Trabajos electricos"/>
    <s v="Total"/>
    <x v="0"/>
    <x v="0"/>
    <x v="2"/>
    <x v="0"/>
    <n v="605000"/>
    <n v="605000"/>
    <n v="387.82051282051282"/>
    <m/>
    <m/>
    <s v="37"/>
    <x v="2231"/>
    <x v="0"/>
  </r>
  <r>
    <x v="72"/>
    <x v="571"/>
    <s v="Trabajos electricos"/>
    <s v="Total"/>
    <x v="0"/>
    <x v="0"/>
    <x v="2"/>
    <x v="0"/>
    <n v="300000"/>
    <n v="300000"/>
    <n v="192.30769230769232"/>
    <m/>
    <m/>
    <s v="39"/>
    <x v="2232"/>
    <x v="0"/>
  </r>
  <r>
    <x v="40"/>
    <x v="571"/>
    <s v="Trabajos electricos"/>
    <s v="Total"/>
    <x v="0"/>
    <x v="0"/>
    <x v="2"/>
    <x v="0"/>
    <n v="500000"/>
    <n v="500000"/>
    <n v="320.5128205128205"/>
    <s v="Semanal"/>
    <m/>
    <s v="40"/>
    <x v="2233"/>
    <x v="0"/>
  </r>
  <r>
    <x v="54"/>
    <x v="571"/>
    <s v="Trabajos electricos"/>
    <s v="Total"/>
    <x v="2"/>
    <x v="0"/>
    <x v="2"/>
    <x v="0"/>
    <n v="1023900"/>
    <n v="1023900"/>
    <n v="656.34615384615381"/>
    <s v="Chachos"/>
    <m/>
    <s v="41"/>
    <x v="2234"/>
    <x v="0"/>
  </r>
  <r>
    <x v="3"/>
    <x v="572"/>
    <s v="Recarga CO2 - Argon"/>
    <s v="Total"/>
    <x v="1"/>
    <x v="0"/>
    <x v="0"/>
    <x v="0"/>
    <n v="67413.17"/>
    <n v="67413.17"/>
    <n v="43.21357051282051"/>
    <m/>
    <m/>
    <s v="44"/>
    <x v="2235"/>
    <x v="2"/>
  </r>
  <r>
    <x v="3"/>
    <x v="528"/>
    <s v="Pedido Casa Doctor"/>
    <s v="Total"/>
    <x v="2"/>
    <x v="1"/>
    <x v="2"/>
    <x v="0"/>
    <n v="0"/>
    <n v="0"/>
    <n v="0"/>
    <m/>
    <m/>
    <s v="44"/>
    <x v="0"/>
    <x v="1"/>
  </r>
  <r>
    <x v="48"/>
    <x v="573"/>
    <s v="Cubiertas 225/16 (usadas) 2 unidades - Jeep"/>
    <s v="Total"/>
    <x v="1"/>
    <x v="1"/>
    <x v="2"/>
    <x v="0"/>
    <n v="120000"/>
    <n v="120000"/>
    <n v="76.92307692307692"/>
    <m/>
    <m/>
    <s v="16"/>
    <x v="0"/>
    <x v="0"/>
  </r>
  <r>
    <x v="30"/>
    <x v="574"/>
    <s v="Reparacion Camioneta Fiat Toro (P/Electrica)"/>
    <s v="Total"/>
    <x v="2"/>
    <x v="0"/>
    <x v="2"/>
    <x v="0"/>
    <n v="113000"/>
    <n v="113000"/>
    <n v="72.435897435897431"/>
    <m/>
    <m/>
    <s v="43"/>
    <x v="2236"/>
    <x v="0"/>
  </r>
  <r>
    <x v="73"/>
    <x v="575"/>
    <s v="Cubierta N°13 - Bomba"/>
    <s v="Total"/>
    <x v="1"/>
    <x v="1"/>
    <x v="2"/>
    <x v="0"/>
    <n v="17626891.640000001"/>
    <n v="17626891.640000001"/>
    <n v="11299.289512820513"/>
    <m/>
    <m/>
    <s v="10"/>
    <x v="2237"/>
    <x v="0"/>
  </r>
  <r>
    <x v="31"/>
    <x v="576"/>
    <s v="pedido campo - articulos gomeria"/>
    <s v="Total"/>
    <x v="1"/>
    <x v="0"/>
    <x v="0"/>
    <x v="0"/>
    <n v="64400"/>
    <n v="64400"/>
    <n v="41.282051282051285"/>
    <m/>
    <m/>
    <s v="45"/>
    <x v="2238"/>
    <x v="0"/>
  </r>
  <r>
    <x v="17"/>
    <x v="577"/>
    <s v="Frura fresca "/>
    <s v="Total"/>
    <x v="4"/>
    <x v="1"/>
    <x v="2"/>
    <x v="0"/>
    <n v="1000000"/>
    <n v="1000000"/>
    <n v="641.02564102564099"/>
    <m/>
    <m/>
    <s v="26"/>
    <x v="2239"/>
    <x v="0"/>
  </r>
  <r>
    <x v="17"/>
    <x v="577"/>
    <s v="Frura fresca "/>
    <s v="Total"/>
    <x v="4"/>
    <x v="1"/>
    <x v="1"/>
    <x v="0"/>
    <n v="440000"/>
    <n v="440000"/>
    <n v="282.05128205128204"/>
    <m/>
    <d v="2025-07-05T00:00:00"/>
    <n v="27"/>
    <x v="2239"/>
    <x v="0"/>
  </r>
  <r>
    <x v="17"/>
    <x v="577"/>
    <s v="Frura fresca "/>
    <s v="Total"/>
    <x v="4"/>
    <x v="1"/>
    <x v="1"/>
    <x v="0"/>
    <n v="500000"/>
    <n v="500000"/>
    <n v="320.5128205128205"/>
    <m/>
    <d v="2025-07-08T00:00:00"/>
    <n v="28"/>
    <x v="2239"/>
    <x v="0"/>
  </r>
  <r>
    <x v="17"/>
    <x v="577"/>
    <s v="Frura fresca "/>
    <s v="Total"/>
    <x v="4"/>
    <x v="1"/>
    <x v="1"/>
    <x v="0"/>
    <n v="500452"/>
    <n v="500452"/>
    <n v="320.80256410256408"/>
    <m/>
    <d v="2025-07-04T00:00:00"/>
    <n v="27"/>
    <x v="2239"/>
    <x v="0"/>
  </r>
  <r>
    <x v="17"/>
    <x v="577"/>
    <s v="Frura fresca "/>
    <s v="Total"/>
    <x v="4"/>
    <x v="1"/>
    <x v="1"/>
    <x v="0"/>
    <n v="500000"/>
    <n v="500000"/>
    <n v="320.5128205128205"/>
    <m/>
    <d v="2025-07-05T00:00:00"/>
    <n v="27"/>
    <x v="2239"/>
    <x v="0"/>
  </r>
  <r>
    <x v="26"/>
    <x v="577"/>
    <s v="Fruta Fresca"/>
    <s v="Total"/>
    <x v="4"/>
    <x v="1"/>
    <x v="1"/>
    <x v="0"/>
    <n v="2152000"/>
    <n v="2152000"/>
    <n v="1379.4871794871794"/>
    <m/>
    <d v="2025-06-17T00:00:00"/>
    <n v="25"/>
    <x v="2240"/>
    <x v="0"/>
  </r>
  <r>
    <x v="26"/>
    <x v="577"/>
    <s v="Fruta Fresca"/>
    <s v="Total"/>
    <x v="4"/>
    <x v="1"/>
    <x v="1"/>
    <x v="0"/>
    <n v="1000000"/>
    <n v="1000000"/>
    <n v="641.02564102564099"/>
    <m/>
    <d v="2025-06-18T00:00:00"/>
    <n v="25"/>
    <x v="2240"/>
    <x v="0"/>
  </r>
  <r>
    <x v="8"/>
    <x v="577"/>
    <s v="Fruta - campaña 2025"/>
    <s v="Total"/>
    <x v="4"/>
    <x v="1"/>
    <x v="1"/>
    <x v="0"/>
    <n v="500000"/>
    <n v="500000"/>
    <n v="320.5128205128205"/>
    <m/>
    <d v="2025-08-01T00:00:00"/>
    <n v="31"/>
    <x v="2241"/>
    <x v="0"/>
  </r>
  <r>
    <x v="8"/>
    <x v="577"/>
    <s v="Fruta - campaña 2025"/>
    <s v="Total"/>
    <x v="4"/>
    <x v="1"/>
    <x v="1"/>
    <x v="0"/>
    <n v="502000"/>
    <n v="502000"/>
    <n v="321.79487179487177"/>
    <m/>
    <d v="2025-08-01T00:00:00"/>
    <n v="31"/>
    <x v="2241"/>
    <x v="0"/>
  </r>
  <r>
    <x v="8"/>
    <x v="577"/>
    <s v="Fruta - campaña 2025"/>
    <s v="Total"/>
    <x v="4"/>
    <x v="1"/>
    <x v="1"/>
    <x v="0"/>
    <n v="700000"/>
    <n v="700000"/>
    <n v="448.71794871794873"/>
    <m/>
    <d v="2025-08-01T00:00:00"/>
    <n v="31"/>
    <x v="2241"/>
    <x v="0"/>
  </r>
  <r>
    <x v="8"/>
    <x v="577"/>
    <s v="Fruta - campaña 2025"/>
    <s v="Total"/>
    <x v="4"/>
    <x v="1"/>
    <x v="1"/>
    <x v="0"/>
    <n v="890000"/>
    <n v="890000"/>
    <n v="570.51282051282055"/>
    <m/>
    <d v="2025-08-01T00:00:00"/>
    <n v="31"/>
    <x v="2241"/>
    <x v="0"/>
  </r>
  <r>
    <x v="52"/>
    <x v="577"/>
    <s v="Campaña 2025"/>
    <s v="Total"/>
    <x v="2"/>
    <x v="1"/>
    <x v="2"/>
    <x v="0"/>
    <n v="623802.78"/>
    <n v="623802.78"/>
    <n v="399.87357692307694"/>
    <m/>
    <m/>
    <s v="38"/>
    <x v="2242"/>
    <x v="0"/>
  </r>
  <r>
    <x v="84"/>
    <x v="578"/>
    <s v="Factura a pagar"/>
    <s v="Total"/>
    <x v="1"/>
    <x v="0"/>
    <x v="1"/>
    <x v="0"/>
    <n v="5169275.9000000004"/>
    <n v="5169275.9000000004"/>
    <n v="3313.6383974358978"/>
    <s v="transferencia / CH 30 días"/>
    <m/>
    <s v="18"/>
    <x v="2243"/>
    <x v="0"/>
  </r>
  <r>
    <x v="28"/>
    <x v="578"/>
    <s v="Cuenta Corrente"/>
    <s v="Total"/>
    <x v="1"/>
    <x v="0"/>
    <x v="1"/>
    <x v="0"/>
    <n v="2934650"/>
    <n v="2934650"/>
    <n v="1881.1858974358975"/>
    <m/>
    <d v="2025-10-06T00:00:00"/>
    <n v="41"/>
    <x v="2244"/>
    <x v="0"/>
  </r>
  <r>
    <x v="13"/>
    <x v="578"/>
    <s v="Cuenta corriente "/>
    <s v="Total"/>
    <x v="6"/>
    <x v="0"/>
    <x v="1"/>
    <x v="0"/>
    <n v="1100000"/>
    <n v="1100000"/>
    <n v="705.12820512820508"/>
    <m/>
    <d v="2026-02-17T00:00:00"/>
    <n v="8"/>
    <x v="2245"/>
    <x v="0"/>
  </r>
  <r>
    <x v="13"/>
    <x v="578"/>
    <s v="Cuenta corriente "/>
    <s v="Total"/>
    <x v="6"/>
    <x v="0"/>
    <x v="1"/>
    <x v="0"/>
    <n v="1100000"/>
    <n v="1100000"/>
    <n v="705.12820512820508"/>
    <m/>
    <d v="2026-02-12T00:00:00"/>
    <n v="7"/>
    <x v="2245"/>
    <x v="0"/>
  </r>
  <r>
    <x v="13"/>
    <x v="578"/>
    <s v="Cuenta corriente "/>
    <s v="Total"/>
    <x v="6"/>
    <x v="0"/>
    <x v="1"/>
    <x v="0"/>
    <n v="2679252.15"/>
    <n v="2679252.15"/>
    <n v="1717.4693269230768"/>
    <m/>
    <d v="2026-03-27T00:00:00"/>
    <n v="13"/>
    <x v="2245"/>
    <x v="0"/>
  </r>
  <r>
    <x v="43"/>
    <x v="578"/>
    <s v="Cobre Stable - Pedido campo"/>
    <s v="Total"/>
    <x v="1"/>
    <x v="0"/>
    <x v="1"/>
    <x v="0"/>
    <n v="3249467.2"/>
    <n v="3249467.2"/>
    <n v="2082.9917948717948"/>
    <m/>
    <d v="2026-07-29T00:00:00"/>
    <n v="31"/>
    <x v="2246"/>
    <x v="0"/>
  </r>
  <r>
    <x v="43"/>
    <x v="578"/>
    <s v="Cobre Stable - Pedido campo"/>
    <s v="Total"/>
    <x v="1"/>
    <x v="0"/>
    <x v="1"/>
    <x v="0"/>
    <n v="50057.599999999999"/>
    <n v="50057.599999999999"/>
    <n v="32.088205128205125"/>
    <s v="Retenciones"/>
    <m/>
    <s v="26"/>
    <x v="2246"/>
    <x v="0"/>
  </r>
  <r>
    <x v="36"/>
    <x v="578"/>
    <s v="Cuenta corriente "/>
    <s v="Total"/>
    <x v="0"/>
    <x v="0"/>
    <x v="1"/>
    <x v="0"/>
    <n v="2618473"/>
    <n v="2618473"/>
    <n v="1678.5083333333334"/>
    <m/>
    <d v="2026-07-29T00:00:00"/>
    <n v="31"/>
    <x v="2247"/>
    <x v="0"/>
  </r>
  <r>
    <x v="36"/>
    <x v="578"/>
    <s v="Cuenta corriente "/>
    <s v="Total"/>
    <x v="0"/>
    <x v="0"/>
    <x v="1"/>
    <x v="0"/>
    <n v="47889.46"/>
    <n v="47889.46"/>
    <n v="30.698371794871793"/>
    <s v="Retenciones"/>
    <m/>
    <s v="28"/>
    <x v="2247"/>
    <x v="0"/>
  </r>
  <r>
    <x v="3"/>
    <x v="533"/>
    <s v="Pedido Limpieza Salon de ventas"/>
    <s v="Total"/>
    <x v="2"/>
    <x v="0"/>
    <x v="2"/>
    <x v="0"/>
    <n v="55800"/>
    <n v="55800"/>
    <n v="35.769230769230766"/>
    <m/>
    <m/>
    <s v="44"/>
    <x v="2248"/>
    <x v="0"/>
  </r>
  <r>
    <x v="28"/>
    <x v="579"/>
    <s v="Fletes"/>
    <s v="Total"/>
    <x v="1"/>
    <x v="0"/>
    <x v="1"/>
    <x v="0"/>
    <n v="799085.34"/>
    <n v="799085.34"/>
    <n v="512.2341923076923"/>
    <m/>
    <d v="2025-10-29T00:00:00"/>
    <n v="44"/>
    <x v="2249"/>
    <x v="0"/>
  </r>
  <r>
    <x v="28"/>
    <x v="579"/>
    <s v="Fletes"/>
    <s v="Total"/>
    <x v="2"/>
    <x v="0"/>
    <x v="2"/>
    <x v="0"/>
    <n v="27399.55"/>
    <n v="27399.55"/>
    <n v="17.563814102564102"/>
    <m/>
    <m/>
    <s v="40"/>
    <x v="2249"/>
    <x v="0"/>
  </r>
  <r>
    <x v="10"/>
    <x v="579"/>
    <s v="Fletes "/>
    <s v="Total"/>
    <x v="6"/>
    <x v="0"/>
    <x v="1"/>
    <x v="0"/>
    <n v="1950000"/>
    <n v="1950000"/>
    <n v="1250"/>
    <m/>
    <d v="2025-12-22T00:00:00"/>
    <n v="52"/>
    <x v="2250"/>
    <x v="0"/>
  </r>
  <r>
    <x v="10"/>
    <x v="579"/>
    <s v="Fletes "/>
    <s v="Total"/>
    <x v="6"/>
    <x v="0"/>
    <x v="1"/>
    <x v="0"/>
    <n v="1950000"/>
    <n v="1950000"/>
    <n v="1250"/>
    <m/>
    <d v="2025-12-23T00:00:00"/>
    <n v="52"/>
    <x v="2250"/>
    <x v="0"/>
  </r>
  <r>
    <x v="10"/>
    <x v="579"/>
    <s v="Fletes "/>
    <s v="Total"/>
    <x v="6"/>
    <x v="0"/>
    <x v="0"/>
    <x v="0"/>
    <n v="183778.31"/>
    <n v="183778.31"/>
    <n v="117.80660897435898"/>
    <m/>
    <m/>
    <s v="48"/>
    <x v="2250"/>
    <x v="0"/>
  </r>
  <r>
    <x v="74"/>
    <x v="579"/>
    <s v="Fletes varios"/>
    <s v="Total"/>
    <x v="2"/>
    <x v="0"/>
    <x v="2"/>
    <x v="0"/>
    <n v="21951.64"/>
    <n v="21951.64"/>
    <n v="14.071564102564102"/>
    <m/>
    <m/>
    <s v="03"/>
    <x v="2251"/>
    <x v="0"/>
  </r>
  <r>
    <x v="74"/>
    <x v="579"/>
    <s v="Fletes varios"/>
    <s v="Total"/>
    <x v="6"/>
    <x v="0"/>
    <x v="1"/>
    <x v="0"/>
    <n v="902000"/>
    <n v="902000"/>
    <n v="578.20512820512818"/>
    <m/>
    <d v="2025-12-20T00:00:00"/>
    <n v="51"/>
    <x v="2251"/>
    <x v="0"/>
  </r>
  <r>
    <x v="74"/>
    <x v="579"/>
    <s v="Fletes varios"/>
    <s v="Total"/>
    <x v="6"/>
    <x v="0"/>
    <x v="1"/>
    <x v="0"/>
    <n v="962065"/>
    <n v="962065"/>
    <n v="616.70833333333337"/>
    <m/>
    <d v="2025-12-20T00:00:00"/>
    <n v="51"/>
    <x v="2251"/>
    <x v="0"/>
  </r>
  <r>
    <x v="74"/>
    <x v="579"/>
    <s v="Fletes varios"/>
    <s v="Total"/>
    <x v="6"/>
    <x v="0"/>
    <x v="0"/>
    <x v="0"/>
    <n v="904031"/>
    <n v="904031"/>
    <n v="579.50705128205129"/>
    <m/>
    <m/>
    <s v="03"/>
    <x v="2251"/>
    <x v="0"/>
  </r>
  <r>
    <x v="76"/>
    <x v="579"/>
    <s v="Fletes"/>
    <s v="Total"/>
    <x v="1"/>
    <x v="0"/>
    <x v="1"/>
    <x v="0"/>
    <n v="1229279.1000000001"/>
    <n v="1229279.1000000001"/>
    <n v="787.99942307692311"/>
    <s v="30/días"/>
    <m/>
    <s v="12"/>
    <x v="2252"/>
    <x v="0"/>
  </r>
  <r>
    <x v="68"/>
    <x v="579"/>
    <s v="Fletes"/>
    <s v="Parcial"/>
    <x v="0"/>
    <x v="0"/>
    <x v="1"/>
    <x v="0"/>
    <n v="2724000"/>
    <n v="2724000"/>
    <n v="1746.1538461538462"/>
    <s v="Pago 25/06/2025"/>
    <m/>
    <s v="23"/>
    <x v="2253"/>
    <x v="0"/>
  </r>
  <r>
    <x v="69"/>
    <x v="579"/>
    <s v="Fletes"/>
    <s v="Total"/>
    <x v="1"/>
    <x v="0"/>
    <x v="0"/>
    <x v="0"/>
    <n v="390765.36"/>
    <n v="390765.36"/>
    <n v="250.49061538461538"/>
    <s v="CH 30 45 días"/>
    <m/>
    <s v="31"/>
    <x v="0"/>
    <x v="0"/>
  </r>
  <r>
    <x v="69"/>
    <x v="579"/>
    <s v="Fletes"/>
    <s v="Total"/>
    <x v="1"/>
    <x v="0"/>
    <x v="1"/>
    <x v="0"/>
    <n v="2001500"/>
    <n v="2001500"/>
    <n v="1283.0128205128206"/>
    <m/>
    <d v="2025-09-02T00:00:00"/>
    <n v="36"/>
    <x v="0"/>
    <x v="0"/>
  </r>
  <r>
    <x v="69"/>
    <x v="579"/>
    <s v="Fletes"/>
    <s v="Total"/>
    <x v="1"/>
    <x v="0"/>
    <x v="1"/>
    <x v="0"/>
    <n v="2001500"/>
    <n v="2001500"/>
    <n v="1283.0128205128206"/>
    <m/>
    <d v="2025-09-03T00:00:00"/>
    <n v="36"/>
    <x v="34"/>
    <x v="0"/>
  </r>
  <r>
    <x v="27"/>
    <x v="579"/>
    <s v="Fletes varios"/>
    <s v="Total"/>
    <x v="2"/>
    <x v="0"/>
    <x v="2"/>
    <x v="0"/>
    <n v="102216.49"/>
    <n v="102216.49"/>
    <n v="65.523391025641033"/>
    <m/>
    <d v="2025-09-14T00:00:00"/>
    <n v="38"/>
    <x v="2254"/>
    <x v="0"/>
  </r>
  <r>
    <x v="27"/>
    <x v="579"/>
    <s v="Fletes varios"/>
    <s v="Total"/>
    <x v="1"/>
    <x v="0"/>
    <x v="1"/>
    <x v="0"/>
    <n v="1550000"/>
    <n v="1550000"/>
    <n v="993.58974358974353"/>
    <m/>
    <d v="2025-08-18T00:00:00"/>
    <n v="34"/>
    <x v="2254"/>
    <x v="0"/>
  </r>
  <r>
    <x v="27"/>
    <x v="579"/>
    <s v="Fletes varios"/>
    <s v="Total"/>
    <x v="1"/>
    <x v="0"/>
    <x v="1"/>
    <x v="0"/>
    <n v="206689.03"/>
    <n v="206689.03"/>
    <n v="132.49296794871796"/>
    <m/>
    <d v="2025-08-19T00:00:00"/>
    <n v="34"/>
    <x v="2254"/>
    <x v="0"/>
  </r>
  <r>
    <x v="27"/>
    <x v="579"/>
    <s v="Fletes varios"/>
    <s v="Total"/>
    <x v="1"/>
    <x v="0"/>
    <x v="1"/>
    <x v="0"/>
    <n v="756770.94"/>
    <n v="756770.94"/>
    <n v="485.10957692307687"/>
    <m/>
    <d v="2025-08-19T00:00:00"/>
    <n v="34"/>
    <x v="2254"/>
    <x v="0"/>
  </r>
  <r>
    <x v="56"/>
    <x v="579"/>
    <s v="Fletes"/>
    <s v="Total"/>
    <x v="6"/>
    <x v="0"/>
    <x v="1"/>
    <x v="0"/>
    <n v="450000"/>
    <n v="450000"/>
    <n v="288.46153846153845"/>
    <m/>
    <d v="2026-02-21T00:00:00"/>
    <n v="8"/>
    <x v="2255"/>
    <x v="0"/>
  </r>
  <r>
    <x v="56"/>
    <x v="579"/>
    <s v="Fletes"/>
    <s v="Total"/>
    <x v="6"/>
    <x v="0"/>
    <x v="1"/>
    <x v="0"/>
    <n v="800000"/>
    <n v="800000"/>
    <n v="512.82051282051282"/>
    <m/>
    <d v="2026-04-08T00:00:00"/>
    <n v="15"/>
    <x v="2255"/>
    <x v="0"/>
  </r>
  <r>
    <x v="56"/>
    <x v="579"/>
    <s v="Fletes"/>
    <s v="Total"/>
    <x v="6"/>
    <x v="0"/>
    <x v="1"/>
    <x v="0"/>
    <n v="19317.759999999998"/>
    <n v="19317.759999999998"/>
    <n v="12.383179487179486"/>
    <m/>
    <m/>
    <s v="11"/>
    <x v="2255"/>
    <x v="0"/>
  </r>
  <r>
    <x v="33"/>
    <x v="579"/>
    <s v="Fletes "/>
    <s v="Total"/>
    <x v="6"/>
    <x v="0"/>
    <x v="1"/>
    <x v="0"/>
    <n v="102321.89"/>
    <n v="102321.89"/>
    <n v="65.590955128205124"/>
    <m/>
    <d v="2026-04-10T00:00:00"/>
    <n v="15"/>
    <x v="2256"/>
    <x v="0"/>
  </r>
  <r>
    <x v="33"/>
    <x v="579"/>
    <s v="Fletes "/>
    <s v="Total"/>
    <x v="6"/>
    <x v="0"/>
    <x v="1"/>
    <x v="0"/>
    <n v="400000"/>
    <n v="400000"/>
    <n v="256.41025641025641"/>
    <m/>
    <d v="2026-04-07T00:00:00"/>
    <n v="15"/>
    <x v="2256"/>
    <x v="0"/>
  </r>
  <r>
    <x v="33"/>
    <x v="579"/>
    <s v="Fletes "/>
    <s v="Total"/>
    <x v="6"/>
    <x v="0"/>
    <x v="1"/>
    <x v="0"/>
    <n v="8622.14"/>
    <n v="8622.14"/>
    <n v="5.5270128205128204"/>
    <s v="Retenciones"/>
    <m/>
    <s v="12"/>
    <x v="2256"/>
    <x v="0"/>
  </r>
  <r>
    <x v="65"/>
    <x v="579"/>
    <s v="Fletes "/>
    <s v="Total"/>
    <x v="6"/>
    <x v="0"/>
    <x v="1"/>
    <x v="0"/>
    <n v="1755000"/>
    <n v="1755000"/>
    <n v="1125"/>
    <m/>
    <d v="2026-04-20T00:00:00"/>
    <n v="17"/>
    <x v="2257"/>
    <x v="0"/>
  </r>
  <r>
    <x v="65"/>
    <x v="579"/>
    <s v="Fletes "/>
    <s v="Total"/>
    <x v="6"/>
    <x v="0"/>
    <x v="1"/>
    <x v="0"/>
    <n v="29150.78"/>
    <n v="29150.78"/>
    <n v="18.686397435897437"/>
    <s v="Retenciones"/>
    <m/>
    <s v="13"/>
    <x v="2257"/>
    <x v="0"/>
  </r>
  <r>
    <x v="62"/>
    <x v="579"/>
    <s v="Fletes "/>
    <s v="Total"/>
    <x v="0"/>
    <x v="0"/>
    <x v="1"/>
    <x v="0"/>
    <n v="3048006.49"/>
    <n v="3048006.49"/>
    <n v="1953.8503141025642"/>
    <m/>
    <d v="2026-06-05T00:00:00"/>
    <n v="23"/>
    <x v="2258"/>
    <x v="0"/>
  </r>
  <r>
    <x v="62"/>
    <x v="579"/>
    <s v="Fletes "/>
    <s v="Total"/>
    <x v="0"/>
    <x v="0"/>
    <x v="1"/>
    <x v="0"/>
    <n v="49861.02"/>
    <n v="49861.02"/>
    <n v="31.962192307692305"/>
    <s v="Retenciones"/>
    <m/>
    <s v="19"/>
    <x v="2258"/>
    <x v="0"/>
  </r>
  <r>
    <x v="42"/>
    <x v="579"/>
    <s v="Fletes"/>
    <s v="Total"/>
    <x v="6"/>
    <x v="0"/>
    <x v="1"/>
    <x v="0"/>
    <n v="2301114.13"/>
    <n v="2301114.13"/>
    <n v="1475.0731602564101"/>
    <m/>
    <d v="2026-07-09T00:00:00"/>
    <n v="28"/>
    <x v="2259"/>
    <x v="0"/>
  </r>
  <r>
    <x v="42"/>
    <x v="579"/>
    <s v="Fletes"/>
    <s v="Total"/>
    <x v="6"/>
    <x v="0"/>
    <x v="1"/>
    <x v="0"/>
    <n v="37308.21"/>
    <n v="37308.21"/>
    <n v="23.915519230769231"/>
    <s v="Retenciones"/>
    <m/>
    <s v="24"/>
    <x v="2259"/>
    <x v="0"/>
  </r>
  <r>
    <x v="43"/>
    <x v="579"/>
    <s v="Servicio de envios"/>
    <s v="Total"/>
    <x v="6"/>
    <x v="0"/>
    <x v="1"/>
    <x v="0"/>
    <n v="1069423.8899999999"/>
    <n v="1069423.8899999999"/>
    <n v="685.5281346153846"/>
    <m/>
    <d v="2026-07-25T00:00:00"/>
    <n v="30"/>
    <x v="2260"/>
    <x v="0"/>
  </r>
  <r>
    <x v="43"/>
    <x v="579"/>
    <s v="Servicio de envios"/>
    <s v="Total"/>
    <x v="6"/>
    <x v="0"/>
    <x v="1"/>
    <x v="0"/>
    <n v="17973.509999999998"/>
    <n v="17973.509999999998"/>
    <n v="11.521480769230768"/>
    <s v="Retenciones"/>
    <m/>
    <s v="26"/>
    <x v="2260"/>
    <x v="0"/>
  </r>
  <r>
    <x v="58"/>
    <x v="579"/>
    <s v="Servicio de envios"/>
    <s v="Total"/>
    <x v="2"/>
    <x v="0"/>
    <x v="2"/>
    <x v="0"/>
    <n v="147462.04"/>
    <n v="147462.04"/>
    <n v="94.526948717948727"/>
    <m/>
    <m/>
    <s v="30"/>
    <x v="2261"/>
    <x v="0"/>
  </r>
  <r>
    <x v="58"/>
    <x v="579"/>
    <s v="Servicio de envios"/>
    <s v="Total"/>
    <x v="0"/>
    <x v="0"/>
    <x v="1"/>
    <x v="0"/>
    <n v="2115786.48"/>
    <n v="2115786.48"/>
    <n v="1356.2733846153847"/>
    <m/>
    <d v="2026-08-29T00:00:00"/>
    <n v="35"/>
    <x v="2261"/>
    <x v="0"/>
  </r>
  <r>
    <x v="58"/>
    <x v="579"/>
    <s v="Servicio de envios"/>
    <s v="Total"/>
    <x v="0"/>
    <x v="0"/>
    <x v="1"/>
    <x v="0"/>
    <n v="36671.81"/>
    <n v="36671.81"/>
    <n v="23.507570512820511"/>
    <s v="Retenciones"/>
    <m/>
    <s v="30"/>
    <x v="2261"/>
    <x v="0"/>
  </r>
  <r>
    <x v="71"/>
    <x v="579"/>
    <s v="Servicio de envios"/>
    <s v="Total"/>
    <x v="0"/>
    <x v="0"/>
    <x v="1"/>
    <x v="0"/>
    <n v="210417"/>
    <n v="210417"/>
    <n v="134.88269230769231"/>
    <m/>
    <d v="2026-09-14T00:00:00"/>
    <n v="38"/>
    <x v="2262"/>
    <x v="0"/>
  </r>
  <r>
    <x v="71"/>
    <x v="579"/>
    <s v="Servicio de envios"/>
    <s v="Total"/>
    <x v="0"/>
    <x v="0"/>
    <x v="1"/>
    <x v="0"/>
    <n v="416872.75"/>
    <n v="416872.75"/>
    <n v="267.2261217948718"/>
    <m/>
    <d v="2026-10-02T00:00:00"/>
    <n v="40"/>
    <x v="2262"/>
    <x v="0"/>
  </r>
  <r>
    <x v="71"/>
    <x v="579"/>
    <s v="Servicio de envios"/>
    <s v="Total"/>
    <x v="0"/>
    <x v="0"/>
    <x v="1"/>
    <x v="0"/>
    <n v="9025.0300000000007"/>
    <n v="9025.0300000000007"/>
    <n v="5.7852756410256418"/>
    <s v="Retenciones"/>
    <m/>
    <s v="36"/>
    <x v="2262"/>
    <x v="0"/>
  </r>
  <r>
    <x v="40"/>
    <x v="579"/>
    <s v="Servicio de envios"/>
    <s v="Total"/>
    <x v="0"/>
    <x v="0"/>
    <x v="1"/>
    <x v="0"/>
    <n v="1500000"/>
    <n v="1500000"/>
    <n v="961.53846153846155"/>
    <m/>
    <d v="2026-10-21T00:00:00"/>
    <n v="43"/>
    <x v="2263"/>
    <x v="0"/>
  </r>
  <r>
    <x v="40"/>
    <x v="579"/>
    <s v="Servicio de envios"/>
    <s v="Total"/>
    <x v="0"/>
    <x v="0"/>
    <x v="1"/>
    <x v="0"/>
    <n v="1048901.53"/>
    <n v="1048901.53"/>
    <n v="672.37277564102567"/>
    <m/>
    <d v="2026-11-06T00:00:00"/>
    <n v="45"/>
    <x v="2263"/>
    <x v="0"/>
  </r>
  <r>
    <x v="40"/>
    <x v="579"/>
    <s v="Servicio de envios"/>
    <s v="Total"/>
    <x v="0"/>
    <x v="0"/>
    <x v="0"/>
    <x v="0"/>
    <n v="25688.04"/>
    <n v="25688.04"/>
    <n v="16.466692307692309"/>
    <m/>
    <m/>
    <s v="40"/>
    <x v="2263"/>
    <x v="0"/>
  </r>
  <r>
    <x v="40"/>
    <x v="579"/>
    <s v="Servicio de envios"/>
    <s v="Total"/>
    <x v="0"/>
    <x v="0"/>
    <x v="1"/>
    <x v="0"/>
    <n v="40109.980000000003"/>
    <n v="40109.980000000003"/>
    <n v="25.711525641025641"/>
    <s v="Retenciones"/>
    <m/>
    <s v="40"/>
    <x v="2263"/>
    <x v="0"/>
  </r>
  <r>
    <x v="54"/>
    <x v="579"/>
    <s v="Servicio de envios"/>
    <s v="Total"/>
    <x v="0"/>
    <x v="0"/>
    <x v="1"/>
    <x v="0"/>
    <n v="0"/>
    <n v="0"/>
    <n v="0"/>
    <m/>
    <m/>
    <s v="41"/>
    <x v="0"/>
    <x v="1"/>
  </r>
  <r>
    <x v="54"/>
    <x v="579"/>
    <s v="Servicio de envios"/>
    <s v="Total"/>
    <x v="0"/>
    <x v="0"/>
    <x v="1"/>
    <x v="0"/>
    <n v="417969"/>
    <n v="417969"/>
    <n v="267.92884615384617"/>
    <m/>
    <m/>
    <s v="41"/>
    <x v="2264"/>
    <x v="0"/>
  </r>
  <r>
    <x v="54"/>
    <x v="579"/>
    <s v="Servicio de envios"/>
    <s v="Total"/>
    <x v="0"/>
    <x v="0"/>
    <x v="1"/>
    <x v="0"/>
    <n v="5560.67"/>
    <n v="5560.67"/>
    <n v="3.5645320512820513"/>
    <s v="Retenciones"/>
    <m/>
    <s v="41"/>
    <x v="2264"/>
    <x v="0"/>
  </r>
  <r>
    <x v="46"/>
    <x v="579"/>
    <s v="Servicio de paqueteria  "/>
    <s v="Total"/>
    <x v="1"/>
    <x v="0"/>
    <x v="1"/>
    <x v="0"/>
    <n v="688972.83"/>
    <n v="688972.83"/>
    <n v="441.64924999999999"/>
    <m/>
    <d v="2026-11-25T00:00:00"/>
    <n v="48"/>
    <x v="2265"/>
    <x v="0"/>
  </r>
  <r>
    <x v="3"/>
    <x v="537"/>
    <s v="Importación  "/>
    <s v="Total"/>
    <x v="0"/>
    <x v="0"/>
    <x v="0"/>
    <x v="0"/>
    <n v="15695293.220000001"/>
    <n v="15695293.220000001"/>
    <n v="10061.085397435898"/>
    <m/>
    <m/>
    <s v="44"/>
    <x v="0"/>
    <x v="1"/>
  </r>
  <r>
    <x v="16"/>
    <x v="579"/>
    <s v="Servicio de paqueteria  "/>
    <s v="Total"/>
    <x v="1"/>
    <x v="0"/>
    <x v="1"/>
    <x v="0"/>
    <n v="956000"/>
    <n v="956000"/>
    <n v="612.82051282051282"/>
    <m/>
    <d v="2026-11-11T00:00:00"/>
    <n v="46"/>
    <x v="2266"/>
    <x v="0"/>
  </r>
  <r>
    <x v="16"/>
    <x v="579"/>
    <s v="Servicio de paqueteria  "/>
    <s v="Total"/>
    <x v="1"/>
    <x v="0"/>
    <x v="2"/>
    <x v="0"/>
    <n v="172028.5"/>
    <n v="172028.5"/>
    <n v="110.27467948717948"/>
    <m/>
    <m/>
    <s v="43"/>
    <x v="2266"/>
    <x v="0"/>
  </r>
  <r>
    <x v="16"/>
    <x v="579"/>
    <s v="Servicio de paqueteria  "/>
    <s v="Total"/>
    <x v="1"/>
    <x v="0"/>
    <x v="2"/>
    <x v="0"/>
    <n v="19151.400000000001"/>
    <n v="19151.400000000001"/>
    <n v="12.276538461538463"/>
    <s v="Retenciones"/>
    <m/>
    <s v="43"/>
    <x v="2266"/>
    <x v="0"/>
  </r>
  <r>
    <x v="20"/>
    <x v="580"/>
    <s v="Encomienda Bs As - Anguinan"/>
    <s v="Total"/>
    <x v="2"/>
    <x v="0"/>
    <x v="2"/>
    <x v="0"/>
    <n v="15000.01"/>
    <n v="15000.01"/>
    <n v="9.615391025641026"/>
    <m/>
    <m/>
    <s v="15"/>
    <x v="2267"/>
    <x v="0"/>
  </r>
  <r>
    <x v="20"/>
    <x v="580"/>
    <s v="Encomienda Bs As - Anguinan"/>
    <s v="Total"/>
    <x v="2"/>
    <x v="0"/>
    <x v="2"/>
    <x v="0"/>
    <n v="43000"/>
    <n v="43000"/>
    <n v="27.564102564102566"/>
    <m/>
    <m/>
    <s v="15"/>
    <x v="2268"/>
    <x v="0"/>
  </r>
  <r>
    <x v="47"/>
    <x v="580"/>
    <s v="Envio mendoza - Chilecito"/>
    <s v="Total"/>
    <x v="2"/>
    <x v="0"/>
    <x v="2"/>
    <x v="0"/>
    <n v="21000"/>
    <n v="21000"/>
    <n v="13.461538461538462"/>
    <m/>
    <m/>
    <s v="20"/>
    <x v="2269"/>
    <x v="0"/>
  </r>
  <r>
    <x v="42"/>
    <x v="580"/>
    <s v="Envio Entre Rios - Chilecito - Dupont"/>
    <s v="Total"/>
    <x v="2"/>
    <x v="0"/>
    <x v="2"/>
    <x v="0"/>
    <n v="32000"/>
    <n v="32000"/>
    <n v="20.512820512820515"/>
    <m/>
    <m/>
    <s v="24"/>
    <x v="2270"/>
    <x v="0"/>
  </r>
  <r>
    <x v="37"/>
    <x v="580"/>
    <s v="Servicio de paqueteria Bs As Chilecito - De la cruz"/>
    <s v="Total"/>
    <x v="2"/>
    <x v="0"/>
    <x v="2"/>
    <x v="0"/>
    <n v="22000"/>
    <n v="22000"/>
    <n v="14.102564102564102"/>
    <m/>
    <m/>
    <s v="29"/>
    <x v="2271"/>
    <x v="0"/>
  </r>
  <r>
    <x v="38"/>
    <x v="580"/>
    <s v="Envio exhibidores"/>
    <s v="Total"/>
    <x v="2"/>
    <x v="0"/>
    <x v="2"/>
    <x v="0"/>
    <n v="15000.01"/>
    <n v="15000.01"/>
    <n v="9.615391025641026"/>
    <m/>
    <m/>
    <s v="32"/>
    <x v="2272"/>
    <x v="0"/>
  </r>
  <r>
    <x v="39"/>
    <x v="580"/>
    <s v="Envio a Tucuman  -  Ventas"/>
    <s v="Total"/>
    <x v="2"/>
    <x v="0"/>
    <x v="2"/>
    <x v="0"/>
    <n v="128000"/>
    <n v="128000"/>
    <n v="82.051282051282058"/>
    <m/>
    <m/>
    <s v="38"/>
    <x v="2273"/>
    <x v="0"/>
  </r>
  <r>
    <x v="54"/>
    <x v="581"/>
    <s v="Envio manguera Intercooler Chevrolet S10"/>
    <s v="Total"/>
    <x v="2"/>
    <x v="0"/>
    <x v="2"/>
    <x v="0"/>
    <n v="16000"/>
    <n v="16000"/>
    <n v="10.256410256410257"/>
    <m/>
    <m/>
    <s v="41"/>
    <x v="2274"/>
    <x v="0"/>
  </r>
  <r>
    <x v="46"/>
    <x v="582"/>
    <s v="Servicio encomienda - Bs - Chilecito"/>
    <s v="Total"/>
    <x v="2"/>
    <x v="0"/>
    <x v="2"/>
    <x v="0"/>
    <n v="22000"/>
    <n v="22000"/>
    <n v="14.102564102564102"/>
    <m/>
    <m/>
    <s v="42"/>
    <x v="2275"/>
    <x v="0"/>
  </r>
  <r>
    <x v="5"/>
    <x v="583"/>
    <s v="Gestor camioneta Macarena H"/>
    <s v="Total"/>
    <x v="3"/>
    <x v="0"/>
    <x v="0"/>
    <x v="0"/>
    <n v="247650"/>
    <n v="247650"/>
    <n v="158.75"/>
    <m/>
    <m/>
    <s v="34"/>
    <x v="34"/>
    <x v="0"/>
  </r>
  <r>
    <x v="30"/>
    <x v="583"/>
    <s v="Patente Chevrolet S10"/>
    <s v="Total"/>
    <x v="2"/>
    <x v="0"/>
    <x v="0"/>
    <x v="0"/>
    <n v="154000"/>
    <n v="154000"/>
    <n v="98.717948717948715"/>
    <m/>
    <m/>
    <s v="43"/>
    <x v="2276"/>
    <x v="0"/>
  </r>
  <r>
    <x v="60"/>
    <x v="584"/>
    <s v="Diferencia por tipo de cambio"/>
    <s v="Total"/>
    <x v="4"/>
    <x v="0"/>
    <x v="0"/>
    <x v="0"/>
    <n v="3932081.81"/>
    <n v="3932081.81"/>
    <n v="2520.565262820513"/>
    <m/>
    <m/>
    <s v="37"/>
    <x v="2277"/>
    <x v="0"/>
  </r>
  <r>
    <x v="18"/>
    <x v="584"/>
    <s v="Campaña 2025"/>
    <s v="Total"/>
    <x v="4"/>
    <x v="0"/>
    <x v="0"/>
    <x v="0"/>
    <n v="3927601.81"/>
    <n v="3927601.81"/>
    <n v="2517.6934679487181"/>
    <m/>
    <m/>
    <s v="39"/>
    <x v="2278"/>
    <x v="0"/>
  </r>
  <r>
    <x v="74"/>
    <x v="585"/>
    <s v="Etiquetas"/>
    <s v="Total"/>
    <x v="0"/>
    <x v="0"/>
    <x v="1"/>
    <x v="0"/>
    <n v="2171539.4300000002"/>
    <n v="2171539.4300000002"/>
    <n v="1392.0124551282051"/>
    <m/>
    <d v="2026-01-30T00:00:00"/>
    <n v="5"/>
    <x v="2279"/>
    <x v="0"/>
  </r>
  <r>
    <x v="50"/>
    <x v="585"/>
    <s v="Etiquetas aceitunas"/>
    <s v="Total"/>
    <x v="1"/>
    <x v="0"/>
    <x v="1"/>
    <x v="0"/>
    <n v="3000000"/>
    <n v="3000000"/>
    <n v="1923.0769230769231"/>
    <m/>
    <m/>
    <s v="04"/>
    <x v="2280"/>
    <x v="0"/>
  </r>
  <r>
    <x v="76"/>
    <x v="585"/>
    <s v="Saldo etiquetas para Baldes"/>
    <s v="Total"/>
    <x v="1"/>
    <x v="0"/>
    <x v="0"/>
    <x v="0"/>
    <n v="2542953.25"/>
    <n v="2542953.25"/>
    <n v="1630.0982371794871"/>
    <m/>
    <m/>
    <s v="12"/>
    <x v="0"/>
    <x v="0"/>
  </r>
  <r>
    <x v="73"/>
    <x v="585"/>
    <s v="Etiquetas aceitunas"/>
    <s v="Total"/>
    <x v="0"/>
    <x v="0"/>
    <x v="1"/>
    <x v="0"/>
    <n v="1000000"/>
    <n v="1000000"/>
    <n v="641.02564102564099"/>
    <m/>
    <d v="2026-04-15T00:00:00"/>
    <n v="16"/>
    <x v="2281"/>
    <x v="0"/>
  </r>
  <r>
    <x v="73"/>
    <x v="585"/>
    <s v="Etiquetas aceitunas"/>
    <s v="Total"/>
    <x v="0"/>
    <x v="0"/>
    <x v="1"/>
    <x v="0"/>
    <n v="1000000"/>
    <n v="1000000"/>
    <n v="641.02564102564099"/>
    <m/>
    <d v="2026-04-16T00:00:00"/>
    <n v="16"/>
    <x v="2281"/>
    <x v="0"/>
  </r>
  <r>
    <x v="73"/>
    <x v="585"/>
    <s v="Etiquetas aceitunas"/>
    <s v="Total"/>
    <x v="0"/>
    <x v="0"/>
    <x v="1"/>
    <x v="0"/>
    <n v="1045106.78"/>
    <n v="1045106.78"/>
    <n v="669.94024358974366"/>
    <m/>
    <d v="2026-04-17T00:00:00"/>
    <n v="16"/>
    <x v="2281"/>
    <x v="0"/>
  </r>
  <r>
    <x v="62"/>
    <x v="585"/>
    <s v="Etiquetas aceitunas"/>
    <s v="Total"/>
    <x v="1"/>
    <x v="0"/>
    <x v="1"/>
    <x v="0"/>
    <n v="5012987.83"/>
    <n v="5012987.83"/>
    <n v="3213.4537371794872"/>
    <m/>
    <d v="2026-06-20T00:00:00"/>
    <n v="25"/>
    <x v="2282"/>
    <x v="0"/>
  </r>
  <r>
    <x v="62"/>
    <x v="585"/>
    <s v="Etiquetas aceitunas"/>
    <s v="Total"/>
    <x v="1"/>
    <x v="0"/>
    <x v="1"/>
    <x v="0"/>
    <n v="78379.3"/>
    <n v="78379.3"/>
    <n v="50.24314102564103"/>
    <s v="Retenciones"/>
    <m/>
    <s v="19"/>
    <x v="2282"/>
    <x v="0"/>
  </r>
  <r>
    <x v="36"/>
    <x v="585"/>
    <s v="Etiquetas aceitunas"/>
    <s v="Total"/>
    <x v="0"/>
    <x v="0"/>
    <x v="1"/>
    <x v="0"/>
    <n v="2618473"/>
    <n v="2618473"/>
    <n v="1678.5083333333334"/>
    <m/>
    <d v="2026-08-25T00:00:00"/>
    <n v="35"/>
    <x v="2283"/>
    <x v="0"/>
  </r>
  <r>
    <x v="36"/>
    <x v="585"/>
    <s v="Etiquetas aceitunas"/>
    <s v="Total"/>
    <x v="0"/>
    <x v="0"/>
    <x v="1"/>
    <x v="0"/>
    <n v="38800.550000000003"/>
    <n v="38800.550000000003"/>
    <n v="24.872147435897439"/>
    <s v="Retenciones"/>
    <m/>
    <s v="28"/>
    <x v="2283"/>
    <x v="0"/>
  </r>
  <r>
    <x v="12"/>
    <x v="585"/>
    <s v="Etiquetas aceitunas"/>
    <s v="Total"/>
    <x v="0"/>
    <x v="0"/>
    <x v="1"/>
    <x v="0"/>
    <n v="565540"/>
    <n v="565540"/>
    <n v="362.52564102564105"/>
    <m/>
    <d v="2026-08-29T00:00:00"/>
    <n v="35"/>
    <x v="2284"/>
    <x v="0"/>
  </r>
  <r>
    <x v="12"/>
    <x v="585"/>
    <s v="Etiquetas aceitunas"/>
    <s v="Total"/>
    <x v="0"/>
    <x v="0"/>
    <x v="1"/>
    <x v="0"/>
    <n v="1500000"/>
    <n v="1500000"/>
    <n v="961.53846153846155"/>
    <m/>
    <d v="2026-09-06T00:00:00"/>
    <n v="37"/>
    <x v="2284"/>
    <x v="0"/>
  </r>
  <r>
    <x v="12"/>
    <x v="585"/>
    <s v="Etiquetas aceitunas"/>
    <s v="Total"/>
    <x v="0"/>
    <x v="0"/>
    <x v="1"/>
    <x v="0"/>
    <n v="29661.16"/>
    <n v="29661.16"/>
    <n v="19.013564102564104"/>
    <s v="Retenciones"/>
    <m/>
    <s v="33"/>
    <x v="2284"/>
    <x v="0"/>
  </r>
  <r>
    <x v="71"/>
    <x v="585"/>
    <s v="Etiquetas"/>
    <s v="Total"/>
    <x v="1"/>
    <x v="0"/>
    <x v="1"/>
    <x v="0"/>
    <n v="500000"/>
    <n v="500000"/>
    <n v="320.5128205128205"/>
    <m/>
    <d v="2026-09-18T00:00:00"/>
    <n v="38"/>
    <x v="2285"/>
    <x v="0"/>
  </r>
  <r>
    <x v="71"/>
    <x v="585"/>
    <s v="Etiquetas"/>
    <s v="Total"/>
    <x v="1"/>
    <x v="0"/>
    <x v="1"/>
    <x v="0"/>
    <n v="2522800.48"/>
    <n v="2522800.48"/>
    <n v="1617.1797948717949"/>
    <m/>
    <d v="2026-10-09T00:00:00"/>
    <n v="41"/>
    <x v="2285"/>
    <x v="0"/>
  </r>
  <r>
    <x v="71"/>
    <x v="585"/>
    <s v="Etiquetas"/>
    <s v="Total"/>
    <x v="1"/>
    <x v="0"/>
    <x v="1"/>
    <x v="0"/>
    <n v="50453.91"/>
    <n v="50453.91"/>
    <n v="32.34225"/>
    <s v="Retenciones"/>
    <m/>
    <s v="36"/>
    <x v="2285"/>
    <x v="0"/>
  </r>
  <r>
    <x v="3"/>
    <x v="539"/>
    <s v="Servicion Medicos}"/>
    <s v="Total"/>
    <x v="3"/>
    <x v="0"/>
    <x v="0"/>
    <x v="0"/>
    <n v="1175000"/>
    <n v="1175000"/>
    <n v="753.20512820512818"/>
    <m/>
    <m/>
    <s v="44"/>
    <x v="0"/>
    <x v="2"/>
  </r>
  <r>
    <x v="67"/>
    <x v="586"/>
    <s v="Servicio Hosting"/>
    <s v="Total"/>
    <x v="3"/>
    <x v="0"/>
    <x v="0"/>
    <x v="0"/>
    <n v="572868.81999999995"/>
    <n v="572868.81999999995"/>
    <n v="367.22360256410252"/>
    <m/>
    <m/>
    <s v="24"/>
    <x v="2286"/>
    <x v="0"/>
  </r>
  <r>
    <x v="37"/>
    <x v="587"/>
    <s v="Servicio de Hosting"/>
    <s v="Total"/>
    <x v="3"/>
    <x v="0"/>
    <x v="0"/>
    <x v="0"/>
    <n v="262437"/>
    <n v="262437"/>
    <n v="168.22884615384615"/>
    <m/>
    <m/>
    <s v="29"/>
    <x v="2287"/>
    <x v="0"/>
  </r>
  <r>
    <x v="3"/>
    <x v="542"/>
    <s v="Honorarios"/>
    <s v="Total"/>
    <x v="3"/>
    <x v="0"/>
    <x v="0"/>
    <x v="0"/>
    <n v="1165883.3999999999"/>
    <n v="1165883.3999999999"/>
    <n v="747.3611538461538"/>
    <m/>
    <m/>
    <s v="44"/>
    <x v="0"/>
    <x v="2"/>
  </r>
  <r>
    <x v="56"/>
    <x v="588"/>
    <s v="Repuestos Massey ferguson - Los Cerrillos"/>
    <s v="Total"/>
    <x v="1"/>
    <x v="0"/>
    <x v="1"/>
    <x v="0"/>
    <n v="781896.19"/>
    <n v="781896.19"/>
    <n v="501.21550641025635"/>
    <m/>
    <m/>
    <s v="11"/>
    <x v="2288"/>
    <x v="0"/>
  </r>
  <r>
    <x v="64"/>
    <x v="588"/>
    <s v="Bomba hidraulica tractor "/>
    <s v="Total"/>
    <x v="1"/>
    <x v="0"/>
    <x v="1"/>
    <x v="0"/>
    <n v="622566.77"/>
    <n v="622566.77"/>
    <n v="399.08126282051285"/>
    <m/>
    <d v="2026-06-26T00:00:00"/>
    <n v="26"/>
    <x v="2289"/>
    <x v="0"/>
  </r>
  <r>
    <x v="64"/>
    <x v="588"/>
    <s v="Bomba hidraulica tractor "/>
    <s v="Total"/>
    <x v="1"/>
    <x v="0"/>
    <x v="1"/>
    <x v="0"/>
    <n v="622566.77"/>
    <n v="622566.77"/>
    <n v="399.08126282051285"/>
    <m/>
    <d v="2026-07-02T00:00:00"/>
    <n v="27"/>
    <x v="2289"/>
    <x v="0"/>
  </r>
  <r>
    <x v="64"/>
    <x v="588"/>
    <s v="Bomba hidraulica tractor "/>
    <s v="Total"/>
    <x v="1"/>
    <x v="0"/>
    <x v="1"/>
    <x v="0"/>
    <n v="16371.32"/>
    <n v="16371.32"/>
    <n v="10.494435897435897"/>
    <s v="Retenciones"/>
    <m/>
    <s v="22"/>
    <x v="2289"/>
    <x v="0"/>
  </r>
  <r>
    <x v="35"/>
    <x v="588"/>
    <s v="Reposición de chueque sin fondos"/>
    <s v="Total"/>
    <x v="1"/>
    <x v="0"/>
    <x v="0"/>
    <x v="0"/>
    <n v="622566.77"/>
    <n v="622566.77"/>
    <n v="399.08126282051285"/>
    <m/>
    <m/>
    <s v="27"/>
    <x v="2290"/>
    <x v="0"/>
  </r>
  <r>
    <x v="21"/>
    <x v="589"/>
    <s v="Saldo Subsolador"/>
    <s v="Total"/>
    <x v="1"/>
    <x v="1"/>
    <x v="1"/>
    <x v="0"/>
    <n v="2400000"/>
    <n v="2400000"/>
    <n v="1538.4615384615386"/>
    <s v="CH "/>
    <d v="2025-07-30T00:00:00"/>
    <n v="31"/>
    <x v="2291"/>
    <x v="0"/>
  </r>
  <r>
    <x v="2"/>
    <x v="589"/>
    <s v="Saldo Subsolador"/>
    <s v="Total"/>
    <x v="1"/>
    <x v="1"/>
    <x v="2"/>
    <x v="0"/>
    <n v="96000"/>
    <n v="96000"/>
    <n v="61.53846153846154"/>
    <s v="CH 30 días"/>
    <m/>
    <s v="32"/>
    <x v="2292"/>
    <x v="0"/>
  </r>
  <r>
    <x v="2"/>
    <x v="589"/>
    <s v="Saldo Subsolador"/>
    <s v="Total"/>
    <x v="1"/>
    <x v="1"/>
    <x v="2"/>
    <x v="0"/>
    <n v="250000"/>
    <n v="250000"/>
    <n v="160.25641025641025"/>
    <s v="CH 30 días"/>
    <d v="2025-07-26T00:00:00"/>
    <n v="30"/>
    <x v="2292"/>
    <x v="0"/>
  </r>
  <r>
    <x v="2"/>
    <x v="589"/>
    <s v="Saldo Subsolador"/>
    <s v="Total"/>
    <x v="1"/>
    <x v="1"/>
    <x v="2"/>
    <x v="0"/>
    <n v="300000"/>
    <n v="300000"/>
    <n v="192.30769230769232"/>
    <s v="CH 30 días"/>
    <d v="2025-08-18T00:00:00"/>
    <n v="34"/>
    <x v="2292"/>
    <x v="0"/>
  </r>
  <r>
    <x v="2"/>
    <x v="589"/>
    <s v="Saldo Subsolador"/>
    <s v="Total"/>
    <x v="1"/>
    <x v="1"/>
    <x v="2"/>
    <x v="0"/>
    <n v="660000"/>
    <n v="660000"/>
    <n v="423.07692307692309"/>
    <s v="CH 30 días"/>
    <d v="2025-07-21T00:00:00"/>
    <n v="30"/>
    <x v="2292"/>
    <x v="0"/>
  </r>
  <r>
    <x v="2"/>
    <x v="589"/>
    <s v="Saldo Subsolador"/>
    <s v="Total"/>
    <x v="1"/>
    <x v="1"/>
    <x v="2"/>
    <x v="0"/>
    <n v="669000"/>
    <n v="669000"/>
    <n v="428.84615384615387"/>
    <s v="CH 30 días"/>
    <d v="2025-08-14T00:00:00"/>
    <n v="33"/>
    <x v="2292"/>
    <x v="0"/>
  </r>
  <r>
    <x v="58"/>
    <x v="590"/>
    <s v="Plantas de Nogal"/>
    <s v="Total"/>
    <x v="1"/>
    <x v="1"/>
    <x v="1"/>
    <x v="0"/>
    <n v="2500000"/>
    <n v="2500000"/>
    <n v="1602.5641025641025"/>
    <m/>
    <d v="2026-08-18T00:00:00"/>
    <n v="34"/>
    <x v="2293"/>
    <x v="0"/>
  </r>
  <r>
    <x v="58"/>
    <x v="590"/>
    <s v="Plantas de Nogal"/>
    <s v="Total"/>
    <x v="1"/>
    <x v="1"/>
    <x v="1"/>
    <x v="0"/>
    <n v="2726733"/>
    <n v="2726733"/>
    <n v="1747.9057692307692"/>
    <m/>
    <d v="2026-08-28T00:00:00"/>
    <n v="35"/>
    <x v="2293"/>
    <x v="0"/>
  </r>
  <r>
    <x v="30"/>
    <x v="591"/>
    <s v="Plantines segunda etapa PIC 37"/>
    <s v="Total"/>
    <x v="1"/>
    <x v="0"/>
    <x v="0"/>
    <x v="0"/>
    <n v="700000"/>
    <n v="700000"/>
    <n v="448.71794871794873"/>
    <m/>
    <m/>
    <s v="43"/>
    <x v="2294"/>
    <x v="0"/>
  </r>
  <r>
    <x v="30"/>
    <x v="591"/>
    <s v="Plantines segunda etapa PIC 37"/>
    <s v="Total"/>
    <x v="1"/>
    <x v="0"/>
    <x v="1"/>
    <x v="0"/>
    <n v="670000"/>
    <n v="670000"/>
    <n v="429.4871794871795"/>
    <m/>
    <d v="2025-12-12T00:00:00"/>
    <n v="50"/>
    <x v="2295"/>
    <x v="0"/>
  </r>
  <r>
    <x v="30"/>
    <x v="591"/>
    <s v="Plantines segunda etapa PIC 37"/>
    <s v="Total"/>
    <x v="1"/>
    <x v="0"/>
    <x v="1"/>
    <x v="0"/>
    <n v="336250"/>
    <n v="336250"/>
    <n v="215.5448717948718"/>
    <m/>
    <d v="2025-11-12T00:00:00"/>
    <n v="46"/>
    <x v="2295"/>
    <x v="0"/>
  </r>
  <r>
    <x v="30"/>
    <x v="591"/>
    <s v="Plantines segunda etapa PIC 37"/>
    <s v="Total"/>
    <x v="1"/>
    <x v="0"/>
    <x v="1"/>
    <x v="0"/>
    <n v="380141.9"/>
    <n v="380141.9"/>
    <n v="243.68070512820515"/>
    <m/>
    <d v="2025-10-18T00:00:00"/>
    <n v="42"/>
    <x v="2295"/>
    <x v="0"/>
  </r>
  <r>
    <x v="14"/>
    <x v="591"/>
    <s v="Plantines segunda etapa PIC 37"/>
    <s v="Total"/>
    <x v="0"/>
    <x v="0"/>
    <x v="1"/>
    <x v="0"/>
    <n v="1015520"/>
    <n v="1015520"/>
    <n v="650.97435897435901"/>
    <m/>
    <m/>
    <s v="47"/>
    <x v="2296"/>
    <x v="0"/>
  </r>
  <r>
    <x v="9"/>
    <x v="591"/>
    <s v="Plantines segunda etapa PIC 37"/>
    <s v="Total"/>
    <x v="0"/>
    <x v="0"/>
    <x v="1"/>
    <x v="0"/>
    <n v="582500"/>
    <n v="582500"/>
    <n v="373.39743589743591"/>
    <m/>
    <d v="2026-01-14T00:00:00"/>
    <n v="3"/>
    <x v="2297"/>
    <x v="0"/>
  </r>
  <r>
    <x v="9"/>
    <x v="591"/>
    <s v="Plantines segunda etapa PIC 37"/>
    <s v="Total"/>
    <x v="0"/>
    <x v="0"/>
    <x v="1"/>
    <x v="0"/>
    <n v="603800"/>
    <n v="603800"/>
    <n v="387.05128205128204"/>
    <m/>
    <d v="2026-02-14T00:00:00"/>
    <n v="7"/>
    <x v="2297"/>
    <x v="0"/>
  </r>
  <r>
    <x v="9"/>
    <x v="591"/>
    <s v="Plantines segunda etapa PIC 37"/>
    <s v="Total"/>
    <x v="0"/>
    <x v="0"/>
    <x v="1"/>
    <x v="0"/>
    <n v="1376200"/>
    <n v="1376200"/>
    <n v="882.17948717948718"/>
    <m/>
    <d v="2026-03-07T00:00:00"/>
    <n v="10"/>
    <x v="2297"/>
    <x v="0"/>
  </r>
  <r>
    <x v="26"/>
    <x v="591"/>
    <s v="Plantines"/>
    <s v="Total"/>
    <x v="1"/>
    <x v="0"/>
    <x v="1"/>
    <x v="0"/>
    <n v="4736000"/>
    <n v="4736000"/>
    <n v="3035.897435897436"/>
    <m/>
    <d v="2025-08-08T00:00:00"/>
    <n v="32"/>
    <x v="2298"/>
    <x v="0"/>
  </r>
  <r>
    <x v="32"/>
    <x v="591"/>
    <s v="Plantines segunda etapa PIC 37"/>
    <s v="Total"/>
    <x v="0"/>
    <x v="0"/>
    <x v="1"/>
    <x v="0"/>
    <n v="1223150"/>
    <n v="1223150"/>
    <n v="784.07051282051282"/>
    <m/>
    <d v="2026-01-27T00:00:00"/>
    <n v="5"/>
    <x v="2299"/>
    <x v="0"/>
  </r>
  <r>
    <x v="32"/>
    <x v="591"/>
    <s v="Plantines segunda etapa PIC 37"/>
    <s v="Total"/>
    <x v="0"/>
    <x v="0"/>
    <x v="1"/>
    <x v="0"/>
    <n v="2753451.8"/>
    <n v="2753451.8"/>
    <n v="1765.0332051282051"/>
    <m/>
    <m/>
    <s v="09"/>
    <x v="2299"/>
    <x v="0"/>
  </r>
  <r>
    <x v="33"/>
    <x v="591"/>
    <s v="Plantines de tomate 2 etapa (Tardio)"/>
    <s v="Total"/>
    <x v="0"/>
    <x v="0"/>
    <x v="1"/>
    <x v="0"/>
    <n v="400000"/>
    <n v="400000"/>
    <n v="256.41025641025641"/>
    <m/>
    <m/>
    <s v="12"/>
    <x v="2300"/>
    <x v="0"/>
  </r>
  <r>
    <x v="33"/>
    <x v="591"/>
    <s v="Plantines de tomate 2 etapa (Tardio)"/>
    <s v="Total"/>
    <x v="0"/>
    <x v="0"/>
    <x v="1"/>
    <x v="0"/>
    <n v="2131.5700000000002"/>
    <n v="2131.5700000000002"/>
    <n v="1.3663910256410257"/>
    <s v="Retenciones"/>
    <m/>
    <s v="12"/>
    <x v="2300"/>
    <x v="0"/>
  </r>
  <r>
    <x v="53"/>
    <x v="591"/>
    <s v="Plantines segunda etapa PIC 37"/>
    <s v="Total"/>
    <x v="0"/>
    <x v="0"/>
    <x v="1"/>
    <x v="0"/>
    <n v="17338.18"/>
    <n v="17338.18"/>
    <n v="11.114217948717949"/>
    <s v="Retenciones"/>
    <m/>
    <s v="17"/>
    <x v="2301"/>
    <x v="0"/>
  </r>
  <r>
    <x v="53"/>
    <x v="591"/>
    <s v="Plantines segunda etapa PIC 37"/>
    <s v="Total"/>
    <x v="0"/>
    <x v="0"/>
    <x v="1"/>
    <x v="0"/>
    <n v="1320000"/>
    <n v="1320000"/>
    <n v="846.15384615384619"/>
    <m/>
    <d v="2026-05-21T00:00:00"/>
    <n v="21"/>
    <x v="2301"/>
    <x v="0"/>
  </r>
  <r>
    <x v="22"/>
    <x v="591"/>
    <s v="Plantines segunda etapa PIC 37"/>
    <s v="Total"/>
    <x v="0"/>
    <x v="0"/>
    <x v="1"/>
    <x v="0"/>
    <n v="1515338.75"/>
    <n v="1515338.75"/>
    <n v="971.37099358974353"/>
    <m/>
    <d v="2026-06-30T00:00:00"/>
    <n v="27"/>
    <x v="2302"/>
    <x v="0"/>
  </r>
  <r>
    <x v="22"/>
    <x v="591"/>
    <s v="Plantines segunda etapa PIC 37"/>
    <s v="Total"/>
    <x v="0"/>
    <x v="0"/>
    <x v="1"/>
    <x v="0"/>
    <n v="20912.580000000002"/>
    <n v="20912.580000000002"/>
    <n v="13.405500000000002"/>
    <s v="Retenciones"/>
    <m/>
    <s v="23"/>
    <x v="2302"/>
    <x v="0"/>
  </r>
  <r>
    <x v="22"/>
    <x v="591"/>
    <s v="Plantines segunda etapa PIC 37"/>
    <s v="Total"/>
    <x v="0"/>
    <x v="0"/>
    <x v="1"/>
    <x v="0"/>
    <n v="1223150"/>
    <n v="1223150"/>
    <n v="784.07051282051282"/>
    <m/>
    <d v="2026-06-22T00:00:00"/>
    <n v="26"/>
    <x v="2303"/>
    <x v="0"/>
  </r>
  <r>
    <x v="35"/>
    <x v="591"/>
    <s v="Reposición de chueque sin fondos"/>
    <s v="Total"/>
    <x v="1"/>
    <x v="0"/>
    <x v="0"/>
    <x v="0"/>
    <n v="1223150"/>
    <n v="1223150"/>
    <n v="784.07051282051282"/>
    <m/>
    <m/>
    <s v="27"/>
    <x v="2304"/>
    <x v="0"/>
  </r>
  <r>
    <x v="78"/>
    <x v="592"/>
    <s v="Pago FC 5-742 por 9,652 plantas Variedad Arbequina "/>
    <s v="Total"/>
    <x v="1"/>
    <x v="0"/>
    <x v="0"/>
    <x v="0"/>
    <n v="11451765.01"/>
    <n v="11451765.01"/>
    <n v="7340.875006410256"/>
    <m/>
    <m/>
    <s v="13"/>
    <x v="0"/>
    <x v="0"/>
  </r>
  <r>
    <x v="36"/>
    <x v="593"/>
    <s v="Pedido Casa Doctor"/>
    <s v="Total"/>
    <x v="2"/>
    <x v="0"/>
    <x v="2"/>
    <x v="0"/>
    <n v="4800"/>
    <n v="4800"/>
    <n v="3.0769230769230771"/>
    <m/>
    <m/>
    <s v="28"/>
    <x v="2305"/>
    <x v="0"/>
  </r>
  <r>
    <x v="71"/>
    <x v="593"/>
    <s v="Pedido Casa Doctor"/>
    <s v="Total"/>
    <x v="2"/>
    <x v="0"/>
    <x v="2"/>
    <x v="0"/>
    <n v="18000"/>
    <n v="18000"/>
    <n v="11.538461538461538"/>
    <m/>
    <m/>
    <s v="36"/>
    <x v="2306"/>
    <x v="0"/>
  </r>
  <r>
    <x v="14"/>
    <x v="594"/>
    <s v="Balanza Laboratirio - Bodega"/>
    <s v="Total"/>
    <x v="1"/>
    <x v="0"/>
    <x v="0"/>
    <x v="0"/>
    <n v="313705"/>
    <n v="313705"/>
    <n v="201.09294871794873"/>
    <m/>
    <m/>
    <s v="47"/>
    <x v="2307"/>
    <x v="0"/>
  </r>
  <r>
    <x v="18"/>
    <x v="595"/>
    <s v="Plantas variedad Ancellota - 4000"/>
    <s v="Total"/>
    <x v="1"/>
    <x v="0"/>
    <x v="1"/>
    <x v="0"/>
    <n v="919676.82"/>
    <n v="919676.82"/>
    <n v="589.53642307692303"/>
    <m/>
    <d v="2025-10-16T00:00:00"/>
    <n v="42"/>
    <x v="2308"/>
    <x v="0"/>
  </r>
  <r>
    <x v="18"/>
    <x v="595"/>
    <s v="Plantas variedad Ancellota - 4000"/>
    <s v="Total"/>
    <x v="1"/>
    <x v="0"/>
    <x v="1"/>
    <x v="0"/>
    <n v="956238.42"/>
    <n v="956238.42"/>
    <n v="612.97334615384614"/>
    <m/>
    <d v="2025-10-16T00:00:00"/>
    <n v="42"/>
    <x v="2308"/>
    <x v="0"/>
  </r>
  <r>
    <x v="50"/>
    <x v="596"/>
    <m/>
    <s v="Total"/>
    <x v="1"/>
    <x v="0"/>
    <x v="0"/>
    <x v="0"/>
    <n v="732857.65"/>
    <n v="732857.65"/>
    <n v="469.78054487179486"/>
    <m/>
    <m/>
    <s v="04"/>
    <x v="2309"/>
    <x v="0"/>
  </r>
  <r>
    <x v="6"/>
    <x v="596"/>
    <s v="Lacre Bodega"/>
    <s v="Total"/>
    <x v="1"/>
    <x v="0"/>
    <x v="1"/>
    <x v="0"/>
    <n v="1555415.25"/>
    <n v="1555415.25"/>
    <n v="997.06105769230771"/>
    <m/>
    <m/>
    <s v="41"/>
    <x v="36"/>
    <x v="0"/>
  </r>
  <r>
    <x v="30"/>
    <x v="596"/>
    <m/>
    <s v="Total"/>
    <x v="1"/>
    <x v="0"/>
    <x v="0"/>
    <x v="0"/>
    <n v="1605008.2"/>
    <n v="1605008.2"/>
    <n v="1028.8514102564102"/>
    <m/>
    <m/>
    <s v="43"/>
    <x v="2310"/>
    <x v="0"/>
  </r>
  <r>
    <x v="54"/>
    <x v="596"/>
    <s v="Lacre - Bodega"/>
    <s v="Total"/>
    <x v="1"/>
    <x v="0"/>
    <x v="0"/>
    <x v="0"/>
    <n v="68232.58"/>
    <n v="68232.58"/>
    <n v="43.738833333333332"/>
    <m/>
    <m/>
    <s v="41"/>
    <x v="2311"/>
    <x v="0"/>
  </r>
  <r>
    <x v="54"/>
    <x v="596"/>
    <s v="Lacre - Bodega"/>
    <s v="Total"/>
    <x v="1"/>
    <x v="0"/>
    <x v="0"/>
    <x v="0"/>
    <n v="205821.16"/>
    <n v="205821.16"/>
    <n v="131.93664102564102"/>
    <m/>
    <m/>
    <s v="41"/>
    <x v="2311"/>
    <x v="0"/>
  </r>
  <r>
    <x v="54"/>
    <x v="596"/>
    <s v="Lacre - Bodega"/>
    <s v="Total"/>
    <x v="1"/>
    <x v="0"/>
    <x v="0"/>
    <x v="0"/>
    <n v="1021.51"/>
    <n v="1021.51"/>
    <n v="0.65481410256410255"/>
    <s v="Retenciones"/>
    <m/>
    <s v="41"/>
    <x v="2311"/>
    <x v="0"/>
  </r>
  <r>
    <x v="26"/>
    <x v="597"/>
    <s v="Cubiertas Camioneta David"/>
    <s v="Total"/>
    <x v="1"/>
    <x v="0"/>
    <x v="1"/>
    <x v="0"/>
    <n v="290000"/>
    <n v="290000"/>
    <n v="185.89743589743588"/>
    <m/>
    <d v="2025-07-23T00:00:00"/>
    <n v="30"/>
    <x v="2312"/>
    <x v="0"/>
  </r>
  <r>
    <x v="26"/>
    <x v="597"/>
    <s v="Cubiertas Camioneta David"/>
    <s v="Total"/>
    <x v="1"/>
    <x v="0"/>
    <x v="1"/>
    <x v="0"/>
    <n v="288344"/>
    <n v="288344"/>
    <n v="184.83589743589744"/>
    <m/>
    <d v="2025-07-24T00:00:00"/>
    <n v="30"/>
    <x v="2312"/>
    <x v="0"/>
  </r>
  <r>
    <x v="26"/>
    <x v="597"/>
    <s v="Cubiertas Camioneta David"/>
    <s v="Total"/>
    <x v="1"/>
    <x v="0"/>
    <x v="1"/>
    <x v="0"/>
    <n v="500000"/>
    <n v="500000"/>
    <n v="320.5128205128205"/>
    <m/>
    <d v="2025-07-31T00:00:00"/>
    <n v="31"/>
    <x v="2312"/>
    <x v="0"/>
  </r>
  <r>
    <x v="26"/>
    <x v="597"/>
    <s v="Cubiertas Camioneta David"/>
    <s v="Total"/>
    <x v="1"/>
    <x v="0"/>
    <x v="1"/>
    <x v="0"/>
    <n v="311347.93"/>
    <n v="311347.93"/>
    <n v="199.58200641025641"/>
    <m/>
    <d v="2025-09-14T00:00:00"/>
    <n v="38"/>
    <x v="2312"/>
    <x v="0"/>
  </r>
  <r>
    <x v="2"/>
    <x v="597"/>
    <s v="Cubiertas Jeep - for 4x4 cerrillo"/>
    <s v="Total"/>
    <x v="1"/>
    <x v="0"/>
    <x v="2"/>
    <x v="0"/>
    <n v="46311.26"/>
    <n v="46311.26"/>
    <n v="29.68670512820513"/>
    <m/>
    <m/>
    <s v="32"/>
    <x v="2313"/>
    <x v="0"/>
  </r>
  <r>
    <x v="2"/>
    <x v="597"/>
    <s v="Cubiertas Jeep - for 4x4 cerrillo"/>
    <s v="Total"/>
    <x v="1"/>
    <x v="0"/>
    <x v="1"/>
    <x v="0"/>
    <n v="202120"/>
    <n v="202120"/>
    <n v="129.56410256410257"/>
    <m/>
    <d v="2025-07-27T00:00:00"/>
    <n v="31"/>
    <x v="2313"/>
    <x v="0"/>
  </r>
  <r>
    <x v="2"/>
    <x v="597"/>
    <s v="Cubiertas Jeep - for 4x4 cerrillo"/>
    <s v="Total"/>
    <x v="1"/>
    <x v="0"/>
    <x v="1"/>
    <x v="0"/>
    <n v="1000000"/>
    <n v="1000000"/>
    <n v="641.02564102564099"/>
    <m/>
    <d v="2025-08-15T00:00:00"/>
    <n v="33"/>
    <x v="2313"/>
    <x v="0"/>
  </r>
  <r>
    <x v="9"/>
    <x v="597"/>
    <s v="Cubiertas para carro"/>
    <s v="Total"/>
    <x v="1"/>
    <x v="0"/>
    <x v="1"/>
    <x v="0"/>
    <n v="611632.59"/>
    <n v="611632.59"/>
    <n v="392.07217307692304"/>
    <m/>
    <d v="2026-02-27T00:00:00"/>
    <n v="9"/>
    <x v="2314"/>
    <x v="0"/>
  </r>
  <r>
    <x v="9"/>
    <x v="597"/>
    <s v="Cubiertas para carro"/>
    <s v="Total"/>
    <x v="1"/>
    <x v="0"/>
    <x v="1"/>
    <x v="0"/>
    <n v="1183489.43"/>
    <n v="1183489.43"/>
    <n v="758.64707051282051"/>
    <m/>
    <d v="2026-02-27T00:00:00"/>
    <n v="9"/>
    <x v="2314"/>
    <x v="0"/>
  </r>
  <r>
    <x v="9"/>
    <x v="597"/>
    <s v="Cubiertas para carro"/>
    <s v="Total"/>
    <x v="1"/>
    <x v="0"/>
    <x v="0"/>
    <x v="0"/>
    <n v="206197.65"/>
    <n v="206197.65"/>
    <n v="132.17798076923077"/>
    <m/>
    <m/>
    <s v="05"/>
    <x v="2315"/>
    <x v="0"/>
  </r>
  <r>
    <x v="65"/>
    <x v="597"/>
    <s v="Cubierta autoelevadores"/>
    <s v="Total"/>
    <x v="1"/>
    <x v="0"/>
    <x v="1"/>
    <x v="0"/>
    <n v="100000"/>
    <n v="100000"/>
    <n v="64.102564102564102"/>
    <m/>
    <d v="2026-04-25T00:00:00"/>
    <n v="17"/>
    <x v="2316"/>
    <x v="0"/>
  </r>
  <r>
    <x v="65"/>
    <x v="597"/>
    <s v="Cubierta autoelevadores"/>
    <s v="Total"/>
    <x v="1"/>
    <x v="0"/>
    <x v="1"/>
    <x v="0"/>
    <n v="100000"/>
    <n v="100000"/>
    <n v="64.102564102564102"/>
    <m/>
    <d v="2026-05-25T00:00:00"/>
    <n v="22"/>
    <x v="2316"/>
    <x v="0"/>
  </r>
  <r>
    <x v="65"/>
    <x v="597"/>
    <s v="Cubierta autoelevadores"/>
    <s v="Total"/>
    <x v="1"/>
    <x v="0"/>
    <x v="1"/>
    <x v="0"/>
    <n v="115256.86"/>
    <n v="115256.86"/>
    <n v="73.882602564102569"/>
    <m/>
    <d v="2026-06-25T00:00:00"/>
    <n v="26"/>
    <x v="2316"/>
    <x v="0"/>
  </r>
  <r>
    <x v="65"/>
    <x v="597"/>
    <s v="Cubierta autoelevadores"/>
    <s v="Total"/>
    <x v="1"/>
    <x v="0"/>
    <x v="1"/>
    <x v="0"/>
    <n v="743.14"/>
    <n v="743.14"/>
    <n v="0.47637179487179487"/>
    <s v="Retenciones"/>
    <m/>
    <s v="13"/>
    <x v="2316"/>
    <x v="0"/>
  </r>
  <r>
    <x v="57"/>
    <x v="597"/>
    <s v="Cubiertas Chevrolet S10 - Moyano"/>
    <s v="Total"/>
    <x v="1"/>
    <x v="0"/>
    <x v="1"/>
    <x v="0"/>
    <n v="253261.93"/>
    <n v="253261.93"/>
    <n v="162.34739102564103"/>
    <m/>
    <d v="2026-04-14T00:00:00"/>
    <n v="16"/>
    <x v="2317"/>
    <x v="0"/>
  </r>
  <r>
    <x v="57"/>
    <x v="597"/>
    <s v="Cubiertas Chevrolet S10 - Moyano"/>
    <s v="Total"/>
    <x v="1"/>
    <x v="0"/>
    <x v="1"/>
    <x v="0"/>
    <n v="253261.93"/>
    <n v="253261.93"/>
    <n v="162.34739102564103"/>
    <m/>
    <d v="2026-05-14T00:00:00"/>
    <n v="20"/>
    <x v="2317"/>
    <x v="0"/>
  </r>
  <r>
    <x v="57"/>
    <x v="597"/>
    <s v="Cubiertas Chevrolet S10 - Moyano"/>
    <s v="Total"/>
    <x v="1"/>
    <x v="0"/>
    <x v="1"/>
    <x v="0"/>
    <n v="253261.93"/>
    <n v="253261.93"/>
    <n v="162.34739102564103"/>
    <m/>
    <d v="2026-05-29T00:00:00"/>
    <n v="22"/>
    <x v="2317"/>
    <x v="0"/>
  </r>
  <r>
    <x v="57"/>
    <x v="597"/>
    <s v="Cubiertas Chevrolet S10 - Moyano"/>
    <s v="Total"/>
    <x v="1"/>
    <x v="0"/>
    <x v="1"/>
    <x v="0"/>
    <n v="8214.2099999999991"/>
    <n v="8214.2099999999991"/>
    <n v="5.2655192307692298"/>
    <s v="Retenciones"/>
    <m/>
    <s v="16"/>
    <x v="2317"/>
    <x v="0"/>
  </r>
  <r>
    <x v="64"/>
    <x v="597"/>
    <s v="195/65R15 95TXL L-GRIP55 IL"/>
    <s v="Total"/>
    <x v="1"/>
    <x v="0"/>
    <x v="1"/>
    <x v="0"/>
    <n v="568023.04000000004"/>
    <n v="568023.04000000004"/>
    <n v="364.11733333333336"/>
    <m/>
    <d v="2026-06-27T00:00:00"/>
    <n v="26"/>
    <x v="2318"/>
    <x v="0"/>
  </r>
  <r>
    <x v="64"/>
    <x v="597"/>
    <s v="195/65R15 95TXL L-GRIP55 IL"/>
    <s v="Total"/>
    <x v="1"/>
    <x v="0"/>
    <x v="1"/>
    <x v="0"/>
    <n v="568023.04000000004"/>
    <n v="568023.04000000004"/>
    <n v="364.11733333333336"/>
    <m/>
    <d v="2026-07-02T00:00:00"/>
    <n v="27"/>
    <x v="2318"/>
    <x v="0"/>
  </r>
  <r>
    <x v="64"/>
    <x v="597"/>
    <s v="195/65R15 95TXL L-GRIP55 IL"/>
    <s v="Total"/>
    <x v="1"/>
    <x v="0"/>
    <x v="1"/>
    <x v="0"/>
    <n v="14537.92"/>
    <n v="14537.92"/>
    <n v="9.319179487179488"/>
    <s v="Retenciones"/>
    <m/>
    <s v="22"/>
    <x v="2318"/>
    <x v="0"/>
  </r>
  <r>
    <x v="35"/>
    <x v="597"/>
    <s v="Reposición de chueque sin fondos"/>
    <s v="Total"/>
    <x v="1"/>
    <x v="0"/>
    <x v="0"/>
    <x v="0"/>
    <n v="568023.04000000004"/>
    <n v="568023.04000000004"/>
    <n v="364.11733333333336"/>
    <m/>
    <m/>
    <s v="27"/>
    <x v="2319"/>
    <x v="0"/>
  </r>
  <r>
    <x v="32"/>
    <x v="598"/>
    <s v="Cubiertas Nissan"/>
    <s v="Total"/>
    <x v="1"/>
    <x v="1"/>
    <x v="2"/>
    <x v="0"/>
    <n v="5600"/>
    <n v="5600"/>
    <n v="3.5897435897435899"/>
    <m/>
    <m/>
    <s v="09"/>
    <x v="2320"/>
    <x v="0"/>
  </r>
  <r>
    <x v="32"/>
    <x v="598"/>
    <s v="Cubiertas Nissan"/>
    <s v="Total"/>
    <x v="1"/>
    <x v="1"/>
    <x v="1"/>
    <x v="0"/>
    <n v="100000"/>
    <n v="100000"/>
    <n v="64.102564102564102"/>
    <m/>
    <d v="2026-03-05T00:00:00"/>
    <n v="10"/>
    <x v="2320"/>
    <x v="0"/>
  </r>
  <r>
    <x v="32"/>
    <x v="598"/>
    <s v="Cubiertas Nissan"/>
    <s v="Total"/>
    <x v="1"/>
    <x v="1"/>
    <x v="1"/>
    <x v="0"/>
    <n v="300000"/>
    <n v="300000"/>
    <n v="192.30769230769232"/>
    <m/>
    <d v="2026-02-28T00:00:00"/>
    <n v="9"/>
    <x v="2320"/>
    <x v="0"/>
  </r>
  <r>
    <x v="32"/>
    <x v="598"/>
    <s v="Cubiertas Nissan"/>
    <s v="Total"/>
    <x v="1"/>
    <x v="1"/>
    <x v="1"/>
    <x v="0"/>
    <n v="398400"/>
    <n v="398400"/>
    <n v="255.38461538461539"/>
    <m/>
    <d v="2026-02-28T00:00:00"/>
    <n v="9"/>
    <x v="2320"/>
    <x v="0"/>
  </r>
  <r>
    <x v="68"/>
    <x v="599"/>
    <s v="Etiquetas p/frascos 350grs"/>
    <s v="Total"/>
    <x v="1"/>
    <x v="0"/>
    <x v="0"/>
    <x v="0"/>
    <n v="714400"/>
    <n v="714400"/>
    <n v="457.94871794871796"/>
    <s v="Pago 02/06/2025"/>
    <m/>
    <s v="23"/>
    <x v="2321"/>
    <x v="0"/>
  </r>
  <r>
    <x v="67"/>
    <x v="599"/>
    <s v="Etiquetas para Aceite"/>
    <s v="Total"/>
    <x v="1"/>
    <x v="0"/>
    <x v="0"/>
    <x v="0"/>
    <n v="408000"/>
    <n v="408000"/>
    <n v="261.53846153846155"/>
    <m/>
    <m/>
    <s v="24"/>
    <x v="2322"/>
    <x v="0"/>
  </r>
  <r>
    <x v="26"/>
    <x v="599"/>
    <s v="Etiquetas aceite x 5 litros"/>
    <s v="Total"/>
    <x v="1"/>
    <x v="0"/>
    <x v="0"/>
    <x v="0"/>
    <n v="156000"/>
    <n v="156000"/>
    <n v="100"/>
    <m/>
    <m/>
    <s v="29"/>
    <x v="2323"/>
    <x v="0"/>
  </r>
  <r>
    <x v="61"/>
    <x v="599"/>
    <s v="Etiquetas de frasco de 350G"/>
    <s v="Total"/>
    <x v="1"/>
    <x v="0"/>
    <x v="0"/>
    <x v="0"/>
    <n v="1190000"/>
    <n v="1190000"/>
    <n v="762.82051282051282"/>
    <m/>
    <m/>
    <s v="30"/>
    <x v="0"/>
    <x v="0"/>
  </r>
  <r>
    <x v="5"/>
    <x v="599"/>
    <s v="Impresión etiquetas"/>
    <s v="Total"/>
    <x v="1"/>
    <x v="0"/>
    <x v="0"/>
    <x v="0"/>
    <n v="8929"/>
    <n v="8929"/>
    <n v="5.7237179487179484"/>
    <m/>
    <m/>
    <s v="34"/>
    <x v="34"/>
    <x v="0"/>
  </r>
  <r>
    <x v="18"/>
    <x v="599"/>
    <s v="Etiquetas de aceite 2 lts"/>
    <s v="Total"/>
    <x v="1"/>
    <x v="0"/>
    <x v="0"/>
    <x v="0"/>
    <n v="107000"/>
    <n v="107000"/>
    <n v="68.589743589743591"/>
    <m/>
    <m/>
    <s v="39"/>
    <x v="2324"/>
    <x v="0"/>
  </r>
  <r>
    <x v="29"/>
    <x v="599"/>
    <s v="Etiquetas para frasco"/>
    <s v="Total"/>
    <x v="1"/>
    <x v="0"/>
    <x v="1"/>
    <x v="0"/>
    <n v="316000"/>
    <n v="316000"/>
    <n v="202.56410256410257"/>
    <m/>
    <m/>
    <s v="42"/>
    <x v="2325"/>
    <x v="0"/>
  </r>
  <r>
    <x v="5"/>
    <x v="599"/>
    <m/>
    <s v="Total"/>
    <x v="1"/>
    <x v="0"/>
    <x v="1"/>
    <x v="0"/>
    <n v="347407.23"/>
    <n v="347407.23"/>
    <n v="222.6969423076923"/>
    <m/>
    <d v="2025-10-02T00:00:00"/>
    <n v="40"/>
    <x v="2326"/>
    <x v="0"/>
  </r>
  <r>
    <x v="31"/>
    <x v="599"/>
    <s v="Etiquetas para frascos 350gr"/>
    <s v="Total"/>
    <x v="1"/>
    <x v="0"/>
    <x v="0"/>
    <x v="0"/>
    <n v="504592.77"/>
    <n v="504592.77"/>
    <n v="323.45690384615386"/>
    <m/>
    <m/>
    <s v="45"/>
    <x v="2327"/>
    <x v="0"/>
  </r>
  <r>
    <x v="7"/>
    <x v="599"/>
    <s v="Etiquetas de Aceite"/>
    <s v="Total"/>
    <x v="1"/>
    <x v="0"/>
    <x v="0"/>
    <x v="0"/>
    <n v="1088000"/>
    <n v="1088000"/>
    <n v="697.43589743589746"/>
    <m/>
    <m/>
    <s v="46"/>
    <x v="2328"/>
    <x v="0"/>
  </r>
  <r>
    <x v="4"/>
    <x v="599"/>
    <s v="Etiquetas"/>
    <s v="Total"/>
    <x v="1"/>
    <x v="0"/>
    <x v="0"/>
    <x v="0"/>
    <n v="857000"/>
    <n v="857000"/>
    <n v="549.35897435897436"/>
    <m/>
    <m/>
    <s v="51"/>
    <x v="2329"/>
    <x v="0"/>
  </r>
  <r>
    <x v="16"/>
    <x v="599"/>
    <s v="Etiquetas para frascos rellena"/>
    <s v="Total"/>
    <x v="1"/>
    <x v="0"/>
    <x v="0"/>
    <x v="0"/>
    <n v="780000"/>
    <n v="780000"/>
    <n v="500"/>
    <m/>
    <m/>
    <s v="43"/>
    <x v="2330"/>
    <x v="0"/>
  </r>
  <r>
    <x v="47"/>
    <x v="600"/>
    <s v="Etiquetas"/>
    <s v="Total"/>
    <x v="1"/>
    <x v="0"/>
    <x v="1"/>
    <x v="0"/>
    <n v="197433"/>
    <n v="197433"/>
    <n v="126.55961538461538"/>
    <m/>
    <d v="2026-06-20T00:00:00"/>
    <n v="25"/>
    <x v="2331"/>
    <x v="0"/>
  </r>
  <r>
    <x v="47"/>
    <x v="600"/>
    <s v="Etiquetas"/>
    <s v="Total"/>
    <x v="1"/>
    <x v="0"/>
    <x v="1"/>
    <x v="0"/>
    <n v="430000"/>
    <n v="430000"/>
    <n v="275.64102564102564"/>
    <m/>
    <d v="2026-06-17T00:00:00"/>
    <n v="25"/>
    <x v="2331"/>
    <x v="0"/>
  </r>
  <r>
    <x v="47"/>
    <x v="600"/>
    <s v="Etiquetas"/>
    <s v="Total"/>
    <x v="1"/>
    <x v="0"/>
    <x v="1"/>
    <x v="0"/>
    <n v="659050"/>
    <n v="659050"/>
    <n v="422.46794871794873"/>
    <m/>
    <d v="2026-06-02T00:00:00"/>
    <n v="23"/>
    <x v="2331"/>
    <x v="0"/>
  </r>
  <r>
    <x v="22"/>
    <x v="600"/>
    <s v="Etiquetas - pedido ventas"/>
    <s v="Total"/>
    <x v="2"/>
    <x v="0"/>
    <x v="0"/>
    <x v="0"/>
    <n v="1140517"/>
    <n v="1140517"/>
    <n v="731.10064102564104"/>
    <m/>
    <m/>
    <s v="23"/>
    <x v="2332"/>
    <x v="0"/>
  </r>
  <r>
    <x v="22"/>
    <x v="600"/>
    <s v="Etiquetas para frascos 350gr"/>
    <s v="Total"/>
    <x v="1"/>
    <x v="0"/>
    <x v="0"/>
    <x v="0"/>
    <n v="525000"/>
    <n v="525000"/>
    <n v="336.53846153846155"/>
    <m/>
    <m/>
    <s v="23"/>
    <x v="2333"/>
    <x v="0"/>
  </r>
  <r>
    <x v="44"/>
    <x v="600"/>
    <s v="Etiquetas para frascos 350gr"/>
    <s v="Total"/>
    <x v="1"/>
    <x v="0"/>
    <x v="0"/>
    <x v="0"/>
    <n v="1000000"/>
    <n v="1000000"/>
    <n v="641.02564102564099"/>
    <m/>
    <m/>
    <s v="31"/>
    <x v="2334"/>
    <x v="0"/>
  </r>
  <r>
    <x v="38"/>
    <x v="600"/>
    <s v="Etiquetas para frascos 350gr"/>
    <s v="Total"/>
    <x v="2"/>
    <x v="0"/>
    <x v="2"/>
    <x v="0"/>
    <n v="640000"/>
    <n v="640000"/>
    <n v="410.25641025641028"/>
    <m/>
    <m/>
    <s v="32"/>
    <x v="2335"/>
    <x v="0"/>
  </r>
  <r>
    <x v="12"/>
    <x v="600"/>
    <s v="Etiquetas"/>
    <s v="Total"/>
    <x v="1"/>
    <x v="0"/>
    <x v="1"/>
    <x v="0"/>
    <n v="1681000"/>
    <n v="1681000"/>
    <n v="1077.5641025641025"/>
    <m/>
    <d v="2026-08-28T00:00:00"/>
    <n v="35"/>
    <x v="2336"/>
    <x v="0"/>
  </r>
  <r>
    <x v="77"/>
    <x v="600"/>
    <s v="Impreción etiqueta baldes"/>
    <s v="Total"/>
    <x v="1"/>
    <x v="0"/>
    <x v="2"/>
    <x v="0"/>
    <n v="300000"/>
    <n v="300000"/>
    <n v="192.30769230769232"/>
    <m/>
    <m/>
    <s v="35"/>
    <x v="2337"/>
    <x v="0"/>
  </r>
  <r>
    <x v="71"/>
    <x v="600"/>
    <s v="Impreción etiqueta baldes"/>
    <s v="Total"/>
    <x v="2"/>
    <x v="0"/>
    <x v="2"/>
    <x v="0"/>
    <n v="250000"/>
    <n v="250000"/>
    <n v="160.25641025641025"/>
    <m/>
    <m/>
    <s v="36"/>
    <x v="2338"/>
    <x v="0"/>
  </r>
  <r>
    <x v="39"/>
    <x v="600"/>
    <s v="Pedido Ventas - Etiquetas"/>
    <s v="Total"/>
    <x v="1"/>
    <x v="0"/>
    <x v="0"/>
    <x v="0"/>
    <n v="1000000"/>
    <n v="1000000"/>
    <n v="641.02564102564099"/>
    <m/>
    <m/>
    <s v="38"/>
    <x v="2339"/>
    <x v="0"/>
  </r>
  <r>
    <x v="39"/>
    <x v="600"/>
    <s v="Pedido Ventas - Etiquetas"/>
    <s v="Total"/>
    <x v="1"/>
    <x v="0"/>
    <x v="0"/>
    <x v="0"/>
    <n v="2000000"/>
    <n v="2000000"/>
    <n v="1282.051282051282"/>
    <m/>
    <m/>
    <s v="38"/>
    <x v="2340"/>
    <x v="0"/>
  </r>
  <r>
    <x v="40"/>
    <x v="600"/>
    <s v="Pedido Ventas - Etiquetas"/>
    <s v="Total"/>
    <x v="2"/>
    <x v="0"/>
    <x v="2"/>
    <x v="0"/>
    <n v="700000"/>
    <n v="700000"/>
    <n v="448.71794871794873"/>
    <m/>
    <m/>
    <s v="40"/>
    <x v="2341"/>
    <x v="0"/>
  </r>
  <r>
    <x v="46"/>
    <x v="600"/>
    <s v="etiqueta baldes"/>
    <s v="Total"/>
    <x v="1"/>
    <x v="0"/>
    <x v="1"/>
    <x v="0"/>
    <n v="500000"/>
    <n v="500000"/>
    <n v="320.5128205128205"/>
    <m/>
    <m/>
    <s v="42"/>
    <x v="2342"/>
    <x v="0"/>
  </r>
  <r>
    <x v="46"/>
    <x v="600"/>
    <s v="etiqueta baldes"/>
    <s v="Total"/>
    <x v="1"/>
    <x v="0"/>
    <x v="1"/>
    <x v="0"/>
    <n v="376675"/>
    <n v="376675"/>
    <n v="241.45833333333334"/>
    <m/>
    <m/>
    <s v="42"/>
    <x v="2342"/>
    <x v="0"/>
  </r>
  <r>
    <x v="46"/>
    <x v="600"/>
    <s v="etiqueta baldes"/>
    <s v="Total"/>
    <x v="0"/>
    <x v="0"/>
    <x v="0"/>
    <x v="0"/>
    <n v="1000000"/>
    <n v="1000000"/>
    <n v="641.02564102564099"/>
    <m/>
    <m/>
    <s v="42"/>
    <x v="2343"/>
    <x v="0"/>
  </r>
  <r>
    <x v="46"/>
    <x v="600"/>
    <s v="etiqueta baldes"/>
    <s v="Total"/>
    <x v="2"/>
    <x v="0"/>
    <x v="2"/>
    <x v="0"/>
    <n v="500000"/>
    <n v="500000"/>
    <n v="320.5128205128205"/>
    <s v="Chachos"/>
    <m/>
    <s v="42"/>
    <x v="2343"/>
    <x v="0"/>
  </r>
  <r>
    <x v="46"/>
    <x v="600"/>
    <s v="etiqueta baldes"/>
    <s v="Total"/>
    <x v="2"/>
    <x v="0"/>
    <x v="1"/>
    <x v="0"/>
    <n v="200000"/>
    <n v="200000"/>
    <n v="128.2051282051282"/>
    <m/>
    <d v="2026-10-29T00:00:00"/>
    <n v="44"/>
    <x v="2344"/>
    <x v="0"/>
  </r>
  <r>
    <x v="46"/>
    <x v="600"/>
    <s v="etiqueta baldes"/>
    <s v="Total"/>
    <x v="2"/>
    <x v="0"/>
    <x v="1"/>
    <x v="0"/>
    <n v="204587"/>
    <n v="204587"/>
    <n v="131.14551282051283"/>
    <m/>
    <d v="2026-11-05T00:00:00"/>
    <n v="45"/>
    <x v="2344"/>
    <x v="0"/>
  </r>
  <r>
    <x v="46"/>
    <x v="600"/>
    <s v="etiqueta baldes"/>
    <s v="Total"/>
    <x v="2"/>
    <x v="0"/>
    <x v="1"/>
    <x v="0"/>
    <n v="207516"/>
    <n v="207516"/>
    <n v="133.02307692307693"/>
    <m/>
    <d v="2026-10-29T00:00:00"/>
    <n v="44"/>
    <x v="2344"/>
    <x v="0"/>
  </r>
  <r>
    <x v="46"/>
    <x v="600"/>
    <s v="etiqueta baldes"/>
    <s v="Total"/>
    <x v="2"/>
    <x v="0"/>
    <x v="1"/>
    <x v="0"/>
    <n v="853222"/>
    <n v="853222"/>
    <n v="546.93717948717949"/>
    <m/>
    <d v="2026-10-30T00:00:00"/>
    <n v="44"/>
    <x v="2344"/>
    <x v="0"/>
  </r>
  <r>
    <x v="57"/>
    <x v="601"/>
    <s v="Motores -  pedido planta"/>
    <s v="Total"/>
    <x v="1"/>
    <x v="0"/>
    <x v="1"/>
    <x v="0"/>
    <n v="1603627.92"/>
    <n v="1603627.92"/>
    <n v="1027.9666153846154"/>
    <m/>
    <d v="2026-05-17T00:00:00"/>
    <n v="21"/>
    <x v="2345"/>
    <x v="0"/>
  </r>
  <r>
    <x v="57"/>
    <x v="601"/>
    <s v="Motores -  pedido planta"/>
    <s v="Total"/>
    <x v="1"/>
    <x v="0"/>
    <x v="1"/>
    <x v="0"/>
    <n v="1603627.91"/>
    <n v="1603627.91"/>
    <n v="1027.9666089743589"/>
    <m/>
    <d v="2026-06-17T00:00:00"/>
    <n v="25"/>
    <x v="2345"/>
    <x v="0"/>
  </r>
  <r>
    <x v="57"/>
    <x v="601"/>
    <s v="Motores -  pedido planta"/>
    <s v="Total"/>
    <x v="1"/>
    <x v="0"/>
    <x v="1"/>
    <x v="0"/>
    <n v="49348.17"/>
    <n v="49348.17"/>
    <n v="31.633442307692306"/>
    <s v="Retenciones"/>
    <m/>
    <s v="16"/>
    <x v="2345"/>
    <x v="0"/>
  </r>
  <r>
    <x v="37"/>
    <x v="602"/>
    <s v="Flete Aceituna 2026 "/>
    <s v="Total"/>
    <x v="1"/>
    <x v="1"/>
    <x v="1"/>
    <x v="0"/>
    <n v="1200000"/>
    <n v="1200000"/>
    <n v="769.23076923076928"/>
    <m/>
    <m/>
    <s v="29"/>
    <x v="2346"/>
    <x v="0"/>
  </r>
  <r>
    <x v="37"/>
    <x v="602"/>
    <s v="Flete Aceituna 2026 "/>
    <s v="Total"/>
    <x v="1"/>
    <x v="1"/>
    <x v="1"/>
    <x v="0"/>
    <n v="2000000"/>
    <n v="2000000"/>
    <n v="1282.051282051282"/>
    <m/>
    <m/>
    <s v="29"/>
    <x v="2346"/>
    <x v="0"/>
  </r>
  <r>
    <x v="58"/>
    <x v="602"/>
    <s v="Flete Fruta campaña 2026"/>
    <s v="Total"/>
    <x v="8"/>
    <x v="0"/>
    <x v="1"/>
    <x v="0"/>
    <n v="1328280"/>
    <n v="1328280"/>
    <n v="851.46153846153845"/>
    <m/>
    <d v="2026-08-12T00:00:00"/>
    <n v="33"/>
    <x v="2347"/>
    <x v="0"/>
  </r>
  <r>
    <x v="58"/>
    <x v="602"/>
    <s v="Flete Fruta campaña 2026"/>
    <s v="Total"/>
    <x v="2"/>
    <x v="0"/>
    <x v="2"/>
    <x v="0"/>
    <n v="171720"/>
    <n v="171720"/>
    <n v="110.07692307692308"/>
    <m/>
    <d v="2026-08-12T00:00:00"/>
    <n v="33"/>
    <x v="2347"/>
    <x v="0"/>
  </r>
  <r>
    <x v="44"/>
    <x v="602"/>
    <s v="Fletes campaña 2026"/>
    <s v="Total"/>
    <x v="0"/>
    <x v="1"/>
    <x v="2"/>
    <x v="0"/>
    <n v="500000"/>
    <n v="500000"/>
    <n v="320.5128205128205"/>
    <m/>
    <m/>
    <s v="31"/>
    <x v="2348"/>
    <x v="0"/>
  </r>
  <r>
    <x v="71"/>
    <x v="602"/>
    <s v="Flete cosecha 2026"/>
    <s v="Total"/>
    <x v="2"/>
    <x v="1"/>
    <x v="2"/>
    <x v="0"/>
    <n v="300000"/>
    <n v="300000"/>
    <n v="192.30769230769232"/>
    <m/>
    <m/>
    <s v="36"/>
    <x v="2349"/>
    <x v="0"/>
  </r>
  <r>
    <x v="11"/>
    <x v="602"/>
    <s v="Flete cosecha 2026"/>
    <s v="Total"/>
    <x v="2"/>
    <x v="1"/>
    <x v="2"/>
    <x v="0"/>
    <n v="200000"/>
    <n v="200000"/>
    <n v="128.2051282051282"/>
    <m/>
    <m/>
    <s v="37"/>
    <x v="2350"/>
    <x v="0"/>
  </r>
  <r>
    <x v="40"/>
    <x v="602"/>
    <s v="Flete cosecha 2026"/>
    <s v="Total"/>
    <x v="2"/>
    <x v="1"/>
    <x v="2"/>
    <x v="0"/>
    <n v="100000"/>
    <n v="100000"/>
    <n v="64.102564102564102"/>
    <m/>
    <m/>
    <s v="40"/>
    <x v="546"/>
    <x v="0"/>
  </r>
  <r>
    <x v="52"/>
    <x v="603"/>
    <s v="Prucuctos  Pedido Luciano H"/>
    <s v="Total"/>
    <x v="1"/>
    <x v="0"/>
    <x v="2"/>
    <x v="0"/>
    <n v="377325"/>
    <n v="377325"/>
    <n v="241.875"/>
    <m/>
    <m/>
    <s v="38"/>
    <x v="2351"/>
    <x v="0"/>
  </r>
  <r>
    <x v="30"/>
    <x v="603"/>
    <s v="Pedido Casa Doctor"/>
    <s v="Total"/>
    <x v="1"/>
    <x v="0"/>
    <x v="0"/>
    <x v="0"/>
    <n v="39600"/>
    <n v="39600"/>
    <n v="25.384615384615383"/>
    <m/>
    <m/>
    <s v="43"/>
    <x v="2352"/>
    <x v="0"/>
  </r>
  <r>
    <x v="63"/>
    <x v="603"/>
    <s v="Pedido Casa Doctor"/>
    <s v="Total"/>
    <x v="1"/>
    <x v="0"/>
    <x v="0"/>
    <x v="0"/>
    <n v="110450"/>
    <n v="110450"/>
    <n v="70.801282051282058"/>
    <m/>
    <m/>
    <s v="44"/>
    <x v="2353"/>
    <x v="0"/>
  </r>
  <r>
    <x v="31"/>
    <x v="603"/>
    <s v="Compras casa"/>
    <s v="Total"/>
    <x v="1"/>
    <x v="0"/>
    <x v="0"/>
    <x v="0"/>
    <n v="105600"/>
    <n v="105600"/>
    <n v="67.692307692307693"/>
    <m/>
    <m/>
    <s v="45"/>
    <x v="2354"/>
    <x v="0"/>
  </r>
  <r>
    <x v="10"/>
    <x v="603"/>
    <s v="almuerzo fin de capacitacón"/>
    <s v="Total"/>
    <x v="1"/>
    <x v="0"/>
    <x v="0"/>
    <x v="0"/>
    <n v="153550"/>
    <n v="153550"/>
    <n v="98.429487179487182"/>
    <m/>
    <m/>
    <s v="48"/>
    <x v="2355"/>
    <x v="0"/>
  </r>
  <r>
    <x v="4"/>
    <x v="603"/>
    <s v="Casa"/>
    <s v="Total"/>
    <x v="1"/>
    <x v="0"/>
    <x v="0"/>
    <x v="0"/>
    <n v="205200"/>
    <n v="205200"/>
    <n v="131.53846153846155"/>
    <m/>
    <m/>
    <s v="51"/>
    <x v="2356"/>
    <x v="0"/>
  </r>
  <r>
    <x v="4"/>
    <x v="603"/>
    <s v="Pedido Dr Beder"/>
    <s v="Total"/>
    <x v="1"/>
    <x v="0"/>
    <x v="0"/>
    <x v="0"/>
    <n v="37200"/>
    <n v="37200"/>
    <n v="23.846153846153847"/>
    <m/>
    <m/>
    <s v="51"/>
    <x v="2357"/>
    <x v="0"/>
  </r>
  <r>
    <x v="73"/>
    <x v="603"/>
    <s v="Compras casa"/>
    <s v="Total"/>
    <x v="2"/>
    <x v="0"/>
    <x v="2"/>
    <x v="0"/>
    <n v="142470"/>
    <n v="142470"/>
    <n v="91.32692307692308"/>
    <m/>
    <m/>
    <s v="10"/>
    <x v="2358"/>
    <x v="0"/>
  </r>
  <r>
    <x v="24"/>
    <x v="603"/>
    <s v="Pedido Casa Doctor"/>
    <s v="Total"/>
    <x v="2"/>
    <x v="0"/>
    <x v="2"/>
    <x v="0"/>
    <n v="70700"/>
    <n v="70700"/>
    <n v="45.320512820512818"/>
    <m/>
    <m/>
    <s v="14"/>
    <x v="2359"/>
    <x v="0"/>
  </r>
  <r>
    <x v="65"/>
    <x v="603"/>
    <s v="Pedido Casa Doctor"/>
    <s v="Total"/>
    <x v="2"/>
    <x v="0"/>
    <x v="2"/>
    <x v="0"/>
    <n v="76550"/>
    <n v="76550"/>
    <n v="49.070512820512818"/>
    <m/>
    <m/>
    <s v="13"/>
    <x v="2360"/>
    <x v="0"/>
  </r>
  <r>
    <x v="65"/>
    <x v="603"/>
    <s v="Pedido Casa Doctor"/>
    <s v="Total"/>
    <x v="2"/>
    <x v="0"/>
    <x v="2"/>
    <x v="0"/>
    <n v="33000"/>
    <n v="33000"/>
    <n v="21.153846153846153"/>
    <m/>
    <m/>
    <s v="13"/>
    <x v="2361"/>
    <x v="0"/>
  </r>
  <r>
    <x v="20"/>
    <x v="603"/>
    <s v="Casa LH / Administración / Planta"/>
    <s v="Total"/>
    <x v="2"/>
    <x v="0"/>
    <x v="2"/>
    <x v="0"/>
    <n v="49800"/>
    <n v="49800"/>
    <n v="31.923076923076923"/>
    <m/>
    <m/>
    <s v="15"/>
    <x v="2362"/>
    <x v="0"/>
  </r>
  <r>
    <x v="57"/>
    <x v="603"/>
    <s v="Pedido Casa Doctor"/>
    <s v="Total"/>
    <x v="2"/>
    <x v="0"/>
    <x v="2"/>
    <x v="0"/>
    <n v="33000"/>
    <n v="33000"/>
    <n v="21.153846153846153"/>
    <m/>
    <m/>
    <s v="16"/>
    <x v="2363"/>
    <x v="0"/>
  </r>
  <r>
    <x v="47"/>
    <x v="603"/>
    <s v="Pedido Casa Doctor"/>
    <s v="Total"/>
    <x v="2"/>
    <x v="0"/>
    <x v="2"/>
    <x v="0"/>
    <n v="167550"/>
    <n v="167550"/>
    <n v="107.40384615384616"/>
    <m/>
    <m/>
    <s v="20"/>
    <x v="2364"/>
    <x v="0"/>
  </r>
  <r>
    <x v="64"/>
    <x v="603"/>
    <s v="Pedido Casa Doctor"/>
    <s v="Total"/>
    <x v="2"/>
    <x v="0"/>
    <x v="2"/>
    <x v="0"/>
    <n v="58400"/>
    <n v="58400"/>
    <n v="37.435897435897438"/>
    <m/>
    <m/>
    <s v="22"/>
    <x v="2365"/>
    <x v="0"/>
  </r>
  <r>
    <x v="64"/>
    <x v="603"/>
    <s v="Pedido Casa Doctor"/>
    <s v="Total"/>
    <x v="2"/>
    <x v="0"/>
    <x v="2"/>
    <x v="0"/>
    <n v="36700"/>
    <n v="36700"/>
    <n v="23.525641025641026"/>
    <m/>
    <m/>
    <s v="22"/>
    <x v="2366"/>
    <x v="0"/>
  </r>
  <r>
    <x v="22"/>
    <x v="603"/>
    <s v="Gastos casa "/>
    <s v="Total"/>
    <x v="1"/>
    <x v="0"/>
    <x v="0"/>
    <x v="0"/>
    <n v="281300"/>
    <n v="281300"/>
    <n v="180.32051282051282"/>
    <m/>
    <m/>
    <s v="23"/>
    <x v="2367"/>
    <x v="0"/>
  </r>
  <r>
    <x v="45"/>
    <x v="603"/>
    <s v="Pedido Casa Doctor"/>
    <s v="Total"/>
    <x v="1"/>
    <x v="0"/>
    <x v="0"/>
    <x v="0"/>
    <n v="140400"/>
    <n v="140400"/>
    <n v="90"/>
    <m/>
    <m/>
    <s v="25"/>
    <x v="2368"/>
    <x v="0"/>
  </r>
  <r>
    <x v="45"/>
    <x v="603"/>
    <s v="Pedido Casa Doctor"/>
    <s v="Total"/>
    <x v="1"/>
    <x v="0"/>
    <x v="0"/>
    <x v="0"/>
    <n v="72100"/>
    <n v="72100"/>
    <n v="46.217948717948715"/>
    <m/>
    <m/>
    <s v="25"/>
    <x v="2369"/>
    <x v="0"/>
  </r>
  <r>
    <x v="35"/>
    <x v="603"/>
    <s v="Pedido Casa Doctor"/>
    <s v="Total"/>
    <x v="2"/>
    <x v="0"/>
    <x v="2"/>
    <x v="0"/>
    <n v="55400"/>
    <n v="55400"/>
    <n v="35.512820512820511"/>
    <m/>
    <m/>
    <s v="27"/>
    <x v="2370"/>
    <x v="0"/>
  </r>
  <r>
    <x v="37"/>
    <x v="603"/>
    <s v="Pedido Casa Doctor"/>
    <s v="Total"/>
    <x v="2"/>
    <x v="0"/>
    <x v="2"/>
    <x v="0"/>
    <n v="96100"/>
    <n v="96100"/>
    <n v="61.602564102564102"/>
    <m/>
    <m/>
    <s v="29"/>
    <x v="2371"/>
    <x v="0"/>
  </r>
  <r>
    <x v="58"/>
    <x v="603"/>
    <s v="Pedido Casa Doctor"/>
    <s v="Total"/>
    <x v="2"/>
    <x v="0"/>
    <x v="2"/>
    <x v="0"/>
    <n v="144000"/>
    <n v="144000"/>
    <n v="92.307692307692307"/>
    <m/>
    <m/>
    <s v="30"/>
    <x v="2372"/>
    <x v="0"/>
  </r>
  <r>
    <x v="58"/>
    <x v="603"/>
    <s v="Pedido Casa Doctor"/>
    <s v="Total"/>
    <x v="2"/>
    <x v="0"/>
    <x v="2"/>
    <x v="0"/>
    <n v="72600"/>
    <n v="72600"/>
    <n v="46.53846153846154"/>
    <m/>
    <m/>
    <s v="30"/>
    <x v="2373"/>
    <x v="0"/>
  </r>
  <r>
    <x v="44"/>
    <x v="603"/>
    <s v="Compras casa Doctor"/>
    <s v="Total"/>
    <x v="2"/>
    <x v="0"/>
    <x v="2"/>
    <x v="0"/>
    <n v="79200"/>
    <n v="79200"/>
    <n v="50.769230769230766"/>
    <m/>
    <m/>
    <s v="31"/>
    <x v="2374"/>
    <x v="0"/>
  </r>
  <r>
    <x v="44"/>
    <x v="603"/>
    <s v="Compras casa Doctor"/>
    <s v="Total"/>
    <x v="2"/>
    <x v="0"/>
    <x v="2"/>
    <x v="0"/>
    <n v="154200"/>
    <n v="154200"/>
    <n v="98.84615384615384"/>
    <m/>
    <m/>
    <s v="31"/>
    <x v="2375"/>
    <x v="0"/>
  </r>
  <r>
    <x v="38"/>
    <x v="603"/>
    <s v="Pedido Casa Doctor"/>
    <s v="Total"/>
    <x v="2"/>
    <x v="0"/>
    <x v="2"/>
    <x v="0"/>
    <n v="158400"/>
    <n v="158400"/>
    <n v="101.53846153846153"/>
    <m/>
    <m/>
    <s v="32"/>
    <x v="2376"/>
    <x v="0"/>
  </r>
  <r>
    <x v="38"/>
    <x v="603"/>
    <s v="Compras sin facturas V2 - Pedidos casa Doc."/>
    <s v="Total"/>
    <x v="2"/>
    <x v="1"/>
    <x v="2"/>
    <x v="0"/>
    <n v="428550"/>
    <n v="428550"/>
    <n v="274.71153846153845"/>
    <m/>
    <m/>
    <s v="32"/>
    <x v="2377"/>
    <x v="0"/>
  </r>
  <r>
    <x v="38"/>
    <x v="603"/>
    <s v="Pedido Casa Doctor"/>
    <s v="Total"/>
    <x v="2"/>
    <x v="0"/>
    <x v="2"/>
    <x v="0"/>
    <n v="77400"/>
    <n v="77400"/>
    <n v="49.615384615384613"/>
    <m/>
    <m/>
    <s v="32"/>
    <x v="2378"/>
    <x v="0"/>
  </r>
  <r>
    <x v="12"/>
    <x v="603"/>
    <s v="Pedido Casa Doctor"/>
    <s v="Total"/>
    <x v="2"/>
    <x v="0"/>
    <x v="2"/>
    <x v="0"/>
    <n v="22700"/>
    <n v="22700"/>
    <n v="14.551282051282051"/>
    <m/>
    <m/>
    <s v="33"/>
    <x v="2379"/>
    <x v="0"/>
  </r>
  <r>
    <x v="77"/>
    <x v="603"/>
    <s v="Pedido Casa Doctor"/>
    <s v="Total"/>
    <x v="2"/>
    <x v="0"/>
    <x v="2"/>
    <x v="0"/>
    <n v="333800"/>
    <n v="333800"/>
    <n v="213.97435897435898"/>
    <m/>
    <m/>
    <s v="35"/>
    <x v="2380"/>
    <x v="0"/>
  </r>
  <r>
    <x v="77"/>
    <x v="603"/>
    <s v="Pedido Casa Doctor"/>
    <s v="Total"/>
    <x v="2"/>
    <x v="0"/>
    <x v="2"/>
    <x v="0"/>
    <n v="91900"/>
    <n v="91900"/>
    <n v="58.910256410256409"/>
    <m/>
    <m/>
    <s v="35"/>
    <x v="535"/>
    <x v="0"/>
  </r>
  <r>
    <x v="11"/>
    <x v="603"/>
    <s v="Pedido Casa Doctor"/>
    <s v="Total"/>
    <x v="2"/>
    <x v="0"/>
    <x v="2"/>
    <x v="0"/>
    <n v="20400"/>
    <n v="20400"/>
    <n v="13.076923076923077"/>
    <m/>
    <m/>
    <s v="37"/>
    <x v="2381"/>
    <x v="0"/>
  </r>
  <r>
    <x v="39"/>
    <x v="603"/>
    <s v="Pedido Casa Doctor"/>
    <s v="Total"/>
    <x v="2"/>
    <x v="0"/>
    <x v="2"/>
    <x v="0"/>
    <n v="30600"/>
    <n v="30600"/>
    <n v="19.615384615384617"/>
    <m/>
    <m/>
    <s v="38"/>
    <x v="2382"/>
    <x v="0"/>
  </r>
  <r>
    <x v="54"/>
    <x v="603"/>
    <s v="Pedido Casa Doctor"/>
    <s v="Total"/>
    <x v="2"/>
    <x v="0"/>
    <x v="2"/>
    <x v="0"/>
    <n v="70650"/>
    <n v="70650"/>
    <n v="45.28846153846154"/>
    <m/>
    <m/>
    <s v="41"/>
    <x v="2383"/>
    <x v="0"/>
  </r>
  <r>
    <x v="54"/>
    <x v="603"/>
    <s v="Pedido Casa Doctor"/>
    <s v="Total"/>
    <x v="2"/>
    <x v="0"/>
    <x v="2"/>
    <x v="0"/>
    <n v="8500"/>
    <n v="8500"/>
    <n v="5.4487179487179489"/>
    <m/>
    <m/>
    <s v="41"/>
    <x v="2384"/>
    <x v="0"/>
  </r>
  <r>
    <x v="54"/>
    <x v="603"/>
    <s v="Pedido Casa Doctor"/>
    <s v="Total"/>
    <x v="2"/>
    <x v="0"/>
    <x v="2"/>
    <x v="0"/>
    <n v="53600"/>
    <n v="53600"/>
    <n v="34.358974358974358"/>
    <m/>
    <m/>
    <s v="41"/>
    <x v="2385"/>
    <x v="0"/>
  </r>
  <r>
    <x v="16"/>
    <x v="603"/>
    <s v="Pedido Casa Doctor"/>
    <s v="Total"/>
    <x v="2"/>
    <x v="0"/>
    <x v="2"/>
    <x v="0"/>
    <n v="26600"/>
    <n v="26600"/>
    <n v="17.051282051282051"/>
    <m/>
    <m/>
    <s v="43"/>
    <x v="2386"/>
    <x v="0"/>
  </r>
  <r>
    <x v="48"/>
    <x v="604"/>
    <s v="Limpieza techo Casa Doctor."/>
    <s v="Total"/>
    <x v="1"/>
    <x v="1"/>
    <x v="2"/>
    <x v="0"/>
    <n v="20000"/>
    <n v="20000"/>
    <n v="12.820512820512821"/>
    <m/>
    <m/>
    <s v="16"/>
    <x v="0"/>
    <x v="0"/>
  </r>
  <r>
    <x v="14"/>
    <x v="605"/>
    <s v="Jugo p/Sangria"/>
    <s v="Total"/>
    <x v="1"/>
    <x v="0"/>
    <x v="1"/>
    <x v="0"/>
    <n v="44862288"/>
    <n v="44862288"/>
    <n v="28757.876923076925"/>
    <m/>
    <d v="2025-12-21T00:00:00"/>
    <n v="52"/>
    <x v="2387"/>
    <x v="0"/>
  </r>
  <r>
    <x v="14"/>
    <x v="605"/>
    <s v="Jugo p/Sangria"/>
    <s v="Total"/>
    <x v="1"/>
    <x v="0"/>
    <x v="1"/>
    <x v="0"/>
    <n v="44862288"/>
    <n v="44862288"/>
    <n v="28757.876923076925"/>
    <m/>
    <d v="2026-01-20T00:00:00"/>
    <n v="4"/>
    <x v="2387"/>
    <x v="0"/>
  </r>
  <r>
    <x v="3"/>
    <x v="542"/>
    <s v="Honorarios"/>
    <s v="Total"/>
    <x v="3"/>
    <x v="0"/>
    <x v="0"/>
    <x v="0"/>
    <n v="0"/>
    <n v="0"/>
    <n v="0"/>
    <m/>
    <m/>
    <s v="44"/>
    <x v="0"/>
    <x v="1"/>
  </r>
  <r>
    <x v="3"/>
    <x v="546"/>
    <s v="Pedido agroquimicos campo"/>
    <s v="Total"/>
    <x v="0"/>
    <x v="0"/>
    <x v="1"/>
    <x v="1"/>
    <n v="7233.1383006535943"/>
    <n v="11283695.749019608"/>
    <n v="7233.1383006535953"/>
    <m/>
    <m/>
    <s v="44"/>
    <x v="0"/>
    <x v="1"/>
  </r>
  <r>
    <x v="3"/>
    <x v="547"/>
    <s v="Deuda Tecnica de Samuel Carrasco SAS - Operativa"/>
    <s v="Total"/>
    <x v="0"/>
    <x v="0"/>
    <x v="1"/>
    <x v="0"/>
    <n v="1907092.63"/>
    <n v="1907092.63"/>
    <n v="1222.4952756410255"/>
    <m/>
    <m/>
    <s v="44"/>
    <x v="0"/>
    <x v="1"/>
  </r>
  <r>
    <x v="3"/>
    <x v="565"/>
    <s v="Campaña 2025"/>
    <s v="Total"/>
    <x v="7"/>
    <x v="0"/>
    <x v="1"/>
    <x v="1"/>
    <n v="24742"/>
    <n v="38597520"/>
    <n v="24742"/>
    <m/>
    <m/>
    <s v="44"/>
    <x v="0"/>
    <x v="1"/>
  </r>
  <r>
    <x v="3"/>
    <x v="567"/>
    <s v="Servicio pasas de Uva"/>
    <s v="Total"/>
    <x v="0"/>
    <x v="0"/>
    <x v="1"/>
    <x v="0"/>
    <n v="4040401.8299999996"/>
    <n v="4040401.8299999996"/>
    <n v="2590.0011730769229"/>
    <m/>
    <m/>
    <s v="44"/>
    <x v="0"/>
    <x v="1"/>
  </r>
  <r>
    <x v="3"/>
    <x v="571"/>
    <s v="Trabajos electricos"/>
    <s v="Total"/>
    <x v="0"/>
    <x v="0"/>
    <x v="1"/>
    <x v="0"/>
    <n v="2820000"/>
    <n v="2820000"/>
    <n v="1807.6923076923076"/>
    <m/>
    <m/>
    <s v="44"/>
    <x v="0"/>
    <x v="1"/>
  </r>
  <r>
    <x v="3"/>
    <x v="571"/>
    <s v="Trabajos electricos"/>
    <s v="Total"/>
    <x v="0"/>
    <x v="0"/>
    <x v="1"/>
    <x v="0"/>
    <n v="400000"/>
    <n v="400000"/>
    <n v="256.41025641025641"/>
    <m/>
    <m/>
    <s v="44"/>
    <x v="0"/>
    <x v="2"/>
  </r>
  <r>
    <x v="3"/>
    <x v="578"/>
    <s v="Cuenta corriente "/>
    <s v="Total"/>
    <x v="0"/>
    <x v="0"/>
    <x v="1"/>
    <x v="0"/>
    <n v="2129664.16"/>
    <n v="2129664.16"/>
    <n v="1365.1693333333335"/>
    <m/>
    <m/>
    <s v="44"/>
    <x v="0"/>
    <x v="1"/>
  </r>
  <r>
    <x v="3"/>
    <x v="579"/>
    <s v="Servicio de paqueteria  "/>
    <s v="Total"/>
    <x v="1"/>
    <x v="0"/>
    <x v="1"/>
    <x v="0"/>
    <n v="0"/>
    <n v="0"/>
    <n v="0"/>
    <m/>
    <m/>
    <s v="44"/>
    <x v="0"/>
    <x v="1"/>
  </r>
  <r>
    <x v="3"/>
    <x v="585"/>
    <s v="Etiquetas aceitunas"/>
    <s v="Total"/>
    <x v="0"/>
    <x v="0"/>
    <x v="1"/>
    <x v="0"/>
    <n v="3178557.1099999994"/>
    <n v="3178557.1099999994"/>
    <n v="2037.5366089743586"/>
    <m/>
    <m/>
    <s v="44"/>
    <x v="0"/>
    <x v="2"/>
  </r>
  <r>
    <x v="3"/>
    <x v="587"/>
    <s v="Servicio Hosting"/>
    <s v="Total"/>
    <x v="3"/>
    <x v="0"/>
    <x v="0"/>
    <x v="0"/>
    <n v="87479"/>
    <n v="87479"/>
    <n v="56.07628205128205"/>
    <m/>
    <m/>
    <s v="44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D5955-82C6-4651-BB0F-7D2073650703}" name="TablaDinámica1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14" firstHeaderRow="0" firstDataRow="1" firstDataCol="4"/>
  <pivotFields count="16">
    <pivotField axis="axisRow" compact="0" outline="0" showAll="0">
      <items count="109">
        <item h="1" m="1" x="104"/>
        <item h="1" x="85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74"/>
        <item h="1" x="50"/>
        <item h="1" x="9"/>
        <item h="1" x="59"/>
        <item h="1" x="13"/>
        <item h="1" x="41"/>
        <item h="1" x="32"/>
        <item h="1" x="73"/>
        <item h="1" m="1" x="91"/>
        <item h="1" x="43"/>
        <item h="1" m="1" x="97"/>
        <item h="1" x="12"/>
        <item h="1" m="1" x="95"/>
        <item x="3"/>
        <item h="1" m="1" x="92"/>
        <item h="1" m="1" x="96"/>
        <item h="1" m="1" x="93"/>
        <item h="1" m="1" x="94"/>
        <item h="1" m="1" x="100"/>
        <item h="1" m="1" x="99"/>
        <item h="1" m="1" x="101"/>
        <item h="1" x="56"/>
        <item h="1" x="33"/>
        <item h="1"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h="1" x="44"/>
        <item h="1" x="38"/>
        <item h="1" x="66"/>
        <item h="1" x="77"/>
        <item h="1" x="71"/>
        <item h="1" x="11"/>
        <item h="1" x="39"/>
        <item h="1" x="72"/>
        <item h="1" x="40"/>
        <item h="1" x="54"/>
        <item h="1" x="46"/>
        <item h="1" x="16"/>
        <item h="1" m="1" x="88"/>
        <item h="1" m="1" x="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insertBlankRow="1" defaultSubtotal="0">
      <items count="2">
        <item x="0"/>
        <item x="1"/>
      </items>
    </pivotField>
    <pivotField axis="axisRow" compact="0" outline="0" showAll="0">
      <items count="6">
        <item x="1"/>
        <item x="2"/>
        <item x="0"/>
        <item m="1" x="4"/>
        <item x="3"/>
        <item t="default"/>
      </items>
    </pivotField>
    <pivotField compact="0" outline="0" showAll="0"/>
    <pivotField compact="0" outline="0" showAll="0"/>
    <pivotField dataField="1" compact="0" numFmtId="44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insertBlankRow="1" sortType="ascending">
      <items count="29">
        <item h="1" m="1" x="11"/>
        <item h="1" m="1" x="9"/>
        <item h="1" m="1" x="27"/>
        <item x="0"/>
        <item h="1" x="2"/>
        <item h="1" m="1" x="3"/>
        <item h="1" m="1" x="26"/>
        <item h="1" m="1" x="25"/>
        <item h="1" m="1" x="24"/>
        <item h="1" m="1" x="23"/>
        <item h="1" m="1" x="22"/>
        <item h="1" m="1" x="21"/>
        <item h="1" m="1" x="20"/>
        <item h="1" m="1" x="19"/>
        <item h="1" m="1" x="18"/>
        <item h="1" m="1" x="17"/>
        <item h="1" m="1" x="16"/>
        <item h="1" m="1" x="15"/>
        <item h="1" m="1" x="14"/>
        <item h="1" m="1" x="13"/>
        <item h="1" m="1" x="12"/>
        <item h="1" m="1" x="10"/>
        <item h="1" m="1" x="8"/>
        <item h="1" m="1" x="7"/>
        <item h="1" m="1" x="6"/>
        <item h="1" m="1" x="5"/>
        <item h="1" m="1" x="4"/>
        <item h="1" x="1"/>
        <item t="default"/>
      </items>
    </pivotField>
  </pivotFields>
  <rowFields count="4">
    <field x="0"/>
    <field x="15"/>
    <field x="5"/>
    <field x="6"/>
  </rowFields>
  <rowItems count="11">
    <i>
      <x v="66"/>
      <x v="3"/>
      <x/>
      <x/>
    </i>
    <i r="3">
      <x v="1"/>
    </i>
    <i r="3">
      <x v="2"/>
    </i>
    <i t="blank" r="2">
      <x/>
    </i>
    <i r="2">
      <x v="1"/>
      <x/>
    </i>
    <i r="3">
      <x v="1"/>
    </i>
    <i t="blank" r="2">
      <x v="1"/>
    </i>
    <i t="default" r="1">
      <x v="3"/>
    </i>
    <i t="blank" r="1">
      <x v="3"/>
    </i>
    <i t="default">
      <x v="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U$D" fld="10" baseField="6" baseItem="0" numFmtId="167"/>
    <dataField name="AR$" fld="9" baseField="6" baseItem="0" numFmtId="44"/>
    <dataField name="% - AR$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7CB9A-548F-4288-BC5A-EFE39C996790}" name="TablaDinámica3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3:R8" firstHeaderRow="0" firstDataRow="1" firstDataCol="4"/>
  <pivotFields count="16">
    <pivotField axis="axisRow" compact="0" outline="0" showAll="0">
      <items count="109">
        <item h="1" m="1" x="104"/>
        <item h="1" x="85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74"/>
        <item h="1" x="50"/>
        <item h="1" x="9"/>
        <item h="1" x="59"/>
        <item h="1" x="13"/>
        <item h="1" x="41"/>
        <item h="1" x="32"/>
        <item h="1" x="73"/>
        <item h="1" m="1" x="91"/>
        <item h="1" x="43"/>
        <item h="1" m="1" x="97"/>
        <item h="1" x="12"/>
        <item h="1" m="1" x="95"/>
        <item x="3"/>
        <item h="1" m="1" x="92"/>
        <item h="1" m="1" x="96"/>
        <item h="1" m="1" x="93"/>
        <item h="1" m="1" x="94"/>
        <item h="1" m="1" x="100"/>
        <item h="1" m="1" x="99"/>
        <item h="1" m="1" x="101"/>
        <item h="1" x="56"/>
        <item h="1" x="33"/>
        <item h="1"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h="1" x="44"/>
        <item h="1" x="38"/>
        <item h="1" x="66"/>
        <item h="1" x="77"/>
        <item h="1" x="71"/>
        <item h="1" x="11"/>
        <item h="1" x="39"/>
        <item h="1" x="72"/>
        <item h="1" x="40"/>
        <item h="1" x="54"/>
        <item h="1" x="46"/>
        <item h="1" x="16"/>
        <item h="1" m="1" x="88"/>
        <item h="1" m="1" x="8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6">
        <item h="1" x="1"/>
        <item x="2"/>
        <item h="1" x="0"/>
        <item h="1" m="1" x="4"/>
        <item h="1" x="3"/>
        <item t="default"/>
      </items>
    </pivotField>
    <pivotField compact="0" outline="0" showAll="0"/>
    <pivotField compact="0" outline="0" showAll="0"/>
    <pivotField dataField="1" compact="0" numFmtId="44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9">
        <item h="1" x="0"/>
        <item h="1" x="1"/>
        <item h="1" m="1" x="27"/>
        <item h="1" m="1" x="26"/>
        <item h="1" m="1" x="25"/>
        <item h="1" m="1" x="24"/>
        <item h="1" m="1" x="23"/>
        <item h="1" m="1" x="22"/>
        <item h="1" m="1" x="21"/>
        <item h="1" m="1" x="20"/>
        <item h="1" m="1" x="19"/>
        <item h="1" m="1" x="18"/>
        <item h="1" m="1" x="17"/>
        <item h="1" m="1" x="16"/>
        <item h="1" m="1" x="15"/>
        <item h="1" m="1" x="14"/>
        <item h="1" m="1" x="13"/>
        <item h="1" m="1" x="12"/>
        <item h="1" m="1" x="10"/>
        <item h="1" m="1" x="11"/>
        <item h="1" m="1" x="9"/>
        <item h="1" m="1" x="8"/>
        <item h="1" m="1" x="7"/>
        <item h="1" m="1" x="6"/>
        <item h="1" m="1" x="5"/>
        <item h="1" m="1" x="4"/>
        <item x="2"/>
        <item m="1" x="3"/>
        <item t="default"/>
      </items>
    </pivotField>
  </pivotFields>
  <rowFields count="4">
    <field x="0"/>
    <field x="15"/>
    <field x="5"/>
    <field x="6"/>
  </rowFields>
  <rowItems count="5">
    <i>
      <x v="66"/>
      <x v="26"/>
      <x/>
      <x v="1"/>
    </i>
    <i r="2">
      <x v="1"/>
      <x v="1"/>
    </i>
    <i t="default" r="1">
      <x v="26"/>
    </i>
    <i t="default">
      <x v="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R$" fld="9" baseField="6" baseItem="0" numFmtId="44"/>
    <dataField name="Suma de Importe U$D" fld="10" baseField="0" baseItem="0" numFmtId="167"/>
    <dataField name="% - AR$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29005-436B-493D-B1A2-9EE4A70343B6}" name="TablaDinámica2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U3:AA4" firstHeaderRow="0" firstDataRow="1" firstDataCol="5"/>
  <pivotFields count="16">
    <pivotField axis="axisRow" compact="0" outline="0" showAll="0">
      <items count="109">
        <item h="1" m="1" x="104"/>
        <item h="1" x="85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74"/>
        <item h="1" x="50"/>
        <item h="1" x="9"/>
        <item h="1" x="59"/>
        <item h="1" x="13"/>
        <item h="1" x="41"/>
        <item h="1" x="32"/>
        <item h="1" x="73"/>
        <item h="1" m="1" x="91"/>
        <item h="1" x="43"/>
        <item h="1" m="1" x="97"/>
        <item h="1" x="12"/>
        <item h="1" m="1" x="95"/>
        <item h="1" x="3"/>
        <item h="1" m="1" x="92"/>
        <item h="1" m="1" x="96"/>
        <item h="1" m="1" x="93"/>
        <item h="1" m="1" x="94"/>
        <item h="1" m="1" x="100"/>
        <item h="1" m="1" x="99"/>
        <item h="1" m="1" x="101"/>
        <item h="1" x="56"/>
        <item h="1" x="33"/>
        <item h="1"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h="1" x="44"/>
        <item h="1" x="38"/>
        <item h="1" x="66"/>
        <item h="1" x="77"/>
        <item h="1" x="71"/>
        <item x="11"/>
        <item h="1" x="39"/>
        <item h="1" x="72"/>
        <item h="1" x="40"/>
        <item h="1" x="54"/>
        <item h="1" x="46"/>
        <item h="1" x="16"/>
        <item h="1" m="1" x="88"/>
        <item h="1" m="1" x="87"/>
        <item t="default"/>
      </items>
    </pivotField>
    <pivotField axis="axisRow" compact="0" outline="0" showAll="0" defaultSubtotal="0">
      <items count="861">
        <item x="0"/>
        <item m="1" x="854"/>
        <item x="1"/>
        <item x="2"/>
        <item m="1" x="806"/>
        <item x="3"/>
        <item m="1" x="679"/>
        <item x="4"/>
        <item m="1" x="680"/>
        <item x="5"/>
        <item m="1" x="681"/>
        <item x="6"/>
        <item x="7"/>
        <item x="8"/>
        <item m="1" x="682"/>
        <item x="9"/>
        <item m="1" x="683"/>
        <item m="1" x="778"/>
        <item x="10"/>
        <item x="12"/>
        <item m="1" x="819"/>
        <item x="13"/>
        <item x="14"/>
        <item x="15"/>
        <item x="16"/>
        <item m="1" x="828"/>
        <item x="17"/>
        <item x="18"/>
        <item x="19"/>
        <item x="21"/>
        <item x="22"/>
        <item x="23"/>
        <item x="24"/>
        <item x="30"/>
        <item m="1" x="624"/>
        <item x="25"/>
        <item x="26"/>
        <item x="27"/>
        <item x="28"/>
        <item x="29"/>
        <item x="31"/>
        <item m="1" x="774"/>
        <item x="32"/>
        <item x="33"/>
        <item x="34"/>
        <item x="35"/>
        <item x="36"/>
        <item m="1" x="684"/>
        <item m="1" x="658"/>
        <item x="37"/>
        <item x="38"/>
        <item x="39"/>
        <item x="40"/>
        <item x="41"/>
        <item x="42"/>
        <item m="1" x="820"/>
        <item x="43"/>
        <item x="44"/>
        <item x="45"/>
        <item m="1" x="685"/>
        <item m="1" x="686"/>
        <item x="46"/>
        <item m="1" x="625"/>
        <item m="1" x="687"/>
        <item x="47"/>
        <item m="1" x="821"/>
        <item x="48"/>
        <item m="1" x="692"/>
        <item x="49"/>
        <item x="50"/>
        <item x="51"/>
        <item x="52"/>
        <item x="53"/>
        <item m="1" x="688"/>
        <item x="54"/>
        <item x="55"/>
        <item m="1" x="822"/>
        <item m="1" x="689"/>
        <item m="1" x="690"/>
        <item x="56"/>
        <item x="57"/>
        <item m="1" x="796"/>
        <item m="1" x="691"/>
        <item x="59"/>
        <item m="1" x="770"/>
        <item x="60"/>
        <item m="1" x="665"/>
        <item x="61"/>
        <item x="62"/>
        <item x="63"/>
        <item x="64"/>
        <item m="1" x="626"/>
        <item x="65"/>
        <item x="66"/>
        <item x="67"/>
        <item m="1" x="622"/>
        <item m="1" x="693"/>
        <item x="68"/>
        <item x="69"/>
        <item x="70"/>
        <item x="71"/>
        <item m="1" x="694"/>
        <item m="1" x="695"/>
        <item x="72"/>
        <item x="73"/>
        <item m="1" x="696"/>
        <item x="74"/>
        <item x="75"/>
        <item x="76"/>
        <item x="77"/>
        <item x="78"/>
        <item x="79"/>
        <item m="1" x="823"/>
        <item x="80"/>
        <item x="81"/>
        <item x="82"/>
        <item m="1" x="616"/>
        <item m="1" x="697"/>
        <item x="83"/>
        <item x="84"/>
        <item x="85"/>
        <item m="1" x="698"/>
        <item m="1" x="824"/>
        <item x="87"/>
        <item m="1" x="699"/>
        <item x="88"/>
        <item m="1" x="771"/>
        <item m="1" x="700"/>
        <item x="90"/>
        <item x="91"/>
        <item x="92"/>
        <item x="93"/>
        <item m="1" x="721"/>
        <item x="94"/>
        <item x="95"/>
        <item m="1" x="701"/>
        <item x="96"/>
        <item x="97"/>
        <item m="1" x="731"/>
        <item x="98"/>
        <item x="99"/>
        <item m="1" x="702"/>
        <item x="100"/>
        <item x="101"/>
        <item x="109"/>
        <item x="102"/>
        <item x="103"/>
        <item m="1" x="703"/>
        <item x="104"/>
        <item x="105"/>
        <item x="106"/>
        <item x="107"/>
        <item m="1" x="666"/>
        <item x="108"/>
        <item x="110"/>
        <item m="1" x="667"/>
        <item m="1" x="704"/>
        <item x="111"/>
        <item x="112"/>
        <item x="113"/>
        <item x="114"/>
        <item x="115"/>
        <item x="116"/>
        <item m="1" x="705"/>
        <item m="1" x="706"/>
        <item x="117"/>
        <item m="1" x="707"/>
        <item x="118"/>
        <item x="119"/>
        <item x="120"/>
        <item m="1" x="708"/>
        <item x="121"/>
        <item x="122"/>
        <item x="123"/>
        <item m="1" x="785"/>
        <item x="124"/>
        <item x="125"/>
        <item x="126"/>
        <item x="127"/>
        <item x="128"/>
        <item x="129"/>
        <item x="130"/>
        <item m="1" x="709"/>
        <item x="131"/>
        <item m="1" x="773"/>
        <item x="133"/>
        <item m="1" x="606"/>
        <item x="134"/>
        <item x="135"/>
        <item x="136"/>
        <item m="1" x="825"/>
        <item m="1" x="710"/>
        <item x="137"/>
        <item m="1" x="832"/>
        <item x="147"/>
        <item m="1" x="607"/>
        <item x="138"/>
        <item m="1" x="812"/>
        <item m="1" x="615"/>
        <item x="139"/>
        <item m="1" x="711"/>
        <item x="140"/>
        <item x="141"/>
        <item x="142"/>
        <item x="143"/>
        <item x="145"/>
        <item x="146"/>
        <item x="148"/>
        <item x="150"/>
        <item x="151"/>
        <item x="152"/>
        <item x="153"/>
        <item x="154"/>
        <item x="155"/>
        <item x="156"/>
        <item x="161"/>
        <item m="1" x="850"/>
        <item x="158"/>
        <item m="1" x="627"/>
        <item m="1" x="805"/>
        <item x="159"/>
        <item x="166"/>
        <item x="160"/>
        <item x="180"/>
        <item x="162"/>
        <item m="1" x="847"/>
        <item m="1" x="826"/>
        <item x="163"/>
        <item x="164"/>
        <item x="165"/>
        <item x="167"/>
        <item x="168"/>
        <item x="170"/>
        <item x="171"/>
        <item x="172"/>
        <item m="1" x="816"/>
        <item x="173"/>
        <item x="174"/>
        <item x="175"/>
        <item x="176"/>
        <item x="177"/>
        <item x="178"/>
        <item x="179"/>
        <item m="1" x="712"/>
        <item m="1" x="742"/>
        <item m="1" x="743"/>
        <item x="181"/>
        <item x="182"/>
        <item x="183"/>
        <item x="205"/>
        <item x="184"/>
        <item m="1" x="807"/>
        <item x="185"/>
        <item x="186"/>
        <item x="187"/>
        <item m="1" x="713"/>
        <item x="190"/>
        <item m="1" x="628"/>
        <item x="191"/>
        <item x="192"/>
        <item x="193"/>
        <item m="1" x="660"/>
        <item x="194"/>
        <item x="195"/>
        <item x="196"/>
        <item x="197"/>
        <item m="1" x="668"/>
        <item x="198"/>
        <item x="199"/>
        <item m="1" x="714"/>
        <item x="200"/>
        <item m="1" x="827"/>
        <item m="1" x="715"/>
        <item x="201"/>
        <item m="1" x="716"/>
        <item x="202"/>
        <item x="203"/>
        <item m="1" x="717"/>
        <item m="1" x="718"/>
        <item x="204"/>
        <item m="1" x="608"/>
        <item x="206"/>
        <item x="207"/>
        <item m="1" x="788"/>
        <item m="1" x="829"/>
        <item x="208"/>
        <item x="209"/>
        <item x="210"/>
        <item x="211"/>
        <item x="212"/>
        <item x="213"/>
        <item x="214"/>
        <item x="215"/>
        <item m="1" x="791"/>
        <item x="216"/>
        <item x="217"/>
        <item x="218"/>
        <item x="219"/>
        <item x="220"/>
        <item m="1" x="674"/>
        <item x="221"/>
        <item x="222"/>
        <item m="1" x="629"/>
        <item x="223"/>
        <item x="224"/>
        <item m="1" x="779"/>
        <item m="1" x="659"/>
        <item x="225"/>
        <item x="226"/>
        <item x="227"/>
        <item m="1" x="797"/>
        <item x="228"/>
        <item x="244"/>
        <item m="1" x="630"/>
        <item m="1" x="621"/>
        <item m="1" x="652"/>
        <item m="1" x="851"/>
        <item m="1" x="845"/>
        <item x="229"/>
        <item m="1" x="719"/>
        <item m="1" x="720"/>
        <item x="230"/>
        <item x="231"/>
        <item m="1" x="804"/>
        <item m="1" x="722"/>
        <item m="1" x="723"/>
        <item m="1" x="675"/>
        <item x="233"/>
        <item x="234"/>
        <item m="1" x="798"/>
        <item x="235"/>
        <item x="236"/>
        <item m="1" x="744"/>
        <item m="1" x="724"/>
        <item m="1" x="725"/>
        <item x="237"/>
        <item x="239"/>
        <item x="240"/>
        <item m="1" x="726"/>
        <item x="241"/>
        <item m="1" x="780"/>
        <item x="242"/>
        <item x="252"/>
        <item x="245"/>
        <item m="1" x="623"/>
        <item m="1" x="727"/>
        <item m="1" x="728"/>
        <item x="246"/>
        <item x="247"/>
        <item x="248"/>
        <item x="249"/>
        <item x="250"/>
        <item m="1" x="817"/>
        <item m="1" x="830"/>
        <item x="251"/>
        <item m="1" x="799"/>
        <item m="1" x="631"/>
        <item x="254"/>
        <item m="1" x="808"/>
        <item x="255"/>
        <item x="256"/>
        <item m="1" x="831"/>
        <item x="257"/>
        <item x="258"/>
        <item x="259"/>
        <item x="260"/>
        <item m="1" x="609"/>
        <item x="261"/>
        <item m="1" x="632"/>
        <item m="1" x="729"/>
        <item m="1" x="673"/>
        <item x="262"/>
        <item m="1" x="633"/>
        <item m="1" x="669"/>
        <item m="1" x="730"/>
        <item x="263"/>
        <item m="1" x="776"/>
        <item x="264"/>
        <item m="1" x="65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m="1" x="781"/>
        <item x="278"/>
        <item x="279"/>
        <item x="280"/>
        <item x="281"/>
        <item m="1" x="786"/>
        <item x="283"/>
        <item x="284"/>
        <item x="285"/>
        <item m="1" x="782"/>
        <item x="286"/>
        <item x="287"/>
        <item x="288"/>
        <item x="289"/>
        <item x="290"/>
        <item m="1" x="732"/>
        <item x="291"/>
        <item x="292"/>
        <item m="1" x="809"/>
        <item x="293"/>
        <item m="1" x="661"/>
        <item x="294"/>
        <item x="295"/>
        <item x="296"/>
        <item m="1" x="740"/>
        <item m="1" x="733"/>
        <item x="297"/>
        <item x="298"/>
        <item x="299"/>
        <item x="300"/>
        <item x="301"/>
        <item m="1" x="789"/>
        <item m="1" x="856"/>
        <item m="1" x="734"/>
        <item x="302"/>
        <item x="303"/>
        <item x="304"/>
        <item m="1" x="678"/>
        <item x="305"/>
        <item x="306"/>
        <item m="1" x="813"/>
        <item m="1" x="853"/>
        <item x="307"/>
        <item m="1" x="634"/>
        <item x="308"/>
        <item x="309"/>
        <item x="310"/>
        <item x="312"/>
        <item m="1" x="753"/>
        <item m="1" x="735"/>
        <item x="313"/>
        <item x="314"/>
        <item m="1" x="635"/>
        <item x="315"/>
        <item x="316"/>
        <item x="317"/>
        <item x="318"/>
        <item x="319"/>
        <item x="320"/>
        <item x="321"/>
        <item x="323"/>
        <item x="324"/>
        <item x="344"/>
        <item x="325"/>
        <item m="1" x="792"/>
        <item x="326"/>
        <item x="327"/>
        <item m="1" x="736"/>
        <item x="328"/>
        <item m="1" x="787"/>
        <item x="330"/>
        <item m="1" x="849"/>
        <item x="331"/>
        <item x="332"/>
        <item x="333"/>
        <item m="1" x="810"/>
        <item x="334"/>
        <item x="335"/>
        <item m="1" x="737"/>
        <item m="1" x="738"/>
        <item m="1" x="800"/>
        <item x="336"/>
        <item m="1" x="739"/>
        <item x="337"/>
        <item x="338"/>
        <item x="339"/>
        <item x="340"/>
        <item m="1" x="636"/>
        <item x="341"/>
        <item m="1" x="610"/>
        <item x="343"/>
        <item m="1" x="775"/>
        <item x="345"/>
        <item x="346"/>
        <item x="382"/>
        <item x="347"/>
        <item x="348"/>
        <item m="1" x="745"/>
        <item x="349"/>
        <item x="350"/>
        <item x="351"/>
        <item x="352"/>
        <item x="353"/>
        <item x="354"/>
        <item x="355"/>
        <item x="356"/>
        <item x="357"/>
        <item x="358"/>
        <item m="1" x="662"/>
        <item m="1" x="656"/>
        <item x="359"/>
        <item m="1" x="818"/>
        <item m="1" x="657"/>
        <item x="360"/>
        <item x="361"/>
        <item x="362"/>
        <item m="1" x="611"/>
        <item x="363"/>
        <item x="365"/>
        <item x="366"/>
        <item x="367"/>
        <item x="368"/>
        <item x="369"/>
        <item x="370"/>
        <item x="371"/>
        <item m="1" x="833"/>
        <item x="372"/>
        <item x="373"/>
        <item x="374"/>
        <item x="375"/>
        <item x="376"/>
        <item m="1" x="834"/>
        <item x="377"/>
        <item m="1" x="637"/>
        <item x="378"/>
        <item x="379"/>
        <item x="380"/>
        <item x="381"/>
        <item x="428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m="1" x="793"/>
        <item m="1" x="790"/>
        <item x="405"/>
        <item x="406"/>
        <item x="407"/>
        <item m="1" x="783"/>
        <item x="408"/>
        <item x="409"/>
        <item x="410"/>
        <item x="411"/>
        <item x="412"/>
        <item x="413"/>
        <item x="415"/>
        <item x="416"/>
        <item x="417"/>
        <item x="418"/>
        <item m="1" x="670"/>
        <item x="419"/>
        <item m="1" x="677"/>
        <item m="1" x="612"/>
        <item x="420"/>
        <item x="421"/>
        <item x="422"/>
        <item x="423"/>
        <item x="424"/>
        <item m="1" x="835"/>
        <item x="425"/>
        <item x="426"/>
        <item m="1" x="671"/>
        <item m="1" x="638"/>
        <item x="427"/>
        <item x="429"/>
        <item m="1" x="639"/>
        <item x="430"/>
        <item x="431"/>
        <item x="432"/>
        <item m="1" x="672"/>
        <item x="433"/>
        <item m="1" x="640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m="1" x="741"/>
        <item x="472"/>
        <item m="1" x="620"/>
        <item x="445"/>
        <item x="446"/>
        <item x="447"/>
        <item x="448"/>
        <item x="449"/>
        <item m="1" x="836"/>
        <item x="450"/>
        <item x="451"/>
        <item x="452"/>
        <item x="453"/>
        <item x="454"/>
        <item x="455"/>
        <item x="456"/>
        <item x="457"/>
        <item x="458"/>
        <item x="459"/>
        <item x="461"/>
        <item x="463"/>
        <item x="464"/>
        <item x="465"/>
        <item x="466"/>
        <item x="468"/>
        <item m="1" x="654"/>
        <item x="469"/>
        <item m="1" x="852"/>
        <item m="1" x="746"/>
        <item x="470"/>
        <item x="471"/>
        <item m="1" x="837"/>
        <item x="473"/>
        <item m="1" x="801"/>
        <item x="474"/>
        <item x="475"/>
        <item x="476"/>
        <item x="477"/>
        <item x="478"/>
        <item m="1" x="664"/>
        <item x="479"/>
        <item m="1" x="777"/>
        <item m="1" x="641"/>
        <item m="1" x="838"/>
        <item x="480"/>
        <item x="481"/>
        <item x="482"/>
        <item m="1" x="846"/>
        <item x="483"/>
        <item x="484"/>
        <item x="485"/>
        <item x="486"/>
        <item x="487"/>
        <item m="1" x="747"/>
        <item x="489"/>
        <item m="1" x="642"/>
        <item x="490"/>
        <item x="491"/>
        <item m="1" x="839"/>
        <item m="1" x="858"/>
        <item m="1" x="619"/>
        <item x="492"/>
        <item x="493"/>
        <item x="494"/>
        <item x="495"/>
        <item x="496"/>
        <item x="497"/>
        <item x="498"/>
        <item x="500"/>
        <item m="1" x="815"/>
        <item x="501"/>
        <item x="502"/>
        <item x="503"/>
        <item x="504"/>
        <item x="505"/>
        <item x="506"/>
        <item m="1" x="748"/>
        <item x="507"/>
        <item x="508"/>
        <item m="1" x="643"/>
        <item m="1" x="855"/>
        <item m="1" x="749"/>
        <item x="509"/>
        <item x="510"/>
        <item x="511"/>
        <item x="512"/>
        <item m="1" x="802"/>
        <item x="513"/>
        <item m="1" x="644"/>
        <item m="1" x="750"/>
        <item x="514"/>
        <item x="515"/>
        <item m="1" x="645"/>
        <item m="1" x="751"/>
        <item x="517"/>
        <item m="1" x="752"/>
        <item x="518"/>
        <item m="1" x="676"/>
        <item x="519"/>
        <item m="1" x="840"/>
        <item x="521"/>
        <item x="522"/>
        <item m="1" x="754"/>
        <item x="523"/>
        <item x="524"/>
        <item x="525"/>
        <item m="1" x="860"/>
        <item m="1" x="613"/>
        <item x="526"/>
        <item x="527"/>
        <item x="528"/>
        <item m="1" x="755"/>
        <item x="530"/>
        <item m="1" x="772"/>
        <item m="1" x="756"/>
        <item m="1" x="757"/>
        <item x="531"/>
        <item x="532"/>
        <item x="533"/>
        <item x="535"/>
        <item x="536"/>
        <item m="1" x="758"/>
        <item x="537"/>
        <item m="1" x="841"/>
        <item m="1" x="857"/>
        <item m="1" x="795"/>
        <item x="538"/>
        <item m="1" x="769"/>
        <item x="539"/>
        <item x="540"/>
        <item x="541"/>
        <item m="1" x="759"/>
        <item x="542"/>
        <item x="543"/>
        <item x="544"/>
        <item x="545"/>
        <item m="1" x="848"/>
        <item x="546"/>
        <item x="547"/>
        <item x="548"/>
        <item x="549"/>
        <item m="1" x="646"/>
        <item m="1" x="803"/>
        <item x="550"/>
        <item x="551"/>
        <item x="553"/>
        <item m="1" x="842"/>
        <item x="555"/>
        <item x="556"/>
        <item x="557"/>
        <item m="1" x="859"/>
        <item m="1" x="618"/>
        <item x="558"/>
        <item x="559"/>
        <item m="1" x="760"/>
        <item m="1" x="761"/>
        <item x="560"/>
        <item x="561"/>
        <item x="562"/>
        <item x="563"/>
        <item x="564"/>
        <item x="565"/>
        <item x="566"/>
        <item x="567"/>
        <item m="1" x="762"/>
        <item x="569"/>
        <item m="1" x="647"/>
        <item x="570"/>
        <item m="1" x="814"/>
        <item m="1" x="763"/>
        <item x="571"/>
        <item x="573"/>
        <item x="574"/>
        <item x="575"/>
        <item x="576"/>
        <item m="1" x="648"/>
        <item m="1" x="649"/>
        <item x="577"/>
        <item m="1" x="843"/>
        <item x="578"/>
        <item m="1" x="844"/>
        <item m="1" x="650"/>
        <item x="579"/>
        <item m="1" x="764"/>
        <item x="580"/>
        <item m="1" x="651"/>
        <item x="583"/>
        <item x="584"/>
        <item x="585"/>
        <item m="1" x="765"/>
        <item x="586"/>
        <item x="587"/>
        <item m="1" x="811"/>
        <item x="588"/>
        <item x="589"/>
        <item x="590"/>
        <item m="1" x="766"/>
        <item x="591"/>
        <item x="592"/>
        <item m="1" x="767"/>
        <item x="593"/>
        <item x="594"/>
        <item m="1" x="794"/>
        <item x="595"/>
        <item x="596"/>
        <item m="1" x="768"/>
        <item x="597"/>
        <item x="598"/>
        <item x="599"/>
        <item x="600"/>
        <item m="1" x="663"/>
        <item x="601"/>
        <item m="1" x="784"/>
        <item x="602"/>
        <item x="603"/>
        <item x="604"/>
        <item x="605"/>
        <item m="1" x="655"/>
        <item x="282"/>
        <item x="516"/>
        <item x="58"/>
        <item x="89"/>
        <item m="1" x="617"/>
        <item x="397"/>
        <item x="414"/>
        <item x="132"/>
        <item x="144"/>
        <item x="467"/>
        <item x="364"/>
        <item x="554"/>
        <item x="86"/>
        <item x="520"/>
        <item x="157"/>
        <item x="499"/>
        <item x="534"/>
        <item m="1" x="614"/>
        <item x="322"/>
        <item x="329"/>
        <item x="581"/>
        <item x="232"/>
        <item x="20"/>
        <item x="189"/>
        <item x="582"/>
        <item x="462"/>
        <item x="238"/>
        <item x="404"/>
        <item x="311"/>
        <item x="243"/>
        <item x="529"/>
        <item x="488"/>
        <item x="11"/>
        <item x="149"/>
        <item x="169"/>
        <item x="342"/>
        <item x="552"/>
        <item x="460"/>
        <item x="572"/>
        <item x="568"/>
        <item x="188"/>
        <item x="253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6">
        <item h="1" x="1"/>
        <item x="2"/>
        <item x="0"/>
        <item h="1" m="1" x="4"/>
        <item h="1" x="3"/>
        <item t="default"/>
      </items>
    </pivotField>
    <pivotField compact="0" outline="0" showAll="0"/>
    <pivotField compact="0" outline="0" showAll="0"/>
    <pivotField dataField="1" compact="0" numFmtId="44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9">
        <item h="1" x="0"/>
        <item h="1" x="1"/>
        <item h="1" m="1" x="27"/>
        <item h="1" m="1" x="26"/>
        <item h="1" m="1" x="25"/>
        <item h="1" m="1" x="24"/>
        <item h="1" m="1" x="23"/>
        <item h="1" m="1" x="22"/>
        <item h="1" m="1" x="21"/>
        <item h="1" m="1" x="20"/>
        <item h="1" m="1" x="19"/>
        <item h="1" m="1" x="18"/>
        <item h="1" m="1" x="17"/>
        <item h="1" m="1" x="16"/>
        <item h="1" m="1" x="15"/>
        <item h="1" m="1" x="14"/>
        <item h="1" m="1" x="13"/>
        <item h="1" m="1" x="12"/>
        <item h="1" m="1" x="10"/>
        <item h="1" m="1" x="11"/>
        <item m="1" x="9"/>
        <item h="1" m="1" x="8"/>
        <item h="1" m="1" x="7"/>
        <item h="1" m="1" x="6"/>
        <item h="1" m="1" x="5"/>
        <item h="1" m="1" x="4"/>
        <item h="1" x="2"/>
        <item h="1" m="1" x="3"/>
        <item t="default"/>
      </items>
    </pivotField>
  </pivotFields>
  <rowFields count="5">
    <field x="0"/>
    <field x="15"/>
    <field x="5"/>
    <field x="1"/>
    <field x="6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AR$" fld="9" baseField="6" baseItem="0" numFmtId="44"/>
    <dataField name="% - AR$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B7B25-780E-4D77-8041-10120B357A42}" name="TablaDinámica1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F10" firstHeaderRow="0" firstDataRow="1" firstDataCol="4"/>
  <pivotFields count="16">
    <pivotField axis="axisRow" compact="0" outline="0" showAll="0">
      <items count="109">
        <item h="1" m="1" x="104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43"/>
        <item h="1" m="1" x="97"/>
        <item h="1" x="12"/>
        <item h="1" m="1" x="95"/>
        <item h="1" x="3"/>
        <item h="1" m="1" x="92"/>
        <item h="1" m="1" x="96"/>
        <item h="1" m="1" x="93"/>
        <item h="1" m="1" x="94"/>
        <item h="1" m="1" x="100"/>
        <item h="1" m="1" x="99"/>
        <item h="1" m="1" x="101"/>
        <item h="1" x="32"/>
        <item h="1" x="9"/>
        <item h="1" x="13"/>
        <item h="1" x="41"/>
        <item h="1" x="50"/>
        <item h="1" x="59"/>
        <item h="1" x="74"/>
        <item h="1" x="85"/>
        <item h="1" x="73"/>
        <item h="1" m="1" x="91"/>
        <item h="1" x="56"/>
        <item h="1" x="33"/>
        <item h="1"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h="1" x="44"/>
        <item h="1" x="38"/>
        <item h="1" x="66"/>
        <item h="1" x="77"/>
        <item h="1" x="71"/>
        <item h="1" x="11"/>
        <item h="1" x="39"/>
        <item h="1" x="72"/>
        <item h="1" x="40"/>
        <item h="1" x="54"/>
        <item h="1" x="46"/>
        <item x="16"/>
        <item h="1" m="1" x="88"/>
        <item h="1" m="1" x="87"/>
        <item t="default"/>
      </items>
    </pivotField>
    <pivotField axis="axisRow" compact="0" outline="0" showAll="0" sortType="descending">
      <items count="862">
        <item x="0"/>
        <item m="1" x="854"/>
        <item x="1"/>
        <item x="2"/>
        <item m="1" x="806"/>
        <item x="3"/>
        <item m="1" x="679"/>
        <item x="4"/>
        <item m="1" x="680"/>
        <item m="1" x="681"/>
        <item x="6"/>
        <item x="7"/>
        <item m="1" x="682"/>
        <item x="9"/>
        <item m="1" x="683"/>
        <item m="1" x="778"/>
        <item x="12"/>
        <item m="1" x="819"/>
        <item x="13"/>
        <item x="16"/>
        <item m="1" x="828"/>
        <item x="17"/>
        <item x="18"/>
        <item x="23"/>
        <item x="24"/>
        <item x="30"/>
        <item m="1" x="624"/>
        <item x="25"/>
        <item x="26"/>
        <item x="27"/>
        <item x="28"/>
        <item x="29"/>
        <item x="31"/>
        <item x="32"/>
        <item x="35"/>
        <item m="1" x="684"/>
        <item x="37"/>
        <item x="38"/>
        <item x="39"/>
        <item x="41"/>
        <item m="1" x="820"/>
        <item x="44"/>
        <item x="45"/>
        <item m="1" x="685"/>
        <item m="1" x="686"/>
        <item x="46"/>
        <item m="1" x="625"/>
        <item m="1" x="687"/>
        <item m="1" x="821"/>
        <item x="48"/>
        <item m="1" x="692"/>
        <item x="49"/>
        <item x="51"/>
        <item x="52"/>
        <item m="1" x="688"/>
        <item x="54"/>
        <item x="55"/>
        <item m="1" x="822"/>
        <item m="1" x="689"/>
        <item m="1" x="690"/>
        <item x="56"/>
        <item x="57"/>
        <item m="1" x="796"/>
        <item m="1" x="691"/>
        <item x="59"/>
        <item x="60"/>
        <item m="1" x="665"/>
        <item x="61"/>
        <item x="62"/>
        <item m="1" x="626"/>
        <item x="65"/>
        <item x="66"/>
        <item m="1" x="693"/>
        <item x="68"/>
        <item x="69"/>
        <item x="70"/>
        <item m="1" x="694"/>
        <item m="1" x="695"/>
        <item x="73"/>
        <item m="1" x="696"/>
        <item x="74"/>
        <item x="75"/>
        <item x="79"/>
        <item m="1" x="823"/>
        <item x="80"/>
        <item x="81"/>
        <item x="82"/>
        <item m="1" x="697"/>
        <item x="83"/>
        <item x="84"/>
        <item m="1" x="698"/>
        <item m="1" x="824"/>
        <item x="87"/>
        <item m="1" x="699"/>
        <item x="88"/>
        <item m="1" x="700"/>
        <item x="90"/>
        <item x="91"/>
        <item x="92"/>
        <item m="1" x="721"/>
        <item x="94"/>
        <item m="1" x="701"/>
        <item x="96"/>
        <item m="1" x="731"/>
        <item x="99"/>
        <item m="1" x="702"/>
        <item x="100"/>
        <item x="101"/>
        <item x="109"/>
        <item x="102"/>
        <item m="1" x="703"/>
        <item x="104"/>
        <item x="106"/>
        <item m="1" x="666"/>
        <item m="1" x="667"/>
        <item m="1" x="704"/>
        <item x="113"/>
        <item x="114"/>
        <item x="115"/>
        <item x="116"/>
        <item m="1" x="705"/>
        <item m="1" x="706"/>
        <item m="1" x="707"/>
        <item x="118"/>
        <item x="119"/>
        <item x="120"/>
        <item m="1" x="708"/>
        <item x="121"/>
        <item m="1" x="785"/>
        <item x="124"/>
        <item x="126"/>
        <item x="127"/>
        <item x="128"/>
        <item x="129"/>
        <item m="1" x="709"/>
        <item x="131"/>
        <item m="1" x="773"/>
        <item m="1" x="606"/>
        <item x="134"/>
        <item x="136"/>
        <item m="1" x="825"/>
        <item m="1" x="710"/>
        <item x="137"/>
        <item m="1" x="832"/>
        <item m="1" x="607"/>
        <item m="1" x="812"/>
        <item m="1" x="711"/>
        <item x="140"/>
        <item x="142"/>
        <item x="145"/>
        <item x="146"/>
        <item x="152"/>
        <item x="153"/>
        <item x="154"/>
        <item x="155"/>
        <item x="161"/>
        <item m="1" x="850"/>
        <item x="158"/>
        <item m="1" x="627"/>
        <item m="1" x="805"/>
        <item x="159"/>
        <item x="160"/>
        <item m="1" x="847"/>
        <item m="1" x="826"/>
        <item x="163"/>
        <item x="167"/>
        <item x="168"/>
        <item x="170"/>
        <item x="172"/>
        <item m="1" x="816"/>
        <item x="173"/>
        <item x="174"/>
        <item x="175"/>
        <item x="176"/>
        <item x="177"/>
        <item x="178"/>
        <item m="1" x="712"/>
        <item m="1" x="742"/>
        <item x="181"/>
        <item x="184"/>
        <item m="1" x="807"/>
        <item x="185"/>
        <item x="186"/>
        <item x="187"/>
        <item m="1" x="713"/>
        <item x="190"/>
        <item m="1" x="628"/>
        <item x="191"/>
        <item x="192"/>
        <item x="193"/>
        <item x="194"/>
        <item x="195"/>
        <item x="196"/>
        <item x="197"/>
        <item m="1" x="668"/>
        <item x="199"/>
        <item m="1" x="714"/>
        <item x="200"/>
        <item m="1" x="827"/>
        <item m="1" x="715"/>
        <item x="201"/>
        <item m="1" x="716"/>
        <item x="202"/>
        <item x="203"/>
        <item m="1" x="717"/>
        <item m="1" x="718"/>
        <item x="204"/>
        <item m="1" x="608"/>
        <item x="206"/>
        <item m="1" x="788"/>
        <item m="1" x="829"/>
        <item x="209"/>
        <item x="210"/>
        <item x="212"/>
        <item x="213"/>
        <item x="214"/>
        <item m="1" x="791"/>
        <item x="217"/>
        <item x="218"/>
        <item x="219"/>
        <item x="220"/>
        <item m="1" x="629"/>
        <item x="223"/>
        <item m="1" x="779"/>
        <item x="225"/>
        <item x="227"/>
        <item m="1" x="797"/>
        <item x="228"/>
        <item m="1" x="630"/>
        <item m="1" x="851"/>
        <item m="1" x="845"/>
        <item x="229"/>
        <item m="1" x="719"/>
        <item m="1" x="720"/>
        <item x="230"/>
        <item m="1" x="804"/>
        <item m="1" x="722"/>
        <item m="1" x="723"/>
        <item x="234"/>
        <item m="1" x="798"/>
        <item x="235"/>
        <item m="1" x="724"/>
        <item m="1" x="725"/>
        <item x="237"/>
        <item x="239"/>
        <item m="1" x="726"/>
        <item x="241"/>
        <item m="1" x="780"/>
        <item x="242"/>
        <item x="252"/>
        <item m="1" x="727"/>
        <item m="1" x="728"/>
        <item x="247"/>
        <item x="248"/>
        <item x="250"/>
        <item m="1" x="817"/>
        <item m="1" x="830"/>
        <item x="251"/>
        <item m="1" x="799"/>
        <item m="1" x="631"/>
        <item x="254"/>
        <item m="1" x="808"/>
        <item x="255"/>
        <item m="1" x="831"/>
        <item x="257"/>
        <item x="258"/>
        <item x="259"/>
        <item x="260"/>
        <item m="1" x="609"/>
        <item x="261"/>
        <item m="1" x="632"/>
        <item m="1" x="729"/>
        <item m="1" x="673"/>
        <item x="262"/>
        <item m="1" x="633"/>
        <item m="1" x="669"/>
        <item m="1" x="730"/>
        <item x="263"/>
        <item m="1" x="776"/>
        <item x="264"/>
        <item x="265"/>
        <item x="267"/>
        <item x="270"/>
        <item x="271"/>
        <item x="273"/>
        <item x="274"/>
        <item x="275"/>
        <item x="276"/>
        <item x="277"/>
        <item m="1" x="781"/>
        <item x="278"/>
        <item x="279"/>
        <item x="280"/>
        <item m="1" x="786"/>
        <item x="283"/>
        <item x="284"/>
        <item x="285"/>
        <item m="1" x="782"/>
        <item x="286"/>
        <item x="288"/>
        <item x="290"/>
        <item m="1" x="732"/>
        <item x="291"/>
        <item x="292"/>
        <item m="1" x="809"/>
        <item m="1" x="661"/>
        <item x="294"/>
        <item x="295"/>
        <item x="296"/>
        <item m="1" x="740"/>
        <item m="1" x="733"/>
        <item x="297"/>
        <item x="298"/>
        <item x="299"/>
        <item x="300"/>
        <item m="1" x="789"/>
        <item m="1" x="856"/>
        <item m="1" x="734"/>
        <item x="302"/>
        <item x="303"/>
        <item x="304"/>
        <item x="306"/>
        <item m="1" x="813"/>
        <item m="1" x="853"/>
        <item m="1" x="634"/>
        <item x="308"/>
        <item x="310"/>
        <item m="1" x="735"/>
        <item x="313"/>
        <item x="314"/>
        <item m="1" x="635"/>
        <item x="315"/>
        <item x="316"/>
        <item x="318"/>
        <item x="320"/>
        <item x="321"/>
        <item x="325"/>
        <item m="1" x="792"/>
        <item x="326"/>
        <item x="327"/>
        <item m="1" x="736"/>
        <item m="1" x="787"/>
        <item x="330"/>
        <item m="1" x="849"/>
        <item x="332"/>
        <item x="333"/>
        <item m="1" x="810"/>
        <item x="335"/>
        <item m="1" x="737"/>
        <item m="1" x="738"/>
        <item m="1" x="800"/>
        <item m="1" x="739"/>
        <item x="338"/>
        <item x="339"/>
        <item x="340"/>
        <item m="1" x="636"/>
        <item x="341"/>
        <item m="1" x="610"/>
        <item x="343"/>
        <item m="1" x="775"/>
        <item x="345"/>
        <item x="346"/>
        <item x="382"/>
        <item x="347"/>
        <item x="348"/>
        <item m="1" x="745"/>
        <item x="349"/>
        <item x="353"/>
        <item x="355"/>
        <item x="356"/>
        <item x="358"/>
        <item x="359"/>
        <item m="1" x="818"/>
        <item x="360"/>
        <item x="362"/>
        <item m="1" x="611"/>
        <item x="363"/>
        <item x="365"/>
        <item x="367"/>
        <item x="368"/>
        <item x="369"/>
        <item x="370"/>
        <item x="371"/>
        <item m="1" x="833"/>
        <item x="372"/>
        <item x="373"/>
        <item x="374"/>
        <item x="376"/>
        <item m="1" x="834"/>
        <item x="377"/>
        <item m="1" x="637"/>
        <item x="378"/>
        <item x="379"/>
        <item x="380"/>
        <item x="381"/>
        <item x="428"/>
        <item x="383"/>
        <item x="384"/>
        <item x="385"/>
        <item x="386"/>
        <item x="387"/>
        <item x="389"/>
        <item x="392"/>
        <item x="393"/>
        <item x="394"/>
        <item x="396"/>
        <item x="399"/>
        <item x="401"/>
        <item x="402"/>
        <item x="403"/>
        <item m="1" x="793"/>
        <item m="1" x="790"/>
        <item x="405"/>
        <item x="406"/>
        <item m="1" x="783"/>
        <item x="408"/>
        <item x="409"/>
        <item x="410"/>
        <item x="411"/>
        <item x="416"/>
        <item x="417"/>
        <item m="1" x="670"/>
        <item x="419"/>
        <item m="1" x="612"/>
        <item x="421"/>
        <item x="422"/>
        <item x="424"/>
        <item m="1" x="835"/>
        <item x="425"/>
        <item x="426"/>
        <item m="1" x="671"/>
        <item m="1" x="638"/>
        <item x="427"/>
        <item x="429"/>
        <item m="1" x="639"/>
        <item x="430"/>
        <item x="431"/>
        <item x="432"/>
        <item m="1" x="672"/>
        <item x="433"/>
        <item m="1" x="640"/>
        <item x="436"/>
        <item x="437"/>
        <item x="439"/>
        <item x="441"/>
        <item x="442"/>
        <item x="443"/>
        <item x="444"/>
        <item m="1" x="741"/>
        <item m="1" x="620"/>
        <item x="445"/>
        <item x="446"/>
        <item x="448"/>
        <item m="1" x="836"/>
        <item x="450"/>
        <item x="451"/>
        <item x="453"/>
        <item x="454"/>
        <item x="455"/>
        <item x="456"/>
        <item x="457"/>
        <item x="459"/>
        <item x="461"/>
        <item x="463"/>
        <item x="464"/>
        <item x="465"/>
        <item x="466"/>
        <item x="468"/>
        <item x="469"/>
        <item m="1" x="852"/>
        <item m="1" x="746"/>
        <item x="470"/>
        <item x="471"/>
        <item m="1" x="837"/>
        <item x="473"/>
        <item m="1" x="801"/>
        <item x="474"/>
        <item x="475"/>
        <item x="476"/>
        <item x="477"/>
        <item m="1" x="777"/>
        <item m="1" x="641"/>
        <item m="1" x="838"/>
        <item x="481"/>
        <item x="482"/>
        <item m="1" x="846"/>
        <item x="485"/>
        <item x="486"/>
        <item x="487"/>
        <item m="1" x="747"/>
        <item x="489"/>
        <item m="1" x="642"/>
        <item x="490"/>
        <item x="491"/>
        <item m="1" x="839"/>
        <item m="1" x="858"/>
        <item x="492"/>
        <item x="493"/>
        <item x="494"/>
        <item x="495"/>
        <item x="496"/>
        <item x="497"/>
        <item x="498"/>
        <item x="500"/>
        <item m="1" x="815"/>
        <item x="501"/>
        <item x="502"/>
        <item x="503"/>
        <item x="504"/>
        <item x="506"/>
        <item m="1" x="748"/>
        <item x="507"/>
        <item x="508"/>
        <item m="1" x="643"/>
        <item m="1" x="855"/>
        <item m="1" x="749"/>
        <item x="509"/>
        <item x="510"/>
        <item x="512"/>
        <item m="1" x="802"/>
        <item x="513"/>
        <item m="1" x="644"/>
        <item m="1" x="750"/>
        <item x="514"/>
        <item x="515"/>
        <item m="1" x="645"/>
        <item m="1" x="751"/>
        <item x="517"/>
        <item m="1" x="752"/>
        <item x="518"/>
        <item m="1" x="676"/>
        <item x="519"/>
        <item m="1" x="840"/>
        <item x="521"/>
        <item x="522"/>
        <item m="1" x="754"/>
        <item x="523"/>
        <item x="524"/>
        <item x="525"/>
        <item m="1" x="860"/>
        <item m="1" x="613"/>
        <item x="526"/>
        <item x="527"/>
        <item m="1" x="755"/>
        <item m="1" x="756"/>
        <item m="1" x="757"/>
        <item x="531"/>
        <item x="532"/>
        <item x="535"/>
        <item x="536"/>
        <item m="1" x="758"/>
        <item x="537"/>
        <item m="1" x="841"/>
        <item m="1" x="857"/>
        <item m="1" x="795"/>
        <item x="538"/>
        <item x="539"/>
        <item x="541"/>
        <item m="1" x="759"/>
        <item x="542"/>
        <item x="543"/>
        <item x="544"/>
        <item x="545"/>
        <item m="1" x="848"/>
        <item x="546"/>
        <item x="547"/>
        <item x="548"/>
        <item x="549"/>
        <item m="1" x="646"/>
        <item m="1" x="803"/>
        <item x="550"/>
        <item x="553"/>
        <item m="1" x="842"/>
        <item x="556"/>
        <item x="557"/>
        <item m="1" x="859"/>
        <item x="558"/>
        <item m="1" x="760"/>
        <item m="1" x="761"/>
        <item x="561"/>
        <item x="562"/>
        <item x="563"/>
        <item x="564"/>
        <item x="565"/>
        <item m="1" x="762"/>
        <item x="569"/>
        <item m="1" x="647"/>
        <item x="570"/>
        <item m="1" x="814"/>
        <item m="1" x="763"/>
        <item x="571"/>
        <item x="573"/>
        <item x="574"/>
        <item x="576"/>
        <item m="1" x="648"/>
        <item m="1" x="649"/>
        <item x="577"/>
        <item m="1" x="843"/>
        <item x="578"/>
        <item m="1" x="844"/>
        <item m="1" x="650"/>
        <item x="579"/>
        <item m="1" x="764"/>
        <item m="1" x="651"/>
        <item x="583"/>
        <item x="584"/>
        <item x="585"/>
        <item m="1" x="765"/>
        <item x="586"/>
        <item m="1" x="811"/>
        <item x="589"/>
        <item m="1" x="766"/>
        <item x="591"/>
        <item x="592"/>
        <item m="1" x="767"/>
        <item x="594"/>
        <item m="1" x="794"/>
        <item x="595"/>
        <item x="596"/>
        <item m="1" x="768"/>
        <item x="597"/>
        <item x="598"/>
        <item x="599"/>
        <item m="1" x="784"/>
        <item x="603"/>
        <item x="604"/>
        <item x="605"/>
        <item m="1" x="655"/>
        <item x="575"/>
        <item x="122"/>
        <item x="336"/>
        <item m="1" x="769"/>
        <item x="588"/>
        <item x="111"/>
        <item x="423"/>
        <item m="1" x="774"/>
        <item x="216"/>
        <item x="133"/>
        <item x="64"/>
        <item m="1" x="770"/>
        <item m="1" x="744"/>
        <item m="1" x="772"/>
        <item x="530"/>
        <item m="1" x="771"/>
        <item m="1" x="753"/>
        <item m="1" x="662"/>
        <item x="47"/>
        <item m="1" x="743"/>
        <item m="1" x="660"/>
        <item x="5"/>
        <item x="71"/>
        <item x="233"/>
        <item x="246"/>
        <item x="560"/>
        <item x="395"/>
        <item x="440"/>
        <item x="540"/>
        <item m="1" x="677"/>
        <item x="72"/>
        <item x="95"/>
        <item m="1" x="678"/>
        <item x="388"/>
        <item x="287"/>
        <item x="407"/>
        <item x="130"/>
        <item x="413"/>
        <item x="231"/>
        <item x="205"/>
        <item x="198"/>
        <item m="1" x="675"/>
        <item m="1" x="657"/>
        <item x="398"/>
        <item x="478"/>
        <item x="208"/>
        <item x="123"/>
        <item x="580"/>
        <item x="110"/>
        <item x="351"/>
        <item m="1" x="663"/>
        <item x="323"/>
        <item x="21"/>
        <item x="108"/>
        <item m="1" x="674"/>
        <item x="138"/>
        <item x="34"/>
        <item x="226"/>
        <item x="400"/>
        <item m="1" x="664"/>
        <item x="449"/>
        <item x="33"/>
        <item m="1" x="658"/>
        <item x="85"/>
        <item x="334"/>
        <item x="434"/>
        <item x="418"/>
        <item x="479"/>
        <item x="272"/>
        <item x="78"/>
        <item x="601"/>
        <item x="361"/>
        <item x="77"/>
        <item x="93"/>
        <item x="151"/>
        <item x="207"/>
        <item x="328"/>
        <item x="447"/>
        <item x="352"/>
        <item m="1" x="656"/>
        <item x="236"/>
        <item x="266"/>
        <item x="317"/>
        <item x="14"/>
        <item x="15"/>
        <item m="1" x="659"/>
        <item x="293"/>
        <item x="289"/>
        <item x="139"/>
        <item x="117"/>
        <item m="1" x="652"/>
        <item x="281"/>
        <item x="67"/>
        <item x="97"/>
        <item x="551"/>
        <item x="22"/>
        <item x="147"/>
        <item x="600"/>
        <item x="435"/>
        <item x="36"/>
        <item x="566"/>
        <item m="1" x="619"/>
        <item x="143"/>
        <item x="211"/>
        <item x="391"/>
        <item x="40"/>
        <item x="150"/>
        <item x="452"/>
        <item x="438"/>
        <item x="357"/>
        <item x="505"/>
        <item x="50"/>
        <item x="182"/>
        <item x="412"/>
        <item x="148"/>
        <item x="350"/>
        <item x="458"/>
        <item x="533"/>
        <item x="567"/>
        <item m="1" x="622"/>
        <item x="98"/>
        <item x="221"/>
        <item x="337"/>
        <item x="19"/>
        <item x="43"/>
        <item x="301"/>
        <item x="375"/>
        <item x="305"/>
        <item x="164"/>
        <item x="354"/>
        <item m="1" x="654"/>
        <item x="555"/>
        <item m="1" x="653"/>
        <item x="240"/>
        <item x="224"/>
        <item m="1" x="623"/>
        <item x="141"/>
        <item x="511"/>
        <item x="156"/>
        <item x="245"/>
        <item m="1" x="621"/>
        <item x="319"/>
        <item x="63"/>
        <item x="215"/>
        <item x="415"/>
        <item x="324"/>
        <item x="76"/>
        <item x="484"/>
        <item x="179"/>
        <item x="135"/>
        <item x="593"/>
        <item x="171"/>
        <item x="222"/>
        <item x="42"/>
        <item x="165"/>
        <item x="587"/>
        <item x="480"/>
        <item x="331"/>
        <item x="420"/>
        <item x="602"/>
        <item x="590"/>
        <item x="107"/>
        <item x="269"/>
        <item x="166"/>
        <item x="268"/>
        <item x="125"/>
        <item x="53"/>
        <item x="344"/>
        <item x="10"/>
        <item x="483"/>
        <item x="244"/>
        <item x="472"/>
        <item x="249"/>
        <item x="256"/>
        <item m="1" x="618"/>
        <item x="105"/>
        <item x="162"/>
        <item x="312"/>
        <item x="390"/>
        <item x="112"/>
        <item x="528"/>
        <item x="8"/>
        <item x="103"/>
        <item x="309"/>
        <item x="307"/>
        <item x="366"/>
        <item m="1" x="616"/>
        <item x="183"/>
        <item m="1" x="615"/>
        <item x="180"/>
        <item x="559"/>
        <item x="282"/>
        <item x="516"/>
        <item x="58"/>
        <item x="89"/>
        <item m="1" x="617"/>
        <item x="397"/>
        <item x="414"/>
        <item x="132"/>
        <item x="144"/>
        <item x="467"/>
        <item x="364"/>
        <item x="554"/>
        <item x="86"/>
        <item x="520"/>
        <item x="157"/>
        <item x="499"/>
        <item x="534"/>
        <item m="1" x="614"/>
        <item x="322"/>
        <item x="329"/>
        <item x="581"/>
        <item x="232"/>
        <item x="20"/>
        <item x="189"/>
        <item x="582"/>
        <item x="462"/>
        <item x="238"/>
        <item x="404"/>
        <item x="311"/>
        <item x="243"/>
        <item x="529"/>
        <item x="488"/>
        <item x="11"/>
        <item x="149"/>
        <item x="169"/>
        <item x="342"/>
        <item x="552"/>
        <item x="460"/>
        <item x="572"/>
        <item x="568"/>
        <item x="188"/>
        <item x="25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defaultSubtotal="0">
      <items count="21">
        <item h="1" x="6"/>
        <item h="1" x="2"/>
        <item h="1" x="0"/>
        <item h="1" x="4"/>
        <item h="1" m="1" x="20"/>
        <item h="1" m="1" x="15"/>
        <item h="1" m="1" x="13"/>
        <item h="1" m="1" x="12"/>
        <item h="1" m="1" x="18"/>
        <item h="1" m="1" x="14"/>
        <item h="1" x="1"/>
        <item h="1" m="1" x="17"/>
        <item h="1" m="1" x="19"/>
        <item h="1" m="1" x="16"/>
        <item h="1" m="1" x="11"/>
        <item h="1" x="3"/>
        <item h="1" m="1" x="9"/>
        <item h="1" x="8"/>
        <item x="5"/>
        <item x="7"/>
        <item h="1" m="1" x="10"/>
      </items>
    </pivotField>
    <pivotField axis="axisRow" compact="0" outline="0" showAll="0" insertBlankRow="1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4"/>
    <field x="5"/>
    <field x="1"/>
  </rowFields>
  <rowItems count="8">
    <i>
      <x v="105"/>
      <x v="18"/>
      <x v="1"/>
      <x v="775"/>
    </i>
    <i t="default" r="2">
      <x v="1"/>
    </i>
    <i t="blank" r="2">
      <x v="1"/>
    </i>
    <i r="1">
      <x v="19"/>
      <x/>
      <x v="206"/>
    </i>
    <i t="default" r="2">
      <x/>
    </i>
    <i t="blank" r="2">
      <x/>
    </i>
    <i t="default">
      <x v="1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 U$D" fld="10" baseField="0" baseItem="0" numFmtId="167"/>
    <dataField name="% U$D" fld="10" showDataAs="percentOfTotal" baseField="1" baseItem="43" numFmtId="10"/>
  </dataFields>
  <formats count="3">
    <format dxfId="14">
      <pivotArea outline="0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19C59-25B9-4385-A900-24AE68367F1A}" name="TablaDinámica3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16" firstHeaderRow="0" firstDataRow="1" firstDataCol="4"/>
  <pivotFields count="16">
    <pivotField axis="axisRow" compact="0" outline="0" showAll="0">
      <items count="109">
        <item h="1" m="1" x="104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43"/>
        <item h="1" m="1" x="97"/>
        <item h="1" x="12"/>
        <item h="1" m="1" x="95"/>
        <item h="1" x="3"/>
        <item h="1" m="1" x="92"/>
        <item h="1" m="1" x="96"/>
        <item h="1" m="1" x="93"/>
        <item h="1" m="1" x="94"/>
        <item h="1" m="1" x="100"/>
        <item h="1" m="1" x="99"/>
        <item h="1" m="1" x="101"/>
        <item h="1" x="32"/>
        <item h="1" x="9"/>
        <item h="1" x="13"/>
        <item h="1" x="41"/>
        <item h="1" x="50"/>
        <item h="1" x="59"/>
        <item h="1" x="74"/>
        <item h="1" x="85"/>
        <item h="1" x="73"/>
        <item h="1" m="1" x="91"/>
        <item h="1" x="56"/>
        <item h="1" x="33"/>
        <item h="1"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x="44"/>
        <item h="1" x="38"/>
        <item h="1" x="66"/>
        <item h="1" x="77"/>
        <item h="1" x="71"/>
        <item h="1" x="11"/>
        <item h="1" x="39"/>
        <item h="1" x="72"/>
        <item h="1" x="40"/>
        <item h="1" x="54"/>
        <item h="1" x="46"/>
        <item h="1" x="16"/>
        <item h="1" m="1" x="88"/>
        <item h="1" m="1" x="87"/>
        <item t="default"/>
      </items>
    </pivotField>
    <pivotField axis="axisRow" compact="0" outline="0" showAll="0" sortType="descending">
      <items count="862">
        <item x="0"/>
        <item m="1" x="854"/>
        <item x="1"/>
        <item x="2"/>
        <item m="1" x="806"/>
        <item x="3"/>
        <item m="1" x="679"/>
        <item x="4"/>
        <item m="1" x="680"/>
        <item m="1" x="681"/>
        <item x="6"/>
        <item x="7"/>
        <item m="1" x="682"/>
        <item x="9"/>
        <item m="1" x="683"/>
        <item m="1" x="778"/>
        <item x="12"/>
        <item m="1" x="819"/>
        <item x="13"/>
        <item x="16"/>
        <item m="1" x="828"/>
        <item x="17"/>
        <item x="18"/>
        <item x="23"/>
        <item x="24"/>
        <item x="30"/>
        <item m="1" x="624"/>
        <item x="25"/>
        <item x="26"/>
        <item x="27"/>
        <item x="28"/>
        <item x="29"/>
        <item x="31"/>
        <item x="32"/>
        <item x="35"/>
        <item m="1" x="684"/>
        <item x="38"/>
        <item x="39"/>
        <item x="41"/>
        <item m="1" x="820"/>
        <item x="44"/>
        <item x="45"/>
        <item m="1" x="685"/>
        <item m="1" x="686"/>
        <item x="46"/>
        <item m="1" x="625"/>
        <item m="1" x="687"/>
        <item m="1" x="821"/>
        <item x="48"/>
        <item m="1" x="692"/>
        <item x="49"/>
        <item x="51"/>
        <item m="1" x="688"/>
        <item x="54"/>
        <item m="1" x="822"/>
        <item m="1" x="689"/>
        <item m="1" x="690"/>
        <item x="56"/>
        <item x="57"/>
        <item m="1" x="796"/>
        <item m="1" x="691"/>
        <item x="59"/>
        <item x="60"/>
        <item m="1" x="665"/>
        <item x="61"/>
        <item x="62"/>
        <item m="1" x="626"/>
        <item x="65"/>
        <item x="66"/>
        <item m="1" x="693"/>
        <item x="68"/>
        <item x="69"/>
        <item x="70"/>
        <item m="1" x="694"/>
        <item m="1" x="695"/>
        <item x="73"/>
        <item m="1" x="696"/>
        <item x="74"/>
        <item x="75"/>
        <item x="79"/>
        <item m="1" x="823"/>
        <item x="80"/>
        <item x="81"/>
        <item x="82"/>
        <item m="1" x="697"/>
        <item x="83"/>
        <item x="84"/>
        <item m="1" x="698"/>
        <item m="1" x="824"/>
        <item x="87"/>
        <item m="1" x="699"/>
        <item x="88"/>
        <item m="1" x="700"/>
        <item x="90"/>
        <item x="91"/>
        <item x="92"/>
        <item m="1" x="721"/>
        <item x="94"/>
        <item m="1" x="701"/>
        <item x="96"/>
        <item x="99"/>
        <item m="1" x="702"/>
        <item x="100"/>
        <item x="101"/>
        <item x="109"/>
        <item x="102"/>
        <item m="1" x="703"/>
        <item x="104"/>
        <item x="106"/>
        <item m="1" x="666"/>
        <item m="1" x="667"/>
        <item m="1" x="704"/>
        <item x="113"/>
        <item x="114"/>
        <item x="115"/>
        <item x="116"/>
        <item m="1" x="705"/>
        <item m="1" x="706"/>
        <item m="1" x="707"/>
        <item x="118"/>
        <item x="119"/>
        <item x="120"/>
        <item m="1" x="708"/>
        <item x="121"/>
        <item m="1" x="785"/>
        <item x="124"/>
        <item x="126"/>
        <item x="127"/>
        <item x="128"/>
        <item x="129"/>
        <item m="1" x="709"/>
        <item x="131"/>
        <item m="1" x="773"/>
        <item m="1" x="606"/>
        <item x="134"/>
        <item x="136"/>
        <item m="1" x="825"/>
        <item m="1" x="710"/>
        <item x="137"/>
        <item m="1" x="832"/>
        <item m="1" x="607"/>
        <item m="1" x="812"/>
        <item m="1" x="711"/>
        <item x="140"/>
        <item x="142"/>
        <item x="145"/>
        <item x="146"/>
        <item x="152"/>
        <item x="153"/>
        <item x="154"/>
        <item x="155"/>
        <item x="161"/>
        <item m="1" x="850"/>
        <item x="158"/>
        <item m="1" x="627"/>
        <item m="1" x="805"/>
        <item x="159"/>
        <item x="160"/>
        <item m="1" x="847"/>
        <item m="1" x="826"/>
        <item x="163"/>
        <item x="167"/>
        <item x="168"/>
        <item x="170"/>
        <item x="172"/>
        <item m="1" x="816"/>
        <item x="173"/>
        <item x="174"/>
        <item x="175"/>
        <item x="176"/>
        <item x="177"/>
        <item x="178"/>
        <item m="1" x="712"/>
        <item x="181"/>
        <item x="184"/>
        <item m="1" x="807"/>
        <item x="185"/>
        <item x="186"/>
        <item x="187"/>
        <item m="1" x="713"/>
        <item x="190"/>
        <item m="1" x="628"/>
        <item x="191"/>
        <item x="192"/>
        <item x="193"/>
        <item x="194"/>
        <item x="195"/>
        <item x="196"/>
        <item x="197"/>
        <item m="1" x="668"/>
        <item x="199"/>
        <item m="1" x="714"/>
        <item x="200"/>
        <item m="1" x="827"/>
        <item m="1" x="715"/>
        <item x="201"/>
        <item m="1" x="716"/>
        <item x="202"/>
        <item x="203"/>
        <item m="1" x="717"/>
        <item m="1" x="718"/>
        <item x="204"/>
        <item m="1" x="608"/>
        <item x="206"/>
        <item m="1" x="788"/>
        <item m="1" x="829"/>
        <item x="209"/>
        <item x="210"/>
        <item x="212"/>
        <item x="213"/>
        <item x="214"/>
        <item m="1" x="791"/>
        <item x="217"/>
        <item x="218"/>
        <item x="219"/>
        <item x="220"/>
        <item m="1" x="629"/>
        <item x="223"/>
        <item m="1" x="779"/>
        <item x="225"/>
        <item x="227"/>
        <item m="1" x="797"/>
        <item x="228"/>
        <item m="1" x="630"/>
        <item m="1" x="851"/>
        <item m="1" x="845"/>
        <item x="229"/>
        <item m="1" x="719"/>
        <item m="1" x="720"/>
        <item x="230"/>
        <item m="1" x="804"/>
        <item m="1" x="722"/>
        <item m="1" x="723"/>
        <item m="1" x="798"/>
        <item x="235"/>
        <item m="1" x="724"/>
        <item m="1" x="725"/>
        <item x="237"/>
        <item x="239"/>
        <item m="1" x="726"/>
        <item x="241"/>
        <item m="1" x="780"/>
        <item x="242"/>
        <item x="252"/>
        <item m="1" x="727"/>
        <item m="1" x="728"/>
        <item x="247"/>
        <item x="248"/>
        <item x="250"/>
        <item m="1" x="817"/>
        <item m="1" x="830"/>
        <item x="251"/>
        <item m="1" x="799"/>
        <item m="1" x="631"/>
        <item x="254"/>
        <item m="1" x="808"/>
        <item x="255"/>
        <item m="1" x="831"/>
        <item x="257"/>
        <item x="258"/>
        <item x="259"/>
        <item x="260"/>
        <item m="1" x="609"/>
        <item x="261"/>
        <item m="1" x="632"/>
        <item m="1" x="729"/>
        <item m="1" x="673"/>
        <item x="262"/>
        <item m="1" x="633"/>
        <item m="1" x="669"/>
        <item m="1" x="730"/>
        <item x="263"/>
        <item x="264"/>
        <item x="265"/>
        <item x="267"/>
        <item x="270"/>
        <item x="271"/>
        <item x="273"/>
        <item x="274"/>
        <item x="275"/>
        <item x="276"/>
        <item x="277"/>
        <item m="1" x="781"/>
        <item x="278"/>
        <item x="279"/>
        <item x="280"/>
        <item m="1" x="786"/>
        <item x="283"/>
        <item x="284"/>
        <item x="285"/>
        <item m="1" x="782"/>
        <item x="286"/>
        <item x="288"/>
        <item x="290"/>
        <item m="1" x="732"/>
        <item x="291"/>
        <item x="292"/>
        <item m="1" x="809"/>
        <item x="294"/>
        <item x="295"/>
        <item x="296"/>
        <item m="1" x="733"/>
        <item x="297"/>
        <item x="298"/>
        <item x="299"/>
        <item x="300"/>
        <item m="1" x="789"/>
        <item m="1" x="856"/>
        <item m="1" x="734"/>
        <item x="302"/>
        <item x="303"/>
        <item x="304"/>
        <item x="306"/>
        <item m="1" x="813"/>
        <item m="1" x="853"/>
        <item m="1" x="634"/>
        <item x="308"/>
        <item x="310"/>
        <item m="1" x="735"/>
        <item x="313"/>
        <item x="314"/>
        <item m="1" x="635"/>
        <item x="315"/>
        <item x="316"/>
        <item x="318"/>
        <item x="320"/>
        <item x="321"/>
        <item x="325"/>
        <item m="1" x="792"/>
        <item x="326"/>
        <item x="327"/>
        <item m="1" x="736"/>
        <item m="1" x="787"/>
        <item x="330"/>
        <item m="1" x="849"/>
        <item x="332"/>
        <item x="333"/>
        <item m="1" x="810"/>
        <item x="335"/>
        <item m="1" x="737"/>
        <item m="1" x="738"/>
        <item m="1" x="800"/>
        <item m="1" x="739"/>
        <item x="338"/>
        <item x="339"/>
        <item x="340"/>
        <item m="1" x="636"/>
        <item x="341"/>
        <item m="1" x="610"/>
        <item x="343"/>
        <item m="1" x="775"/>
        <item x="345"/>
        <item x="346"/>
        <item x="382"/>
        <item x="347"/>
        <item x="348"/>
        <item m="1" x="745"/>
        <item x="349"/>
        <item x="353"/>
        <item x="355"/>
        <item x="356"/>
        <item x="358"/>
        <item x="359"/>
        <item m="1" x="818"/>
        <item x="360"/>
        <item x="362"/>
        <item m="1" x="611"/>
        <item x="363"/>
        <item x="365"/>
        <item x="367"/>
        <item x="368"/>
        <item x="369"/>
        <item x="370"/>
        <item x="371"/>
        <item m="1" x="833"/>
        <item x="372"/>
        <item x="373"/>
        <item x="374"/>
        <item x="376"/>
        <item m="1" x="834"/>
        <item x="377"/>
        <item m="1" x="637"/>
        <item x="378"/>
        <item x="379"/>
        <item x="380"/>
        <item x="381"/>
        <item x="428"/>
        <item x="383"/>
        <item x="384"/>
        <item x="385"/>
        <item x="386"/>
        <item x="387"/>
        <item x="389"/>
        <item x="392"/>
        <item x="393"/>
        <item x="394"/>
        <item x="396"/>
        <item x="399"/>
        <item x="401"/>
        <item x="402"/>
        <item x="403"/>
        <item m="1" x="793"/>
        <item m="1" x="790"/>
        <item x="405"/>
        <item x="406"/>
        <item m="1" x="783"/>
        <item x="408"/>
        <item x="409"/>
        <item x="410"/>
        <item x="411"/>
        <item x="416"/>
        <item x="417"/>
        <item m="1" x="670"/>
        <item x="419"/>
        <item m="1" x="612"/>
        <item x="421"/>
        <item x="422"/>
        <item x="424"/>
        <item m="1" x="835"/>
        <item x="425"/>
        <item x="426"/>
        <item m="1" x="671"/>
        <item m="1" x="638"/>
        <item x="427"/>
        <item x="429"/>
        <item m="1" x="639"/>
        <item x="430"/>
        <item x="431"/>
        <item x="432"/>
        <item m="1" x="672"/>
        <item x="433"/>
        <item m="1" x="640"/>
        <item x="436"/>
        <item x="437"/>
        <item x="439"/>
        <item x="441"/>
        <item x="442"/>
        <item x="443"/>
        <item x="444"/>
        <item m="1" x="741"/>
        <item m="1" x="620"/>
        <item x="445"/>
        <item x="446"/>
        <item x="448"/>
        <item m="1" x="836"/>
        <item x="450"/>
        <item x="451"/>
        <item x="453"/>
        <item x="454"/>
        <item x="455"/>
        <item x="456"/>
        <item x="457"/>
        <item x="459"/>
        <item x="461"/>
        <item x="463"/>
        <item x="464"/>
        <item x="465"/>
        <item x="466"/>
        <item x="468"/>
        <item x="469"/>
        <item m="1" x="852"/>
        <item m="1" x="746"/>
        <item x="470"/>
        <item x="471"/>
        <item m="1" x="837"/>
        <item x="473"/>
        <item m="1" x="801"/>
        <item x="474"/>
        <item x="475"/>
        <item x="476"/>
        <item x="477"/>
        <item m="1" x="777"/>
        <item m="1" x="641"/>
        <item m="1" x="838"/>
        <item x="481"/>
        <item x="482"/>
        <item m="1" x="846"/>
        <item x="485"/>
        <item x="486"/>
        <item x="487"/>
        <item m="1" x="747"/>
        <item x="489"/>
        <item m="1" x="642"/>
        <item x="490"/>
        <item x="491"/>
        <item m="1" x="839"/>
        <item m="1" x="858"/>
        <item x="492"/>
        <item x="493"/>
        <item x="494"/>
        <item x="495"/>
        <item x="497"/>
        <item x="498"/>
        <item x="500"/>
        <item m="1" x="815"/>
        <item x="501"/>
        <item x="502"/>
        <item x="503"/>
        <item x="504"/>
        <item x="506"/>
        <item m="1" x="748"/>
        <item x="507"/>
        <item x="508"/>
        <item m="1" x="643"/>
        <item m="1" x="855"/>
        <item m="1" x="749"/>
        <item x="509"/>
        <item x="510"/>
        <item x="512"/>
        <item m="1" x="802"/>
        <item x="513"/>
        <item m="1" x="644"/>
        <item m="1" x="750"/>
        <item x="514"/>
        <item x="515"/>
        <item m="1" x="645"/>
        <item m="1" x="751"/>
        <item x="517"/>
        <item m="1" x="752"/>
        <item x="518"/>
        <item m="1" x="676"/>
        <item x="519"/>
        <item m="1" x="840"/>
        <item x="521"/>
        <item x="522"/>
        <item m="1" x="754"/>
        <item x="523"/>
        <item x="524"/>
        <item x="525"/>
        <item m="1" x="860"/>
        <item m="1" x="613"/>
        <item x="526"/>
        <item x="527"/>
        <item m="1" x="755"/>
        <item m="1" x="756"/>
        <item m="1" x="757"/>
        <item x="531"/>
        <item x="532"/>
        <item x="535"/>
        <item x="536"/>
        <item m="1" x="758"/>
        <item x="537"/>
        <item m="1" x="841"/>
        <item m="1" x="857"/>
        <item m="1" x="795"/>
        <item x="538"/>
        <item x="539"/>
        <item x="541"/>
        <item m="1" x="759"/>
        <item x="542"/>
        <item x="543"/>
        <item x="544"/>
        <item x="545"/>
        <item m="1" x="848"/>
        <item x="546"/>
        <item x="547"/>
        <item x="548"/>
        <item x="549"/>
        <item m="1" x="646"/>
        <item m="1" x="803"/>
        <item x="550"/>
        <item x="553"/>
        <item m="1" x="842"/>
        <item x="556"/>
        <item x="557"/>
        <item m="1" x="859"/>
        <item x="558"/>
        <item m="1" x="760"/>
        <item m="1" x="761"/>
        <item x="561"/>
        <item x="562"/>
        <item x="563"/>
        <item x="564"/>
        <item x="565"/>
        <item m="1" x="762"/>
        <item x="569"/>
        <item m="1" x="647"/>
        <item x="570"/>
        <item m="1" x="814"/>
        <item m="1" x="763"/>
        <item x="571"/>
        <item x="573"/>
        <item x="574"/>
        <item x="576"/>
        <item m="1" x="648"/>
        <item m="1" x="649"/>
        <item x="577"/>
        <item m="1" x="843"/>
        <item x="578"/>
        <item m="1" x="844"/>
        <item m="1" x="650"/>
        <item x="579"/>
        <item m="1" x="764"/>
        <item m="1" x="651"/>
        <item x="583"/>
        <item x="584"/>
        <item x="585"/>
        <item m="1" x="765"/>
        <item x="586"/>
        <item m="1" x="811"/>
        <item x="589"/>
        <item m="1" x="766"/>
        <item x="591"/>
        <item x="592"/>
        <item m="1" x="767"/>
        <item x="594"/>
        <item m="1" x="794"/>
        <item x="595"/>
        <item x="596"/>
        <item m="1" x="768"/>
        <item x="597"/>
        <item x="599"/>
        <item m="1" x="784"/>
        <item x="603"/>
        <item x="604"/>
        <item x="605"/>
        <item m="1" x="655"/>
        <item x="598"/>
        <item m="1" x="742"/>
        <item m="1" x="740"/>
        <item m="1" x="661"/>
        <item m="1" x="776"/>
        <item x="496"/>
        <item x="52"/>
        <item x="55"/>
        <item x="37"/>
        <item m="1" x="731"/>
        <item x="234"/>
        <item x="575"/>
        <item x="122"/>
        <item x="336"/>
        <item m="1" x="769"/>
        <item x="588"/>
        <item x="111"/>
        <item x="423"/>
        <item m="1" x="774"/>
        <item x="216"/>
        <item x="133"/>
        <item x="64"/>
        <item m="1" x="770"/>
        <item m="1" x="744"/>
        <item m="1" x="772"/>
        <item x="530"/>
        <item m="1" x="771"/>
        <item m="1" x="753"/>
        <item m="1" x="662"/>
        <item x="47"/>
        <item m="1" x="743"/>
        <item m="1" x="660"/>
        <item x="5"/>
        <item x="71"/>
        <item x="233"/>
        <item x="246"/>
        <item x="560"/>
        <item x="395"/>
        <item x="440"/>
        <item x="540"/>
        <item m="1" x="677"/>
        <item x="72"/>
        <item x="95"/>
        <item m="1" x="678"/>
        <item x="388"/>
        <item x="287"/>
        <item x="407"/>
        <item x="130"/>
        <item x="413"/>
        <item x="231"/>
        <item x="205"/>
        <item x="198"/>
        <item m="1" x="675"/>
        <item m="1" x="657"/>
        <item x="398"/>
        <item x="478"/>
        <item x="208"/>
        <item x="123"/>
        <item x="580"/>
        <item x="110"/>
        <item x="351"/>
        <item m="1" x="663"/>
        <item x="323"/>
        <item x="21"/>
        <item x="108"/>
        <item m="1" x="674"/>
        <item x="138"/>
        <item x="34"/>
        <item x="226"/>
        <item x="400"/>
        <item m="1" x="664"/>
        <item x="449"/>
        <item x="33"/>
        <item m="1" x="658"/>
        <item x="85"/>
        <item x="334"/>
        <item x="434"/>
        <item x="418"/>
        <item x="479"/>
        <item x="272"/>
        <item x="78"/>
        <item x="601"/>
        <item x="361"/>
        <item x="77"/>
        <item x="93"/>
        <item x="151"/>
        <item x="207"/>
        <item x="328"/>
        <item x="447"/>
        <item x="352"/>
        <item m="1" x="656"/>
        <item x="236"/>
        <item x="266"/>
        <item x="317"/>
        <item x="14"/>
        <item x="15"/>
        <item m="1" x="659"/>
        <item x="293"/>
        <item x="289"/>
        <item x="139"/>
        <item x="117"/>
        <item m="1" x="652"/>
        <item x="281"/>
        <item x="67"/>
        <item x="97"/>
        <item x="551"/>
        <item x="22"/>
        <item x="147"/>
        <item x="600"/>
        <item x="435"/>
        <item x="36"/>
        <item x="566"/>
        <item m="1" x="619"/>
        <item x="143"/>
        <item x="211"/>
        <item x="391"/>
        <item x="40"/>
        <item x="150"/>
        <item x="452"/>
        <item x="438"/>
        <item x="357"/>
        <item x="505"/>
        <item x="50"/>
        <item x="182"/>
        <item x="412"/>
        <item x="148"/>
        <item x="350"/>
        <item x="458"/>
        <item x="533"/>
        <item x="567"/>
        <item m="1" x="622"/>
        <item x="98"/>
        <item x="221"/>
        <item x="337"/>
        <item x="19"/>
        <item x="43"/>
        <item x="301"/>
        <item x="375"/>
        <item x="305"/>
        <item x="164"/>
        <item x="354"/>
        <item m="1" x="654"/>
        <item x="555"/>
        <item m="1" x="653"/>
        <item x="240"/>
        <item x="224"/>
        <item m="1" x="623"/>
        <item x="141"/>
        <item x="511"/>
        <item x="156"/>
        <item x="245"/>
        <item m="1" x="621"/>
        <item x="319"/>
        <item x="63"/>
        <item x="215"/>
        <item x="415"/>
        <item x="324"/>
        <item x="76"/>
        <item x="484"/>
        <item x="179"/>
        <item x="135"/>
        <item x="593"/>
        <item x="171"/>
        <item x="222"/>
        <item x="42"/>
        <item x="165"/>
        <item x="587"/>
        <item x="480"/>
        <item x="331"/>
        <item x="420"/>
        <item x="602"/>
        <item x="590"/>
        <item x="107"/>
        <item x="269"/>
        <item x="166"/>
        <item x="268"/>
        <item x="125"/>
        <item x="53"/>
        <item x="344"/>
        <item x="10"/>
        <item x="483"/>
        <item x="244"/>
        <item x="472"/>
        <item x="249"/>
        <item x="256"/>
        <item m="1" x="618"/>
        <item x="105"/>
        <item x="162"/>
        <item x="312"/>
        <item x="390"/>
        <item x="112"/>
        <item x="528"/>
        <item x="8"/>
        <item x="103"/>
        <item x="309"/>
        <item x="307"/>
        <item x="366"/>
        <item m="1" x="616"/>
        <item x="183"/>
        <item m="1" x="615"/>
        <item x="180"/>
        <item x="559"/>
        <item x="282"/>
        <item x="516"/>
        <item x="58"/>
        <item x="89"/>
        <item m="1" x="617"/>
        <item x="397"/>
        <item x="414"/>
        <item x="132"/>
        <item x="144"/>
        <item x="467"/>
        <item x="364"/>
        <item x="554"/>
        <item x="86"/>
        <item x="520"/>
        <item x="157"/>
        <item x="499"/>
        <item x="534"/>
        <item m="1" x="614"/>
        <item x="322"/>
        <item x="329"/>
        <item x="581"/>
        <item x="232"/>
        <item x="20"/>
        <item x="189"/>
        <item x="582"/>
        <item x="462"/>
        <item x="238"/>
        <item x="404"/>
        <item x="311"/>
        <item x="243"/>
        <item x="529"/>
        <item x="488"/>
        <item x="11"/>
        <item x="149"/>
        <item x="169"/>
        <item x="342"/>
        <item x="552"/>
        <item x="460"/>
        <item x="572"/>
        <item x="568"/>
        <item x="188"/>
        <item x="25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defaultSubtotal="0">
      <items count="21">
        <item h="1" x="6"/>
        <item h="1" x="2"/>
        <item x="0"/>
        <item h="1" x="4"/>
        <item h="1" m="1" x="20"/>
        <item h="1" m="1" x="15"/>
        <item h="1" m="1" x="13"/>
        <item h="1" m="1" x="12"/>
        <item h="1" m="1" x="18"/>
        <item h="1" m="1" x="14"/>
        <item h="1" x="1"/>
        <item h="1" m="1" x="17"/>
        <item h="1" m="1" x="19"/>
        <item h="1" m="1" x="16"/>
        <item h="1" m="1" x="11"/>
        <item h="1" x="3"/>
        <item h="1" m="1" x="9"/>
        <item h="1" x="8"/>
        <item h="1" x="5"/>
        <item h="1" x="7"/>
        <item h="1" m="1" x="10"/>
      </items>
    </pivotField>
    <pivotField axis="axisRow" compact="0" outline="0" showAll="0" insertBlankRow="1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</pivotFields>
  <rowFields count="4">
    <field x="0"/>
    <field x="5"/>
    <field x="4"/>
    <field x="1"/>
  </rowFields>
  <rowItems count="13">
    <i>
      <x v="94"/>
      <x/>
      <x v="2"/>
      <x v="681"/>
    </i>
    <i r="3">
      <x v="705"/>
    </i>
    <i t="default" r="1">
      <x/>
    </i>
    <i t="blank" r="1">
      <x/>
    </i>
    <i r="1">
      <x v="1"/>
      <x v="2"/>
      <x v="416"/>
    </i>
    <i r="3">
      <x v="749"/>
    </i>
    <i r="3">
      <x v="787"/>
    </i>
    <i r="3">
      <x v="378"/>
    </i>
    <i r="3">
      <x v="663"/>
    </i>
    <i t="default" r="1">
      <x v="1"/>
    </i>
    <i t="blank" r="1">
      <x v="1"/>
    </i>
    <i t="default">
      <x v="9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 U$D" fld="10" baseField="0" baseItem="0" numFmtId="167"/>
    <dataField name="% U$D" fld="10" showDataAs="percentOfTotal" baseField="1" baseItem="625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4C722-F6ED-4C06-B6F8-070D236A6600}" name="TablaDinámica2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3:N17" firstHeaderRow="0" firstDataRow="1" firstDataCol="4"/>
  <pivotFields count="16">
    <pivotField axis="axisRow" compact="0" outline="0" showAll="0">
      <items count="109">
        <item h="1" m="1" x="104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43"/>
        <item h="1" m="1" x="97"/>
        <item h="1" x="12"/>
        <item h="1" m="1" x="95"/>
        <item h="1" x="3"/>
        <item h="1" m="1" x="92"/>
        <item h="1" m="1" x="96"/>
        <item h="1" m="1" x="93"/>
        <item h="1" m="1" x="94"/>
        <item h="1" m="1" x="100"/>
        <item h="1" m="1" x="99"/>
        <item h="1" m="1" x="101"/>
        <item h="1" x="32"/>
        <item h="1" x="9"/>
        <item h="1" x="13"/>
        <item h="1" x="41"/>
        <item h="1" x="50"/>
        <item h="1" x="59"/>
        <item h="1" x="74"/>
        <item h="1" x="85"/>
        <item h="1" x="73"/>
        <item h="1" m="1" x="91"/>
        <item h="1" x="56"/>
        <item h="1" x="33"/>
        <item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h="1" x="44"/>
        <item h="1" x="38"/>
        <item h="1" x="66"/>
        <item h="1" x="77"/>
        <item h="1" x="71"/>
        <item h="1" x="11"/>
        <item h="1" x="39"/>
        <item h="1" x="72"/>
        <item h="1" x="40"/>
        <item h="1" x="54"/>
        <item h="1" x="46"/>
        <item h="1" x="16"/>
        <item h="1" m="1" x="88"/>
        <item h="1" m="1" x="87"/>
        <item t="default"/>
      </items>
    </pivotField>
    <pivotField axis="axisRow" compact="0" outline="0" showAll="0" sortType="descending">
      <items count="862">
        <item x="0"/>
        <item m="1" x="854"/>
        <item x="1"/>
        <item x="2"/>
        <item m="1" x="806"/>
        <item x="3"/>
        <item m="1" x="679"/>
        <item x="4"/>
        <item m="1" x="680"/>
        <item m="1" x="681"/>
        <item x="6"/>
        <item x="7"/>
        <item m="1" x="682"/>
        <item x="9"/>
        <item m="1" x="683"/>
        <item m="1" x="778"/>
        <item x="12"/>
        <item m="1" x="819"/>
        <item x="13"/>
        <item x="16"/>
        <item m="1" x="828"/>
        <item x="17"/>
        <item x="18"/>
        <item x="23"/>
        <item x="24"/>
        <item x="30"/>
        <item m="1" x="624"/>
        <item x="25"/>
        <item x="26"/>
        <item x="27"/>
        <item x="28"/>
        <item x="29"/>
        <item x="31"/>
        <item x="32"/>
        <item x="35"/>
        <item m="1" x="684"/>
        <item x="38"/>
        <item x="39"/>
        <item x="41"/>
        <item m="1" x="820"/>
        <item x="44"/>
        <item x="45"/>
        <item m="1" x="685"/>
        <item m="1" x="686"/>
        <item x="46"/>
        <item m="1" x="625"/>
        <item m="1" x="687"/>
        <item m="1" x="821"/>
        <item x="48"/>
        <item m="1" x="692"/>
        <item x="49"/>
        <item x="51"/>
        <item m="1" x="688"/>
        <item x="54"/>
        <item m="1" x="822"/>
        <item m="1" x="689"/>
        <item m="1" x="690"/>
        <item x="56"/>
        <item x="57"/>
        <item m="1" x="796"/>
        <item m="1" x="691"/>
        <item x="59"/>
        <item x="60"/>
        <item m="1" x="665"/>
        <item x="61"/>
        <item x="62"/>
        <item m="1" x="626"/>
        <item x="65"/>
        <item x="66"/>
        <item m="1" x="693"/>
        <item x="68"/>
        <item x="69"/>
        <item x="70"/>
        <item m="1" x="694"/>
        <item m="1" x="695"/>
        <item x="73"/>
        <item m="1" x="696"/>
        <item x="74"/>
        <item x="75"/>
        <item x="79"/>
        <item m="1" x="823"/>
        <item x="80"/>
        <item x="81"/>
        <item x="82"/>
        <item m="1" x="697"/>
        <item x="83"/>
        <item x="84"/>
        <item m="1" x="698"/>
        <item m="1" x="824"/>
        <item x="87"/>
        <item m="1" x="699"/>
        <item x="88"/>
        <item m="1" x="700"/>
        <item x="90"/>
        <item x="91"/>
        <item x="92"/>
        <item m="1" x="721"/>
        <item x="94"/>
        <item m="1" x="701"/>
        <item x="96"/>
        <item x="99"/>
        <item m="1" x="702"/>
        <item x="100"/>
        <item x="101"/>
        <item x="109"/>
        <item x="102"/>
        <item m="1" x="703"/>
        <item x="104"/>
        <item x="106"/>
        <item m="1" x="666"/>
        <item m="1" x="667"/>
        <item m="1" x="704"/>
        <item x="113"/>
        <item x="114"/>
        <item x="115"/>
        <item x="116"/>
        <item m="1" x="705"/>
        <item m="1" x="706"/>
        <item m="1" x="707"/>
        <item x="118"/>
        <item x="119"/>
        <item x="120"/>
        <item m="1" x="708"/>
        <item x="121"/>
        <item m="1" x="785"/>
        <item x="124"/>
        <item x="126"/>
        <item x="127"/>
        <item x="128"/>
        <item x="129"/>
        <item m="1" x="709"/>
        <item x="131"/>
        <item m="1" x="773"/>
        <item m="1" x="606"/>
        <item x="134"/>
        <item x="136"/>
        <item m="1" x="825"/>
        <item m="1" x="710"/>
        <item x="137"/>
        <item m="1" x="832"/>
        <item m="1" x="607"/>
        <item m="1" x="812"/>
        <item m="1" x="711"/>
        <item x="140"/>
        <item x="142"/>
        <item x="145"/>
        <item x="146"/>
        <item x="152"/>
        <item x="153"/>
        <item x="154"/>
        <item x="155"/>
        <item x="161"/>
        <item m="1" x="850"/>
        <item x="158"/>
        <item m="1" x="627"/>
        <item m="1" x="805"/>
        <item x="159"/>
        <item x="160"/>
        <item m="1" x="847"/>
        <item m="1" x="826"/>
        <item x="163"/>
        <item x="167"/>
        <item x="168"/>
        <item x="170"/>
        <item x="172"/>
        <item m="1" x="816"/>
        <item x="173"/>
        <item x="174"/>
        <item x="175"/>
        <item x="176"/>
        <item x="177"/>
        <item x="178"/>
        <item m="1" x="712"/>
        <item x="181"/>
        <item x="184"/>
        <item m="1" x="807"/>
        <item x="185"/>
        <item x="186"/>
        <item x="187"/>
        <item m="1" x="713"/>
        <item x="190"/>
        <item m="1" x="628"/>
        <item x="191"/>
        <item x="192"/>
        <item x="193"/>
        <item x="194"/>
        <item x="195"/>
        <item x="196"/>
        <item x="197"/>
        <item m="1" x="668"/>
        <item x="199"/>
        <item m="1" x="714"/>
        <item x="200"/>
        <item m="1" x="827"/>
        <item m="1" x="715"/>
        <item x="201"/>
        <item m="1" x="716"/>
        <item x="202"/>
        <item x="203"/>
        <item m="1" x="717"/>
        <item m="1" x="718"/>
        <item x="204"/>
        <item m="1" x="608"/>
        <item x="206"/>
        <item m="1" x="788"/>
        <item m="1" x="829"/>
        <item x="209"/>
        <item x="210"/>
        <item x="212"/>
        <item x="213"/>
        <item x="214"/>
        <item m="1" x="791"/>
        <item x="217"/>
        <item x="218"/>
        <item x="219"/>
        <item x="220"/>
        <item m="1" x="629"/>
        <item x="223"/>
        <item m="1" x="779"/>
        <item x="225"/>
        <item x="227"/>
        <item m="1" x="797"/>
        <item x="228"/>
        <item m="1" x="630"/>
        <item m="1" x="851"/>
        <item m="1" x="845"/>
        <item x="229"/>
        <item m="1" x="719"/>
        <item m="1" x="720"/>
        <item x="230"/>
        <item m="1" x="804"/>
        <item m="1" x="722"/>
        <item m="1" x="723"/>
        <item m="1" x="798"/>
        <item x="235"/>
        <item m="1" x="724"/>
        <item m="1" x="725"/>
        <item x="237"/>
        <item x="239"/>
        <item m="1" x="726"/>
        <item x="241"/>
        <item m="1" x="780"/>
        <item x="242"/>
        <item x="252"/>
        <item m="1" x="727"/>
        <item m="1" x="728"/>
        <item x="247"/>
        <item x="248"/>
        <item x="250"/>
        <item m="1" x="817"/>
        <item m="1" x="830"/>
        <item x="251"/>
        <item m="1" x="799"/>
        <item m="1" x="631"/>
        <item x="254"/>
        <item m="1" x="808"/>
        <item x="255"/>
        <item m="1" x="831"/>
        <item x="257"/>
        <item x="258"/>
        <item x="259"/>
        <item x="260"/>
        <item m="1" x="609"/>
        <item x="261"/>
        <item m="1" x="632"/>
        <item m="1" x="729"/>
        <item m="1" x="673"/>
        <item x="262"/>
        <item m="1" x="633"/>
        <item m="1" x="669"/>
        <item m="1" x="730"/>
        <item x="263"/>
        <item x="264"/>
        <item x="265"/>
        <item x="267"/>
        <item x="270"/>
        <item x="271"/>
        <item x="273"/>
        <item x="274"/>
        <item x="275"/>
        <item x="276"/>
        <item x="277"/>
        <item m="1" x="781"/>
        <item x="278"/>
        <item x="279"/>
        <item x="280"/>
        <item m="1" x="786"/>
        <item x="283"/>
        <item x="284"/>
        <item x="285"/>
        <item m="1" x="782"/>
        <item x="286"/>
        <item x="288"/>
        <item x="290"/>
        <item m="1" x="732"/>
        <item x="291"/>
        <item x="292"/>
        <item m="1" x="809"/>
        <item x="294"/>
        <item x="295"/>
        <item x="296"/>
        <item m="1" x="733"/>
        <item x="297"/>
        <item x="298"/>
        <item x="299"/>
        <item x="300"/>
        <item m="1" x="789"/>
        <item m="1" x="856"/>
        <item m="1" x="734"/>
        <item x="302"/>
        <item x="303"/>
        <item x="304"/>
        <item x="306"/>
        <item m="1" x="813"/>
        <item m="1" x="853"/>
        <item m="1" x="634"/>
        <item x="308"/>
        <item x="310"/>
        <item m="1" x="735"/>
        <item x="313"/>
        <item x="314"/>
        <item m="1" x="635"/>
        <item x="315"/>
        <item x="316"/>
        <item x="318"/>
        <item x="320"/>
        <item x="321"/>
        <item x="325"/>
        <item m="1" x="792"/>
        <item x="326"/>
        <item x="327"/>
        <item m="1" x="736"/>
        <item m="1" x="787"/>
        <item x="330"/>
        <item m="1" x="849"/>
        <item x="332"/>
        <item x="333"/>
        <item m="1" x="810"/>
        <item x="335"/>
        <item m="1" x="737"/>
        <item m="1" x="738"/>
        <item m="1" x="800"/>
        <item m="1" x="739"/>
        <item x="338"/>
        <item x="339"/>
        <item x="340"/>
        <item m="1" x="636"/>
        <item x="341"/>
        <item m="1" x="610"/>
        <item x="343"/>
        <item m="1" x="775"/>
        <item x="345"/>
        <item x="346"/>
        <item x="382"/>
        <item x="347"/>
        <item x="348"/>
        <item m="1" x="745"/>
        <item x="349"/>
        <item x="353"/>
        <item x="355"/>
        <item x="356"/>
        <item x="358"/>
        <item x="359"/>
        <item m="1" x="818"/>
        <item x="360"/>
        <item x="362"/>
        <item m="1" x="611"/>
        <item x="363"/>
        <item x="365"/>
        <item x="367"/>
        <item x="368"/>
        <item x="369"/>
        <item x="370"/>
        <item x="371"/>
        <item m="1" x="833"/>
        <item x="372"/>
        <item x="373"/>
        <item x="374"/>
        <item x="376"/>
        <item m="1" x="834"/>
        <item x="377"/>
        <item m="1" x="637"/>
        <item x="378"/>
        <item x="379"/>
        <item x="380"/>
        <item x="381"/>
        <item x="428"/>
        <item x="383"/>
        <item x="384"/>
        <item x="385"/>
        <item x="386"/>
        <item x="387"/>
        <item x="389"/>
        <item x="392"/>
        <item x="393"/>
        <item x="394"/>
        <item x="396"/>
        <item x="399"/>
        <item x="401"/>
        <item x="402"/>
        <item x="403"/>
        <item m="1" x="793"/>
        <item m="1" x="790"/>
        <item x="405"/>
        <item x="406"/>
        <item m="1" x="783"/>
        <item x="408"/>
        <item x="409"/>
        <item x="410"/>
        <item x="411"/>
        <item x="416"/>
        <item x="417"/>
        <item m="1" x="670"/>
        <item x="419"/>
        <item m="1" x="612"/>
        <item x="421"/>
        <item x="422"/>
        <item x="424"/>
        <item m="1" x="835"/>
        <item x="425"/>
        <item x="426"/>
        <item m="1" x="671"/>
        <item m="1" x="638"/>
        <item x="427"/>
        <item x="429"/>
        <item m="1" x="639"/>
        <item x="430"/>
        <item x="431"/>
        <item x="432"/>
        <item m="1" x="672"/>
        <item x="433"/>
        <item m="1" x="640"/>
        <item x="436"/>
        <item x="437"/>
        <item x="439"/>
        <item x="441"/>
        <item x="442"/>
        <item x="443"/>
        <item x="444"/>
        <item m="1" x="741"/>
        <item m="1" x="620"/>
        <item x="445"/>
        <item x="446"/>
        <item x="448"/>
        <item m="1" x="836"/>
        <item x="450"/>
        <item x="451"/>
        <item x="453"/>
        <item x="454"/>
        <item x="455"/>
        <item x="456"/>
        <item x="457"/>
        <item x="459"/>
        <item x="461"/>
        <item x="463"/>
        <item x="464"/>
        <item x="465"/>
        <item x="466"/>
        <item x="468"/>
        <item x="469"/>
        <item m="1" x="852"/>
        <item m="1" x="746"/>
        <item x="470"/>
        <item x="471"/>
        <item m="1" x="837"/>
        <item x="473"/>
        <item m="1" x="801"/>
        <item x="474"/>
        <item x="475"/>
        <item x="476"/>
        <item x="477"/>
        <item m="1" x="777"/>
        <item m="1" x="641"/>
        <item m="1" x="838"/>
        <item x="481"/>
        <item x="482"/>
        <item m="1" x="846"/>
        <item x="485"/>
        <item x="486"/>
        <item x="487"/>
        <item m="1" x="747"/>
        <item x="489"/>
        <item m="1" x="642"/>
        <item x="490"/>
        <item x="491"/>
        <item m="1" x="839"/>
        <item m="1" x="858"/>
        <item x="492"/>
        <item x="493"/>
        <item x="494"/>
        <item x="495"/>
        <item x="497"/>
        <item x="498"/>
        <item x="500"/>
        <item m="1" x="815"/>
        <item x="501"/>
        <item x="502"/>
        <item x="503"/>
        <item x="504"/>
        <item x="506"/>
        <item m="1" x="748"/>
        <item x="507"/>
        <item x="508"/>
        <item m="1" x="643"/>
        <item m="1" x="855"/>
        <item m="1" x="749"/>
        <item x="509"/>
        <item x="510"/>
        <item x="512"/>
        <item m="1" x="802"/>
        <item x="513"/>
        <item m="1" x="644"/>
        <item m="1" x="750"/>
        <item x="514"/>
        <item x="515"/>
        <item m="1" x="645"/>
        <item m="1" x="751"/>
        <item x="517"/>
        <item m="1" x="752"/>
        <item x="518"/>
        <item m="1" x="676"/>
        <item x="519"/>
        <item m="1" x="840"/>
        <item x="521"/>
        <item x="522"/>
        <item m="1" x="754"/>
        <item x="523"/>
        <item x="524"/>
        <item x="525"/>
        <item m="1" x="860"/>
        <item m="1" x="613"/>
        <item x="526"/>
        <item x="527"/>
        <item m="1" x="755"/>
        <item m="1" x="756"/>
        <item m="1" x="757"/>
        <item x="531"/>
        <item x="532"/>
        <item x="535"/>
        <item x="536"/>
        <item m="1" x="758"/>
        <item x="537"/>
        <item m="1" x="841"/>
        <item m="1" x="857"/>
        <item m="1" x="795"/>
        <item x="538"/>
        <item x="539"/>
        <item x="541"/>
        <item m="1" x="759"/>
        <item x="542"/>
        <item x="543"/>
        <item x="544"/>
        <item x="545"/>
        <item m="1" x="848"/>
        <item x="546"/>
        <item x="547"/>
        <item x="548"/>
        <item x="549"/>
        <item m="1" x="646"/>
        <item m="1" x="803"/>
        <item x="550"/>
        <item x="553"/>
        <item m="1" x="842"/>
        <item x="556"/>
        <item x="557"/>
        <item m="1" x="859"/>
        <item x="558"/>
        <item m="1" x="760"/>
        <item m="1" x="761"/>
        <item x="561"/>
        <item x="562"/>
        <item x="563"/>
        <item x="564"/>
        <item x="565"/>
        <item m="1" x="762"/>
        <item x="569"/>
        <item m="1" x="647"/>
        <item x="570"/>
        <item m="1" x="814"/>
        <item m="1" x="763"/>
        <item x="571"/>
        <item x="573"/>
        <item x="574"/>
        <item x="576"/>
        <item m="1" x="648"/>
        <item m="1" x="649"/>
        <item x="577"/>
        <item m="1" x="843"/>
        <item x="578"/>
        <item m="1" x="844"/>
        <item m="1" x="650"/>
        <item x="579"/>
        <item m="1" x="764"/>
        <item m="1" x="651"/>
        <item x="583"/>
        <item x="584"/>
        <item x="585"/>
        <item m="1" x="765"/>
        <item x="586"/>
        <item m="1" x="811"/>
        <item x="589"/>
        <item m="1" x="766"/>
        <item x="591"/>
        <item x="592"/>
        <item m="1" x="767"/>
        <item x="594"/>
        <item m="1" x="794"/>
        <item x="595"/>
        <item x="596"/>
        <item m="1" x="768"/>
        <item x="597"/>
        <item x="599"/>
        <item m="1" x="784"/>
        <item x="603"/>
        <item x="604"/>
        <item x="605"/>
        <item m="1" x="655"/>
        <item x="598"/>
        <item m="1" x="742"/>
        <item m="1" x="740"/>
        <item m="1" x="661"/>
        <item m="1" x="776"/>
        <item x="496"/>
        <item x="52"/>
        <item x="55"/>
        <item x="37"/>
        <item m="1" x="731"/>
        <item x="234"/>
        <item x="575"/>
        <item x="122"/>
        <item x="336"/>
        <item m="1" x="769"/>
        <item x="588"/>
        <item x="111"/>
        <item x="423"/>
        <item m="1" x="774"/>
        <item x="216"/>
        <item x="133"/>
        <item x="64"/>
        <item m="1" x="770"/>
        <item m="1" x="744"/>
        <item m="1" x="772"/>
        <item x="530"/>
        <item m="1" x="771"/>
        <item m="1" x="753"/>
        <item m="1" x="662"/>
        <item x="47"/>
        <item m="1" x="743"/>
        <item m="1" x="660"/>
        <item x="5"/>
        <item x="71"/>
        <item x="233"/>
        <item x="246"/>
        <item x="560"/>
        <item x="395"/>
        <item x="440"/>
        <item x="540"/>
        <item m="1" x="677"/>
        <item x="72"/>
        <item x="95"/>
        <item m="1" x="678"/>
        <item x="388"/>
        <item x="287"/>
        <item x="407"/>
        <item x="130"/>
        <item x="413"/>
        <item x="231"/>
        <item x="205"/>
        <item x="198"/>
        <item m="1" x="675"/>
        <item m="1" x="657"/>
        <item x="398"/>
        <item x="478"/>
        <item x="208"/>
        <item x="123"/>
        <item x="580"/>
        <item x="110"/>
        <item x="351"/>
        <item m="1" x="663"/>
        <item x="323"/>
        <item x="21"/>
        <item x="108"/>
        <item m="1" x="674"/>
        <item x="138"/>
        <item x="34"/>
        <item x="226"/>
        <item x="400"/>
        <item m="1" x="664"/>
        <item x="449"/>
        <item x="33"/>
        <item m="1" x="658"/>
        <item x="85"/>
        <item x="334"/>
        <item x="434"/>
        <item x="418"/>
        <item x="479"/>
        <item x="272"/>
        <item x="78"/>
        <item x="601"/>
        <item x="361"/>
        <item x="77"/>
        <item x="93"/>
        <item x="151"/>
        <item x="207"/>
        <item x="328"/>
        <item x="447"/>
        <item x="352"/>
        <item m="1" x="656"/>
        <item x="236"/>
        <item x="266"/>
        <item x="317"/>
        <item x="14"/>
        <item x="15"/>
        <item m="1" x="659"/>
        <item x="293"/>
        <item x="289"/>
        <item x="139"/>
        <item x="117"/>
        <item m="1" x="652"/>
        <item x="281"/>
        <item x="67"/>
        <item x="97"/>
        <item x="551"/>
        <item x="22"/>
        <item x="147"/>
        <item x="600"/>
        <item x="435"/>
        <item x="36"/>
        <item x="566"/>
        <item m="1" x="619"/>
        <item x="143"/>
        <item x="211"/>
        <item x="391"/>
        <item x="40"/>
        <item x="150"/>
        <item x="452"/>
        <item x="438"/>
        <item x="357"/>
        <item x="505"/>
        <item x="50"/>
        <item x="182"/>
        <item x="412"/>
        <item x="148"/>
        <item x="350"/>
        <item x="458"/>
        <item x="533"/>
        <item x="567"/>
        <item m="1" x="622"/>
        <item x="98"/>
        <item x="221"/>
        <item x="337"/>
        <item x="19"/>
        <item x="43"/>
        <item x="301"/>
        <item x="375"/>
        <item x="305"/>
        <item x="164"/>
        <item x="354"/>
        <item m="1" x="654"/>
        <item x="555"/>
        <item m="1" x="653"/>
        <item x="240"/>
        <item x="224"/>
        <item m="1" x="623"/>
        <item x="141"/>
        <item x="511"/>
        <item x="156"/>
        <item x="245"/>
        <item m="1" x="621"/>
        <item x="319"/>
        <item x="63"/>
        <item x="215"/>
        <item x="415"/>
        <item x="324"/>
        <item x="76"/>
        <item x="484"/>
        <item x="179"/>
        <item x="135"/>
        <item x="593"/>
        <item x="171"/>
        <item x="222"/>
        <item x="42"/>
        <item x="165"/>
        <item x="587"/>
        <item x="480"/>
        <item x="331"/>
        <item x="420"/>
        <item x="602"/>
        <item x="590"/>
        <item x="107"/>
        <item x="269"/>
        <item x="166"/>
        <item x="268"/>
        <item x="125"/>
        <item x="53"/>
        <item x="344"/>
        <item x="10"/>
        <item x="483"/>
        <item x="244"/>
        <item x="472"/>
        <item x="249"/>
        <item x="256"/>
        <item m="1" x="618"/>
        <item x="105"/>
        <item x="162"/>
        <item x="312"/>
        <item x="390"/>
        <item x="112"/>
        <item x="528"/>
        <item x="8"/>
        <item x="103"/>
        <item x="309"/>
        <item x="307"/>
        <item x="366"/>
        <item m="1" x="616"/>
        <item x="183"/>
        <item m="1" x="615"/>
        <item x="180"/>
        <item x="559"/>
        <item x="282"/>
        <item x="516"/>
        <item x="58"/>
        <item x="89"/>
        <item m="1" x="617"/>
        <item x="397"/>
        <item x="414"/>
        <item x="132"/>
        <item x="144"/>
        <item x="467"/>
        <item x="364"/>
        <item x="554"/>
        <item x="86"/>
        <item x="520"/>
        <item x="157"/>
        <item x="499"/>
        <item x="534"/>
        <item m="1" x="614"/>
        <item x="322"/>
        <item x="329"/>
        <item x="581"/>
        <item x="232"/>
        <item x="20"/>
        <item x="189"/>
        <item x="582"/>
        <item x="462"/>
        <item x="238"/>
        <item x="404"/>
        <item x="311"/>
        <item x="243"/>
        <item x="529"/>
        <item x="488"/>
        <item x="11"/>
        <item x="149"/>
        <item x="169"/>
        <item x="342"/>
        <item x="552"/>
        <item x="460"/>
        <item x="572"/>
        <item x="568"/>
        <item x="188"/>
        <item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defaultSubtotal="0">
      <items count="21">
        <item h="1" x="6"/>
        <item h="1" x="2"/>
        <item h="1" x="0"/>
        <item h="1" x="4"/>
        <item h="1" m="1" x="20"/>
        <item h="1" m="1" x="15"/>
        <item h="1" m="1" x="13"/>
        <item h="1" m="1" x="12"/>
        <item h="1" m="1" x="18"/>
        <item h="1" m="1" x="14"/>
        <item x="1"/>
        <item h="1" m="1" x="17"/>
        <item h="1" m="1" x="19"/>
        <item h="1" m="1" x="16"/>
        <item h="1" m="1" x="11"/>
        <item h="1" x="3"/>
        <item h="1" m="1" x="9"/>
        <item h="1" x="8"/>
        <item h="1" x="5"/>
        <item h="1" x="7"/>
        <item h="1" m="1" x="10"/>
      </items>
    </pivotField>
    <pivotField axis="axisRow" compact="0" outline="0" showAll="0" insertBlankRow="1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5"/>
    <field x="4"/>
    <field x="1"/>
  </rowFields>
  <rowItems count="14">
    <i>
      <x v="76"/>
      <x/>
      <x v="10"/>
      <x v="437"/>
    </i>
    <i r="3">
      <x v="658"/>
    </i>
    <i r="3">
      <x v="659"/>
    </i>
    <i r="3">
      <x v="53"/>
    </i>
    <i r="3">
      <x v="610"/>
    </i>
    <i r="3">
      <x v="260"/>
    </i>
    <i r="3">
      <x v="267"/>
    </i>
    <i t="default" r="1">
      <x/>
    </i>
    <i t="blank" r="1">
      <x/>
    </i>
    <i r="1">
      <x v="1"/>
      <x v="10"/>
      <x v="383"/>
    </i>
    <i t="default" r="1">
      <x v="1"/>
    </i>
    <i t="blank" r="1">
      <x v="1"/>
    </i>
    <i t="default"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 AR$" fld="9" baseField="0" baseItem="0"/>
    <dataField name="Suma de Importe AR$2" fld="9" showDataAs="percentOfTotal" baseField="0" baseItem="0" numFmtId="10"/>
  </dataFields>
  <formats count="2">
    <format dxfId="11">
      <pivotArea outline="0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835B4-B8B5-4ADC-968C-162F4197998A}" name="TablaDinámica4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13" firstHeaderRow="0" firstDataRow="1" firstDataCol="4"/>
  <pivotFields count="16">
    <pivotField axis="axisRow" compact="0" outline="0" showAll="0">
      <items count="109">
        <item h="1" m="1" x="104"/>
        <item h="1" x="76"/>
        <item h="1" x="78"/>
        <item h="1" x="83"/>
        <item h="1" x="82"/>
        <item h="1" x="48"/>
        <item h="1" m="1" x="90"/>
        <item h="1" x="51"/>
        <item h="1" x="84"/>
        <item h="1" x="55"/>
        <item h="1" x="80"/>
        <item h="1" x="1"/>
        <item h="1" x="0"/>
        <item h="1" x="68"/>
        <item h="1" x="81"/>
        <item h="1" x="67"/>
        <item h="1" x="49"/>
        <item h="1" x="17"/>
        <item h="1" m="1" x="107"/>
        <item h="1" x="25"/>
        <item h="1" m="1" x="105"/>
        <item h="1" m="1" x="106"/>
        <item h="1" x="21"/>
        <item h="1" x="26"/>
        <item h="1" x="61"/>
        <item h="1" x="69"/>
        <item h="1" x="2"/>
        <item h="1" x="8"/>
        <item h="1" x="5"/>
        <item h="1" x="27"/>
        <item h="1" x="70"/>
        <item h="1" x="60"/>
        <item h="1" x="52"/>
        <item h="1" x="18"/>
        <item h="1" x="28"/>
        <item h="1" x="6"/>
        <item h="1" x="29"/>
        <item h="1" x="30"/>
        <item h="1" x="63"/>
        <item h="1" x="31"/>
        <item h="1" x="7"/>
        <item h="1" x="14"/>
        <item h="1" x="10"/>
        <item h="1" m="1" x="89"/>
        <item h="1" x="15"/>
        <item h="1" m="1" x="98"/>
        <item h="1" x="19"/>
        <item h="1" x="4"/>
        <item h="1" x="75"/>
        <item h="1" m="1" x="102"/>
        <item h="1" x="79"/>
        <item h="1" m="1" x="103"/>
        <item h="1" x="43"/>
        <item h="1" m="1" x="97"/>
        <item h="1" x="12"/>
        <item h="1" m="1" x="95"/>
        <item h="1" x="3"/>
        <item h="1" m="1" x="92"/>
        <item h="1" m="1" x="96"/>
        <item h="1" m="1" x="93"/>
        <item h="1" m="1" x="94"/>
        <item h="1" m="1" x="100"/>
        <item h="1" m="1" x="99"/>
        <item h="1" m="1" x="101"/>
        <item h="1" x="32"/>
        <item h="1" x="9"/>
        <item h="1" x="13"/>
        <item h="1" x="41"/>
        <item h="1" x="50"/>
        <item h="1" x="59"/>
        <item h="1" x="74"/>
        <item h="1" x="85"/>
        <item h="1" x="73"/>
        <item h="1" m="1" x="91"/>
        <item h="1" x="56"/>
        <item h="1" x="33"/>
        <item h="1" x="65"/>
        <item h="1" x="24"/>
        <item h="1" x="20"/>
        <item h="1" x="57"/>
        <item h="1" x="53"/>
        <item h="1" x="23"/>
        <item h="1" x="62"/>
        <item h="1" x="47"/>
        <item h="1" x="34"/>
        <item h="1" x="64"/>
        <item h="1" x="22"/>
        <item h="1" x="42"/>
        <item h="1" x="86"/>
        <item h="1" x="45"/>
        <item h="1" x="35"/>
        <item h="1" x="36"/>
        <item h="1" x="37"/>
        <item h="1" x="58"/>
        <item x="44"/>
        <item h="1" x="38"/>
        <item h="1" x="66"/>
        <item h="1" x="77"/>
        <item h="1" x="71"/>
        <item h="1" x="11"/>
        <item h="1" x="39"/>
        <item h="1" x="72"/>
        <item h="1" x="40"/>
        <item h="1" x="54"/>
        <item h="1" x="46"/>
        <item h="1" x="16"/>
        <item h="1" m="1" x="88"/>
        <item h="1" m="1" x="87"/>
        <item t="default"/>
      </items>
    </pivotField>
    <pivotField axis="axisRow" compact="0" outline="0" showAll="0" sortType="descending">
      <items count="862">
        <item x="0"/>
        <item m="1" x="854"/>
        <item x="1"/>
        <item x="2"/>
        <item m="1" x="806"/>
        <item x="3"/>
        <item m="1" x="679"/>
        <item x="4"/>
        <item m="1" x="680"/>
        <item m="1" x="681"/>
        <item x="6"/>
        <item x="7"/>
        <item m="1" x="682"/>
        <item x="9"/>
        <item m="1" x="683"/>
        <item m="1" x="778"/>
        <item x="12"/>
        <item m="1" x="819"/>
        <item x="13"/>
        <item x="16"/>
        <item m="1" x="828"/>
        <item x="17"/>
        <item x="18"/>
        <item x="23"/>
        <item x="24"/>
        <item x="30"/>
        <item m="1" x="624"/>
        <item x="25"/>
        <item x="26"/>
        <item x="27"/>
        <item x="28"/>
        <item x="29"/>
        <item x="31"/>
        <item x="32"/>
        <item x="35"/>
        <item m="1" x="684"/>
        <item x="38"/>
        <item x="39"/>
        <item x="41"/>
        <item m="1" x="820"/>
        <item x="44"/>
        <item x="45"/>
        <item m="1" x="685"/>
        <item m="1" x="686"/>
        <item x="46"/>
        <item m="1" x="625"/>
        <item m="1" x="687"/>
        <item m="1" x="821"/>
        <item x="48"/>
        <item m="1" x="692"/>
        <item x="49"/>
        <item x="51"/>
        <item m="1" x="688"/>
        <item x="54"/>
        <item m="1" x="822"/>
        <item m="1" x="689"/>
        <item m="1" x="690"/>
        <item x="56"/>
        <item x="57"/>
        <item m="1" x="796"/>
        <item m="1" x="691"/>
        <item x="59"/>
        <item x="60"/>
        <item m="1" x="665"/>
        <item x="61"/>
        <item x="62"/>
        <item m="1" x="626"/>
        <item x="65"/>
        <item x="66"/>
        <item m="1" x="693"/>
        <item x="68"/>
        <item x="69"/>
        <item x="70"/>
        <item m="1" x="694"/>
        <item m="1" x="695"/>
        <item x="73"/>
        <item m="1" x="696"/>
        <item x="74"/>
        <item x="75"/>
        <item x="79"/>
        <item m="1" x="823"/>
        <item x="80"/>
        <item x="81"/>
        <item x="82"/>
        <item m="1" x="697"/>
        <item x="83"/>
        <item x="84"/>
        <item m="1" x="698"/>
        <item m="1" x="824"/>
        <item x="87"/>
        <item m="1" x="699"/>
        <item x="88"/>
        <item m="1" x="700"/>
        <item x="90"/>
        <item x="91"/>
        <item x="92"/>
        <item m="1" x="721"/>
        <item x="94"/>
        <item m="1" x="701"/>
        <item x="96"/>
        <item x="99"/>
        <item m="1" x="702"/>
        <item x="100"/>
        <item x="101"/>
        <item x="109"/>
        <item x="102"/>
        <item m="1" x="703"/>
        <item x="104"/>
        <item x="106"/>
        <item m="1" x="666"/>
        <item m="1" x="667"/>
        <item m="1" x="704"/>
        <item x="113"/>
        <item x="114"/>
        <item x="115"/>
        <item x="116"/>
        <item m="1" x="705"/>
        <item m="1" x="706"/>
        <item m="1" x="707"/>
        <item x="118"/>
        <item x="119"/>
        <item x="120"/>
        <item m="1" x="708"/>
        <item x="121"/>
        <item m="1" x="785"/>
        <item x="124"/>
        <item x="126"/>
        <item x="127"/>
        <item x="128"/>
        <item x="129"/>
        <item m="1" x="709"/>
        <item x="131"/>
        <item m="1" x="773"/>
        <item m="1" x="606"/>
        <item x="134"/>
        <item x="136"/>
        <item m="1" x="825"/>
        <item m="1" x="710"/>
        <item x="137"/>
        <item m="1" x="832"/>
        <item m="1" x="607"/>
        <item m="1" x="812"/>
        <item m="1" x="711"/>
        <item x="140"/>
        <item x="142"/>
        <item x="145"/>
        <item x="146"/>
        <item x="152"/>
        <item x="153"/>
        <item x="154"/>
        <item x="155"/>
        <item x="161"/>
        <item m="1" x="850"/>
        <item x="158"/>
        <item m="1" x="627"/>
        <item m="1" x="805"/>
        <item x="159"/>
        <item x="160"/>
        <item m="1" x="847"/>
        <item m="1" x="826"/>
        <item x="163"/>
        <item x="167"/>
        <item x="168"/>
        <item x="170"/>
        <item x="172"/>
        <item m="1" x="816"/>
        <item x="173"/>
        <item x="174"/>
        <item x="175"/>
        <item x="176"/>
        <item x="177"/>
        <item x="178"/>
        <item m="1" x="712"/>
        <item x="181"/>
        <item x="184"/>
        <item m="1" x="807"/>
        <item x="185"/>
        <item x="186"/>
        <item x="187"/>
        <item m="1" x="713"/>
        <item x="190"/>
        <item m="1" x="628"/>
        <item x="191"/>
        <item x="192"/>
        <item x="193"/>
        <item x="194"/>
        <item x="195"/>
        <item x="196"/>
        <item x="197"/>
        <item m="1" x="668"/>
        <item x="199"/>
        <item m="1" x="714"/>
        <item x="200"/>
        <item m="1" x="827"/>
        <item m="1" x="715"/>
        <item x="201"/>
        <item m="1" x="716"/>
        <item x="202"/>
        <item x="203"/>
        <item m="1" x="717"/>
        <item m="1" x="718"/>
        <item x="204"/>
        <item m="1" x="608"/>
        <item x="206"/>
        <item m="1" x="788"/>
        <item m="1" x="829"/>
        <item x="209"/>
        <item x="210"/>
        <item x="212"/>
        <item x="213"/>
        <item x="214"/>
        <item m="1" x="791"/>
        <item x="217"/>
        <item x="218"/>
        <item x="219"/>
        <item x="220"/>
        <item m="1" x="629"/>
        <item x="223"/>
        <item m="1" x="779"/>
        <item x="225"/>
        <item x="227"/>
        <item m="1" x="797"/>
        <item x="228"/>
        <item m="1" x="630"/>
        <item m="1" x="851"/>
        <item m="1" x="845"/>
        <item x="229"/>
        <item m="1" x="719"/>
        <item m="1" x="720"/>
        <item x="230"/>
        <item m="1" x="804"/>
        <item m="1" x="722"/>
        <item m="1" x="723"/>
        <item m="1" x="798"/>
        <item x="235"/>
        <item m="1" x="724"/>
        <item m="1" x="725"/>
        <item x="237"/>
        <item x="239"/>
        <item m="1" x="726"/>
        <item x="241"/>
        <item m="1" x="780"/>
        <item x="242"/>
        <item x="252"/>
        <item m="1" x="727"/>
        <item m="1" x="728"/>
        <item x="247"/>
        <item x="248"/>
        <item x="250"/>
        <item m="1" x="817"/>
        <item m="1" x="830"/>
        <item x="251"/>
        <item m="1" x="799"/>
        <item m="1" x="631"/>
        <item x="254"/>
        <item m="1" x="808"/>
        <item x="255"/>
        <item m="1" x="831"/>
        <item x="257"/>
        <item x="258"/>
        <item x="259"/>
        <item x="260"/>
        <item m="1" x="609"/>
        <item x="261"/>
        <item m="1" x="632"/>
        <item m="1" x="729"/>
        <item m="1" x="673"/>
        <item x="262"/>
        <item m="1" x="633"/>
        <item m="1" x="669"/>
        <item m="1" x="730"/>
        <item x="263"/>
        <item x="264"/>
        <item x="265"/>
        <item x="267"/>
        <item x="270"/>
        <item x="271"/>
        <item x="273"/>
        <item x="274"/>
        <item x="275"/>
        <item x="276"/>
        <item x="277"/>
        <item m="1" x="781"/>
        <item x="278"/>
        <item x="279"/>
        <item x="280"/>
        <item m="1" x="786"/>
        <item x="283"/>
        <item x="284"/>
        <item x="285"/>
        <item m="1" x="782"/>
        <item x="286"/>
        <item x="288"/>
        <item x="290"/>
        <item m="1" x="732"/>
        <item x="291"/>
        <item x="292"/>
        <item m="1" x="809"/>
        <item x="294"/>
        <item x="295"/>
        <item x="296"/>
        <item m="1" x="733"/>
        <item x="297"/>
        <item x="298"/>
        <item x="299"/>
        <item x="300"/>
        <item m="1" x="789"/>
        <item m="1" x="856"/>
        <item m="1" x="734"/>
        <item x="302"/>
        <item x="303"/>
        <item x="304"/>
        <item x="306"/>
        <item m="1" x="813"/>
        <item m="1" x="853"/>
        <item m="1" x="634"/>
        <item x="308"/>
        <item x="310"/>
        <item m="1" x="735"/>
        <item x="313"/>
        <item x="314"/>
        <item m="1" x="635"/>
        <item x="315"/>
        <item x="316"/>
        <item x="318"/>
        <item x="320"/>
        <item x="321"/>
        <item x="325"/>
        <item m="1" x="792"/>
        <item x="326"/>
        <item x="327"/>
        <item m="1" x="736"/>
        <item m="1" x="787"/>
        <item x="330"/>
        <item m="1" x="849"/>
        <item x="332"/>
        <item x="333"/>
        <item m="1" x="810"/>
        <item x="335"/>
        <item m="1" x="737"/>
        <item m="1" x="738"/>
        <item m="1" x="800"/>
        <item m="1" x="739"/>
        <item x="338"/>
        <item x="339"/>
        <item x="340"/>
        <item m="1" x="636"/>
        <item x="341"/>
        <item m="1" x="610"/>
        <item x="343"/>
        <item m="1" x="775"/>
        <item x="345"/>
        <item x="346"/>
        <item x="382"/>
        <item x="347"/>
        <item x="348"/>
        <item m="1" x="745"/>
        <item x="349"/>
        <item x="353"/>
        <item x="355"/>
        <item x="356"/>
        <item x="358"/>
        <item x="359"/>
        <item m="1" x="818"/>
        <item x="360"/>
        <item x="362"/>
        <item m="1" x="611"/>
        <item x="363"/>
        <item x="365"/>
        <item x="367"/>
        <item x="368"/>
        <item x="369"/>
        <item x="370"/>
        <item x="371"/>
        <item m="1" x="833"/>
        <item x="372"/>
        <item x="373"/>
        <item x="374"/>
        <item x="376"/>
        <item m="1" x="834"/>
        <item x="377"/>
        <item m="1" x="637"/>
        <item x="378"/>
        <item x="379"/>
        <item x="380"/>
        <item x="381"/>
        <item x="428"/>
        <item x="383"/>
        <item x="384"/>
        <item x="385"/>
        <item x="386"/>
        <item x="387"/>
        <item x="389"/>
        <item x="392"/>
        <item x="393"/>
        <item x="394"/>
        <item x="396"/>
        <item x="399"/>
        <item x="401"/>
        <item x="402"/>
        <item x="403"/>
        <item m="1" x="793"/>
        <item m="1" x="790"/>
        <item x="405"/>
        <item x="406"/>
        <item m="1" x="783"/>
        <item x="408"/>
        <item x="409"/>
        <item x="410"/>
        <item x="411"/>
        <item x="416"/>
        <item x="417"/>
        <item m="1" x="670"/>
        <item x="419"/>
        <item m="1" x="612"/>
        <item x="421"/>
        <item x="422"/>
        <item x="424"/>
        <item m="1" x="835"/>
        <item x="425"/>
        <item x="426"/>
        <item m="1" x="671"/>
        <item m="1" x="638"/>
        <item x="427"/>
        <item x="429"/>
        <item m="1" x="639"/>
        <item x="430"/>
        <item x="431"/>
        <item x="432"/>
        <item m="1" x="672"/>
        <item x="433"/>
        <item m="1" x="640"/>
        <item x="436"/>
        <item x="437"/>
        <item x="439"/>
        <item x="441"/>
        <item x="442"/>
        <item x="443"/>
        <item x="444"/>
        <item m="1" x="741"/>
        <item m="1" x="620"/>
        <item x="445"/>
        <item x="446"/>
        <item x="448"/>
        <item m="1" x="836"/>
        <item x="450"/>
        <item x="451"/>
        <item x="453"/>
        <item x="454"/>
        <item x="455"/>
        <item x="456"/>
        <item x="457"/>
        <item x="459"/>
        <item x="461"/>
        <item x="463"/>
        <item x="464"/>
        <item x="465"/>
        <item x="466"/>
        <item x="468"/>
        <item x="469"/>
        <item m="1" x="852"/>
        <item m="1" x="746"/>
        <item x="470"/>
        <item x="471"/>
        <item m="1" x="837"/>
        <item x="473"/>
        <item m="1" x="801"/>
        <item x="474"/>
        <item x="475"/>
        <item x="476"/>
        <item x="477"/>
        <item m="1" x="777"/>
        <item m="1" x="641"/>
        <item m="1" x="838"/>
        <item x="481"/>
        <item x="482"/>
        <item m="1" x="846"/>
        <item x="485"/>
        <item x="486"/>
        <item x="487"/>
        <item m="1" x="747"/>
        <item x="489"/>
        <item m="1" x="642"/>
        <item x="490"/>
        <item x="491"/>
        <item m="1" x="839"/>
        <item m="1" x="858"/>
        <item x="492"/>
        <item x="493"/>
        <item x="494"/>
        <item x="495"/>
        <item x="497"/>
        <item x="498"/>
        <item x="500"/>
        <item m="1" x="815"/>
        <item x="501"/>
        <item x="502"/>
        <item x="503"/>
        <item x="504"/>
        <item x="506"/>
        <item m="1" x="748"/>
        <item x="507"/>
        <item x="508"/>
        <item m="1" x="643"/>
        <item m="1" x="855"/>
        <item m="1" x="749"/>
        <item x="509"/>
        <item x="510"/>
        <item x="512"/>
        <item m="1" x="802"/>
        <item x="513"/>
        <item m="1" x="644"/>
        <item m="1" x="750"/>
        <item x="514"/>
        <item x="515"/>
        <item m="1" x="645"/>
        <item m="1" x="751"/>
        <item x="517"/>
        <item m="1" x="752"/>
        <item x="518"/>
        <item m="1" x="676"/>
        <item x="519"/>
        <item m="1" x="840"/>
        <item x="521"/>
        <item x="522"/>
        <item m="1" x="754"/>
        <item x="523"/>
        <item x="524"/>
        <item x="525"/>
        <item m="1" x="860"/>
        <item m="1" x="613"/>
        <item x="526"/>
        <item x="527"/>
        <item m="1" x="755"/>
        <item m="1" x="756"/>
        <item m="1" x="757"/>
        <item x="531"/>
        <item x="532"/>
        <item x="535"/>
        <item x="536"/>
        <item m="1" x="758"/>
        <item x="537"/>
        <item m="1" x="841"/>
        <item m="1" x="857"/>
        <item m="1" x="795"/>
        <item x="538"/>
        <item x="539"/>
        <item x="541"/>
        <item m="1" x="759"/>
        <item x="542"/>
        <item x="543"/>
        <item x="544"/>
        <item x="545"/>
        <item m="1" x="848"/>
        <item x="546"/>
        <item x="547"/>
        <item x="548"/>
        <item x="549"/>
        <item m="1" x="646"/>
        <item m="1" x="803"/>
        <item x="550"/>
        <item x="553"/>
        <item m="1" x="842"/>
        <item x="556"/>
        <item x="557"/>
        <item m="1" x="859"/>
        <item x="558"/>
        <item m="1" x="760"/>
        <item m="1" x="761"/>
        <item x="561"/>
        <item x="562"/>
        <item x="563"/>
        <item x="564"/>
        <item x="565"/>
        <item m="1" x="762"/>
        <item x="569"/>
        <item m="1" x="647"/>
        <item x="570"/>
        <item m="1" x="814"/>
        <item m="1" x="763"/>
        <item x="571"/>
        <item x="573"/>
        <item x="574"/>
        <item x="576"/>
        <item m="1" x="648"/>
        <item m="1" x="649"/>
        <item x="577"/>
        <item m="1" x="843"/>
        <item x="578"/>
        <item m="1" x="844"/>
        <item m="1" x="650"/>
        <item x="579"/>
        <item m="1" x="764"/>
        <item m="1" x="651"/>
        <item x="583"/>
        <item x="584"/>
        <item x="585"/>
        <item m="1" x="765"/>
        <item x="586"/>
        <item m="1" x="811"/>
        <item x="589"/>
        <item m="1" x="766"/>
        <item x="591"/>
        <item x="592"/>
        <item m="1" x="767"/>
        <item x="594"/>
        <item m="1" x="794"/>
        <item x="595"/>
        <item x="596"/>
        <item m="1" x="768"/>
        <item x="597"/>
        <item x="599"/>
        <item m="1" x="784"/>
        <item x="603"/>
        <item x="604"/>
        <item x="605"/>
        <item m="1" x="655"/>
        <item x="598"/>
        <item m="1" x="742"/>
        <item m="1" x="740"/>
        <item m="1" x="661"/>
        <item m="1" x="776"/>
        <item x="496"/>
        <item x="52"/>
        <item x="55"/>
        <item x="37"/>
        <item m="1" x="731"/>
        <item x="234"/>
        <item x="575"/>
        <item x="122"/>
        <item x="336"/>
        <item m="1" x="769"/>
        <item x="588"/>
        <item x="111"/>
        <item x="423"/>
        <item m="1" x="774"/>
        <item x="216"/>
        <item x="133"/>
        <item x="64"/>
        <item m="1" x="770"/>
        <item m="1" x="744"/>
        <item m="1" x="772"/>
        <item x="530"/>
        <item m="1" x="771"/>
        <item m="1" x="753"/>
        <item m="1" x="662"/>
        <item x="47"/>
        <item m="1" x="743"/>
        <item m="1" x="660"/>
        <item x="5"/>
        <item x="71"/>
        <item x="233"/>
        <item x="246"/>
        <item x="560"/>
        <item x="395"/>
        <item x="440"/>
        <item x="540"/>
        <item m="1" x="677"/>
        <item x="72"/>
        <item x="95"/>
        <item m="1" x="678"/>
        <item x="388"/>
        <item x="287"/>
        <item x="407"/>
        <item x="130"/>
        <item x="413"/>
        <item x="231"/>
        <item x="205"/>
        <item x="198"/>
        <item m="1" x="675"/>
        <item m="1" x="657"/>
        <item x="398"/>
        <item x="478"/>
        <item x="208"/>
        <item x="123"/>
        <item x="580"/>
        <item x="110"/>
        <item x="351"/>
        <item m="1" x="663"/>
        <item x="323"/>
        <item x="21"/>
        <item x="108"/>
        <item m="1" x="674"/>
        <item x="138"/>
        <item x="34"/>
        <item x="226"/>
        <item x="400"/>
        <item m="1" x="664"/>
        <item x="449"/>
        <item x="33"/>
        <item m="1" x="658"/>
        <item x="85"/>
        <item x="334"/>
        <item x="434"/>
        <item x="418"/>
        <item x="479"/>
        <item x="272"/>
        <item x="78"/>
        <item x="601"/>
        <item x="361"/>
        <item x="77"/>
        <item x="93"/>
        <item x="151"/>
        <item x="207"/>
        <item x="328"/>
        <item x="447"/>
        <item x="352"/>
        <item m="1" x="656"/>
        <item x="236"/>
        <item x="266"/>
        <item x="317"/>
        <item x="14"/>
        <item x="15"/>
        <item m="1" x="659"/>
        <item x="293"/>
        <item x="289"/>
        <item x="139"/>
        <item x="117"/>
        <item m="1" x="652"/>
        <item x="281"/>
        <item x="67"/>
        <item x="97"/>
        <item x="551"/>
        <item x="22"/>
        <item x="147"/>
        <item x="600"/>
        <item x="435"/>
        <item x="36"/>
        <item x="566"/>
        <item m="1" x="619"/>
        <item x="143"/>
        <item x="211"/>
        <item x="391"/>
        <item x="40"/>
        <item x="150"/>
        <item x="452"/>
        <item x="438"/>
        <item x="357"/>
        <item x="505"/>
        <item x="50"/>
        <item x="182"/>
        <item x="412"/>
        <item x="148"/>
        <item x="350"/>
        <item x="458"/>
        <item x="533"/>
        <item x="567"/>
        <item m="1" x="622"/>
        <item x="98"/>
        <item x="221"/>
        <item x="337"/>
        <item x="19"/>
        <item x="43"/>
        <item x="301"/>
        <item x="375"/>
        <item x="305"/>
        <item x="164"/>
        <item x="354"/>
        <item m="1" x="654"/>
        <item x="555"/>
        <item m="1" x="653"/>
        <item x="240"/>
        <item x="224"/>
        <item m="1" x="623"/>
        <item x="141"/>
        <item x="511"/>
        <item x="156"/>
        <item x="245"/>
        <item m="1" x="621"/>
        <item x="319"/>
        <item x="63"/>
        <item x="215"/>
        <item x="415"/>
        <item x="324"/>
        <item x="76"/>
        <item x="484"/>
        <item x="179"/>
        <item x="135"/>
        <item x="593"/>
        <item x="171"/>
        <item x="222"/>
        <item x="42"/>
        <item x="165"/>
        <item x="587"/>
        <item x="480"/>
        <item x="331"/>
        <item x="420"/>
        <item x="602"/>
        <item x="590"/>
        <item x="107"/>
        <item x="269"/>
        <item x="166"/>
        <item x="268"/>
        <item x="125"/>
        <item x="53"/>
        <item x="344"/>
        <item x="10"/>
        <item x="483"/>
        <item x="244"/>
        <item x="472"/>
        <item x="249"/>
        <item x="256"/>
        <item m="1" x="618"/>
        <item x="105"/>
        <item x="162"/>
        <item x="312"/>
        <item x="390"/>
        <item x="112"/>
        <item x="528"/>
        <item x="8"/>
        <item x="103"/>
        <item x="309"/>
        <item x="307"/>
        <item x="366"/>
        <item m="1" x="616"/>
        <item x="183"/>
        <item m="1" x="615"/>
        <item x="180"/>
        <item x="559"/>
        <item x="282"/>
        <item x="516"/>
        <item x="58"/>
        <item x="89"/>
        <item m="1" x="617"/>
        <item x="397"/>
        <item x="414"/>
        <item x="132"/>
        <item x="144"/>
        <item x="467"/>
        <item x="364"/>
        <item x="554"/>
        <item x="86"/>
        <item x="520"/>
        <item x="157"/>
        <item x="499"/>
        <item x="534"/>
        <item m="1" x="614"/>
        <item x="322"/>
        <item x="329"/>
        <item x="581"/>
        <item x="232"/>
        <item x="20"/>
        <item x="189"/>
        <item x="582"/>
        <item x="462"/>
        <item x="238"/>
        <item x="404"/>
        <item x="311"/>
        <item x="243"/>
        <item x="529"/>
        <item x="488"/>
        <item x="11"/>
        <item x="149"/>
        <item x="169"/>
        <item x="342"/>
        <item x="552"/>
        <item x="460"/>
        <item x="572"/>
        <item x="568"/>
        <item x="188"/>
        <item x="25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defaultSubtotal="0">
      <items count="21">
        <item h="1" x="6"/>
        <item h="1" x="2"/>
        <item h="1" x="0"/>
        <item h="1" x="4"/>
        <item h="1" m="1" x="20"/>
        <item h="1" m="1" x="15"/>
        <item h="1" m="1" x="13"/>
        <item h="1" m="1" x="12"/>
        <item h="1" m="1" x="18"/>
        <item h="1" m="1" x="14"/>
        <item x="1"/>
        <item h="1" m="1" x="17"/>
        <item h="1" m="1" x="19"/>
        <item h="1" m="1" x="16"/>
        <item h="1" m="1" x="11"/>
        <item h="1" x="3"/>
        <item h="1" m="1" x="9"/>
        <item h="1" x="8"/>
        <item h="1" x="5"/>
        <item h="1" x="7"/>
        <item h="1" m="1" x="10"/>
      </items>
    </pivotField>
    <pivotField axis="axisRow" compact="0" outline="0" showAll="0" insertBlankRow="1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0"/>
    <field x="5"/>
    <field x="4"/>
    <field x="1"/>
  </rowFields>
  <rowItems count="10">
    <i>
      <x v="94"/>
      <x/>
      <x v="10"/>
      <x v="725"/>
    </i>
    <i r="3">
      <x v="757"/>
    </i>
    <i r="3">
      <x v="289"/>
    </i>
    <i r="3">
      <x v="794"/>
    </i>
    <i r="3">
      <x v="309"/>
    </i>
    <i r="3">
      <x v="36"/>
    </i>
    <i t="default" r="1">
      <x/>
    </i>
    <i t="blank" r="1">
      <x/>
    </i>
    <i t="default">
      <x v="9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mporte U$D" fld="10" baseField="0" baseItem="0" numFmtId="167"/>
    <dataField name="% U$D" fld="10" showDataAs="percentOfTotal" baseField="1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EE7C9-3E85-411F-83EC-195E6C4DEF01}" name="TablaDinámica1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33" firstHeaderRow="1" firstDataRow="1" firstDataCol="4"/>
  <pivotFields count="16">
    <pivotField axis="axisRow" compact="0" outline="0" showAll="0" defaultSubtotal="0">
      <items count="108">
        <item m="1" x="88"/>
        <item m="1" x="104"/>
        <item x="85"/>
        <item x="76"/>
        <item x="78"/>
        <item x="83"/>
        <item x="82"/>
        <item x="48"/>
        <item m="1" x="90"/>
        <item x="51"/>
        <item x="84"/>
        <item x="55"/>
        <item x="80"/>
        <item x="1"/>
        <item x="0"/>
        <item x="68"/>
        <item x="81"/>
        <item x="67"/>
        <item x="49"/>
        <item x="17"/>
        <item m="1" x="107"/>
        <item x="25"/>
        <item m="1" x="105"/>
        <item m="1" x="106"/>
        <item x="21"/>
        <item x="26"/>
        <item x="61"/>
        <item x="69"/>
        <item x="2"/>
        <item x="8"/>
        <item x="5"/>
        <item x="27"/>
        <item x="70"/>
        <item x="60"/>
        <item x="52"/>
        <item x="18"/>
        <item x="28"/>
        <item x="6"/>
        <item x="29"/>
        <item x="30"/>
        <item x="63"/>
        <item x="31"/>
        <item x="7"/>
        <item x="14"/>
        <item x="10"/>
        <item m="1" x="89"/>
        <item x="15"/>
        <item m="1" x="98"/>
        <item x="19"/>
        <item x="4"/>
        <item x="75"/>
        <item m="1" x="102"/>
        <item x="79"/>
        <item m="1" x="103"/>
        <item x="74"/>
        <item x="50"/>
        <item x="9"/>
        <item x="59"/>
        <item x="13"/>
        <item x="41"/>
        <item x="32"/>
        <item x="73"/>
        <item m="1" x="91"/>
        <item x="56"/>
        <item x="33"/>
        <item x="65"/>
        <item x="24"/>
        <item x="20"/>
        <item x="57"/>
        <item x="53"/>
        <item x="23"/>
        <item x="62"/>
        <item x="47"/>
        <item x="34"/>
        <item x="64"/>
        <item x="22"/>
        <item x="42"/>
        <item x="86"/>
        <item x="45"/>
        <item x="43"/>
        <item x="35"/>
        <item x="36"/>
        <item x="37"/>
        <item m="1" x="97"/>
        <item x="58"/>
        <item x="44"/>
        <item x="38"/>
        <item x="12"/>
        <item x="66"/>
        <item x="77"/>
        <item x="71"/>
        <item x="11"/>
        <item x="39"/>
        <item x="72"/>
        <item m="1" x="95"/>
        <item x="40"/>
        <item x="54"/>
        <item x="46"/>
        <item x="16"/>
        <item m="1" x="87"/>
        <item x="3"/>
        <item m="1" x="92"/>
        <item m="1" x="96"/>
        <item m="1" x="93"/>
        <item m="1" x="94"/>
        <item m="1" x="100"/>
        <item m="1" x="99"/>
        <item m="1" x="101"/>
      </items>
    </pivotField>
    <pivotField axis="axisRow" compact="0" outline="0" showAll="0">
      <items count="862">
        <item h="1" x="0"/>
        <item h="1" m="1" x="854"/>
        <item h="1" x="1"/>
        <item h="1" x="2"/>
        <item h="1" m="1" x="806"/>
        <item h="1" x="3"/>
        <item h="1" m="1" x="679"/>
        <item h="1" x="4"/>
        <item h="1" m="1" x="680"/>
        <item h="1" x="5"/>
        <item h="1" m="1" x="681"/>
        <item h="1" x="6"/>
        <item h="1" x="7"/>
        <item h="1" x="8"/>
        <item h="1" m="1" x="682"/>
        <item h="1" x="9"/>
        <item h="1" m="1" x="683"/>
        <item h="1" m="1" x="778"/>
        <item h="1" x="10"/>
        <item h="1" x="11"/>
        <item h="1" x="12"/>
        <item h="1" m="1" x="819"/>
        <item h="1" x="13"/>
        <item h="1" x="14"/>
        <item h="1" x="15"/>
        <item h="1" x="16"/>
        <item h="1" m="1" x="828"/>
        <item h="1" x="17"/>
        <item h="1" x="18"/>
        <item h="1" x="19"/>
        <item h="1" x="20"/>
        <item h="1" x="21"/>
        <item h="1" x="22"/>
        <item h="1" x="23"/>
        <item h="1" x="24"/>
        <item h="1" x="30"/>
        <item h="1" m="1" x="624"/>
        <item h="1" x="25"/>
        <item h="1" x="26"/>
        <item h="1" x="27"/>
        <item h="1" x="28"/>
        <item h="1" x="29"/>
        <item h="1" x="31"/>
        <item h="1" m="1" x="774"/>
        <item h="1" x="32"/>
        <item h="1" x="33"/>
        <item h="1" x="34"/>
        <item h="1" x="35"/>
        <item h="1" x="36"/>
        <item h="1" m="1" x="684"/>
        <item h="1" m="1" x="658"/>
        <item h="1" x="37"/>
        <item h="1" x="38"/>
        <item h="1" x="39"/>
        <item h="1" x="40"/>
        <item h="1" x="41"/>
        <item h="1" x="42"/>
        <item h="1" m="1" x="820"/>
        <item h="1" x="43"/>
        <item h="1" x="44"/>
        <item h="1" x="45"/>
        <item h="1" m="1" x="685"/>
        <item h="1" m="1" x="686"/>
        <item h="1" x="46"/>
        <item h="1" m="1" x="625"/>
        <item h="1" m="1" x="687"/>
        <item h="1" x="47"/>
        <item h="1" m="1" x="821"/>
        <item h="1" x="48"/>
        <item h="1" m="1" x="692"/>
        <item h="1" x="49"/>
        <item h="1" x="50"/>
        <item h="1" x="51"/>
        <item h="1" x="52"/>
        <item h="1" x="53"/>
        <item h="1" m="1" x="688"/>
        <item h="1" x="54"/>
        <item h="1" x="55"/>
        <item h="1" m="1" x="822"/>
        <item h="1" m="1" x="689"/>
        <item h="1" m="1" x="690"/>
        <item h="1" x="56"/>
        <item h="1" x="57"/>
        <item h="1" x="58"/>
        <item h="1" m="1" x="796"/>
        <item h="1" m="1" x="691"/>
        <item h="1" x="59"/>
        <item h="1" m="1" x="770"/>
        <item h="1" x="60"/>
        <item h="1" m="1" x="665"/>
        <item h="1" x="61"/>
        <item h="1" x="62"/>
        <item h="1" x="63"/>
        <item h="1" x="64"/>
        <item h="1" m="1" x="626"/>
        <item h="1" x="65"/>
        <item h="1" x="66"/>
        <item h="1" x="67"/>
        <item h="1" m="1" x="622"/>
        <item h="1" m="1" x="693"/>
        <item h="1" x="68"/>
        <item h="1" x="69"/>
        <item h="1" x="70"/>
        <item h="1" x="71"/>
        <item h="1" m="1" x="694"/>
        <item h="1" m="1" x="695"/>
        <item h="1" x="72"/>
        <item h="1" x="73"/>
        <item h="1" m="1" x="696"/>
        <item h="1" x="74"/>
        <item h="1" x="75"/>
        <item h="1" x="76"/>
        <item h="1" x="77"/>
        <item h="1" x="78"/>
        <item h="1" x="79"/>
        <item h="1" m="1" x="823"/>
        <item h="1" x="80"/>
        <item h="1" x="81"/>
        <item h="1" x="82"/>
        <item h="1" m="1" x="616"/>
        <item h="1" m="1" x="697"/>
        <item h="1" x="83"/>
        <item h="1" x="84"/>
        <item h="1" x="85"/>
        <item h="1" x="86"/>
        <item h="1" m="1" x="698"/>
        <item h="1" m="1" x="824"/>
        <item h="1" x="87"/>
        <item h="1" m="1" x="699"/>
        <item h="1" x="88"/>
        <item h="1" x="89"/>
        <item h="1" m="1" x="771"/>
        <item h="1" m="1" x="700"/>
        <item h="1" x="90"/>
        <item h="1" x="91"/>
        <item h="1" x="92"/>
        <item h="1" x="93"/>
        <item h="1" m="1" x="721"/>
        <item h="1" x="94"/>
        <item h="1" x="95"/>
        <item h="1" m="1" x="701"/>
        <item h="1" x="96"/>
        <item h="1" x="97"/>
        <item h="1" m="1" x="731"/>
        <item h="1" x="98"/>
        <item h="1" x="99"/>
        <item h="1" m="1" x="702"/>
        <item h="1" x="100"/>
        <item h="1" x="101"/>
        <item h="1" x="109"/>
        <item h="1" x="102"/>
        <item h="1" x="103"/>
        <item h="1" m="1" x="703"/>
        <item h="1" x="104"/>
        <item h="1" x="105"/>
        <item h="1" x="106"/>
        <item h="1" x="107"/>
        <item h="1" m="1" x="666"/>
        <item h="1" x="108"/>
        <item h="1" x="110"/>
        <item h="1" m="1" x="667"/>
        <item h="1" m="1" x="704"/>
        <item h="1" x="111"/>
        <item h="1" x="112"/>
        <item h="1" x="113"/>
        <item h="1" x="114"/>
        <item h="1" x="115"/>
        <item h="1" x="116"/>
        <item h="1" m="1" x="705"/>
        <item h="1" m="1" x="706"/>
        <item h="1" x="117"/>
        <item h="1" m="1" x="707"/>
        <item h="1" x="118"/>
        <item h="1" x="119"/>
        <item h="1" m="1" x="617"/>
        <item h="1" x="120"/>
        <item h="1" m="1" x="708"/>
        <item h="1" x="121"/>
        <item h="1" x="122"/>
        <item h="1" x="123"/>
        <item h="1" m="1" x="785"/>
        <item h="1" x="124"/>
        <item h="1" x="125"/>
        <item h="1" x="126"/>
        <item h="1" x="127"/>
        <item h="1" x="128"/>
        <item h="1" x="129"/>
        <item h="1" x="130"/>
        <item h="1" m="1" x="709"/>
        <item h="1" x="131"/>
        <item h="1" x="132"/>
        <item h="1" m="1" x="773"/>
        <item h="1" x="133"/>
        <item h="1" m="1" x="606"/>
        <item h="1" x="134"/>
        <item h="1" x="135"/>
        <item h="1" x="136"/>
        <item h="1" m="1" x="825"/>
        <item h="1" m="1" x="710"/>
        <item h="1" x="137"/>
        <item h="1" m="1" x="832"/>
        <item h="1" x="147"/>
        <item h="1" m="1" x="607"/>
        <item h="1" x="138"/>
        <item h="1" m="1" x="812"/>
        <item h="1" m="1" x="615"/>
        <item h="1" x="157"/>
        <item h="1" x="139"/>
        <item h="1" m="1" x="711"/>
        <item h="1" x="140"/>
        <item h="1" x="141"/>
        <item h="1" x="142"/>
        <item h="1" x="143"/>
        <item h="1" x="144"/>
        <item h="1" x="145"/>
        <item h="1" x="146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61"/>
        <item h="1" m="1" x="850"/>
        <item h="1" x="158"/>
        <item h="1" m="1" x="627"/>
        <item h="1" m="1" x="805"/>
        <item h="1" x="159"/>
        <item h="1" x="166"/>
        <item h="1" x="160"/>
        <item h="1" x="180"/>
        <item h="1" x="162"/>
        <item h="1" m="1" x="847"/>
        <item h="1" m="1" x="826"/>
        <item h="1" x="163"/>
        <item h="1" x="164"/>
        <item h="1" x="165"/>
        <item h="1" x="167"/>
        <item h="1" x="168"/>
        <item h="1" x="169"/>
        <item h="1" x="170"/>
        <item h="1" x="171"/>
        <item h="1" x="172"/>
        <item h="1" m="1" x="816"/>
        <item h="1" x="173"/>
        <item h="1" x="174"/>
        <item h="1" x="175"/>
        <item h="1" x="176"/>
        <item h="1" x="177"/>
        <item h="1" x="178"/>
        <item h="1" x="179"/>
        <item h="1" m="1" x="712"/>
        <item h="1" m="1" x="742"/>
        <item h="1" m="1" x="743"/>
        <item h="1" x="181"/>
        <item h="1" x="182"/>
        <item h="1" x="183"/>
        <item h="1" x="205"/>
        <item h="1" x="184"/>
        <item h="1" m="1" x="807"/>
        <item h="1" x="185"/>
        <item h="1" x="186"/>
        <item h="1" x="187"/>
        <item h="1" x="189"/>
        <item h="1" m="1" x="713"/>
        <item h="1" x="190"/>
        <item h="1" m="1" x="628"/>
        <item h="1" x="191"/>
        <item h="1" x="192"/>
        <item h="1" x="193"/>
        <item h="1" m="1" x="660"/>
        <item h="1" x="194"/>
        <item h="1" x="195"/>
        <item h="1" x="196"/>
        <item h="1" x="197"/>
        <item h="1" m="1" x="668"/>
        <item h="1" x="198"/>
        <item h="1" x="199"/>
        <item h="1" m="1" x="714"/>
        <item h="1" x="200"/>
        <item h="1" m="1" x="827"/>
        <item h="1" m="1" x="715"/>
        <item h="1" x="201"/>
        <item h="1" m="1" x="716"/>
        <item h="1" x="202"/>
        <item h="1" x="203"/>
        <item h="1" m="1" x="717"/>
        <item h="1" m="1" x="718"/>
        <item h="1" x="204"/>
        <item h="1" m="1" x="608"/>
        <item h="1" x="206"/>
        <item h="1" x="207"/>
        <item h="1" m="1" x="788"/>
        <item h="1" m="1" x="829"/>
        <item h="1" x="208"/>
        <item h="1" x="209"/>
        <item h="1" x="210"/>
        <item h="1" x="211"/>
        <item h="1" x="212"/>
        <item h="1" x="213"/>
        <item h="1" x="214"/>
        <item h="1" x="215"/>
        <item h="1" m="1" x="791"/>
        <item h="1" x="216"/>
        <item h="1" x="217"/>
        <item h="1" x="218"/>
        <item h="1" x="219"/>
        <item h="1" x="220"/>
        <item h="1" m="1" x="674"/>
        <item h="1" x="221"/>
        <item h="1" x="222"/>
        <item h="1" m="1" x="629"/>
        <item h="1" x="223"/>
        <item h="1" x="224"/>
        <item h="1" m="1" x="779"/>
        <item h="1" m="1" x="659"/>
        <item h="1" x="225"/>
        <item h="1" x="226"/>
        <item h="1" x="227"/>
        <item h="1" m="1" x="797"/>
        <item h="1" x="228"/>
        <item h="1" x="244"/>
        <item h="1" m="1" x="630"/>
        <item h="1" m="1" x="621"/>
        <item h="1" m="1" x="652"/>
        <item h="1" m="1" x="851"/>
        <item h="1" m="1" x="845"/>
        <item h="1" x="229"/>
        <item h="1" m="1" x="719"/>
        <item h="1" m="1" x="720"/>
        <item h="1" x="230"/>
        <item h="1" x="231"/>
        <item h="1" x="232"/>
        <item h="1" m="1" x="804"/>
        <item h="1" m="1" x="722"/>
        <item h="1" m="1" x="723"/>
        <item h="1" m="1" x="675"/>
        <item h="1" x="233"/>
        <item h="1" x="234"/>
        <item h="1" m="1" x="798"/>
        <item h="1" x="235"/>
        <item h="1" x="236"/>
        <item h="1" m="1" x="744"/>
        <item h="1" m="1" x="724"/>
        <item h="1" m="1" x="725"/>
        <item h="1" x="237"/>
        <item h="1" x="238"/>
        <item h="1" x="239"/>
        <item h="1" x="240"/>
        <item h="1" m="1" x="726"/>
        <item h="1" x="241"/>
        <item h="1" m="1" x="780"/>
        <item h="1" x="242"/>
        <item h="1" x="243"/>
        <item h="1" x="252"/>
        <item h="1" x="245"/>
        <item h="1" m="1" x="623"/>
        <item h="1" m="1" x="727"/>
        <item h="1" m="1" x="728"/>
        <item h="1" x="246"/>
        <item h="1" x="247"/>
        <item h="1" x="248"/>
        <item h="1" x="249"/>
        <item h="1" x="250"/>
        <item h="1" m="1" x="817"/>
        <item h="1" m="1" x="830"/>
        <item h="1" x="251"/>
        <item h="1" m="1" x="799"/>
        <item h="1" m="1" x="631"/>
        <item h="1" x="254"/>
        <item h="1" m="1" x="808"/>
        <item h="1" x="255"/>
        <item h="1" x="256"/>
        <item h="1" m="1" x="831"/>
        <item h="1" x="257"/>
        <item h="1" x="258"/>
        <item h="1" x="259"/>
        <item h="1" x="260"/>
        <item h="1" m="1" x="609"/>
        <item h="1" x="261"/>
        <item h="1" m="1" x="632"/>
        <item h="1" m="1" x="729"/>
        <item h="1" m="1" x="673"/>
        <item h="1" x="262"/>
        <item h="1" m="1" x="633"/>
        <item h="1" m="1" x="669"/>
        <item h="1" m="1" x="730"/>
        <item h="1" x="263"/>
        <item h="1" m="1" x="776"/>
        <item h="1" x="264"/>
        <item h="1" m="1" x="653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m="1" x="781"/>
        <item h="1" x="278"/>
        <item h="1" x="279"/>
        <item h="1" x="280"/>
        <item h="1" x="281"/>
        <item h="1" x="282"/>
        <item h="1" m="1" x="786"/>
        <item h="1" x="283"/>
        <item h="1" x="284"/>
        <item h="1" x="285"/>
        <item h="1" m="1" x="782"/>
        <item h="1" x="286"/>
        <item h="1" x="287"/>
        <item h="1" x="288"/>
        <item h="1" x="289"/>
        <item h="1" x="290"/>
        <item h="1" m="1" x="732"/>
        <item h="1" x="291"/>
        <item h="1" x="292"/>
        <item h="1" m="1" x="809"/>
        <item h="1" x="293"/>
        <item h="1" m="1" x="661"/>
        <item h="1" x="294"/>
        <item h="1" x="295"/>
        <item h="1" x="296"/>
        <item h="1" m="1" x="740"/>
        <item h="1" m="1" x="733"/>
        <item h="1" x="297"/>
        <item h="1" x="298"/>
        <item h="1" x="299"/>
        <item h="1" x="300"/>
        <item h="1" x="301"/>
        <item h="1" m="1" x="789"/>
        <item h="1" m="1" x="856"/>
        <item h="1" m="1" x="734"/>
        <item h="1" x="302"/>
        <item h="1" x="303"/>
        <item h="1" x="304"/>
        <item h="1" m="1" x="678"/>
        <item h="1" x="305"/>
        <item h="1" x="306"/>
        <item h="1" m="1" x="813"/>
        <item h="1" m="1" x="853"/>
        <item h="1" x="307"/>
        <item h="1" m="1" x="634"/>
        <item h="1" x="308"/>
        <item h="1" x="309"/>
        <item h="1" x="310"/>
        <item h="1" x="311"/>
        <item h="1" x="312"/>
        <item h="1" m="1" x="753"/>
        <item h="1" m="1" x="735"/>
        <item h="1" x="313"/>
        <item h="1" x="314"/>
        <item h="1" m="1" x="635"/>
        <item h="1" x="315"/>
        <item h="1" x="316"/>
        <item h="1" x="317"/>
        <item h="1" x="318"/>
        <item h="1" x="319"/>
        <item h="1" x="320"/>
        <item h="1" x="321"/>
        <item h="1" m="1" x="614"/>
        <item h="1" x="322"/>
        <item h="1" x="323"/>
        <item h="1" x="324"/>
        <item h="1" x="344"/>
        <item h="1" x="325"/>
        <item h="1" m="1" x="792"/>
        <item h="1" x="326"/>
        <item h="1" x="327"/>
        <item h="1" m="1" x="736"/>
        <item h="1" x="328"/>
        <item h="1" x="329"/>
        <item h="1" m="1" x="787"/>
        <item h="1" x="330"/>
        <item h="1" m="1" x="849"/>
        <item h="1" x="331"/>
        <item h="1" x="332"/>
        <item h="1" x="333"/>
        <item h="1" m="1" x="810"/>
        <item h="1" x="334"/>
        <item h="1" x="335"/>
        <item h="1" m="1" x="737"/>
        <item h="1" m="1" x="738"/>
        <item h="1" m="1" x="800"/>
        <item h="1" x="336"/>
        <item h="1" m="1" x="739"/>
        <item h="1" x="337"/>
        <item h="1" x="338"/>
        <item h="1" x="339"/>
        <item h="1" x="364"/>
        <item h="1" x="340"/>
        <item h="1" m="1" x="636"/>
        <item h="1" x="341"/>
        <item h="1" m="1" x="610"/>
        <item h="1" x="342"/>
        <item h="1" x="343"/>
        <item h="1" m="1" x="775"/>
        <item h="1" x="345"/>
        <item h="1" x="346"/>
        <item h="1" x="382"/>
        <item h="1" x="347"/>
        <item h="1" x="348"/>
        <item h="1" m="1" x="745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m="1" x="662"/>
        <item h="1" m="1" x="656"/>
        <item h="1" x="359"/>
        <item h="1" m="1" x="818"/>
        <item h="1" m="1" x="657"/>
        <item h="1" x="360"/>
        <item h="1" x="361"/>
        <item h="1" x="362"/>
        <item h="1" m="1" x="611"/>
        <item h="1" x="363"/>
        <item h="1" x="365"/>
        <item h="1" x="366"/>
        <item h="1" x="367"/>
        <item h="1" x="368"/>
        <item h="1" x="369"/>
        <item h="1" x="370"/>
        <item h="1" x="371"/>
        <item h="1" m="1" x="833"/>
        <item h="1" x="372"/>
        <item h="1" x="373"/>
        <item h="1" x="374"/>
        <item h="1" x="375"/>
        <item h="1" x="376"/>
        <item h="1" m="1" x="834"/>
        <item h="1" x="377"/>
        <item h="1" m="1" x="637"/>
        <item h="1" x="378"/>
        <item h="1" x="379"/>
        <item h="1" x="380"/>
        <item h="1" x="381"/>
        <item h="1" x="428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m="1" x="793"/>
        <item h="1" x="404"/>
        <item h="1" m="1" x="790"/>
        <item h="1" x="405"/>
        <item h="1" x="406"/>
        <item h="1" x="407"/>
        <item h="1" m="1" x="783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m="1" x="670"/>
        <item h="1" x="419"/>
        <item h="1" m="1" x="677"/>
        <item h="1" m="1" x="612"/>
        <item h="1" x="420"/>
        <item h="1" x="421"/>
        <item h="1" x="422"/>
        <item h="1" x="423"/>
        <item h="1" x="424"/>
        <item h="1" m="1" x="835"/>
        <item h="1" x="425"/>
        <item h="1" x="426"/>
        <item h="1" m="1" x="671"/>
        <item h="1" m="1" x="638"/>
        <item h="1" x="427"/>
        <item h="1" x="429"/>
        <item h="1" m="1" x="639"/>
        <item h="1" x="430"/>
        <item h="1" x="431"/>
        <item h="1" x="432"/>
        <item h="1" m="1" x="672"/>
        <item h="1" x="433"/>
        <item h="1" m="1" x="640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m="1" x="741"/>
        <item h="1" x="472"/>
        <item h="1" m="1" x="620"/>
        <item h="1" x="445"/>
        <item h="1" x="446"/>
        <item h="1" x="447"/>
        <item h="1" x="448"/>
        <item h="1" x="449"/>
        <item h="1" m="1" x="836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1"/>
        <item h="1" x="462"/>
        <item h="1" x="463"/>
        <item h="1" x="464"/>
        <item h="1" x="465"/>
        <item h="1" x="466"/>
        <item h="1" x="467"/>
        <item h="1" x="468"/>
        <item h="1" m="1" x="654"/>
        <item h="1" x="469"/>
        <item h="1" m="1" x="852"/>
        <item h="1" m="1" x="746"/>
        <item h="1" x="470"/>
        <item h="1" x="471"/>
        <item h="1" m="1" x="837"/>
        <item h="1" x="473"/>
        <item h="1" m="1" x="801"/>
        <item h="1" x="474"/>
        <item h="1" x="475"/>
        <item h="1" x="476"/>
        <item h="1" x="477"/>
        <item h="1" x="478"/>
        <item m="1" x="664"/>
        <item x="479"/>
        <item h="1" m="1" x="777"/>
        <item h="1" m="1" x="641"/>
        <item h="1" m="1" x="838"/>
        <item h="1" x="480"/>
        <item h="1" x="481"/>
        <item h="1" x="482"/>
        <item h="1" m="1" x="846"/>
        <item h="1" x="483"/>
        <item h="1" x="484"/>
        <item h="1" x="485"/>
        <item h="1" x="486"/>
        <item h="1" x="487"/>
        <item h="1" x="488"/>
        <item h="1" m="1" x="747"/>
        <item h="1" x="489"/>
        <item h="1" m="1" x="642"/>
        <item h="1" x="490"/>
        <item h="1" x="491"/>
        <item h="1" m="1" x="839"/>
        <item h="1" m="1" x="858"/>
        <item h="1" m="1" x="619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m="1" x="815"/>
        <item h="1" x="501"/>
        <item h="1" x="502"/>
        <item h="1" x="503"/>
        <item h="1" x="504"/>
        <item h="1" x="505"/>
        <item h="1" x="506"/>
        <item h="1" m="1" x="748"/>
        <item h="1" x="507"/>
        <item h="1" x="508"/>
        <item h="1" m="1" x="643"/>
        <item h="1" m="1" x="855"/>
        <item h="1" m="1" x="749"/>
        <item h="1" x="509"/>
        <item h="1" x="510"/>
        <item h="1" x="511"/>
        <item h="1" x="512"/>
        <item h="1" m="1" x="802"/>
        <item h="1" x="513"/>
        <item h="1" m="1" x="644"/>
        <item h="1" m="1" x="750"/>
        <item h="1" x="514"/>
        <item h="1" x="515"/>
        <item h="1" m="1" x="645"/>
        <item h="1" x="516"/>
        <item h="1" m="1" x="751"/>
        <item h="1" x="517"/>
        <item h="1" m="1" x="752"/>
        <item h="1" x="518"/>
        <item h="1" m="1" x="676"/>
        <item h="1" x="519"/>
        <item h="1" m="1" x="840"/>
        <item h="1" x="520"/>
        <item h="1" x="521"/>
        <item h="1" x="522"/>
        <item h="1" m="1" x="754"/>
        <item h="1" x="523"/>
        <item h="1" x="524"/>
        <item h="1" x="525"/>
        <item h="1" m="1" x="860"/>
        <item h="1" m="1" x="613"/>
        <item h="1" x="526"/>
        <item h="1" x="527"/>
        <item h="1" x="528"/>
        <item h="1" x="529"/>
        <item h="1" m="1" x="755"/>
        <item h="1" x="530"/>
        <item h="1" m="1" x="772"/>
        <item h="1" m="1" x="756"/>
        <item h="1" m="1" x="757"/>
        <item h="1" x="531"/>
        <item h="1" x="532"/>
        <item h="1" x="533"/>
        <item h="1" x="534"/>
        <item h="1" x="535"/>
        <item h="1" x="536"/>
        <item h="1" m="1" x="758"/>
        <item h="1" x="537"/>
        <item h="1" m="1" x="841"/>
        <item h="1" m="1" x="857"/>
        <item h="1" m="1" x="795"/>
        <item h="1" x="538"/>
        <item h="1" m="1" x="769"/>
        <item h="1" x="539"/>
        <item h="1" x="540"/>
        <item h="1" x="541"/>
        <item h="1" m="1" x="759"/>
        <item h="1" x="542"/>
        <item h="1" x="543"/>
        <item h="1" x="544"/>
        <item h="1" x="545"/>
        <item h="1" m="1" x="848"/>
        <item h="1" x="546"/>
        <item h="1" x="547"/>
        <item h="1" x="548"/>
        <item h="1" x="549"/>
        <item h="1" m="1" x="646"/>
        <item h="1" m="1" x="803"/>
        <item h="1" x="550"/>
        <item h="1" x="551"/>
        <item h="1" x="552"/>
        <item h="1" x="553"/>
        <item h="1" x="554"/>
        <item h="1" m="1" x="842"/>
        <item h="1" x="555"/>
        <item h="1" x="556"/>
        <item h="1" x="557"/>
        <item h="1" m="1" x="859"/>
        <item h="1" m="1" x="618"/>
        <item h="1" x="558"/>
        <item h="1" x="559"/>
        <item h="1" m="1" x="760"/>
        <item h="1" m="1" x="761"/>
        <item h="1" x="560"/>
        <item h="1" x="561"/>
        <item h="1" x="562"/>
        <item h="1" x="563"/>
        <item h="1" x="564"/>
        <item h="1" x="565"/>
        <item h="1" x="566"/>
        <item h="1" x="567"/>
        <item h="1" m="1" x="762"/>
        <item h="1" x="569"/>
        <item h="1" m="1" x="647"/>
        <item h="1" x="570"/>
        <item h="1" m="1" x="814"/>
        <item h="1" m="1" x="763"/>
        <item h="1" x="571"/>
        <item h="1" x="573"/>
        <item h="1" x="574"/>
        <item h="1" x="575"/>
        <item h="1" x="576"/>
        <item h="1" m="1" x="648"/>
        <item h="1" m="1" x="649"/>
        <item h="1" x="577"/>
        <item h="1" m="1" x="843"/>
        <item h="1" x="578"/>
        <item h="1" m="1" x="844"/>
        <item h="1" m="1" x="650"/>
        <item h="1" x="579"/>
        <item h="1" m="1" x="764"/>
        <item h="1" x="580"/>
        <item h="1" x="581"/>
        <item h="1" x="582"/>
        <item h="1" m="1" x="651"/>
        <item h="1" x="583"/>
        <item h="1" x="584"/>
        <item h="1" x="585"/>
        <item h="1" m="1" x="765"/>
        <item h="1" x="586"/>
        <item h="1" x="587"/>
        <item h="1" m="1" x="811"/>
        <item h="1" x="588"/>
        <item h="1" x="589"/>
        <item h="1" x="590"/>
        <item h="1" m="1" x="766"/>
        <item h="1" x="591"/>
        <item h="1" x="592"/>
        <item h="1" m="1" x="767"/>
        <item h="1" x="593"/>
        <item h="1" x="594"/>
        <item h="1" m="1" x="794"/>
        <item h="1" x="595"/>
        <item h="1" x="596"/>
        <item h="1" m="1" x="768"/>
        <item h="1" x="597"/>
        <item h="1" x="598"/>
        <item h="1" x="599"/>
        <item h="1" x="600"/>
        <item h="1" m="1" x="663"/>
        <item h="1" x="601"/>
        <item h="1" m="1" x="784"/>
        <item h="1" x="602"/>
        <item h="1" x="603"/>
        <item h="1" x="604"/>
        <item h="1" x="605"/>
        <item h="1" m="1" x="655"/>
        <item h="1" x="460"/>
        <item h="1" x="572"/>
        <item h="1" x="568"/>
        <item h="1" x="188"/>
        <item h="1" x="2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0"/>
        <item x="2"/>
        <item x="1"/>
        <item m="1" x="3"/>
      </items>
    </pivotField>
    <pivotField compact="0" outline="0" showAll="0"/>
    <pivotField dataField="1" compact="0" numFmtId="44" outline="0" showAll="0"/>
    <pivotField compact="0" numFmtId="167" outline="0" showAll="0"/>
    <pivotField compact="0" outline="0" showAll="0"/>
    <pivotField compact="0" outline="0" showAll="0"/>
    <pivotField compact="0" outline="0" showAll="0"/>
    <pivotField axis="axisRow" compact="0" outline="0" showAll="0">
      <items count="2389">
        <item x="1415"/>
        <item x="1479"/>
        <item x="392"/>
        <item x="1800"/>
        <item x="512"/>
        <item x="457"/>
        <item x="456"/>
        <item x="1326"/>
        <item x="941"/>
        <item x="846"/>
        <item x="514"/>
        <item x="263"/>
        <item x="1823"/>
        <item x="298"/>
        <item x="596"/>
        <item x="1210"/>
        <item x="560"/>
        <item x="913"/>
        <item x="1303"/>
        <item x="1559"/>
        <item x="2001"/>
        <item x="2014"/>
        <item x="518"/>
        <item x="166"/>
        <item x="891"/>
        <item x="133"/>
        <item x="2252"/>
        <item x="2135"/>
        <item x="1596"/>
        <item x="21"/>
        <item x="938"/>
        <item x="1377"/>
        <item x="83"/>
        <item x="366"/>
        <item x="87"/>
        <item x="1160"/>
        <item x="1007"/>
        <item x="337"/>
        <item x="2170"/>
        <item x="124"/>
        <item x="125"/>
        <item x="1165"/>
        <item x="1174"/>
        <item x="1161"/>
        <item x="998"/>
        <item x="2214"/>
        <item x="776"/>
        <item x="617"/>
        <item x="2286"/>
        <item x="359"/>
        <item x="1078"/>
        <item x="2387"/>
        <item x="2307"/>
        <item x="1999"/>
        <item x="363"/>
        <item x="605"/>
        <item x="606"/>
        <item x="444"/>
        <item x="2250"/>
        <item x="1903"/>
        <item x="1110"/>
        <item x="1286"/>
        <item x="1297"/>
        <item x="2097"/>
        <item x="1969"/>
        <item x="1374"/>
        <item x="2355"/>
        <item x="259"/>
        <item x="864"/>
        <item x="1071"/>
        <item x="2027"/>
        <item x="1557"/>
        <item x="1432"/>
        <item x="920"/>
        <item x="1512"/>
        <item x="870"/>
        <item x="591"/>
        <item x="660"/>
        <item x="9"/>
        <item x="1826"/>
        <item x="404"/>
        <item x="1536"/>
        <item x="589"/>
        <item x="261"/>
        <item x="1793"/>
        <item x="912"/>
        <item x="590"/>
        <item x="2199"/>
        <item x="309"/>
        <item x="399"/>
        <item x="1060"/>
        <item x="1921"/>
        <item x="1935"/>
        <item x="1537"/>
        <item x="816"/>
        <item x="814"/>
        <item x="815"/>
        <item x="495"/>
        <item x="1794"/>
        <item x="2013"/>
        <item x="1219"/>
        <item x="466"/>
        <item x="280"/>
        <item x="1564"/>
        <item x="2114"/>
        <item x="2061"/>
        <item x="916"/>
        <item x="2127"/>
        <item x="1582"/>
        <item x="19"/>
        <item x="806"/>
        <item x="1398"/>
        <item x="152"/>
        <item x="702"/>
        <item x="746"/>
        <item x="2071"/>
        <item x="1981"/>
        <item x="1384"/>
        <item x="160"/>
        <item x="871"/>
        <item x="1176"/>
        <item x="400"/>
        <item x="1764"/>
        <item x="1014"/>
        <item x="773"/>
        <item x="449"/>
        <item x="450"/>
        <item x="884"/>
        <item x="364"/>
        <item x="850"/>
        <item x="996"/>
        <item x="198"/>
        <item x="445"/>
        <item x="1033"/>
        <item x="538"/>
        <item x="380"/>
        <item x="1177"/>
        <item x="1810"/>
        <item x="329"/>
        <item x="286"/>
        <item x="785"/>
        <item x="2042"/>
        <item x="1887"/>
        <item x="1784"/>
        <item x="2098"/>
        <item x="2090"/>
        <item x="1127"/>
        <item x="921"/>
        <item x="1936"/>
        <item x="1287"/>
        <item x="2004"/>
        <item x="1021"/>
        <item x="2200"/>
        <item x="960"/>
        <item x="1200"/>
        <item x="403"/>
        <item x="1114"/>
        <item x="2329"/>
        <item x="2"/>
        <item x="3"/>
        <item x="1288"/>
        <item x="1222"/>
        <item x="2356"/>
        <item x="1220"/>
        <item x="1111"/>
        <item x="1112"/>
        <item x="1113"/>
        <item x="1827"/>
        <item x="2107"/>
        <item x="1294"/>
        <item x="1487"/>
        <item x="1167"/>
        <item x="1875"/>
        <item x="1572"/>
        <item x="2357"/>
        <item x="592"/>
        <item x="540"/>
        <item x="593"/>
        <item x="1538"/>
        <item x="402"/>
        <item x="401"/>
        <item x="122"/>
        <item x="241"/>
        <item x="621"/>
        <item x="1765"/>
        <item x="1330"/>
        <item x="489"/>
        <item x="1031"/>
        <item x="1892"/>
        <item x="890"/>
        <item x="968"/>
        <item x="1098"/>
        <item x="885"/>
        <item x="663"/>
        <item x="664"/>
        <item x="271"/>
        <item x="505"/>
        <item x="1434"/>
        <item x="1037"/>
        <item x="289"/>
        <item x="310"/>
        <item x="665"/>
        <item x="497"/>
        <item x="666"/>
        <item x="510"/>
        <item x="2251"/>
        <item x="1015"/>
        <item x="297"/>
        <item x="1201"/>
        <item x="2212"/>
        <item x="2201"/>
        <item x="2115"/>
        <item x="817"/>
        <item x="2128"/>
        <item x="872"/>
        <item x="1735"/>
        <item x="623"/>
        <item x="1488"/>
        <item x="1922"/>
        <item x="2034"/>
        <item x="1072"/>
        <item x="1845"/>
        <item x="496"/>
        <item x="1100"/>
        <item x="2092"/>
        <item x="2279"/>
        <item x="818"/>
        <item x="1248"/>
        <item x="1244"/>
        <item x="1091"/>
        <item x="1539"/>
        <item x="1766"/>
        <item x="1811"/>
        <item x="1745"/>
        <item x="873"/>
        <item x="1513"/>
        <item x="321"/>
        <item x="1843"/>
        <item x="601"/>
        <item x="2297"/>
        <item x="1009"/>
        <item x="1202"/>
        <item x="1406"/>
        <item x="1178"/>
        <item x="874"/>
        <item x="1888"/>
        <item x="2280"/>
        <item x="1331"/>
        <item x="1937"/>
        <item x="1574"/>
        <item x="2309"/>
        <item x="851"/>
        <item x="1435"/>
        <item x="332"/>
        <item x="659"/>
        <item x="67"/>
        <item x="1970"/>
        <item x="1073"/>
        <item x="2093"/>
        <item x="2314"/>
        <item x="1695"/>
        <item x="2053"/>
        <item x="862"/>
        <item x="2035"/>
        <item x="1099"/>
        <item x="1820"/>
        <item x="8"/>
        <item x="1514"/>
        <item x="405"/>
        <item x="602"/>
        <item x="498"/>
        <item x="115"/>
        <item x="1203"/>
        <item x="1061"/>
        <item x="1767"/>
        <item x="624"/>
        <item x="1575"/>
        <item x="311"/>
        <item x="2315"/>
        <item x="961"/>
        <item x="2167"/>
        <item x="1474"/>
        <item x="132"/>
        <item x="1436"/>
        <item x="175"/>
        <item x="1347"/>
        <item x="1540"/>
        <item x="1016"/>
        <item x="657"/>
        <item x="1332"/>
        <item x="1355"/>
        <item x="1798"/>
        <item x="1221"/>
        <item x="2213"/>
        <item x="1960"/>
        <item x="2094"/>
        <item x="1001"/>
        <item x="107"/>
        <item x="819"/>
        <item x="2178"/>
        <item x="161"/>
        <item x="969"/>
        <item x="922"/>
        <item x="1028"/>
        <item x="1115"/>
        <item x="1027"/>
        <item x="1615"/>
        <item x="1768"/>
        <item x="875"/>
        <item x="2202"/>
        <item x="1062"/>
        <item x="1116"/>
        <item x="262"/>
        <item x="281"/>
        <item x="1732"/>
        <item x="1889"/>
        <item x="1812"/>
        <item x="1938"/>
        <item x="1736"/>
        <item x="607"/>
        <item x="2079"/>
        <item x="1074"/>
        <item x="1515"/>
        <item x="2043"/>
        <item x="1002"/>
        <item x="1816"/>
        <item x="1769"/>
        <item x="1049"/>
        <item x="2245"/>
        <item x="223"/>
        <item x="780"/>
        <item x="1168"/>
        <item x="153"/>
        <item x="1438"/>
        <item x="2028"/>
        <item x="499"/>
        <item x="2062"/>
        <item x="205"/>
        <item x="2051"/>
        <item x="789"/>
        <item x="467"/>
        <item x="917"/>
        <item x="388"/>
        <item x="2095"/>
        <item x="1309"/>
        <item x="1583"/>
        <item x="807"/>
        <item x="2129"/>
        <item x="1223"/>
        <item x="1396"/>
        <item x="2018"/>
        <item x="282"/>
        <item x="748"/>
        <item x="703"/>
        <item x="840"/>
        <item x="1092"/>
        <item x="290"/>
        <item x="2220"/>
        <item x="2160"/>
        <item x="1003"/>
        <item x="902"/>
        <item x="1179"/>
        <item x="2299"/>
        <item x="1570"/>
        <item x="214"/>
        <item x="406"/>
        <item x="1063"/>
        <item x="1959"/>
        <item x="1022"/>
        <item x="1939"/>
        <item x="1333"/>
        <item x="1813"/>
        <item x="1357"/>
        <item x="1516"/>
        <item x="2099"/>
        <item x="2100"/>
        <item x="113"/>
        <item x="1971"/>
        <item x="1828"/>
        <item x="1770"/>
        <item x="2221"/>
        <item x="1771"/>
        <item x="134"/>
        <item x="1117"/>
        <item x="1489"/>
        <item x="176"/>
        <item x="1023"/>
        <item x="925"/>
        <item x="71"/>
        <item x="224"/>
        <item x="1727"/>
        <item x="348"/>
        <item x="266"/>
        <item x="1437"/>
        <item x="1246"/>
        <item x="1571"/>
        <item x="1737"/>
        <item x="1890"/>
        <item x="609"/>
        <item x="2358"/>
        <item x="1289"/>
        <item x="1204"/>
        <item x="197"/>
        <item x="1225"/>
        <item x="1224"/>
        <item x="1972"/>
        <item x="2281"/>
        <item x="506"/>
        <item x="1169"/>
        <item x="1795"/>
        <item x="225"/>
        <item x="1544"/>
        <item x="1814"/>
        <item x="1891"/>
        <item x="1334"/>
        <item x="1940"/>
        <item x="1064"/>
        <item x="1310"/>
        <item x="2117"/>
        <item x="2288"/>
        <item x="1181"/>
        <item x="439"/>
        <item x="1517"/>
        <item x="1065"/>
        <item x="903"/>
        <item x="2076"/>
        <item x="1017"/>
        <item x="852"/>
        <item x="1036"/>
        <item x="926"/>
        <item x="1490"/>
        <item x="458"/>
        <item x="1075"/>
        <item x="1024"/>
        <item x="821"/>
        <item x="1913"/>
        <item x="177"/>
        <item x="1772"/>
        <item x="651"/>
        <item x="2255"/>
        <item x="291"/>
        <item x="1917"/>
        <item x="2044"/>
        <item x="779"/>
        <item x="1180"/>
        <item x="1093"/>
        <item x="1518"/>
        <item x="638"/>
        <item x="322"/>
        <item x="1076"/>
        <item x="1711"/>
        <item x="292"/>
        <item x="1830"/>
        <item x="303"/>
        <item x="643"/>
        <item x="1786"/>
        <item x="2256"/>
        <item x="2123"/>
        <item x="1400"/>
        <item x="245"/>
        <item x="1613"/>
        <item x="272"/>
        <item x="2300"/>
        <item x="904"/>
        <item x="2036"/>
        <item x="490"/>
        <item x="1077"/>
        <item x="179"/>
        <item x="1821"/>
        <item x="1904"/>
        <item x="2140"/>
        <item x="2147"/>
        <item x="2019"/>
        <item x="1226"/>
        <item x="1519"/>
        <item x="1773"/>
        <item x="1815"/>
        <item x="1335"/>
        <item x="1360"/>
        <item x="2360"/>
        <item x="247"/>
        <item x="1576"/>
        <item x="1941"/>
        <item x="1440"/>
        <item x="1392"/>
        <item x="2361"/>
        <item x="2316"/>
        <item x="911"/>
        <item x="1774"/>
        <item x="139"/>
        <item x="2257"/>
        <item x="927"/>
        <item x="178"/>
        <item x="304"/>
        <item x="1616"/>
        <item x="1712"/>
        <item x="157"/>
        <item x="626"/>
        <item x="628"/>
        <item x="1785"/>
        <item x="1008"/>
        <item x="781"/>
        <item x="1182"/>
        <item x="395"/>
        <item x="1478"/>
        <item x="1439"/>
        <item x="2359"/>
        <item x="146"/>
        <item x="2130"/>
        <item x="1829"/>
        <item x="447"/>
        <item x="1475"/>
        <item x="2116"/>
        <item x="156"/>
        <item x="629"/>
        <item x="207"/>
        <item x="354"/>
        <item x="469"/>
        <item x="221"/>
        <item x="1018"/>
        <item x="1336"/>
        <item x="667"/>
        <item x="408"/>
        <item x="1520"/>
        <item x="1252"/>
        <item x="350"/>
        <item x="2268"/>
        <item x="2267"/>
        <item x="440"/>
        <item x="640"/>
        <item x="103"/>
        <item x="2131"/>
        <item x="1609"/>
        <item x="2362"/>
        <item x="1079"/>
        <item x="603"/>
        <item x="798"/>
        <item x="64"/>
        <item x="822"/>
        <item x="1728"/>
        <item x="1205"/>
        <item x="1923"/>
        <item x="127"/>
        <item x="226"/>
        <item x="1170"/>
        <item x="762"/>
        <item x="407"/>
        <item x="468"/>
        <item x="349"/>
        <item x="704"/>
        <item x="283"/>
        <item x="726"/>
        <item x="1565"/>
        <item x="2063"/>
        <item x="1311"/>
        <item x="493"/>
        <item x="918"/>
        <item x="808"/>
        <item x="2020"/>
        <item x="841"/>
        <item x="2118"/>
        <item x="1584"/>
        <item x="1227"/>
        <item x="20"/>
        <item x="2029"/>
        <item x="284"/>
        <item x="269"/>
        <item x="853"/>
        <item x="1914"/>
        <item x="1713"/>
        <item x="2101"/>
        <item x="1175"/>
        <item x="1587"/>
        <item x="1080"/>
        <item x="1081"/>
        <item x="876"/>
        <item x="661"/>
        <item x="1942"/>
        <item x="1521"/>
        <item x="1522"/>
        <item x="2317"/>
        <item x="507"/>
        <item x="410"/>
        <item x="333"/>
        <item x="1708"/>
        <item x="1697"/>
        <item x="1375"/>
        <item x="411"/>
        <item x="1696"/>
        <item x="2363"/>
        <item x="1918"/>
        <item x="1094"/>
        <item x="448"/>
        <item x="1831"/>
        <item x="88"/>
        <item x="1714"/>
        <item x="1498"/>
        <item x="1738"/>
        <item x="409"/>
        <item x="1253"/>
        <item x="254"/>
        <item x="972"/>
        <item x="2345"/>
        <item x="494"/>
        <item x="1577"/>
        <item x="823"/>
        <item x="824"/>
        <item x="1301"/>
        <item x="1523"/>
        <item x="1082"/>
        <item x="905"/>
        <item x="928"/>
        <item x="757"/>
        <item x="1698"/>
        <item x="2080"/>
        <item x="2301"/>
        <item x="1787"/>
        <item x="116"/>
        <item x="929"/>
        <item x="877"/>
        <item x="529"/>
        <item x="1131"/>
        <item x="1254"/>
        <item x="973"/>
        <item x="1132"/>
        <item x="1255"/>
        <item x="299"/>
        <item x="253"/>
        <item x="2045"/>
        <item x="1281"/>
        <item x="79"/>
        <item x="1525"/>
        <item x="2119"/>
        <item x="630"/>
        <item x="782"/>
        <item x="1796"/>
        <item x="1038"/>
        <item x="180"/>
        <item x="1491"/>
        <item x="208"/>
        <item x="825"/>
        <item x="1709"/>
        <item x="1524"/>
        <item x="1776"/>
        <item x="1775"/>
        <item x="953"/>
        <item x="215"/>
        <item x="26"/>
        <item x="1026"/>
        <item x="930"/>
        <item x="668"/>
        <item x="669"/>
        <item x="1256"/>
        <item x="2222"/>
        <item x="324"/>
        <item x="1526"/>
        <item x="413"/>
        <item x="412"/>
        <item x="2174"/>
        <item x="414"/>
        <item x="1010"/>
        <item x="2148"/>
        <item x="459"/>
        <item x="1499"/>
        <item x="790"/>
        <item x="2258"/>
        <item x="227"/>
        <item x="2102"/>
        <item x="2282"/>
        <item x="237"/>
        <item x="1832"/>
        <item x="117"/>
        <item x="999"/>
        <item x="314"/>
        <item x="671"/>
        <item x="670"/>
        <item x="1245"/>
        <item x="2158"/>
        <item x="375"/>
        <item x="799"/>
        <item x="652"/>
        <item x="898"/>
        <item x="65"/>
        <item x="508"/>
        <item x="2331"/>
        <item x="2364"/>
        <item x="1376"/>
        <item x="1441"/>
        <item x="385"/>
        <item x="1905"/>
        <item x="1337"/>
        <item x="1361"/>
        <item x="1338"/>
        <item x="1101"/>
        <item x="1610"/>
        <item x="1578"/>
        <item x="418"/>
        <item x="417"/>
        <item x="416"/>
        <item x="1943"/>
        <item x="800"/>
        <item x="2269"/>
        <item x="1134"/>
        <item x="101"/>
        <item x="415"/>
        <item x="1944"/>
        <item x="1589"/>
        <item x="1924"/>
        <item x="187"/>
        <item x="954"/>
        <item x="273"/>
        <item x="1257"/>
        <item x="511"/>
        <item x="1133"/>
        <item x="706"/>
        <item x="1083"/>
        <item x="460"/>
        <item x="1788"/>
        <item x="2223"/>
        <item x="771"/>
        <item x="118"/>
        <item x="140"/>
        <item x="389"/>
        <item x="1554"/>
        <item x="376"/>
        <item x="1102"/>
        <item x="2203"/>
        <item x="109"/>
        <item x="528"/>
        <item x="1729"/>
        <item x="1394"/>
        <item x="2365"/>
        <item x="1043"/>
        <item x="1590"/>
        <item x="181"/>
        <item x="894"/>
        <item x="2289"/>
        <item x="128"/>
        <item x="129"/>
        <item x="931"/>
        <item x="2366"/>
        <item x="1085"/>
        <item x="1699"/>
        <item x="2204"/>
        <item x="2318"/>
        <item x="1084"/>
        <item x="339"/>
        <item x="355"/>
        <item x="604"/>
        <item x="1591"/>
        <item x="906"/>
        <item x="1822"/>
        <item x="1906"/>
        <item x="135"/>
        <item x="1833"/>
        <item x="1973"/>
        <item x="2037"/>
        <item x="2149"/>
        <item x="1961"/>
        <item x="1295"/>
        <item x="758"/>
        <item x="1185"/>
        <item x="2121"/>
        <item x="809"/>
        <item x="919"/>
        <item x="854"/>
        <item x="1228"/>
        <item x="2021"/>
        <item x="1585"/>
        <item x="2064"/>
        <item x="826"/>
        <item x="1312"/>
        <item x="1566"/>
        <item x="1846"/>
        <item x="209"/>
        <item x="1608"/>
        <item x="2332"/>
        <item x="2132"/>
        <item x="470"/>
        <item x="1476"/>
        <item x="774"/>
        <item x="2120"/>
        <item x="390"/>
        <item x="2103"/>
        <item x="199"/>
        <item x="142"/>
        <item x="222"/>
        <item x="631"/>
        <item x="521"/>
        <item x="520"/>
        <item x="216"/>
        <item x="2083"/>
        <item x="974"/>
        <item x="1135"/>
        <item x="1741"/>
        <item x="1250"/>
        <item x="1249"/>
        <item x="255"/>
        <item x="360"/>
        <item x="2303"/>
        <item x="2302"/>
        <item x="1136"/>
        <item x="2205"/>
        <item x="1915"/>
        <item x="23"/>
        <item x="471"/>
        <item x="1710"/>
        <item x="975"/>
        <item x="1715"/>
        <item x="203"/>
        <item x="2367"/>
        <item x="2333"/>
        <item x="323"/>
        <item x="878"/>
        <item x="955"/>
        <item x="1339"/>
        <item x="1945"/>
        <item x="1946"/>
        <item x="1925"/>
        <item x="136"/>
        <item x="932"/>
        <item x="1086"/>
        <item x="1188"/>
        <item x="933"/>
        <item x="182"/>
        <item x="228"/>
        <item x="112"/>
        <item x="522"/>
        <item x="673"/>
        <item x="672"/>
        <item x="976"/>
        <item x="1251"/>
        <item x="1492"/>
        <item x="2259"/>
        <item x="1039"/>
        <item x="1048"/>
        <item x="1348"/>
        <item x="1290"/>
        <item x="551"/>
        <item x="2046"/>
        <item x="1716"/>
        <item x="1717"/>
        <item x="2162"/>
        <item x="1137"/>
        <item x="2270"/>
        <item x="1395"/>
        <item x="257"/>
        <item x="956"/>
        <item x="662"/>
        <item x="1579"/>
        <item x="2150"/>
        <item x="1259"/>
        <item x="1189"/>
        <item x="1909"/>
        <item x="183"/>
        <item x="2368"/>
        <item x="1258"/>
        <item x="977"/>
        <item x="1138"/>
        <item x="677"/>
        <item x="676"/>
        <item x="675"/>
        <item x="674"/>
        <item x="509"/>
        <item x="293"/>
        <item x="552"/>
        <item x="1998"/>
        <item x="1718"/>
        <item x="472"/>
        <item x="530"/>
        <item x="1291"/>
        <item x="866"/>
        <item x="543"/>
        <item x="2369"/>
        <item x="1011"/>
        <item x="184"/>
        <item x="1777"/>
        <item x="2224"/>
        <item x="936"/>
        <item x="1206"/>
        <item x="2091"/>
        <item x="1742"/>
        <item x="1260"/>
        <item x="978"/>
        <item x="531"/>
        <item x="1401"/>
        <item x="658"/>
        <item x="1139"/>
        <item x="2260"/>
        <item x="1797"/>
        <item x="1493"/>
        <item x="105"/>
        <item x="827"/>
        <item x="1719"/>
        <item x="532"/>
        <item x="1364"/>
        <item x="1778"/>
        <item x="1947"/>
        <item x="2246"/>
        <item x="2022"/>
        <item x="2065"/>
        <item x="1107"/>
        <item x="828"/>
        <item x="979"/>
        <item x="1192"/>
        <item x="1282"/>
        <item x="1261"/>
        <item x="2370"/>
        <item x="644"/>
        <item x="220"/>
        <item x="473"/>
        <item x="386"/>
        <item x="934"/>
        <item x="778"/>
        <item x="1480"/>
        <item x="186"/>
        <item x="1592"/>
        <item x="238"/>
        <item x="1171"/>
        <item x="1191"/>
        <item x="1296"/>
        <item x="1588"/>
        <item x="1407"/>
        <item x="1720"/>
        <item x="2133"/>
        <item x="2290"/>
        <item x="2304"/>
        <item x="2319"/>
        <item x="137"/>
        <item x="1087"/>
        <item x="1190"/>
        <item x="895"/>
        <item x="130"/>
        <item x="935"/>
        <item x="2047"/>
        <item x="325"/>
        <item x="1907"/>
        <item x="632"/>
        <item x="185"/>
        <item x="1231"/>
        <item x="1229"/>
        <item x="1230"/>
        <item x="1140"/>
        <item x="300"/>
        <item x="678"/>
        <item x="1126"/>
        <item x="229"/>
        <item x="420"/>
        <item x="252"/>
        <item x="539"/>
        <item x="1232"/>
        <item x="957"/>
        <item x="1948"/>
        <item x="391"/>
        <item x="1193"/>
        <item x="294"/>
        <item x="2134"/>
        <item x="475"/>
        <item x="2247"/>
        <item x="2104"/>
        <item x="612"/>
        <item x="2283"/>
        <item x="1949"/>
        <item x="597"/>
        <item x="1141"/>
        <item x="679"/>
        <item x="1142"/>
        <item x="2305"/>
        <item x="1264"/>
        <item x="474"/>
        <item x="111"/>
        <item x="1721"/>
        <item x="2151"/>
        <item x="1494"/>
        <item x="217"/>
        <item x="1366"/>
        <item x="1340"/>
        <item x="1233"/>
        <item x="1265"/>
        <item x="1283"/>
        <item x="907"/>
        <item x="2287"/>
        <item x="553"/>
        <item x="246"/>
        <item x="680"/>
        <item x="1163"/>
        <item x="1162"/>
        <item x="2084"/>
        <item x="1144"/>
        <item x="1143"/>
        <item x="1950"/>
        <item x="1266"/>
        <item x="2271"/>
        <item x="2371"/>
        <item x="1442"/>
        <item x="842"/>
        <item x="1503"/>
        <item x="491"/>
        <item x="2225"/>
        <item x="1292"/>
        <item x="963"/>
        <item x="430"/>
        <item x="429"/>
        <item x="428"/>
        <item x="1145"/>
        <item x="2372"/>
        <item x="830"/>
        <item x="1789"/>
        <item x="1263"/>
        <item x="1408"/>
        <item x="1974"/>
        <item x="351"/>
        <item x="1746"/>
        <item x="2261"/>
        <item x="1234"/>
        <item x="2373"/>
        <item x="188"/>
        <item x="233"/>
        <item x="958"/>
        <item x="426"/>
        <item x="2226"/>
        <item x="1341"/>
        <item x="1743"/>
        <item x="980"/>
        <item x="1262"/>
        <item x="829"/>
        <item x="1267"/>
        <item x="2334"/>
        <item x="1701"/>
        <item x="158"/>
        <item x="1044"/>
        <item x="2374"/>
        <item x="2023"/>
        <item x="312"/>
        <item x="1005"/>
        <item x="1194"/>
        <item x="1700"/>
        <item x="340"/>
        <item x="533"/>
        <item x="2375"/>
        <item x="2066"/>
        <item x="1293"/>
        <item x="106"/>
        <item x="831"/>
        <item x="72"/>
        <item x="2030"/>
        <item x="900"/>
        <item x="1744"/>
        <item x="2085"/>
        <item x="1284"/>
        <item x="141"/>
        <item x="2335"/>
        <item x="2048"/>
        <item x="1146"/>
        <item x="1268"/>
        <item x="1269"/>
        <item x="1148"/>
        <item x="1147"/>
        <item x="352"/>
        <item x="1195"/>
        <item x="2376"/>
        <item x="554"/>
        <item x="476"/>
        <item x="1149"/>
        <item x="1951"/>
        <item x="547"/>
        <item x="431"/>
        <item x="477"/>
        <item x="1025"/>
        <item x="1731"/>
        <item x="2272"/>
        <item x="611"/>
        <item x="610"/>
        <item x="2378"/>
        <item x="356"/>
        <item x="1197"/>
        <item x="1790"/>
        <item x="1495"/>
        <item x="189"/>
        <item x="2284"/>
        <item x="1834"/>
        <item x="882"/>
        <item x="2227"/>
        <item x="2336"/>
        <item x="204"/>
        <item x="335"/>
        <item x="230"/>
        <item x="2379"/>
        <item x="239"/>
        <item x="1270"/>
        <item x="681"/>
        <item x="523"/>
        <item x="534"/>
        <item x="682"/>
        <item x="1285"/>
        <item x="1551"/>
        <item x="1552"/>
        <item x="295"/>
        <item x="683"/>
        <item x="2049"/>
        <item x="353"/>
        <item x="1096"/>
        <item x="1097"/>
        <item x="1611"/>
        <item x="2228"/>
        <item x="11"/>
        <item x="863"/>
        <item x="330"/>
        <item x="1067"/>
        <item x="1402"/>
        <item x="143"/>
        <item x="1172"/>
        <item x="1183"/>
        <item x="1271"/>
        <item x="432"/>
        <item x="1050"/>
        <item x="760"/>
        <item x="1088"/>
        <item x="879"/>
        <item x="962"/>
        <item x="555"/>
        <item x="1835"/>
        <item x="684"/>
        <item x="1272"/>
        <item x="1150"/>
        <item x="2337"/>
        <item x="636"/>
        <item x="2141"/>
        <item x="326"/>
        <item x="381"/>
        <item x="327"/>
        <item x="1273"/>
        <item x="2380"/>
        <item x="685"/>
        <item x="556"/>
        <item x="535"/>
        <item x="1151"/>
        <item x="524"/>
        <item x="1006"/>
        <item x="1952"/>
        <item x="1342"/>
        <item x="2229"/>
        <item x="393"/>
        <item x="613"/>
        <item x="2285"/>
        <item x="2262"/>
        <item x="1000"/>
        <item x="1702"/>
        <item x="190"/>
        <item x="880"/>
        <item x="1040"/>
        <item x="231"/>
        <item x="2086"/>
        <item x="1152"/>
        <item x="1153"/>
        <item x="2306"/>
        <item x="1274"/>
        <item x="2005"/>
        <item x="2152"/>
        <item x="191"/>
        <item x="478"/>
        <item x="2105"/>
        <item x="1703"/>
        <item x="192"/>
        <item x="1926"/>
        <item x="2230"/>
        <item x="1369"/>
        <item x="1235"/>
        <item x="1343"/>
        <item x="1953"/>
        <item x="331"/>
        <item x="2338"/>
        <item x="1555"/>
        <item x="1593"/>
        <item x="1722"/>
        <item x="24"/>
        <item x="25"/>
        <item x="394"/>
        <item x="634"/>
        <item x="688"/>
        <item x="687"/>
        <item x="686"/>
        <item x="525"/>
        <item x="1154"/>
        <item x="2381"/>
        <item x="536"/>
        <item x="194"/>
        <item x="1317"/>
        <item x="200"/>
        <item x="210"/>
        <item x="232"/>
        <item x="981"/>
        <item x="285"/>
        <item x="144"/>
        <item x="1594"/>
        <item x="1725"/>
        <item x="635"/>
        <item x="1724"/>
        <item x="1723"/>
        <item x="10"/>
        <item x="193"/>
        <item x="1417"/>
        <item x="131"/>
        <item x="479"/>
        <item x="833"/>
        <item x="2081"/>
        <item x="1954"/>
        <item x="1779"/>
        <item x="2161"/>
        <item x="832"/>
        <item x="377"/>
        <item x="313"/>
        <item x="1155"/>
        <item x="2206"/>
        <item x="2231"/>
        <item x="881"/>
        <item x="341"/>
        <item x="480"/>
        <item x="270"/>
        <item x="1236"/>
        <item x="481"/>
        <item x="1186"/>
        <item x="1198"/>
        <item x="1477"/>
        <item x="614"/>
        <item x="1313"/>
        <item x="1791"/>
        <item x="2339"/>
        <item x="357"/>
        <item x="2031"/>
        <item x="2207"/>
        <item x="482"/>
        <item x="2382"/>
        <item x="2273"/>
        <item x="2067"/>
        <item x="119"/>
        <item x="1409"/>
        <item x="1410"/>
        <item x="1868"/>
        <item x="1882"/>
        <item x="2340"/>
        <item x="835"/>
        <item x="1275"/>
        <item x="1685"/>
        <item x="689"/>
        <item x="526"/>
        <item x="727"/>
        <item x="195"/>
        <item x="2088"/>
        <item x="982"/>
        <item x="1276"/>
        <item x="1799"/>
        <item x="1595"/>
        <item x="1187"/>
        <item x="1870"/>
        <item x="436"/>
        <item x="437"/>
        <item x="435"/>
        <item x="2232"/>
        <item x="1780"/>
        <item x="1370"/>
        <item x="1344"/>
        <item x="959"/>
        <item x="1237"/>
        <item x="1238"/>
        <item x="600"/>
        <item x="1927"/>
        <item x="2263"/>
        <item x="296"/>
        <item x="2208"/>
        <item x="1124"/>
        <item x="1128"/>
        <item x="1686"/>
        <item x="1158"/>
        <item x="145"/>
        <item x="759"/>
        <item x="2233"/>
        <item x="1836"/>
        <item x="1883"/>
        <item x="2341"/>
        <item x="690"/>
        <item x="691"/>
        <item x="692"/>
        <item x="2274"/>
        <item x="1277"/>
        <item x="2383"/>
        <item x="2384"/>
        <item x="1156"/>
        <item x="1157"/>
        <item x="693"/>
        <item x="899"/>
        <item x="1278"/>
        <item x="2087"/>
        <item x="1612"/>
        <item x="834"/>
        <item x="2311"/>
        <item x="80"/>
        <item x="2165"/>
        <item x="334"/>
        <item x="838"/>
        <item x="548"/>
        <item x="196"/>
        <item x="694"/>
        <item x="1704"/>
        <item x="1705"/>
        <item x="2385"/>
        <item x="1496"/>
        <item x="138"/>
        <item x="2209"/>
        <item x="155"/>
        <item x="2264"/>
        <item x="1173"/>
        <item x="2234"/>
        <item x="1345"/>
        <item x="843"/>
        <item x="1314"/>
        <item x="1781"/>
        <item x="2343"/>
        <item x="438"/>
        <item x="615"/>
        <item x="63"/>
        <item x="2275"/>
        <item x="1279"/>
        <item x="268"/>
        <item x="2344"/>
        <item x="761"/>
        <item x="2265"/>
        <item x="855"/>
        <item x="1706"/>
        <item x="1497"/>
        <item x="2166"/>
        <item x="1443"/>
        <item x="653"/>
        <item x="1239"/>
        <item x="1240"/>
        <item x="2342"/>
        <item x="1975"/>
        <item x="883"/>
        <item x="2153"/>
        <item x="81"/>
        <item x="1956"/>
        <item x="695"/>
        <item x="837"/>
        <item x="383"/>
        <item x="1280"/>
        <item x="2386"/>
        <item x="1884"/>
        <item x="2211"/>
        <item x="382"/>
        <item x="537"/>
        <item x="1089"/>
        <item x="2024"/>
        <item x="2068"/>
        <item x="2122"/>
        <item x="234"/>
        <item x="836"/>
        <item x="865"/>
        <item x="696"/>
        <item x="2075"/>
        <item x="791"/>
        <item x="2050"/>
        <item x="1894"/>
        <item x="1895"/>
        <item x="1118"/>
        <item x="527"/>
        <item x="2082"/>
        <item x="2266"/>
        <item x="646"/>
        <item x="755"/>
        <item x="519"/>
        <item x="2330"/>
        <item x="595"/>
        <item x="810"/>
        <item x="1567"/>
        <item x="1207"/>
        <item x="1586"/>
        <item x="1397"/>
        <item x="1315"/>
        <item x="154"/>
        <item x="211"/>
        <item x="1418"/>
        <item x="1184"/>
        <item x="2159"/>
        <item x="16"/>
        <item x="1045"/>
        <item x="1412"/>
        <item x="1414"/>
        <item x="1413"/>
        <item x="1095"/>
        <item x="633"/>
        <item x="1416"/>
        <item x="1640"/>
        <item x="36"/>
        <item x="1963"/>
        <item x="1983"/>
        <item x="1454"/>
        <item x="939"/>
        <item x="1468"/>
        <item x="1320"/>
        <item x="84"/>
        <item x="1378"/>
        <item x="2006"/>
        <item x="795"/>
        <item x="1349"/>
        <item x="845"/>
        <item x="940"/>
        <item x="1893"/>
        <item x="513"/>
        <item x="1119"/>
        <item x="251"/>
        <item x="942"/>
        <item x="549"/>
        <item x="847"/>
        <item x="1321"/>
        <item x="937"/>
        <item x="82"/>
        <item x="729"/>
        <item x="30"/>
        <item x="2239"/>
        <item x="515"/>
        <item x="1120"/>
        <item x="707"/>
        <item x="1318"/>
        <item x="1319"/>
        <item x="1984"/>
        <item x="730"/>
        <item x="1121"/>
        <item x="708"/>
        <item x="943"/>
        <item x="29"/>
        <item x="1617"/>
        <item x="2291"/>
        <item x="1122"/>
        <item x="944"/>
        <item x="2240"/>
        <item x="31"/>
        <item x="1618"/>
        <item x="732"/>
        <item x="945"/>
        <item x="1619"/>
        <item x="1123"/>
        <item x="1047"/>
        <item x="550"/>
        <item x="2292"/>
        <item x="516"/>
        <item x="517"/>
        <item x="2241"/>
        <item x="1985"/>
        <item x="2000"/>
        <item x="1620"/>
        <item x="1532"/>
        <item x="619"/>
        <item x="1469"/>
        <item x="1643"/>
        <item x="713"/>
        <item x="32"/>
        <item x="2242"/>
        <item x="770"/>
        <item x="1419"/>
        <item x="1351"/>
        <item x="33"/>
        <item x="1621"/>
        <item x="796"/>
        <item x="248"/>
        <item x="733"/>
        <item x="769"/>
        <item x="1625"/>
        <item x="1623"/>
        <item x="1624"/>
        <item x="983"/>
        <item x="948"/>
        <item x="1461"/>
        <item x="1444"/>
        <item x="370"/>
        <item x="371"/>
        <item x="35"/>
        <item x="734"/>
        <item x="1626"/>
        <item x="37"/>
        <item x="763"/>
        <item x="1627"/>
        <item x="1628"/>
        <item x="1420"/>
        <item x="1445"/>
        <item x="373"/>
        <item x="1046"/>
        <item x="1629"/>
        <item x="316"/>
        <item x="1388"/>
        <item x="2155"/>
        <item x="372"/>
        <item x="2054"/>
        <item x="984"/>
        <item x="38"/>
        <item x="1446"/>
        <item x="949"/>
        <item x="735"/>
        <item x="1630"/>
        <item x="764"/>
        <item x="721"/>
        <item x="1631"/>
        <item x="908"/>
        <item x="201"/>
        <item x="1633"/>
        <item x="1632"/>
        <item x="15"/>
        <item x="723"/>
        <item x="317"/>
        <item x="2089"/>
        <item x="39"/>
        <item x="1634"/>
        <item x="13"/>
        <item x="249"/>
        <item x="950"/>
        <item x="765"/>
        <item x="736"/>
        <item x="985"/>
        <item x="1448"/>
        <item x="1635"/>
        <item x="1447"/>
        <item x="250"/>
        <item x="1352"/>
        <item x="14"/>
        <item x="1982"/>
        <item x="1449"/>
        <item x="1636"/>
        <item x="1353"/>
        <item x="40"/>
        <item x="725"/>
        <item x="766"/>
        <item x="737"/>
        <item x="2156"/>
        <item x="1450"/>
        <item x="1637"/>
        <item x="1433"/>
        <item x="1421"/>
        <item x="622"/>
        <item x="1354"/>
        <item x="946"/>
        <item x="986"/>
        <item x="1638"/>
        <item x="1993"/>
        <item x="1451"/>
        <item x="396"/>
        <item x="987"/>
        <item x="374"/>
        <item x="738"/>
        <item x="1639"/>
        <item x="767"/>
        <item x="739"/>
        <item x="318"/>
        <item x="202"/>
        <item x="41"/>
        <item x="740"/>
        <item x="2007"/>
        <item x="1994"/>
        <item x="2157"/>
        <item x="742"/>
        <item x="1641"/>
        <item x="741"/>
        <item x="2320"/>
        <item x="1541"/>
        <item x="1995"/>
        <item x="1542"/>
        <item x="1543"/>
        <item x="802"/>
        <item x="625"/>
        <item x="483"/>
        <item x="1558"/>
        <item x="747"/>
        <item x="1356"/>
        <item x="1996"/>
        <item x="12"/>
        <item x="1642"/>
        <item x="1597"/>
        <item x="1645"/>
        <item x="637"/>
        <item x="749"/>
        <item x="1986"/>
        <item x="1423"/>
        <item x="1997"/>
        <item x="51"/>
        <item x="52"/>
        <item x="1598"/>
        <item x="42"/>
        <item x="1644"/>
        <item x="750"/>
        <item x="1599"/>
        <item x="951"/>
        <item x="319"/>
        <item x="751"/>
        <item x="768"/>
        <item x="988"/>
        <item x="1545"/>
        <item x="1358"/>
        <item x="797"/>
        <item x="2237"/>
        <item x="844"/>
        <item x="1646"/>
        <item x="1648"/>
        <item x="1647"/>
        <item x="1600"/>
        <item x="85"/>
        <item x="639"/>
        <item x="627"/>
        <item x="1650"/>
        <item x="43"/>
        <item x="1546"/>
        <item x="1359"/>
        <item x="1651"/>
        <item x="1380"/>
        <item x="1601"/>
        <item x="1649"/>
        <item x="952"/>
        <item x="28"/>
        <item x="1462"/>
        <item x="2008"/>
        <item x="2009"/>
        <item x="989"/>
        <item x="1652"/>
        <item x="1424"/>
        <item x="1125"/>
        <item x="89"/>
        <item x="1848"/>
        <item x="1847"/>
        <item x="1602"/>
        <item x="1653"/>
        <item x="990"/>
        <item x="86"/>
        <item x="1547"/>
        <item x="1655"/>
        <item x="1849"/>
        <item x="1603"/>
        <item x="1425"/>
        <item x="1656"/>
        <item x="1654"/>
        <item x="1604"/>
        <item x="1657"/>
        <item x="1850"/>
        <item x="1658"/>
        <item x="1660"/>
        <item x="1659"/>
        <item x="1851"/>
        <item x="1661"/>
        <item x="1662"/>
        <item x="1663"/>
        <item x="1852"/>
        <item x="1362"/>
        <item x="1987"/>
        <item x="752"/>
        <item x="1853"/>
        <item x="44"/>
        <item x="1605"/>
        <item x="1664"/>
        <item x="1666"/>
        <item x="1665"/>
        <item x="1606"/>
        <item x="1854"/>
        <item x="2010"/>
        <item x="96"/>
        <item x="786"/>
        <item x="315"/>
        <item x="1548"/>
        <item x="1426"/>
        <item x="857"/>
        <item x="792"/>
        <item x="1928"/>
        <item x="53"/>
        <item x="1363"/>
        <item x="1607"/>
        <item x="425"/>
        <item x="424"/>
        <item x="1855"/>
        <item x="62"/>
        <item x="1667"/>
        <item x="98"/>
        <item x="794"/>
        <item x="1381"/>
        <item x="1874"/>
        <item x="1668"/>
        <item x="1068"/>
        <item x="97"/>
        <item x="54"/>
        <item x="419"/>
        <item x="858"/>
        <item x="1856"/>
        <item x="90"/>
        <item x="793"/>
        <item x="2011"/>
        <item x="1857"/>
        <item x="1159"/>
        <item x="45"/>
        <item x="1669"/>
        <item x="421"/>
        <item x="1365"/>
        <item x="1858"/>
        <item x="1877"/>
        <item x="1670"/>
        <item x="56"/>
        <item x="46"/>
        <item x="753"/>
        <item x="1988"/>
        <item x="91"/>
        <item x="1427"/>
        <item x="788"/>
        <item x="55"/>
        <item x="422"/>
        <item x="218"/>
        <item x="1859"/>
        <item x="1671"/>
        <item x="47"/>
        <item x="57"/>
        <item x="92"/>
        <item x="1879"/>
        <item x="754"/>
        <item x="1739"/>
        <item x="1860"/>
        <item x="423"/>
        <item x="58"/>
        <item x="1878"/>
        <item x="93"/>
        <item x="1672"/>
        <item x="1463"/>
        <item x="2346"/>
        <item x="2293"/>
        <item x="338"/>
        <item x="1673"/>
        <item x="1675"/>
        <item x="1676"/>
        <item x="1861"/>
        <item x="1880"/>
        <item x="427"/>
        <item x="1464"/>
        <item x="1367"/>
        <item x="94"/>
        <item x="1674"/>
        <item x="2347"/>
        <item x="859"/>
        <item x="1550"/>
        <item x="60"/>
        <item x="886"/>
        <item x="991"/>
        <item x="2348"/>
        <item x="1549"/>
        <item x="1881"/>
        <item x="1677"/>
        <item x="787"/>
        <item x="95"/>
        <item x="1862"/>
        <item x="1368"/>
        <item x="1465"/>
        <item x="2377"/>
        <item x="1863"/>
        <item x="1678"/>
        <item x="59"/>
        <item x="48"/>
        <item x="1196"/>
        <item x="1393"/>
        <item x="1090"/>
        <item x="1864"/>
        <item x="1679"/>
        <item x="1989"/>
        <item x="887"/>
        <item x="1452"/>
        <item x="219"/>
        <item x="2072"/>
        <item x="1680"/>
        <item x="1865"/>
        <item x="1681"/>
        <item x="1324"/>
        <item x="1325"/>
        <item x="1299"/>
        <item x="1929"/>
        <item x="434"/>
        <item x="2073"/>
        <item x="2243"/>
        <item x="367"/>
        <item x="1453"/>
        <item x="1466"/>
        <item x="2349"/>
        <item x="433"/>
        <item x="1866"/>
        <item x="1930"/>
        <item x="992"/>
        <item x="1867"/>
        <item x="1530"/>
        <item x="1707"/>
        <item x="2350"/>
        <item x="970"/>
        <item x="1051"/>
        <item x="242"/>
        <item x="1682"/>
        <item x="61"/>
        <item x="49"/>
        <item x="1990"/>
        <item x="1683"/>
        <item x="2074"/>
        <item x="1684"/>
        <item x="1455"/>
        <item x="500"/>
        <item x="1298"/>
        <item x="1209"/>
        <item x="1869"/>
        <item x="1428"/>
        <item x="1429"/>
        <item x="1456"/>
        <item x="1747"/>
        <item x="1896"/>
        <item x="2175"/>
        <item x="1467"/>
        <item x="50"/>
        <item x="1457"/>
        <item x="1871"/>
        <item x="546"/>
        <item x="1991"/>
        <item x="1687"/>
        <item x="2012"/>
        <item x="655"/>
        <item x="1726"/>
        <item x="1041"/>
        <item x="1872"/>
        <item x="1371"/>
        <item x="1688"/>
        <item x="860"/>
        <item x="99"/>
        <item x="1992"/>
        <item x="1458"/>
        <item x="168"/>
        <item x="368"/>
        <item x="1553"/>
        <item x="558"/>
        <item x="1430"/>
        <item x="559"/>
        <item x="1052"/>
        <item x="1782"/>
        <item x="485"/>
        <item x="1962"/>
        <item x="2321"/>
        <item x="756"/>
        <item x="1034"/>
        <item x="1481"/>
        <item x="777"/>
        <item x="2253"/>
        <item x="2025"/>
        <item x="909"/>
        <item x="2180"/>
        <item x="1817"/>
        <item x="306"/>
        <item x="1422"/>
        <item x="1897"/>
        <item x="1898"/>
        <item x="2181"/>
        <item x="167"/>
        <item x="147"/>
        <item x="2322"/>
        <item x="964"/>
        <item x="164"/>
        <item x="2142"/>
        <item x="557"/>
        <item x="2179"/>
        <item x="2108"/>
        <item x="2056"/>
        <item x="1208"/>
        <item x="545"/>
        <item x="74"/>
        <item x="165"/>
        <item x="365"/>
        <item x="1164"/>
        <item x="123"/>
        <item x="66"/>
        <item x="336"/>
        <item x="1919"/>
        <item x="997"/>
        <item x="1527"/>
        <item x="305"/>
        <item x="301"/>
        <item x="1528"/>
        <item x="775"/>
        <item x="1916"/>
        <item x="1379"/>
        <item x="647"/>
        <item x="2163"/>
        <item x="17"/>
        <item x="73"/>
        <item x="2176"/>
        <item x="1749"/>
        <item x="328"/>
        <item x="561"/>
        <item x="1529"/>
        <item x="2182"/>
        <item x="892"/>
        <item x="1899"/>
        <item x="1900"/>
        <item x="170"/>
        <item x="2055"/>
        <item x="966"/>
        <item x="2183"/>
        <item x="1300"/>
        <item x="342"/>
        <item x="171"/>
        <item x="1053"/>
        <item x="2215"/>
        <item x="562"/>
        <item x="731"/>
        <item x="384"/>
        <item x="1556"/>
        <item x="169"/>
        <item x="563"/>
        <item x="1504"/>
        <item x="451"/>
        <item x="452"/>
        <item x="212"/>
        <item x="565"/>
        <item x="783"/>
        <item x="861"/>
        <item x="566"/>
        <item x="1568"/>
        <item x="264"/>
        <item x="274"/>
        <item x="564"/>
        <item x="22"/>
        <item x="1054"/>
        <item x="1211"/>
        <item x="1957"/>
        <item x="1750"/>
        <item x="453"/>
        <item x="454"/>
        <item x="1801"/>
        <item x="1212"/>
        <item x="1327"/>
        <item x="1328"/>
        <item x="1824"/>
        <item x="2154"/>
        <item x="2137"/>
        <item x="811"/>
        <item x="544"/>
        <item x="2312"/>
        <item x="2015"/>
        <item x="1304"/>
        <item x="965"/>
        <item x="172"/>
        <item x="361"/>
        <item x="2057"/>
        <item x="1389"/>
        <item x="1505"/>
        <item x="1242"/>
        <item x="648"/>
        <item x="2298"/>
        <item x="567"/>
        <item x="148"/>
        <item x="275"/>
        <item x="1213"/>
        <item x="2323"/>
        <item x="803"/>
        <item x="1876"/>
        <item x="461"/>
        <item x="2109"/>
        <item x="256"/>
        <item x="320"/>
        <item x="2184"/>
        <item x="568"/>
        <item x="709"/>
        <item x="100"/>
        <item x="1958"/>
        <item x="1751"/>
        <item x="1802"/>
        <item x="1199"/>
        <item x="114"/>
        <item x="1482"/>
        <item x="1901"/>
        <item x="358"/>
        <item x="1214"/>
        <item x="867"/>
        <item x="455"/>
        <item x="569"/>
        <item x="570"/>
        <item x="1752"/>
        <item x="1803"/>
        <item x="1390"/>
        <item x="343"/>
        <item x="1129"/>
        <item x="1483"/>
        <item x="173"/>
        <item x="772"/>
        <item x="446"/>
        <item x="971"/>
        <item x="571"/>
        <item x="888"/>
        <item x="1531"/>
        <item x="710"/>
        <item x="441"/>
        <item x="344"/>
        <item x="213"/>
        <item x="486"/>
        <item x="728"/>
        <item x="698"/>
        <item x="1035"/>
        <item x="1"/>
        <item x="608"/>
        <item x="541"/>
        <item x="697"/>
        <item x="711"/>
        <item x="2185"/>
        <item x="2313"/>
        <item x="1754"/>
        <item x="159"/>
        <item x="369"/>
        <item x="572"/>
        <item x="2186"/>
        <item x="2187"/>
        <item x="573"/>
        <item x="594"/>
        <item x="27"/>
        <item x="1753"/>
        <item x="1804"/>
        <item x="7"/>
        <item x="244"/>
        <item x="1908"/>
        <item x="362"/>
        <item x="1166"/>
        <item x="265"/>
        <item x="1382"/>
        <item x="1130"/>
        <item x="1322"/>
        <item x="1730"/>
        <item x="4"/>
        <item x="1215"/>
        <item x="1560"/>
        <item x="149"/>
        <item x="1580"/>
        <item x="1305"/>
        <item x="2038"/>
        <item x="240"/>
        <item x="126"/>
        <item x="1471"/>
        <item x="287"/>
        <item x="1103"/>
        <item x="68"/>
        <item x="1755"/>
        <item x="1501"/>
        <item x="307"/>
        <item x="1840"/>
        <item x="302"/>
        <item x="1247"/>
        <item x="1470"/>
        <item x="1740"/>
        <item x="2110"/>
        <item x="2254"/>
        <item x="618"/>
        <item x="104"/>
        <item x="1911"/>
        <item x="174"/>
        <item x="1964"/>
        <item x="868"/>
        <item x="2216"/>
        <item x="2189"/>
        <item x="206"/>
        <item x="2188"/>
        <item x="2026"/>
        <item x="712"/>
        <item x="705"/>
        <item x="2032"/>
        <item x="1055"/>
        <item x="1977"/>
        <item x="1385"/>
        <item x="2069"/>
        <item x="484"/>
        <item x="1484"/>
        <item x="1042"/>
        <item x="700"/>
        <item x="743"/>
        <item x="2039"/>
        <item x="1931"/>
        <item x="2217"/>
        <item x="1383"/>
        <item x="1506"/>
        <item x="923"/>
        <item x="812"/>
        <item x="2190"/>
        <item x="1756"/>
        <item x="397"/>
        <item x="1302"/>
        <item x="1029"/>
        <item x="110"/>
        <item x="1902"/>
        <item x="2171"/>
        <item x="1056"/>
        <item x="2191"/>
        <item x="1965"/>
        <item x="1069"/>
        <item x="1841"/>
        <item x="1842"/>
        <item x="2277"/>
        <item x="501"/>
        <item x="901"/>
        <item x="1622"/>
        <item x="967"/>
        <item x="1691"/>
        <item x="378"/>
        <item x="993"/>
        <item x="1316"/>
        <item x="75"/>
        <item x="542"/>
        <item x="2192"/>
        <item x="574"/>
        <item x="575"/>
        <item x="2143"/>
        <item x="2351"/>
        <item x="714"/>
        <item x="1350"/>
        <item x="1805"/>
        <item x="1757"/>
        <item x="1472"/>
        <item x="577"/>
        <item x="947"/>
        <item x="849"/>
        <item x="2077"/>
        <item x="1507"/>
        <item x="784"/>
        <item x="869"/>
        <item x="1108"/>
        <item x="910"/>
        <item x="1533"/>
        <item x="1920"/>
        <item x="1386"/>
        <item x="1978"/>
        <item x="1825"/>
        <item x="1216"/>
        <item x="1306"/>
        <item x="18"/>
        <item x="462"/>
        <item x="1391"/>
        <item x="2058"/>
        <item x="2295"/>
        <item x="2111"/>
        <item x="1561"/>
        <item x="804"/>
        <item x="914"/>
        <item x="276"/>
        <item x="2125"/>
        <item x="442"/>
        <item x="1910"/>
        <item x="2324"/>
        <item x="1104"/>
        <item x="2144"/>
        <item x="2308"/>
        <item x="576"/>
        <item x="2278"/>
        <item x="2193"/>
        <item x="1966"/>
        <item x="502"/>
        <item x="1758"/>
        <item x="715"/>
        <item x="1806"/>
        <item x="398"/>
        <item x="889"/>
        <item x="994"/>
        <item x="1733"/>
        <item x="70"/>
        <item x="443"/>
        <item x="2164"/>
        <item x="1508"/>
        <item x="345"/>
        <item x="2244"/>
        <item x="1614"/>
        <item x="1032"/>
        <item x="1485"/>
        <item x="308"/>
        <item x="1534"/>
        <item x="2249"/>
        <item x="897"/>
        <item x="1885"/>
        <item x="1818"/>
        <item x="503"/>
        <item x="716"/>
        <item x="463"/>
        <item x="578"/>
        <item x="1057"/>
        <item x="2172"/>
        <item x="579"/>
        <item x="580"/>
        <item x="581"/>
        <item x="260"/>
        <item x="5"/>
        <item x="1058"/>
        <item x="1692"/>
        <item x="1070"/>
        <item x="2218"/>
        <item x="2040"/>
        <item x="1105"/>
        <item x="1967"/>
        <item x="2194"/>
        <item x="717"/>
        <item x="582"/>
        <item x="2002"/>
        <item x="2016"/>
        <item x="915"/>
        <item x="805"/>
        <item x="277"/>
        <item x="744"/>
        <item x="1217"/>
        <item x="620"/>
        <item x="346"/>
        <item x="347"/>
        <item x="2195"/>
        <item x="654"/>
        <item x="813"/>
        <item x="1693"/>
        <item x="2325"/>
        <item x="487"/>
        <item x="745"/>
        <item x="701"/>
        <item x="642"/>
        <item x="1759"/>
        <item x="2138"/>
        <item x="649"/>
        <item x="995"/>
        <item x="1473"/>
        <item x="1013"/>
        <item x="2219"/>
        <item x="2196"/>
        <item x="1399"/>
        <item x="2078"/>
        <item x="2326"/>
        <item x="1968"/>
        <item x="162"/>
        <item x="2139"/>
        <item x="1012"/>
        <item x="1535"/>
        <item x="2276"/>
        <item x="288"/>
        <item x="278"/>
        <item x="464"/>
        <item x="150"/>
        <item x="699"/>
        <item x="1307"/>
        <item x="1581"/>
        <item x="839"/>
        <item x="1431"/>
        <item x="243"/>
        <item x="2059"/>
        <item x="1562"/>
        <item x="1844"/>
        <item x="2003"/>
        <item x="1690"/>
        <item x="1502"/>
        <item x="2236"/>
        <item x="2352"/>
        <item x="77"/>
        <item x="2096"/>
        <item x="1734"/>
        <item x="1059"/>
        <item x="2310"/>
        <item x="584"/>
        <item x="1694"/>
        <item x="1838"/>
        <item x="2294"/>
        <item x="258"/>
        <item x="2353"/>
        <item x="76"/>
        <item x="1106"/>
        <item x="1783"/>
        <item x="1760"/>
        <item x="1509"/>
        <item x="2126"/>
        <item x="1403"/>
        <item x="801"/>
        <item x="1932"/>
        <item x="1807"/>
        <item x="1819"/>
        <item x="650"/>
        <item x="2041"/>
        <item x="718"/>
        <item x="1109"/>
        <item x="2177"/>
        <item x="379"/>
        <item x="656"/>
        <item x="2173"/>
        <item x="893"/>
        <item x="1976"/>
        <item x="641"/>
        <item x="488"/>
        <item x="1019"/>
        <item x="1886"/>
        <item x="1243"/>
        <item x="2145"/>
        <item x="163"/>
        <item x="583"/>
        <item x="2033"/>
        <item x="121"/>
        <item x="1569"/>
        <item x="719"/>
        <item x="1933"/>
        <item x="1761"/>
        <item x="387"/>
        <item x="1510"/>
        <item x="102"/>
        <item x="1979"/>
        <item x="1387"/>
        <item x="2070"/>
        <item x="2354"/>
        <item x="1486"/>
        <item x="2327"/>
        <item x="2052"/>
        <item x="2124"/>
        <item x="1030"/>
        <item x="2168"/>
        <item x="1405"/>
        <item x="586"/>
        <item x="820"/>
        <item x="236"/>
        <item x="1323"/>
        <item x="2238"/>
        <item x="1808"/>
        <item x="720"/>
        <item x="1762"/>
        <item x="235"/>
        <item x="2197"/>
        <item x="6"/>
        <item x="492"/>
        <item x="69"/>
        <item x="1980"/>
        <item x="585"/>
        <item x="2017"/>
        <item x="1839"/>
        <item x="1500"/>
        <item x="1563"/>
        <item x="2060"/>
        <item x="465"/>
        <item x="279"/>
        <item x="151"/>
        <item x="267"/>
        <item x="2112"/>
        <item x="1308"/>
        <item x="1404"/>
        <item x="1020"/>
        <item x="2328"/>
        <item x="722"/>
        <item x="1329"/>
        <item x="1218"/>
        <item x="1934"/>
        <item x="1763"/>
        <item x="2113"/>
        <item x="848"/>
        <item x="587"/>
        <item x="856"/>
        <item x="1912"/>
        <item x="2169"/>
        <item x="1511"/>
        <item x="598"/>
        <item x="504"/>
        <item x="2198"/>
        <item x="599"/>
        <item x="1004"/>
        <item x="924"/>
        <item x="78"/>
        <item x="2296"/>
        <item x="1346"/>
        <item x="2146"/>
        <item x="588"/>
        <item x="1809"/>
        <item x="724"/>
        <item x="1573"/>
        <item x="616"/>
        <item x="34"/>
        <item x="0"/>
        <item x="108"/>
        <item x="120"/>
        <item x="1066"/>
        <item x="1372"/>
        <item x="1373"/>
        <item x="1459"/>
        <item x="1460"/>
        <item x="1689"/>
        <item x="1792"/>
        <item x="1837"/>
        <item x="1873"/>
        <item x="1955"/>
        <item x="2106"/>
        <item x="2136"/>
        <item x="2248"/>
        <item x="1748"/>
        <item x="1241"/>
        <item x="2235"/>
        <item x="2210"/>
        <item x="1411"/>
        <item x="645"/>
        <item x="896"/>
        <item t="default"/>
      </items>
    </pivotField>
    <pivotField compact="0" outline="0" showAll="0"/>
  </pivotFields>
  <rowFields count="4">
    <field x="1"/>
    <field x="0"/>
    <field x="7"/>
    <field x="14"/>
  </rowFields>
  <rowItems count="30">
    <i>
      <x v="668"/>
      <x v="68"/>
      <x/>
      <x v="1623"/>
    </i>
    <i r="2">
      <x v="2"/>
      <x v="1624"/>
    </i>
    <i r="1">
      <x v="69"/>
      <x v="2"/>
      <x v="1631"/>
    </i>
    <i r="1">
      <x v="70"/>
      <x v="2"/>
      <x v="1638"/>
    </i>
    <i r="1">
      <x v="71"/>
      <x/>
      <x v="1642"/>
    </i>
    <i r="1">
      <x v="73"/>
      <x/>
      <x v="1646"/>
    </i>
    <i r="3">
      <x v="1650"/>
    </i>
    <i r="1">
      <x v="75"/>
      <x/>
      <x v="1657"/>
    </i>
    <i r="1">
      <x v="78"/>
      <x/>
      <x v="1672"/>
    </i>
    <i r="1">
      <x v="79"/>
      <x/>
      <x v="1685"/>
    </i>
    <i r="1">
      <x v="80"/>
      <x/>
      <x v="1689"/>
    </i>
    <i r="1">
      <x v="81"/>
      <x/>
      <x v="1695"/>
    </i>
    <i r="1">
      <x v="82"/>
      <x/>
      <x v="1708"/>
    </i>
    <i r="2">
      <x v="2"/>
      <x v="1716"/>
    </i>
    <i r="1">
      <x v="84"/>
      <x/>
      <x v="1729"/>
    </i>
    <i r="1">
      <x v="85"/>
      <x/>
      <x v="1748"/>
    </i>
    <i r="1">
      <x v="86"/>
      <x/>
      <x v="1752"/>
    </i>
    <i r="1">
      <x v="87"/>
      <x/>
      <x v="1759"/>
    </i>
    <i r="1">
      <x v="89"/>
      <x/>
      <x v="1767"/>
    </i>
    <i r="1">
      <x v="90"/>
      <x/>
      <x v="1781"/>
    </i>
    <i r="1">
      <x v="91"/>
      <x/>
      <x v="1784"/>
    </i>
    <i r="1">
      <x v="92"/>
      <x/>
      <x v="1238"/>
    </i>
    <i r="1">
      <x v="93"/>
      <x/>
      <x v="1254"/>
    </i>
    <i r="3">
      <x v="1802"/>
    </i>
    <i r="1">
      <x v="95"/>
      <x/>
      <x v="1812"/>
    </i>
    <i r="1">
      <x v="96"/>
      <x/>
      <x v="1820"/>
    </i>
    <i r="1">
      <x v="97"/>
      <x/>
      <x v="1828"/>
    </i>
    <i r="1">
      <x v="100"/>
      <x v="2"/>
      <x v="2365"/>
    </i>
    <i t="default">
      <x v="668"/>
    </i>
    <i t="grand">
      <x/>
    </i>
  </rowItems>
  <colItems count="1">
    <i/>
  </colItems>
  <dataFields count="1">
    <dataField name="Suma de Importe AR$" fld="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1F068-1341-4672-90DE-2CEE14D03C18}" name="Gastos" displayName="Gastos" ref="A8:P4637" totalsRowShown="0" headerRowDxfId="140" dataDxfId="138" headerRowBorderDxfId="139" tableBorderDxfId="137" headerRowCellStyle="Moneda">
  <autoFilter ref="A8:P4637" xr:uid="{C951F068-1341-4672-90DE-2CEE14D03C18}">
    <filterColumn colId="0">
      <filters>
        <filter val="2026-44"/>
      </filters>
    </filterColumn>
  </autoFilter>
  <sortState xmlns:xlrd2="http://schemas.microsoft.com/office/spreadsheetml/2017/richdata2" ref="A16:P4637">
    <sortCondition ref="B8:B4637"/>
  </sortState>
  <tableColumns count="16">
    <tableColumn id="1" xr3:uid="{1313C384-3163-4D56-9F84-9E1CAEBA396B}" name="Semana" dataDxfId="136"/>
    <tableColumn id="2" xr3:uid="{96600F64-10C6-4A83-9F4C-A531E04021C1}" name="Proveedor" dataDxfId="135"/>
    <tableColumn id="3" xr3:uid="{787868D5-A7CE-4536-B54C-6F1A0D05B952}" name="Descripción" dataDxfId="134"/>
    <tableColumn id="13" xr3:uid="{6255BEA6-F415-41E4-AC5D-FFF97A58354C}" name="FTP" dataDxfId="133"/>
    <tableColumn id="12" xr3:uid="{6C0A329D-F677-4625-9BA4-BF6A05EDBA7F}" name="Rubro" dataDxfId="132"/>
    <tableColumn id="4" xr3:uid="{1B43AC47-938F-4263-97E6-B74CA9648406}" name="Vía" dataDxfId="131"/>
    <tableColumn id="5" xr3:uid="{0155215F-5FD3-4150-8BD9-06E9F5920E3E}" name="Forma  de pago" dataDxfId="130"/>
    <tableColumn id="6" xr3:uid="{5E649B65-A884-436A-BE9F-990075DB06CB}" name="Divisa" dataDxfId="129" dataCellStyle="Millares"/>
    <tableColumn id="7" xr3:uid="{543A1F9B-8797-44FA-B0C4-DB5E970A9B73}" name="$" dataDxfId="128" dataCellStyle="Moneda"/>
    <tableColumn id="8" xr3:uid="{3E5D7C5F-B305-4000-8288-2FB7862D8B01}" name="Importe AR$" dataDxfId="127" dataCellStyle="Moneda">
      <calculatedColumnFormula>IF(Gastos[[#This Row],[Divisa]]="$", I9*1, IF(Gastos[[#This Row],[Divisa]]="U$D", I9*$N$1, IF(Gastos[[#This Row],[Divisa]]="EUR", I9*$N$2, 0)))</calculatedColumnFormula>
    </tableColumn>
    <tableColumn id="16" xr3:uid="{59EE3D99-2CF6-45C8-8BB9-C2FB69129DB1}" name="Importe U$D" dataDxfId="126" dataCellStyle="Moneda">
      <calculatedColumnFormula>Gastos[[#This Row],[Importe AR$]]/$N$1</calculatedColumnFormula>
    </tableColumn>
    <tableColumn id="9" xr3:uid="{18C24254-2D30-4852-A859-4DBE3D5B6434}" name="Obs." dataDxfId="125"/>
    <tableColumn id="14" xr3:uid="{A5E2B36D-99CF-48AF-9BD8-EF4A835C5419}" name="Fecha_Cheque" dataDxfId="124"/>
    <tableColumn id="15" xr3:uid="{B4882C7A-B3A0-4ABD-9731-72401EABC84B}" name="SemanaCh" dataDxfId="123">
      <calculatedColumnFormula>IF(Gastos[[#This Row],[Fecha_Cheque]]&gt;0,WEEKNUM(Gastos[[#This Row],[Fecha_Cheque]]),MID(Gastos[[#This Row],[Semana]],6,2))</calculatedColumnFormula>
    </tableColumn>
    <tableColumn id="10" xr3:uid="{0BC3CEB1-70E3-4001-8635-F674626FF922}" name="OP" dataDxfId="122"/>
    <tableColumn id="11" xr3:uid="{DCDEB2D7-B00E-4C3C-A723-A273CA5DFF64}" name="Estado" dataDxfId="1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5E970B9-C4E6-437E-8789-72FD8F294295}" name="Tabla18" displayName="Tabla18" ref="A2:P20" totalsRowCount="1">
  <autoFilter ref="A2:P19" xr:uid="{75E970B9-C4E6-437E-8789-72FD8F294295}">
    <filterColumn colId="5">
      <filters>
        <filter val="1"/>
      </filters>
    </filterColumn>
  </autoFilter>
  <sortState xmlns:xlrd2="http://schemas.microsoft.com/office/spreadsheetml/2017/richdata2" ref="A3:P19">
    <sortCondition ref="J2:J19"/>
  </sortState>
  <tableColumns count="16">
    <tableColumn id="1" xr3:uid="{56DB80D8-AB1C-4505-97BB-DACF3516B69C}" name="Semana"/>
    <tableColumn id="2" xr3:uid="{F62B56BF-AEF7-4D00-9675-A1BA3489E922}" name="Proveedor"/>
    <tableColumn id="3" xr3:uid="{5977503F-8EF4-4130-9258-1A1F7FF8FA2F}" name="Descripción"/>
    <tableColumn id="4" xr3:uid="{575FE329-A14C-4CD5-BC87-CAD8ECD8C2F3}" name="FTP"/>
    <tableColumn id="5" xr3:uid="{1AD7FB8D-B31F-4C00-A52A-16B57D72EC0A}" name="Rubro"/>
    <tableColumn id="6" xr3:uid="{5C3C18C3-BC0A-447A-9C01-CD10046C0D70}" name="Vía"/>
    <tableColumn id="7" xr3:uid="{B7D01C30-6280-472D-8485-BC8E97EE0321}" name="Forma  de pago" totalsRowLabel="Total" totalsRowDxfId="120"/>
    <tableColumn id="8" xr3:uid="{86A0A9F6-35C4-4ECE-A2EF-51A1405C64D2}" name="Divisa"/>
    <tableColumn id="9" xr3:uid="{0D77CFC3-0700-4B95-885A-B81CC043DB2B}" name="$"/>
    <tableColumn id="10" xr3:uid="{C94905DC-58F6-40E9-8C3E-3D55435C996B}" name="Importe AR$" totalsRowFunction="sum" totalsRowDxfId="119" dataCellStyle="Moneda" totalsRowCellStyle="Moneda"/>
    <tableColumn id="11" xr3:uid="{B48F1AD6-FEDE-4A70-A71A-7B38E5874A31}" name="Importe U$D"/>
    <tableColumn id="12" xr3:uid="{E67591A8-23B8-47CE-82DD-40FF5A23DF95}" name="Obs."/>
    <tableColumn id="13" xr3:uid="{E7B872DB-400B-404F-BCA9-69B66D745143}" name="Fecha_Cheque"/>
    <tableColumn id="14" xr3:uid="{EFFF7BB4-9D08-4F1C-BE7C-D998537BBAE4}" name="SemanaCh"/>
    <tableColumn id="15" xr3:uid="{8E432BF2-EB33-4E65-9F74-D65B10516B0E}" name="OP"/>
    <tableColumn id="16" xr3:uid="{2FCE8F59-875E-4ED3-9022-B249B13AB577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D7F2297-EB26-4F0B-96CA-7D9A034DAB06}" name="Tabla1820" displayName="Tabla1820" ref="A22:P40" totalsRowCount="1">
  <autoFilter ref="A22:P39" xr:uid="{1D7F2297-EB26-4F0B-96CA-7D9A034DAB06}">
    <filterColumn colId="5">
      <filters>
        <filter val="2"/>
      </filters>
    </filterColumn>
  </autoFilter>
  <sortState xmlns:xlrd2="http://schemas.microsoft.com/office/spreadsheetml/2017/richdata2" ref="A23:P39">
    <sortCondition ref="J2:J19"/>
  </sortState>
  <tableColumns count="16">
    <tableColumn id="1" xr3:uid="{82AE3C07-F226-412E-ABC5-C3F367B38B49}" name="Semana"/>
    <tableColumn id="2" xr3:uid="{7B8CD072-4C19-4B9B-BD53-35E12D33459D}" name="Proveedor"/>
    <tableColumn id="3" xr3:uid="{8D043CC7-822B-40C3-A7DB-B6598278468C}" name="Descripción"/>
    <tableColumn id="4" xr3:uid="{565DDAA9-630E-4424-B454-8216C565E92F}" name="FTP"/>
    <tableColumn id="5" xr3:uid="{74FA9F7E-8296-4F5C-81CC-30712ED58C6A}" name="Rubro"/>
    <tableColumn id="6" xr3:uid="{E6F50F9F-E83D-4A0E-A1C1-C9CB507CA246}" name="Vía"/>
    <tableColumn id="7" xr3:uid="{FBBAAF72-5F46-467D-870C-4890F354C114}" name="Forma  de pago" totalsRowLabel="Total" totalsRowDxfId="118"/>
    <tableColumn id="8" xr3:uid="{E79B3C02-7DD7-40CB-9478-7F82AD495CB9}" name="Divisa"/>
    <tableColumn id="9" xr3:uid="{7669E713-6980-44AA-A298-BC9AC2FB23F4}" name="$"/>
    <tableColumn id="10" xr3:uid="{99E1E800-45F9-4A37-94AF-011ACA5B3AFA}" name="Importe AR$" totalsRowFunction="sum" totalsRowDxfId="117" dataCellStyle="Moneda" totalsRowCellStyle="Moneda"/>
    <tableColumn id="11" xr3:uid="{3C58C332-08F3-4E98-A6FA-959B67DC6166}" name="Importe U$D"/>
    <tableColumn id="12" xr3:uid="{81D53D56-2050-4548-8AE8-D50B8E600135}" name="Obs."/>
    <tableColumn id="13" xr3:uid="{0CD802AB-D930-4DD8-BBAB-7F0A519FE715}" name="Fecha_Cheque"/>
    <tableColumn id="14" xr3:uid="{F0DCF67B-F1C7-4909-98B5-7086556BDC86}" name="SemanaCh"/>
    <tableColumn id="15" xr3:uid="{F9EDE058-115E-4A88-A9D2-CC6E289FCD86}" name="OP"/>
    <tableColumn id="16" xr3:uid="{5AB536DB-7C5B-469D-BECE-804394C3FA2C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59EF45D-EC8C-46DE-976B-70016F0D8BE5}" name="Tabla1522" displayName="Tabla1522" ref="A45:P68" totalsRowCount="1">
  <autoFilter ref="A45:P67" xr:uid="{C59EF45D-EC8C-46DE-976B-70016F0D8BE5}">
    <filterColumn colId="5">
      <filters>
        <filter val="1"/>
      </filters>
    </filterColumn>
  </autoFilter>
  <sortState xmlns:xlrd2="http://schemas.microsoft.com/office/spreadsheetml/2017/richdata2" ref="A46:P67">
    <sortCondition ref="J2:J24"/>
  </sortState>
  <tableColumns count="16">
    <tableColumn id="1" xr3:uid="{EA9E86E7-8813-4536-8DAB-FB1784626F90}" name="Semana"/>
    <tableColumn id="2" xr3:uid="{5ED6049C-D9A8-4DB6-B4D9-B396C6DD8BE7}" name="Proveedor"/>
    <tableColumn id="3" xr3:uid="{E6092FE2-2BD3-43EF-99C0-2F9522A234BB}" name="Descripción"/>
    <tableColumn id="4" xr3:uid="{BC9AB782-559C-40CC-9286-ACC37D699E56}" name="FTP"/>
    <tableColumn id="5" xr3:uid="{7D8A81AA-3EFE-402B-9390-FADABAA08B00}" name="Rubro"/>
    <tableColumn id="6" xr3:uid="{4EBCE404-3DDD-45E4-8F52-954AB51319AB}" name="Vía"/>
    <tableColumn id="7" xr3:uid="{9E120FCE-250B-4B81-B348-A0E18093019C}" name="Forma  de pago" totalsRowLabel="Total" totalsRowDxfId="116"/>
    <tableColumn id="8" xr3:uid="{C80C33D2-FB42-4A9A-8B76-CE89D02C0462}" name="Divisa"/>
    <tableColumn id="9" xr3:uid="{C568F18C-6BD6-41EE-969E-F9D5587E2407}" name="$"/>
    <tableColumn id="10" xr3:uid="{607B6565-E2F9-4A98-926D-F49568A932A1}" name="Importe AR$" totalsRowFunction="sum" totalsRowDxfId="115" dataCellStyle="Moneda" totalsRowCellStyle="Moneda"/>
    <tableColumn id="11" xr3:uid="{E899D515-64B9-4E12-BF7D-EF1D56484A49}" name="Importe U$D"/>
    <tableColumn id="12" xr3:uid="{8F4993A0-A846-4153-AB65-DC5FF9484F06}" name="Obs."/>
    <tableColumn id="13" xr3:uid="{5B2DDE57-910E-46BE-ACF2-A553B4194C20}" name="Fecha_Cheque"/>
    <tableColumn id="14" xr3:uid="{8DEB83D9-0317-4ECC-BA2A-5061A7DB810B}" name="SemanaCh"/>
    <tableColumn id="15" xr3:uid="{49BE83CD-E1C8-4A86-9196-5B62DA0D1255}" name="OP"/>
    <tableColumn id="16" xr3:uid="{3DF51441-3EF9-40E5-8687-A29AE880EA1E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7A671BA-29B7-43BF-9491-CC8A22BE1A5B}" name="Tabla1523" displayName="Tabla1523" ref="A70:P93" totalsRowCount="1">
  <autoFilter ref="A70:P92" xr:uid="{17A671BA-29B7-43BF-9491-CC8A22BE1A5B}">
    <filterColumn colId="5">
      <filters>
        <filter val="2"/>
      </filters>
    </filterColumn>
  </autoFilter>
  <sortState xmlns:xlrd2="http://schemas.microsoft.com/office/spreadsheetml/2017/richdata2" ref="A71:P92">
    <sortCondition ref="J2:J24"/>
  </sortState>
  <tableColumns count="16">
    <tableColumn id="1" xr3:uid="{37A64FA6-03AB-4866-9BF2-A9D7B7A1A938}" name="Semana"/>
    <tableColumn id="2" xr3:uid="{BAC1A212-0559-4EBA-805D-AB016AB0A6D3}" name="Proveedor"/>
    <tableColumn id="3" xr3:uid="{C471B492-F9FA-42CB-A835-A01A470A6BF6}" name="Descripción"/>
    <tableColumn id="4" xr3:uid="{DD1ECEE4-D769-4BC8-9EA9-3E62C214BD66}" name="FTP"/>
    <tableColumn id="5" xr3:uid="{FBAACA85-1CD2-40F7-BD11-C762C55A3EC5}" name="Rubro"/>
    <tableColumn id="6" xr3:uid="{9A54FCC4-FF4A-4DC2-99DC-44327E1BC965}" name="Vía"/>
    <tableColumn id="7" xr3:uid="{F4911A43-39AE-4373-9527-AAA665D3304C}" name="Forma  de pago" totalsRowLabel="Total" totalsRowDxfId="114"/>
    <tableColumn id="8" xr3:uid="{C0CA02A5-5D14-43BF-B6D6-981678A729C4}" name="Divisa"/>
    <tableColumn id="9" xr3:uid="{24F79E24-144B-4EDA-ADB4-163D7554202D}" name="$"/>
    <tableColumn id="10" xr3:uid="{CA1B802A-F1E5-4560-AC75-788958D65676}" name="Importe AR$" totalsRowFunction="sum" totalsRowDxfId="113" dataCellStyle="Moneda" totalsRowCellStyle="Moneda"/>
    <tableColumn id="11" xr3:uid="{EB76B3A6-7909-4D6E-978E-E6A5F12BA11D}" name="Importe U$D"/>
    <tableColumn id="12" xr3:uid="{E3CB76CB-2B4F-4CB2-B350-862200FCD401}" name="Obs."/>
    <tableColumn id="13" xr3:uid="{3D0694AB-58BE-433D-B705-978E05B18E93}" name="Fecha_Cheque"/>
    <tableColumn id="14" xr3:uid="{67BF9ABE-2DB2-4DD9-B5A4-21AA8FD32A40}" name="SemanaCh"/>
    <tableColumn id="15" xr3:uid="{34A5F026-81F0-4D7D-849D-DB20FAC7E683}" name="OP"/>
    <tableColumn id="16" xr3:uid="{23D4A7C9-6150-46E7-8D08-31821E5A9C81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5456F2-CEA8-4198-AFF4-AD09D5BA3762}" name="Tabla911" displayName="Tabla911" ref="A99:P115" totalsRowCount="1">
  <autoFilter ref="A99:P114" xr:uid="{675456F2-CEA8-4198-AFF4-AD09D5BA3762}">
    <filterColumn colId="5">
      <filters>
        <filter val="1"/>
      </filters>
    </filterColumn>
  </autoFilter>
  <sortState xmlns:xlrd2="http://schemas.microsoft.com/office/spreadsheetml/2017/richdata2" ref="A100:P114">
    <sortCondition ref="J3:J18"/>
  </sortState>
  <tableColumns count="16">
    <tableColumn id="1" xr3:uid="{C3B457EC-9745-48CC-9F6D-E246C5AE69FB}" name="Semana"/>
    <tableColumn id="2" xr3:uid="{5747E03D-5D1A-4111-A70D-C71D0A04FBEE}" name="Proveedor"/>
    <tableColumn id="3" xr3:uid="{27A4F206-DE4D-42D3-A841-046DF3856729}" name="Descripción"/>
    <tableColumn id="4" xr3:uid="{D88E457B-0BAE-40DE-AE1E-75794B6BD6ED}" name="FTP"/>
    <tableColumn id="5" xr3:uid="{EE82F50E-BEC9-4071-9FEC-FED8C5E44C99}" name="Rubro"/>
    <tableColumn id="6" xr3:uid="{A707E779-B195-46CD-8C7B-1DCDE9E20618}" name="Vía"/>
    <tableColumn id="7" xr3:uid="{1137BB5F-8846-4B8D-A7FC-EE5314CAD59B}" name="Forma  de pago"/>
    <tableColumn id="8" xr3:uid="{ABFA35C7-634F-45EE-A5B3-75D900DDCA7A}" name="Divisa"/>
    <tableColumn id="9" xr3:uid="{6B959831-4B0C-41BB-A34A-A59FDCF40DA2}" name="$"/>
    <tableColumn id="10" xr3:uid="{0EC195AA-B1F7-4708-9729-94585D0192A9}" name="Importe AR$" totalsRowFunction="sum" totalsRowDxfId="112" dataCellStyle="Moneda" totalsRowCellStyle="Moneda"/>
    <tableColumn id="11" xr3:uid="{06871171-F515-4DFF-86AB-609FB16F14DE}" name="Importe U$D"/>
    <tableColumn id="12" xr3:uid="{CDAFFA42-B3CF-4B59-BA8E-A02D594C19A7}" name="Obs."/>
    <tableColumn id="13" xr3:uid="{C8079B93-F9FA-43AC-A414-523A660FB5F5}" name="Fecha_Cheque"/>
    <tableColumn id="14" xr3:uid="{ED282047-41B9-4C1B-9334-11418715510B}" name="SemanaCh"/>
    <tableColumn id="15" xr3:uid="{F9247588-EE0A-41FB-8D3C-FA422BB7F071}" name="OP"/>
    <tableColumn id="16" xr3:uid="{53D98D24-B7A6-4C7D-AC7A-51135259FE33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96A74B-BFA3-4954-A47F-5140C83F0B75}" name="Tabla11" displayName="Tabla11" ref="A117:J133" totalsRowCount="1" headerRowDxfId="111" dataDxfId="109" headerRowBorderDxfId="110" tableBorderDxfId="108" totalsRowBorderDxfId="107">
  <autoFilter ref="A117:J132" xr:uid="{2696A74B-BFA3-4954-A47F-5140C83F0B75}">
    <filterColumn colId="5">
      <filters>
        <filter val="2"/>
      </filters>
    </filterColumn>
  </autoFilter>
  <tableColumns count="10">
    <tableColumn id="1" xr3:uid="{E2D6394A-C01A-4C76-8F0C-EBF1958EB36B}" name="Semana" dataDxfId="106" totalsRowDxfId="105"/>
    <tableColumn id="2" xr3:uid="{D2070368-25BC-4838-8C32-2C4F184C34F5}" name="Proveedor" dataDxfId="104" totalsRowDxfId="103"/>
    <tableColumn id="3" xr3:uid="{CBD52B44-8FF3-401A-89EA-AE69FD62092D}" name="Descripción" dataDxfId="102" totalsRowDxfId="101"/>
    <tableColumn id="4" xr3:uid="{B143AA35-94BB-4907-A9D6-174D210B5474}" name="FTP" dataDxfId="100" totalsRowDxfId="99"/>
    <tableColumn id="5" xr3:uid="{759A1042-9015-4D45-ADF2-8CA5A2D8CF76}" name="Rubro" dataDxfId="98" totalsRowDxfId="97"/>
    <tableColumn id="6" xr3:uid="{F0F3289F-F5D5-42F6-9A46-54F7142408BD}" name="Vía" dataDxfId="96" totalsRowDxfId="95"/>
    <tableColumn id="7" xr3:uid="{79C8C166-545F-4D91-8C65-F034AB9A9D22}" name="Forma  de pago" dataDxfId="94" totalsRowDxfId="93"/>
    <tableColumn id="8" xr3:uid="{DCE0FDBC-C269-444A-AD62-0B66126F5551}" name="Divisa" dataDxfId="92" totalsRowDxfId="91"/>
    <tableColumn id="9" xr3:uid="{BF2BE2CD-8871-4690-AA3C-0DC1953B39C5}" name="$" dataDxfId="90" totalsRowDxfId="89"/>
    <tableColumn id="10" xr3:uid="{B363511A-7D3B-4075-8FB7-B2036A9A9A00}" name="Importe AR$" totalsRowFunction="sum" dataDxfId="88" totalsRowDxfId="87" dataCellStyle="Moneda" totalsRow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622B2C-C391-40B8-839C-411CECFDAEB3}" name="Tabla79" displayName="Tabla79" ref="A138:P157" totalsRowCount="1">
  <autoFilter ref="A138:P156" xr:uid="{EC622B2C-C391-40B8-839C-411CECFDAEB3}">
    <filterColumn colId="5">
      <filters>
        <filter val="2"/>
      </filters>
    </filterColumn>
  </autoFilter>
  <sortState xmlns:xlrd2="http://schemas.microsoft.com/office/spreadsheetml/2017/richdata2" ref="A139:P156">
    <sortCondition ref="J3:J21"/>
  </sortState>
  <tableColumns count="16">
    <tableColumn id="1" xr3:uid="{0E7A4106-7712-43E0-BDD8-3976519F2715}" name="Semana"/>
    <tableColumn id="2" xr3:uid="{024BF7AF-E6CC-46A8-A69B-0AD2F744B5E0}" name="Proveedor"/>
    <tableColumn id="3" xr3:uid="{37370870-D85D-465F-8716-AF2668F7D2DA}" name="Descripción"/>
    <tableColumn id="4" xr3:uid="{3F1CA70F-2AD6-4929-8883-69F0368075AD}" name="FTP"/>
    <tableColumn id="5" xr3:uid="{F730229A-A0A3-4C5D-9FA5-F1698790A15C}" name="Rubro"/>
    <tableColumn id="6" xr3:uid="{91A6E183-7A07-482E-867B-27AF72B4FFBA}" name="Vía"/>
    <tableColumn id="7" xr3:uid="{D25FA9E5-AB1D-4E1C-96C1-F50DE0F32048}" name="Forma  de pago"/>
    <tableColumn id="8" xr3:uid="{9A275B15-BD8B-4823-8AC9-F9E430389F7A}" name="Divisa"/>
    <tableColumn id="9" xr3:uid="{7895575F-87AC-4F11-A75D-4FA87034B1EB}" name="$"/>
    <tableColumn id="10" xr3:uid="{F0DFF1AF-5C95-476E-8739-51E8A127DC88}" name="Importe AR$" totalsRowFunction="sum" totalsRowDxfId="86" dataCellStyle="Moneda" totalsRowCellStyle="Moneda"/>
    <tableColumn id="11" xr3:uid="{DB666EEF-7EA0-4954-8125-E4268350E4E3}" name="Importe U$D"/>
    <tableColumn id="12" xr3:uid="{7FC50ACD-FF35-4A3D-A75C-02714BC91252}" name="Obs."/>
    <tableColumn id="13" xr3:uid="{E4240F90-62C6-44FA-A2BA-82D357FD5B46}" name="Fecha_Cheque"/>
    <tableColumn id="14" xr3:uid="{156DAD6D-010E-4CB2-8716-75D7846250C8}" name="SemanaCh"/>
    <tableColumn id="15" xr3:uid="{EB1A1D12-A86E-458C-B877-B0443A46D72C}" name="OP"/>
    <tableColumn id="16" xr3:uid="{FB847340-22F4-4384-A26A-E7C3E50B44FF}" name="Est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E1BE09-2619-43FD-888D-00AF8645216C}" name="Tabla710" displayName="Tabla710" ref="A159:P178" totalsRowCount="1">
  <autoFilter ref="A159:P177" xr:uid="{0FE1BE09-2619-43FD-888D-00AF8645216C}">
    <filterColumn colId="5">
      <filters>
        <filter val="1"/>
      </filters>
    </filterColumn>
  </autoFilter>
  <sortState xmlns:xlrd2="http://schemas.microsoft.com/office/spreadsheetml/2017/richdata2" ref="A160:P177">
    <sortCondition ref="J3:J21"/>
  </sortState>
  <tableColumns count="16">
    <tableColumn id="1" xr3:uid="{37D5BDAA-5841-4C56-B1A7-2B527659D304}" name="Semana"/>
    <tableColumn id="2" xr3:uid="{5781EDCF-FF02-4F55-B7FA-DB2C971A60BC}" name="Proveedor"/>
    <tableColumn id="3" xr3:uid="{F4EA1DDC-ECC0-4E47-8107-4E73CFB74738}" name="Descripción"/>
    <tableColumn id="4" xr3:uid="{E0F1132D-766A-4221-A536-7B71133AD5A3}" name="FTP"/>
    <tableColumn id="5" xr3:uid="{D112B917-1417-4F9B-BB3A-065A6416318C}" name="Rubro"/>
    <tableColumn id="6" xr3:uid="{F42DF4F1-FF9C-40C1-A748-77A5B73F168C}" name="Vía"/>
    <tableColumn id="7" xr3:uid="{87CC2A60-11D8-425E-84AA-9C2F53462E45}" name="Forma  de pago"/>
    <tableColumn id="8" xr3:uid="{EFFA6321-0DE9-4FB1-BE41-2E3FE56B0F11}" name="Divisa"/>
    <tableColumn id="9" xr3:uid="{E3DAA5D0-E1F4-4B7F-A4DF-3539569E43DD}" name="$"/>
    <tableColumn id="10" xr3:uid="{66BA28AA-7FA3-4857-9C06-0684D51836BA}" name="Importe AR$" totalsRowFunction="sum" totalsRowDxfId="85" dataCellStyle="Moneda" totalsRowCellStyle="Moneda"/>
    <tableColumn id="11" xr3:uid="{1882B3E9-E65B-457A-A19B-F7F681CEC010}" name="Importe U$D"/>
    <tableColumn id="12" xr3:uid="{0D7484BE-BE2A-4BAD-A2C8-516BECF279EA}" name="Obs."/>
    <tableColumn id="13" xr3:uid="{88D91041-D49F-4763-81EF-8177C2C4CA6A}" name="Fecha_Cheque"/>
    <tableColumn id="14" xr3:uid="{8C232A14-37DC-4DAB-91B9-506D50635D8C}" name="SemanaCh"/>
    <tableColumn id="15" xr3:uid="{7BC42828-C4D3-4174-BF3C-14E197602F70}" name="OP"/>
    <tableColumn id="16" xr3:uid="{EA32B60C-FD06-408B-8500-26590E2ECE0C}" name="Est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83FC63-148F-4093-A2BA-30F42117F212}" name="Tabla37" displayName="Tabla37" ref="A184:P202" totalsRowCount="1">
  <autoFilter ref="A184:P201" xr:uid="{1C83FC63-148F-4093-A2BA-30F42117F212}">
    <filterColumn colId="5">
      <filters>
        <filter val="1"/>
      </filters>
    </filterColumn>
  </autoFilter>
  <sortState xmlns:xlrd2="http://schemas.microsoft.com/office/spreadsheetml/2017/richdata2" ref="A185:P201">
    <sortCondition ref="J3:J20"/>
  </sortState>
  <tableColumns count="16">
    <tableColumn id="1" xr3:uid="{286F46C6-25E6-4F2D-9A7D-208732B70A2C}" name="Semana"/>
    <tableColumn id="2" xr3:uid="{7B848987-E440-43B7-9C19-048C515F2BD3}" name="Proveedor"/>
    <tableColumn id="3" xr3:uid="{CD67BE08-C84B-458A-B364-55BC3D0445DB}" name="Descripción"/>
    <tableColumn id="4" xr3:uid="{167BF144-9996-407C-ADEF-8EEBB2C36D0A}" name="FTP"/>
    <tableColumn id="5" xr3:uid="{80C3C7C2-6B85-4DED-9098-4CC4D157DE8A}" name="Rubro"/>
    <tableColumn id="6" xr3:uid="{E28DA3FD-2A20-4D32-BECF-9FE02B214AB7}" name="Vía"/>
    <tableColumn id="7" xr3:uid="{C14E0108-EDE1-4FF6-BC39-76CCF2E43194}" name="Forma  de pago"/>
    <tableColumn id="8" xr3:uid="{61969832-6B0B-47FB-9197-284711DE3E7A}" name="Divisa"/>
    <tableColumn id="9" xr3:uid="{B69DBFCC-FA0F-4264-A271-7E4A217CCA25}" name="$"/>
    <tableColumn id="10" xr3:uid="{DAE6B5EA-DB76-46A7-AD8C-AB119CAF3FB6}" name="Importe AR$" totalsRowFunction="sum" totalsRowDxfId="84" dataCellStyle="Moneda" totalsRowCellStyle="Moneda"/>
    <tableColumn id="11" xr3:uid="{047F5A2A-C010-44D5-AF74-BEEC030EA5A5}" name="Importe U$D"/>
    <tableColumn id="12" xr3:uid="{3132BF34-90D5-40D5-9267-B2D113467917}" name="Obs."/>
    <tableColumn id="13" xr3:uid="{528395D0-9CC6-4A5D-B3D8-A900D5FEF80B}" name="Fecha_Cheque"/>
    <tableColumn id="14" xr3:uid="{10D099CC-535B-401F-B0B5-94201789178B}" name="SemanaCh"/>
    <tableColumn id="15" xr3:uid="{EDD8C7D3-0F1D-48A5-9E9B-025D72EC0E29}" name="OP"/>
    <tableColumn id="16" xr3:uid="{E5DB60EC-9DC4-4118-8F0C-6E9AE242FD7D}" name="Estad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12B476-4847-4CC5-9AA7-D5D7A61BE029}" name="Tabla7" displayName="Tabla7" ref="A204:J222" totalsRowCount="1" headerRowDxfId="83" dataDxfId="81" headerRowBorderDxfId="82" tableBorderDxfId="80" totalsRowBorderDxfId="79">
  <autoFilter ref="A204:J221" xr:uid="{8F12B476-4847-4CC5-9AA7-D5D7A61BE029}">
    <filterColumn colId="5">
      <filters>
        <filter val="2"/>
      </filters>
    </filterColumn>
  </autoFilter>
  <tableColumns count="10">
    <tableColumn id="1" xr3:uid="{A32D628B-7BD0-4AAD-8096-FAE5DD59928A}" name="Semana" dataDxfId="78" totalsRowDxfId="77"/>
    <tableColumn id="2" xr3:uid="{6F21E2DE-A824-4251-9D91-5F0DEE6907E1}" name="Proveedor" dataDxfId="76" totalsRowDxfId="75"/>
    <tableColumn id="3" xr3:uid="{A1ABEF27-5049-414B-99CA-8B69D1672A1E}" name="Descripción" dataDxfId="74" totalsRowDxfId="73"/>
    <tableColumn id="4" xr3:uid="{320EED02-28E2-4240-87A9-92C17ED632F0}" name="FTP" dataDxfId="72" totalsRowDxfId="71"/>
    <tableColumn id="5" xr3:uid="{9D92BE18-B848-4C40-A05E-C72173153188}" name="Rubro" dataDxfId="70" totalsRowDxfId="69"/>
    <tableColumn id="6" xr3:uid="{95362BC4-C7CC-4E97-B7CC-D5FCA95570BB}" name="Vía" dataDxfId="68" totalsRowDxfId="67"/>
    <tableColumn id="7" xr3:uid="{4A9DA9E7-A674-4461-9C62-767C5B826A85}" name="Forma  de pago" dataDxfId="66" totalsRowDxfId="65"/>
    <tableColumn id="8" xr3:uid="{553423C7-0A60-4C83-A178-BDFF77EBA78F}" name="Divisa" dataDxfId="64" totalsRowDxfId="63"/>
    <tableColumn id="9" xr3:uid="{CB3B80B6-1D90-4E73-88ED-47F40A99C0BF}" name="$" dataDxfId="62" totalsRowDxfId="61"/>
    <tableColumn id="10" xr3:uid="{95D0F85A-7874-4E69-B8C9-5197F719EF77}" name="Importe AR$" totalsRowFunction="sum" dataDxfId="60" totalsRowDxfId="59" dataCellStyle="Moneda" totalsRowCellStyle="Mone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9C44A5-D55F-44D7-BA48-C69ECFCD6BB1}" name="Tabla1215" displayName="Tabla1215" ref="A229:P244" totalsRowCount="1">
  <autoFilter ref="A229:P243" xr:uid="{389C44A5-D55F-44D7-BA48-C69ECFCD6BB1}">
    <filterColumn colId="5">
      <filters>
        <filter val="1"/>
      </filters>
    </filterColumn>
  </autoFilter>
  <sortState xmlns:xlrd2="http://schemas.microsoft.com/office/spreadsheetml/2017/richdata2" ref="A230:P243">
    <sortCondition ref="J3:J17"/>
  </sortState>
  <tableColumns count="16">
    <tableColumn id="1" xr3:uid="{532F9916-40CD-4482-9C88-EDAB8979F32C}" name="Semana"/>
    <tableColumn id="2" xr3:uid="{DF13BE4C-FF2A-48F2-A4BE-6F87A51BBC62}" name="Proveedor"/>
    <tableColumn id="3" xr3:uid="{360A6AFF-8B5D-40BA-A27F-973B813C4A45}" name="Descripción"/>
    <tableColumn id="4" xr3:uid="{078CB85D-4175-4880-ADE3-E858BD452C27}" name="FTP"/>
    <tableColumn id="5" xr3:uid="{BAC67508-3DDD-4939-8D3E-1769EFFA8CFA}" name="Rubro"/>
    <tableColumn id="6" xr3:uid="{805B7FB4-F812-4C67-AB13-0E4F74E4FA21}" name="Vía"/>
    <tableColumn id="7" xr3:uid="{ED2E3914-BA98-49D4-9E42-BBF22D713EA5}" name="Forma  de pago" totalsRowLabel="Total"/>
    <tableColumn id="8" xr3:uid="{34391609-E207-4A5D-A36A-382EF72A8A2A}" name="Divisa"/>
    <tableColumn id="9" xr3:uid="{404FCFE1-1B6F-4F75-B1EE-9621A32D54E9}" name="$"/>
    <tableColumn id="10" xr3:uid="{1D91169E-9A20-4D97-AAA8-2828E8E1B994}" name="Importe AR$" totalsRowFunction="sum" totalsRowDxfId="58" dataCellStyle="Moneda" totalsRowCellStyle="Moneda"/>
    <tableColumn id="11" xr3:uid="{43BB25A4-5EF4-4F82-9E6F-DDCD6AABB2AC}" name="Importe U$D"/>
    <tableColumn id="12" xr3:uid="{65CD3368-08B6-4B94-A961-0AF4EE0C09A3}" name="Obs."/>
    <tableColumn id="13" xr3:uid="{E601C63D-A419-44D4-8634-38299D971F6D}" name="Fecha_Cheque"/>
    <tableColumn id="14" xr3:uid="{62CDD883-1B96-4F36-907C-314CF7EB6630}" name="SemanaCh"/>
    <tableColumn id="15" xr3:uid="{C629AA26-64B6-4BD7-B0DC-34FE32F6BD9B}" name="OP"/>
    <tableColumn id="16" xr3:uid="{69BFFDE9-6189-4628-B0B0-81FF21BDE22C}" name="Est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9076DD-E8D5-4F4A-A750-2C0F681878FB}" name="Tabla1216" displayName="Tabla1216" ref="A246:P261" totalsRowCount="1">
  <autoFilter ref="A246:P260" xr:uid="{039076DD-E8D5-4F4A-A750-2C0F681878FB}">
    <filterColumn colId="5">
      <filters>
        <filter val="2"/>
      </filters>
    </filterColumn>
  </autoFilter>
  <sortState xmlns:xlrd2="http://schemas.microsoft.com/office/spreadsheetml/2017/richdata2" ref="A247:P260">
    <sortCondition ref="J3:J17"/>
  </sortState>
  <tableColumns count="16">
    <tableColumn id="1" xr3:uid="{1B2DE7A7-C6A4-432E-B4EC-24D456B4661E}" name="Semana"/>
    <tableColumn id="2" xr3:uid="{46E014C0-44BD-4A30-84BA-E4254A803A14}" name="Proveedor"/>
    <tableColumn id="3" xr3:uid="{3B2182E4-6760-48EF-9396-22A90AAC09F8}" name="Descripción"/>
    <tableColumn id="4" xr3:uid="{56B08DF9-DECD-46C2-B8F3-B2948C73CA20}" name="FTP"/>
    <tableColumn id="5" xr3:uid="{39320AE0-878B-4D89-ADC9-82083F2DE635}" name="Rubro"/>
    <tableColumn id="6" xr3:uid="{35A48824-3EF1-432C-8293-642D0F47DE60}" name="Vía"/>
    <tableColumn id="7" xr3:uid="{43B2404C-88D8-4B2D-85B9-9A28E42458CF}" name="Forma  de pago" totalsRowLabel="Total"/>
    <tableColumn id="8" xr3:uid="{0677ECEC-1EB6-45AE-BEB3-DFAD1F2D373E}" name="Divisa"/>
    <tableColumn id="9" xr3:uid="{45E01B71-3BAE-47B3-A936-908022EAC73C}" name="$"/>
    <tableColumn id="10" xr3:uid="{8FEB4053-59A5-4092-8694-B65D2F729B4B}" name="Importe AR$" totalsRowFunction="sum" totalsRowDxfId="57" dataCellStyle="Moneda" totalsRowCellStyle="Moneda"/>
    <tableColumn id="11" xr3:uid="{ED16F5E7-6749-45B1-B112-CE4BC2570565}" name="Importe U$D"/>
    <tableColumn id="12" xr3:uid="{9614EB9F-D8F5-447B-A32F-1445D1BCC139}" name="Obs."/>
    <tableColumn id="13" xr3:uid="{2B8C8D88-E7E1-4062-AD0A-EA93E3925971}" name="Fecha_Cheque"/>
    <tableColumn id="14" xr3:uid="{528CB409-B6F4-41D3-BBC1-3D89445594DD}" name="SemanaCh"/>
    <tableColumn id="15" xr3:uid="{6A38B4F5-2FD9-4C52-8E3F-B258744EC114}" name="OP"/>
    <tableColumn id="16" xr3:uid="{A7309529-19AD-4445-BA6A-2A9F34ADEB5E}" name="Estad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A65C75-2796-455E-A05C-7C55764039DC}" name="Tabla1214" displayName="Tabla1214" ref="A266:P280" totalsRowShown="0">
  <autoFilter ref="A266:P280" xr:uid="{37A65C75-2796-455E-A05C-7C55764039DC}">
    <filterColumn colId="5">
      <filters>
        <filter val="1"/>
      </filters>
    </filterColumn>
  </autoFilter>
  <sortState xmlns:xlrd2="http://schemas.microsoft.com/office/spreadsheetml/2017/richdata2" ref="A267:P280">
    <sortCondition ref="J3:J17"/>
  </sortState>
  <tableColumns count="16">
    <tableColumn id="1" xr3:uid="{B40DABF4-EE22-4D6B-9820-6A536B39FC8D}" name="Semana"/>
    <tableColumn id="2" xr3:uid="{EA827AD6-1F31-484F-9B24-FCC1AB7598A3}" name="Proveedor"/>
    <tableColumn id="3" xr3:uid="{5D5CED94-8D1A-4DB0-BE77-5A514CC71991}" name="Descripción"/>
    <tableColumn id="4" xr3:uid="{7EE1E646-5D6E-4326-8D84-E49F953A7620}" name="FTP"/>
    <tableColumn id="5" xr3:uid="{882E3029-8E9E-4DEE-B9B0-21388402ED82}" name="Rubro"/>
    <tableColumn id="6" xr3:uid="{04BFE8E8-6A84-4D29-9C7C-46AAE0F879F0}" name="Vía"/>
    <tableColumn id="7" xr3:uid="{C804C2D7-2698-4731-BAC2-43F89D689EF8}" name="Forma  de pago"/>
    <tableColumn id="8" xr3:uid="{0D140839-C853-4C97-91AB-1B3AFA06156B}" name="Divisa"/>
    <tableColumn id="9" xr3:uid="{FFB6D912-0C39-4382-80F1-C61C8D88CA18}" name="$"/>
    <tableColumn id="10" xr3:uid="{FFEF877C-2B2D-4FE5-9052-791844D9F222}" name="Importe AR$" dataCellStyle="Moneda"/>
    <tableColumn id="11" xr3:uid="{BE12A08E-D6FB-4A44-A8B2-81956D392E9E}" name="Importe U$D"/>
    <tableColumn id="12" xr3:uid="{2C88E84E-25F5-4658-9762-69E4B41DE788}" name="Obs."/>
    <tableColumn id="13" xr3:uid="{956E15F6-099C-4878-A7A8-25E17783F4BA}" name="Fecha_Cheque"/>
    <tableColumn id="14" xr3:uid="{D333E820-4137-4AE6-B826-F6297C2903BB}" name="SemanaCh"/>
    <tableColumn id="15" xr3:uid="{4BC6DDDC-F479-49EF-8332-938566BEF41F}" name="OP"/>
    <tableColumn id="16" xr3:uid="{7F257065-45AB-4DD6-AB23-BFA06D63A973}" name="Est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50BBBF2-D006-48C6-A9F5-12C43BFB0E8D}" name="Tabla1217" displayName="Tabla1217" ref="A284:P298" totalsRowShown="0">
  <autoFilter ref="A284:P298" xr:uid="{450BBBF2-D006-48C6-A9F5-12C43BFB0E8D}">
    <filterColumn colId="5">
      <filters>
        <filter val="2"/>
      </filters>
    </filterColumn>
  </autoFilter>
  <sortState xmlns:xlrd2="http://schemas.microsoft.com/office/spreadsheetml/2017/richdata2" ref="A285:P298">
    <sortCondition ref="J3:J17"/>
  </sortState>
  <tableColumns count="16">
    <tableColumn id="1" xr3:uid="{67C1B596-EEBA-4C33-AE1A-81D94E9FC590}" name="Semana"/>
    <tableColumn id="2" xr3:uid="{9DAED990-4BE7-4A71-BF17-4889B476CA43}" name="Proveedor"/>
    <tableColumn id="3" xr3:uid="{AAA9B434-F1DD-40EC-B3DC-0CB6867C8458}" name="Descripción"/>
    <tableColumn id="4" xr3:uid="{AF6471A3-C743-428B-A049-6231F6ADE999}" name="FTP"/>
    <tableColumn id="5" xr3:uid="{3A3CD71A-D458-40BA-9017-EB6305B2FE2D}" name="Rubro"/>
    <tableColumn id="6" xr3:uid="{0A50276D-CD77-4A7E-936C-C59D31780F2B}" name="Vía"/>
    <tableColumn id="7" xr3:uid="{277E816F-3437-4A43-8CE8-E9C82AD5E950}" name="Forma  de pago"/>
    <tableColumn id="8" xr3:uid="{198F7D1D-9BA0-470E-9654-CC4549D69C4D}" name="Divisa"/>
    <tableColumn id="9" xr3:uid="{EF96E4F9-2008-41D9-946E-DC7B02B658FD}" name="$"/>
    <tableColumn id="10" xr3:uid="{C9285053-1FD1-4C0A-B9F3-E4982DEFACA7}" name="Importe AR$" dataCellStyle="Moneda"/>
    <tableColumn id="11" xr3:uid="{240E279D-3B87-4B06-A384-24B735AEEAC1}" name="Importe U$D"/>
    <tableColumn id="12" xr3:uid="{EABDE4AF-406D-4A05-8D0B-27346762248D}" name="Obs."/>
    <tableColumn id="13" xr3:uid="{356DDC2E-DE36-4FDB-8C1B-415DFE27D605}" name="Fecha_Cheque"/>
    <tableColumn id="14" xr3:uid="{0BB85A3C-383B-4D7B-9F04-0C0D96B6F0B0}" name="SemanaCh"/>
    <tableColumn id="15" xr3:uid="{0493440A-28B4-4BE8-80A2-E9EE7BC605D5}" name="OP"/>
    <tableColumn id="16" xr3:uid="{CF583421-1CBF-4761-8586-5A4414B8352D}" name="Est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CFB8E23-7BFA-4A0F-867C-0CCE5EA1B47E}" name="Tabla1721" displayName="Tabla1721" ref="A304:P321" totalsRowCount="1">
  <autoFilter ref="A304:P320" xr:uid="{9CFB8E23-7BFA-4A0F-867C-0CCE5EA1B47E}">
    <filterColumn colId="5">
      <filters>
        <filter val="1"/>
      </filters>
    </filterColumn>
  </autoFilter>
  <sortState xmlns:xlrd2="http://schemas.microsoft.com/office/spreadsheetml/2017/richdata2" ref="A305:P320">
    <sortCondition ref="J3:J19"/>
  </sortState>
  <tableColumns count="16">
    <tableColumn id="1" xr3:uid="{D063B093-2B6E-4983-A518-177C45DE2073}" name="Semana"/>
    <tableColumn id="2" xr3:uid="{C6D8AB67-7B08-4917-B70C-392164B8C8C4}" name="Proveedor"/>
    <tableColumn id="3" xr3:uid="{67E10629-CAF2-4E04-99F7-3730F7705F73}" name="Descripción"/>
    <tableColumn id="4" xr3:uid="{4F828B87-09A5-499B-B5E8-9FD6EA25EE2E}" name="FTP"/>
    <tableColumn id="5" xr3:uid="{DD98A707-A15C-473C-9E1B-AA1C1545EF66}" name="Rubro"/>
    <tableColumn id="6" xr3:uid="{0A0EAB6C-6985-4561-83A8-9967655F8FA9}" name="Vía"/>
    <tableColumn id="7" xr3:uid="{55C969A5-009E-4F66-97C8-39107CE4375E}" name="Forma  de pago"/>
    <tableColumn id="8" xr3:uid="{E397670A-2DC0-49CE-9433-10FE318011F2}" name="Divisa"/>
    <tableColumn id="9" xr3:uid="{E5F8628C-97C3-493D-9184-BDD81B07D00D}" name="$"/>
    <tableColumn id="10" xr3:uid="{6ED91883-17A3-4B4A-8F5B-37FDDC0A02FB}" name="Importe AR$" totalsRowFunction="sum" totalsRowDxfId="56" dataCellStyle="Moneda" totalsRowCellStyle="Moneda"/>
    <tableColumn id="11" xr3:uid="{5BBF0212-980E-4A2A-8F84-68ABBAC633E2}" name="Importe U$D"/>
    <tableColumn id="12" xr3:uid="{BCE33AB0-349A-41A9-83D3-DF2B0C7EBED2}" name="Obs."/>
    <tableColumn id="13" xr3:uid="{2C82F55E-9E96-4DD7-A057-B37F3CD7692A}" name="Fecha_Cheque"/>
    <tableColumn id="14" xr3:uid="{CDDCAF9D-EB97-4AD4-8FF3-CCB055F04066}" name="SemanaCh"/>
    <tableColumn id="15" xr3:uid="{91E2A9DE-02E8-48DB-8E64-4D512C3E2543}" name="OP"/>
    <tableColumn id="16" xr3:uid="{F6CE9E90-9E75-485C-AFC6-1A0A1ACB3CAE}" name="Estad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FF54F6-01D7-4E76-B069-39BBE6662DD4}" name="Tabla1724" displayName="Tabla1724" ref="A324:P341" totalsRowCount="1">
  <autoFilter ref="A324:P340" xr:uid="{CBFF54F6-01D7-4E76-B069-39BBE6662DD4}">
    <filterColumn colId="5">
      <filters>
        <filter val="2"/>
      </filters>
    </filterColumn>
  </autoFilter>
  <sortState xmlns:xlrd2="http://schemas.microsoft.com/office/spreadsheetml/2017/richdata2" ref="A325:P340">
    <sortCondition ref="J3:J19"/>
  </sortState>
  <tableColumns count="16">
    <tableColumn id="1" xr3:uid="{1F62409D-5814-4423-AD72-A6969A6D1D2E}" name="Semana"/>
    <tableColumn id="2" xr3:uid="{F054AF62-55A6-4748-A9E7-38E9B29DFAE7}" name="Proveedor"/>
    <tableColumn id="3" xr3:uid="{648EF5FC-1FCB-42EC-B4DF-2DBF2F47BD60}" name="Descripción"/>
    <tableColumn id="4" xr3:uid="{DBFD4F8D-3E1B-4F6A-A954-6B23CC1D86E3}" name="FTP"/>
    <tableColumn id="5" xr3:uid="{5DBDDED9-A21D-4F59-963F-B03970CF79DC}" name="Rubro"/>
    <tableColumn id="6" xr3:uid="{31D1D9C4-7F80-4DD9-8FB1-32233F554DB9}" name="Vía"/>
    <tableColumn id="7" xr3:uid="{A7E32514-E59B-469E-B97F-756A73876FE3}" name="Forma  de pago"/>
    <tableColumn id="8" xr3:uid="{305DCD9C-79E5-4892-A47F-B957819F424B}" name="Divisa"/>
    <tableColumn id="9" xr3:uid="{D9FAE367-42B6-4B59-A2B8-48BDE7849339}" name="$"/>
    <tableColumn id="10" xr3:uid="{3249CF4E-0317-4E59-B240-DC79F276A6E5}" name="Importe AR$" totalsRowFunction="sum" totalsRowDxfId="55" dataCellStyle="Moneda" totalsRowCellStyle="Moneda"/>
    <tableColumn id="11" xr3:uid="{E6F103EF-2532-463A-A3FC-CB7791C8CCA3}" name="Importe U$D"/>
    <tableColumn id="12" xr3:uid="{F1E7E963-F58A-4336-9226-7F3BEE8BC3BF}" name="Obs."/>
    <tableColumn id="13" xr3:uid="{AD3C92FF-0B70-411A-8CA0-8832FA3D7554}" name="Fecha_Cheque"/>
    <tableColumn id="14" xr3:uid="{52AD8FF9-5B3C-41F7-A5CF-5CA1E5575D53}" name="SemanaCh"/>
    <tableColumn id="15" xr3:uid="{91FD4F06-94F0-455C-A461-E51FCA4EE9C1}" name="OP"/>
    <tableColumn id="16" xr3:uid="{8C53AA37-65E9-4E8B-9CA4-E6235F35D412}" name="Estad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DC7297B-D15A-4ABC-A594-E5500D08E661}" name="Tabla2426" displayName="Tabla2426" ref="A346:P359" totalsRowCount="1">
  <autoFilter ref="A346:P358" xr:uid="{7DC7297B-D15A-4ABC-A594-E5500D08E661}">
    <filterColumn colId="5">
      <filters>
        <filter val="1"/>
      </filters>
    </filterColumn>
  </autoFilter>
  <sortState xmlns:xlrd2="http://schemas.microsoft.com/office/spreadsheetml/2017/richdata2" ref="A347:P358">
    <sortCondition ref="J3:J15"/>
  </sortState>
  <tableColumns count="16">
    <tableColumn id="1" xr3:uid="{D7E70C9E-A9D1-40D6-B849-FC00D703A221}" name="Semana"/>
    <tableColumn id="2" xr3:uid="{3499BD63-D238-4EF6-B49B-C909FE90CCF6}" name="Proveedor"/>
    <tableColumn id="3" xr3:uid="{CB032DD4-04E8-4C71-9854-DB6A9CA1F0E8}" name="Descripción"/>
    <tableColumn id="4" xr3:uid="{8C535BEF-8B4E-44E6-8751-DC7C90626D51}" name="FTP"/>
    <tableColumn id="5" xr3:uid="{896BF58F-C9E7-45B1-B8C6-E029B8F1C7DD}" name="Rubro"/>
    <tableColumn id="6" xr3:uid="{F155A5BA-2631-4136-8262-D0B28DFE334C}" name="Vía"/>
    <tableColumn id="7" xr3:uid="{2B3E72DB-ED1B-40B0-91AE-16297F5C9058}" name="Forma  de pago"/>
    <tableColumn id="8" xr3:uid="{99DD5DB5-817E-44DF-B1E1-8916FB23683E}" name="Divisa"/>
    <tableColumn id="9" xr3:uid="{D896B294-CB95-44A9-9C08-6763D1EDA293}" name="$"/>
    <tableColumn id="10" xr3:uid="{41390CAC-467B-4904-8A26-1D5EDDE89206}" name="Importe AR$" totalsRowFunction="sum" totalsRowDxfId="54" dataCellStyle="Moneda" totalsRowCellStyle="Moneda"/>
    <tableColumn id="11" xr3:uid="{5C670BAE-AA38-4F60-9A3D-1B07FD80312A}" name="Importe U$D"/>
    <tableColumn id="12" xr3:uid="{1F2EBE61-5EDD-44BB-9276-2E2C5FBC06F0}" name="Obs."/>
    <tableColumn id="13" xr3:uid="{F0D0E35C-1E92-4E2F-B10B-A99D024E9A2F}" name="Fecha_Cheque"/>
    <tableColumn id="14" xr3:uid="{D777C962-5187-47F9-AF1B-BEF2703F5C6D}" name="SemanaCh"/>
    <tableColumn id="15" xr3:uid="{5613A643-D986-48BA-9C3A-5268B37459B0}" name="OP"/>
    <tableColumn id="16" xr3:uid="{E84D6E68-5A3C-4911-8301-95BF498022DC}" name="Estad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EE17154-7BDF-40F2-A052-D664EA9361A7}" name="Tabla2427" displayName="Tabla2427" ref="A361:P374" totalsRowCount="1">
  <autoFilter ref="A361:P373" xr:uid="{FEE17154-7BDF-40F2-A052-D664EA9361A7}">
    <filterColumn colId="5">
      <filters>
        <filter val="2"/>
      </filters>
    </filterColumn>
  </autoFilter>
  <sortState xmlns:xlrd2="http://schemas.microsoft.com/office/spreadsheetml/2017/richdata2" ref="A362:P373">
    <sortCondition ref="J3:J15"/>
  </sortState>
  <tableColumns count="16">
    <tableColumn id="1" xr3:uid="{013D2EA3-03CF-4C68-9019-FF2F7E578E89}" name="Semana"/>
    <tableColumn id="2" xr3:uid="{7DE3E900-C759-4D55-BD59-4AFBE72B3E5A}" name="Proveedor"/>
    <tableColumn id="3" xr3:uid="{8C5E6274-1E8F-4CF0-A0EF-2D01BFB6AC87}" name="Descripción"/>
    <tableColumn id="4" xr3:uid="{AE903614-480D-43B7-91EB-FEEBEF466FC9}" name="FTP"/>
    <tableColumn id="5" xr3:uid="{61A97E93-B184-4D17-A337-C822B795A6AD}" name="Rubro"/>
    <tableColumn id="6" xr3:uid="{97A71B07-D132-4C1F-A8EB-7100B395CD67}" name="Vía"/>
    <tableColumn id="7" xr3:uid="{F7771EF5-4D48-4CD8-91E5-AD475951AD23}" name="Forma  de pago"/>
    <tableColumn id="8" xr3:uid="{0CFFFC6F-EA37-4761-B902-C97D3E06B681}" name="Divisa"/>
    <tableColumn id="9" xr3:uid="{E2E9ED35-5DF9-45AB-86B3-BD81D5C5C4F7}" name="$"/>
    <tableColumn id="10" xr3:uid="{1AF98150-93E3-4E57-AAF2-9396D0EF913E}" name="Importe AR$" totalsRowFunction="sum" totalsRowDxfId="53" dataCellStyle="Moneda" totalsRowCellStyle="Moneda"/>
    <tableColumn id="11" xr3:uid="{FCEE1FFF-6251-4FFF-87B4-52837441FB0E}" name="Importe U$D"/>
    <tableColumn id="12" xr3:uid="{0D489861-663E-4491-9725-827D4B36C1FB}" name="Obs."/>
    <tableColumn id="13" xr3:uid="{1CC7CD4B-1A45-4667-8D21-C78706DDD504}" name="Fecha_Cheque"/>
    <tableColumn id="14" xr3:uid="{C76437F3-8311-4208-A820-170CA2D9AFE5}" name="SemanaCh"/>
    <tableColumn id="15" xr3:uid="{E668B480-B06C-4248-BD42-AA7492F50ABD}" name="OP"/>
    <tableColumn id="16" xr3:uid="{868344DD-873E-4F47-8FD9-601008DA8C95}" name="Estad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53AFB7-8E53-49F5-8FDD-C4B01AE75EE6}" name="Tabla1218" displayName="Tabla1218" ref="A378:P391" totalsRowCount="1">
  <autoFilter ref="A378:P390" xr:uid="{F553AFB7-8E53-49F5-8FDD-C4B01AE75EE6}">
    <filterColumn colId="5">
      <filters>
        <filter val="1"/>
      </filters>
    </filterColumn>
  </autoFilter>
  <sortState xmlns:xlrd2="http://schemas.microsoft.com/office/spreadsheetml/2017/richdata2" ref="A379:P390">
    <sortCondition ref="J3:J15"/>
  </sortState>
  <tableColumns count="16">
    <tableColumn id="1" xr3:uid="{14307A3F-3D9A-4143-93A3-AEF022CB619A}" name="Semana"/>
    <tableColumn id="2" xr3:uid="{985624E9-915C-465F-876B-6562F0427C71}" name="Proveedor"/>
    <tableColumn id="3" xr3:uid="{9740D82B-DB95-41AC-9D58-C8DF3B5B50A7}" name="Descripción"/>
    <tableColumn id="4" xr3:uid="{D501A06C-8908-4617-A252-83164498D3C7}" name="FTP"/>
    <tableColumn id="5" xr3:uid="{129912FB-9C88-45FC-9C61-DF17F089037B}" name="Rubro"/>
    <tableColumn id="6" xr3:uid="{948C7D48-6C8C-477A-B929-4225DB46D02B}" name="Vía"/>
    <tableColumn id="7" xr3:uid="{18C499FE-8164-4D39-8A1D-8FA784FACD5B}" name="Forma  de pago"/>
    <tableColumn id="8" xr3:uid="{9BFFC0FF-7FE7-4DD0-A87C-F58E0BD8AB03}" name="Divisa"/>
    <tableColumn id="9" xr3:uid="{6C963233-2634-4D82-BA44-3FC584636AD7}" name="$"/>
    <tableColumn id="10" xr3:uid="{6AB0C414-5594-4FB0-8A37-8CBEBB97FC66}" name="Importe AR$" totalsRowDxfId="52" dataCellStyle="Moneda" totalsRowCellStyle="Moneda"/>
    <tableColumn id="11" xr3:uid="{C4D44157-6CD8-447E-9597-32892A73C405}" name="Importe U$D"/>
    <tableColumn id="12" xr3:uid="{5FE337FC-C1EB-4F90-A4F7-FEB0E7917398}" name="Obs."/>
    <tableColumn id="13" xr3:uid="{E8FFF035-6643-4574-B2FE-40C3AE28D91A}" name="Fecha_Cheque"/>
    <tableColumn id="14" xr3:uid="{6539FB31-8B01-4EE1-9CC6-1CB83C880B7D}" name="SemanaCh"/>
    <tableColumn id="15" xr3:uid="{7E5F65BA-7A47-4FC5-AC37-496173238F71}" name="OP"/>
    <tableColumn id="16" xr3:uid="{2F4242D8-EB9F-44AA-ADDA-25B7D700F2BF}" name="Estad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BDE9A40-6D5E-4D1B-821D-988CA0EA31C9}" name="Tabla1225" displayName="Tabla1225" ref="A394:P407" totalsRowCount="1">
  <autoFilter ref="A394:P406" xr:uid="{0BDE9A40-6D5E-4D1B-821D-988CA0EA31C9}">
    <filterColumn colId="5">
      <filters>
        <filter val="2"/>
      </filters>
    </filterColumn>
  </autoFilter>
  <sortState xmlns:xlrd2="http://schemas.microsoft.com/office/spreadsheetml/2017/richdata2" ref="A395:P406">
    <sortCondition ref="J3:J15"/>
  </sortState>
  <tableColumns count="16">
    <tableColumn id="1" xr3:uid="{13EAE6C6-6F2B-4988-9076-96F997609900}" name="Semana"/>
    <tableColumn id="2" xr3:uid="{D8C36C2F-7685-473D-881A-2AF0AF2F3DCE}" name="Proveedor"/>
    <tableColumn id="3" xr3:uid="{656A9925-9644-4139-9361-546AEA6D88B5}" name="Descripción"/>
    <tableColumn id="4" xr3:uid="{4D707AA1-8532-455E-A60D-4FF178696483}" name="FTP"/>
    <tableColumn id="5" xr3:uid="{763ADC3B-5D7A-4F30-89E0-D89BB7FCF999}" name="Rubro"/>
    <tableColumn id="6" xr3:uid="{3EC31564-D0C3-4B04-A9FE-B033AAC39685}" name="Vía"/>
    <tableColumn id="7" xr3:uid="{852AC39E-7146-4254-B38E-C43E319E9465}" name="Forma  de pago"/>
    <tableColumn id="8" xr3:uid="{968CF89B-3C31-4EFF-8CC3-E474A239A289}" name="Divisa"/>
    <tableColumn id="9" xr3:uid="{AF451BBF-CC3F-4820-A632-50D160C0B6A5}" name="$"/>
    <tableColumn id="10" xr3:uid="{151A8943-9B59-42B3-81AE-B95EB5314299}" name="Importe AR$" totalsRowDxfId="51" dataCellStyle="Moneda" totalsRowCellStyle="Moneda"/>
    <tableColumn id="11" xr3:uid="{F161BABE-F5F1-40D9-81CC-9D5745859825}" name="Importe U$D"/>
    <tableColumn id="12" xr3:uid="{CA6D5133-A555-426E-ADF9-FE1984FE583D}" name="Obs."/>
    <tableColumn id="13" xr3:uid="{BDF0EBA6-4E19-4AB5-8635-0EFFAAFE0337}" name="Fecha_Cheque"/>
    <tableColumn id="14" xr3:uid="{6CD5A878-08C9-4715-84E7-2ADB749F99BB}" name="SemanaCh"/>
    <tableColumn id="15" xr3:uid="{901FE978-7404-42A9-A124-0D147CE29BE8}" name="OP"/>
    <tableColumn id="16" xr3:uid="{936AEE8C-BFC8-444B-8E7A-EDD6D3593931}" name="Estad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EA4ED19-E338-4BC5-B6E2-E67739D71E73}" name="Tabla3032" displayName="Tabla3032" ref="A413:P430" totalsRowCount="1">
  <autoFilter ref="A413:P429" xr:uid="{AEA4ED19-E338-4BC5-B6E2-E67739D71E73}">
    <filterColumn colId="5">
      <filters>
        <filter val="1"/>
      </filters>
    </filterColumn>
  </autoFilter>
  <sortState xmlns:xlrd2="http://schemas.microsoft.com/office/spreadsheetml/2017/richdata2" ref="A414:P429">
    <sortCondition ref="J3:J19"/>
  </sortState>
  <tableColumns count="16">
    <tableColumn id="1" xr3:uid="{637F5035-7C51-4450-A851-040256020DD6}" name="Semana"/>
    <tableColumn id="2" xr3:uid="{841CDC27-CDE4-432C-9092-F29A92683F66}" name="Proveedor"/>
    <tableColumn id="3" xr3:uid="{8F8593F9-16BC-4510-8007-EC0616C9097B}" name="Descripción"/>
    <tableColumn id="4" xr3:uid="{0FC28533-37AE-4904-89F5-E56E385A2A79}" name="FTP"/>
    <tableColumn id="5" xr3:uid="{7AF7797F-508A-4E71-A2D5-0946D7C7B8ED}" name="Rubro"/>
    <tableColumn id="6" xr3:uid="{070B468E-797F-4C1F-8D94-898AA4B1F742}" name="Vía"/>
    <tableColumn id="7" xr3:uid="{3A6122FC-C260-420F-B226-6C1A3C5B74A4}" name="Forma  de pago"/>
    <tableColumn id="8" xr3:uid="{0C035212-5238-4853-BA96-DAA32A000D05}" name="Divisa"/>
    <tableColumn id="9" xr3:uid="{E3B9F461-623A-41BE-8572-FD46E5AA3A42}" name="$"/>
    <tableColumn id="10" xr3:uid="{1FDBE018-B136-4434-B2DB-A322820D235A}" name="Importe AR$" totalsRowFunction="sum" totalsRowDxfId="50" dataCellStyle="Moneda" totalsRowCellStyle="Moneda"/>
    <tableColumn id="11" xr3:uid="{CFE8B64C-3C65-4A3B-B521-497570502006}" name="Importe U$D"/>
    <tableColumn id="12" xr3:uid="{22375DC4-9A05-4E54-B831-B972D864EB72}" name="Obs."/>
    <tableColumn id="13" xr3:uid="{1D48B7EB-77D8-4BB8-90AC-2C852E07A422}" name="Fecha_Cheque"/>
    <tableColumn id="14" xr3:uid="{758FCC34-C931-41C8-9B2E-60EB67F4997B}" name="SemanaCh"/>
    <tableColumn id="15" xr3:uid="{6FF81DC2-69A9-41E1-A075-85BCB11E08D3}" name="OP"/>
    <tableColumn id="16" xr3:uid="{1FE99899-1BF8-4301-B914-5B3A11BEBD98}" name="Estad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C2022B1-1E31-4C42-9617-99B78DC40EFD}" name="Tabla3033" displayName="Tabla3033" ref="A432:P449" totalsRowCount="1">
  <autoFilter ref="A432:P448" xr:uid="{7C2022B1-1E31-4C42-9617-99B78DC40EFD}">
    <filterColumn colId="5">
      <filters>
        <filter val="2"/>
      </filters>
    </filterColumn>
  </autoFilter>
  <sortState xmlns:xlrd2="http://schemas.microsoft.com/office/spreadsheetml/2017/richdata2" ref="A433:P448">
    <sortCondition ref="J3:J19"/>
  </sortState>
  <tableColumns count="16">
    <tableColumn id="1" xr3:uid="{A617CAED-1D17-4267-8EF2-09C37762E924}" name="Semana"/>
    <tableColumn id="2" xr3:uid="{1EAF1777-5CA3-4BEE-B4E0-1FD55A82D306}" name="Proveedor"/>
    <tableColumn id="3" xr3:uid="{9D71F514-4533-4BE6-8D3A-6D8FD8836DEA}" name="Descripción"/>
    <tableColumn id="4" xr3:uid="{6D9BA34B-726D-474C-AFA8-7ECF49E8BC04}" name="FTP"/>
    <tableColumn id="5" xr3:uid="{B8DE0975-5214-48B5-AC84-D8F81DDCF924}" name="Rubro"/>
    <tableColumn id="6" xr3:uid="{9406ABE9-1A2C-4A06-A4A1-C36FD15D4166}" name="Vía"/>
    <tableColumn id="7" xr3:uid="{7F8DCDDC-678C-4B0C-B9A0-C55186B5B5E1}" name="Forma  de pago"/>
    <tableColumn id="8" xr3:uid="{FB12D7E3-C5E3-44A3-9945-A1166E26BF16}" name="Divisa"/>
    <tableColumn id="9" xr3:uid="{4A9A9EFF-A1FF-4686-961F-6D6659E0C371}" name="$"/>
    <tableColumn id="10" xr3:uid="{C98A68EA-79D6-4F75-A1C4-4169198A6898}" name="Importe AR$" totalsRowFunction="sum" totalsRowDxfId="49" dataCellStyle="Moneda" totalsRowCellStyle="Moneda"/>
    <tableColumn id="11" xr3:uid="{84575541-C91E-495D-968A-56F7654FCB48}" name="Importe U$D"/>
    <tableColumn id="12" xr3:uid="{6A5807FD-85B2-46E6-990F-C87326449AF1}" name="Obs."/>
    <tableColumn id="13" xr3:uid="{BAD50F21-C040-448E-8195-86CE33A28FD6}" name="Fecha_Cheque"/>
    <tableColumn id="14" xr3:uid="{8A353835-8796-4453-A7C3-85769EAD64D5}" name="SemanaCh"/>
    <tableColumn id="15" xr3:uid="{3C58D593-C029-46B7-A7D7-AD7737B3FF06}" name="OP"/>
    <tableColumn id="16" xr3:uid="{3073749B-C5E9-45C8-8FF9-E468D7313463}" name="Estad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1B256BE-E205-4A16-865B-2E36E4D89EC3}" name="Tabla2931" displayName="Tabla2931" ref="A455:P470" totalsRowCount="1">
  <autoFilter ref="A455:P469" xr:uid="{21B256BE-E205-4A16-865B-2E36E4D89EC3}">
    <filterColumn colId="5">
      <filters>
        <filter val="1"/>
      </filters>
    </filterColumn>
  </autoFilter>
  <sortState xmlns:xlrd2="http://schemas.microsoft.com/office/spreadsheetml/2017/richdata2" ref="A456:P469">
    <sortCondition ref="J3:J17"/>
  </sortState>
  <tableColumns count="16">
    <tableColumn id="1" xr3:uid="{E9A57055-5BFD-4BB7-A474-43645F55AE1C}" name="Semana"/>
    <tableColumn id="2" xr3:uid="{CB011C34-CF31-4BA7-86DF-028654DF005C}" name="Proveedor"/>
    <tableColumn id="3" xr3:uid="{B5BC981A-1ED0-4211-B8A7-AB967D9B8602}" name="Descripción"/>
    <tableColumn id="4" xr3:uid="{292889BC-FE27-4925-A64F-D584200C3A07}" name="FTP"/>
    <tableColumn id="5" xr3:uid="{5113D319-D665-4E46-ADC3-345FDBA19385}" name="Rubro"/>
    <tableColumn id="6" xr3:uid="{A535911A-8136-4A34-A0FB-08B9768E461D}" name="Vía"/>
    <tableColumn id="7" xr3:uid="{3001A808-4EBA-4C6D-BFB0-7A0B60D4EA3E}" name="Forma  de pago"/>
    <tableColumn id="8" xr3:uid="{B193485F-3338-481E-948F-6DE3606E092C}" name="Divisa"/>
    <tableColumn id="9" xr3:uid="{A7C515EC-9FAA-4539-BF63-E94BDA3F6546}" name="$"/>
    <tableColumn id="10" xr3:uid="{B471F4E5-CBDD-4988-AFAC-AD55AE528B65}" name="Importe AR$" totalsRowFunction="sum" totalsRowDxfId="48" dataCellStyle="Moneda" totalsRowCellStyle="Moneda"/>
    <tableColumn id="11" xr3:uid="{85BA4B8C-E2EE-4A93-BDE7-5C202575B105}" name="Importe U$D"/>
    <tableColumn id="12" xr3:uid="{1929E22C-BC98-4CF4-86D9-19396A8662BD}" name="Obs."/>
    <tableColumn id="13" xr3:uid="{12F972F1-B9F3-4AC4-9114-7B8D7A5F199E}" name="Fecha_Cheque"/>
    <tableColumn id="14" xr3:uid="{D525F462-B767-4654-826D-118DE1D2C740}" name="SemanaCh"/>
    <tableColumn id="15" xr3:uid="{45943449-C03F-4401-8486-263308C3AFB2}" name="OP"/>
    <tableColumn id="16" xr3:uid="{53787775-2DDE-4F7E-BA9F-6F098C3E0F88}" name="Estado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CA55E57-2E6B-4A26-A84D-CDA24C34BD9E}" name="Tabla2934" displayName="Tabla2934" ref="A472:P487" totalsRowCount="1">
  <autoFilter ref="A472:P486" xr:uid="{BCA55E57-2E6B-4A26-A84D-CDA24C34BD9E}">
    <filterColumn colId="5">
      <filters>
        <filter val="2"/>
      </filters>
    </filterColumn>
  </autoFilter>
  <sortState xmlns:xlrd2="http://schemas.microsoft.com/office/spreadsheetml/2017/richdata2" ref="A473:P486">
    <sortCondition ref="J3:J17"/>
  </sortState>
  <tableColumns count="16">
    <tableColumn id="1" xr3:uid="{843845EF-A571-4704-8CFE-ED7A63A6A91E}" name="Semana"/>
    <tableColumn id="2" xr3:uid="{490D7F4B-2F45-4CC2-8F56-0185D9DDB174}" name="Proveedor"/>
    <tableColumn id="3" xr3:uid="{6E1531E4-C190-4B74-A945-5A97A1DAA4A7}" name="Descripción"/>
    <tableColumn id="4" xr3:uid="{120DCEFB-60E8-414C-AC73-C630EA3FE2D1}" name="FTP"/>
    <tableColumn id="5" xr3:uid="{F0B71EA5-9053-40B7-AED6-450FD544C195}" name="Rubro"/>
    <tableColumn id="6" xr3:uid="{31E8F835-C26F-499E-88AB-3D1C4EA66433}" name="Vía"/>
    <tableColumn id="7" xr3:uid="{280D6ABB-E21A-40F7-B4CE-3DE30439BC18}" name="Forma  de pago"/>
    <tableColumn id="8" xr3:uid="{248204F3-C5CB-4C12-A21D-CD889652F93A}" name="Divisa"/>
    <tableColumn id="9" xr3:uid="{967580FF-AAF2-4976-92AF-FE708565C2EA}" name="$"/>
    <tableColumn id="10" xr3:uid="{9F366913-0108-4F3F-B865-2FB553E2A71A}" name="Importe AR$" totalsRowFunction="sum" totalsRowDxfId="47" dataCellStyle="Moneda" totalsRowCellStyle="Moneda"/>
    <tableColumn id="11" xr3:uid="{CE8F757D-FB23-48FA-BA4F-05AA62A807F8}" name="Importe U$D"/>
    <tableColumn id="12" xr3:uid="{EDB72423-9765-411F-909E-7B27121B718E}" name="Obs."/>
    <tableColumn id="13" xr3:uid="{3BF24AE7-0FA0-4324-AA59-8B6AB5255FFF}" name="Fecha_Cheque"/>
    <tableColumn id="14" xr3:uid="{1FC0617D-9D4F-46BE-9101-BE9903F4729C}" name="SemanaCh"/>
    <tableColumn id="15" xr3:uid="{2AE872FB-8887-4849-B820-1B338BB9777C}" name="OP"/>
    <tableColumn id="16" xr3:uid="{F104FDF6-DF4F-4863-9466-F0991BBCCE58}" name="Estad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61E8547-F4B1-437C-AC21-47F31C7DE811}" name="Tabla1228" displayName="Tabla1228" ref="A492:P503" totalsRowCount="1">
  <autoFilter ref="A492:P502" xr:uid="{F61E8547-F4B1-437C-AC21-47F31C7DE811}">
    <filterColumn colId="5">
      <filters>
        <filter val="1"/>
      </filters>
    </filterColumn>
  </autoFilter>
  <sortState xmlns:xlrd2="http://schemas.microsoft.com/office/spreadsheetml/2017/richdata2" ref="A493:P502">
    <sortCondition ref="J3:J13"/>
  </sortState>
  <tableColumns count="16">
    <tableColumn id="1" xr3:uid="{B4654C3D-C849-4D55-AEA0-D1ED67CFA866}" name="Semana"/>
    <tableColumn id="2" xr3:uid="{2F0D953B-B5EB-4AFE-B575-9217950BE71F}" name="Proveedor"/>
    <tableColumn id="3" xr3:uid="{1B5EE9C7-E846-4FC6-AC69-600E7ADD0A3E}" name="Descripción"/>
    <tableColumn id="4" xr3:uid="{E0CEF681-4726-4302-9B07-19DE23700246}" name="FTP"/>
    <tableColumn id="5" xr3:uid="{A7AC2E43-DF01-428B-88C5-872D36201306}" name="Rubro"/>
    <tableColumn id="6" xr3:uid="{1027C58F-5AF9-4FAE-9EDF-7723B8F79E26}" name="Vía"/>
    <tableColumn id="7" xr3:uid="{B668FF0F-7545-4110-A874-6AF244FB205F}" name="Forma  de pago"/>
    <tableColumn id="8" xr3:uid="{46F5C122-B6B1-4069-9A9C-A5DB59D36B71}" name="Divisa"/>
    <tableColumn id="9" xr3:uid="{A9C2A0A0-F138-4823-8C60-901693EC775C}" name="$"/>
    <tableColumn id="10" xr3:uid="{157F1205-54D0-4862-AD67-D3DBE003FD5A}" name="Importe AR$" totalsRowFunction="sum" totalsRowDxfId="46" dataCellStyle="Moneda" totalsRowCellStyle="Moneda"/>
    <tableColumn id="11" xr3:uid="{3C5A9849-2BFC-4951-8B55-DE0C9B094DF8}" name="Importe U$D"/>
    <tableColumn id="12" xr3:uid="{3C18CE8B-7CF4-42CA-905B-BFA6B2298A5F}" name="Obs."/>
    <tableColumn id="13" xr3:uid="{30E3FBA4-4F97-47C1-9FB6-7D3232102EDB}" name="Fecha_Cheque"/>
    <tableColumn id="14" xr3:uid="{7558E36F-2A1B-46B6-8FFF-40B482EE9453}" name="SemanaCh"/>
    <tableColumn id="15" xr3:uid="{40BF0CE5-6565-4585-8BEF-7119CACC42C6}" name="OP"/>
    <tableColumn id="16" xr3:uid="{9733A742-4E81-44BF-B8C7-59CFAA5FAFA7}" name="Estado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94D53FF-A983-4799-B05D-F277312682AC}" name="Tabla1229" displayName="Tabla1229" ref="A505:P515" totalsRowCount="1">
  <autoFilter ref="A505:P514" xr:uid="{194D53FF-A983-4799-B05D-F277312682AC}"/>
  <sortState xmlns:xlrd2="http://schemas.microsoft.com/office/spreadsheetml/2017/richdata2" ref="A506:P514">
    <sortCondition ref="F505:F514"/>
  </sortState>
  <tableColumns count="16">
    <tableColumn id="1" xr3:uid="{A0F2F83F-E215-4970-8ADD-663BDC71A25F}" name="Semana"/>
    <tableColumn id="2" xr3:uid="{EDAB9C67-1359-4B8C-924D-16AF60BE2E01}" name="Proveedor"/>
    <tableColumn id="3" xr3:uid="{07913663-925A-4EC2-8BF8-77CEC3A1C7AD}" name="Descripción"/>
    <tableColumn id="4" xr3:uid="{DE65CD42-1D06-4C0F-9F85-8719C6D7C5F3}" name="FTP"/>
    <tableColumn id="5" xr3:uid="{CC47EC1F-C98C-46E3-ADB1-4C57E11B69C6}" name="Rubro"/>
    <tableColumn id="6" xr3:uid="{AA7056BD-50AE-4C7B-AFBF-000346F00258}" name="Vía"/>
    <tableColumn id="7" xr3:uid="{54D9F03F-8BA7-4358-A09A-342AE060C8BC}" name="Forma  de pago"/>
    <tableColumn id="8" xr3:uid="{3D0EE629-ED5D-456D-A6CB-A9B686BDADA8}" name="Divisa"/>
    <tableColumn id="9" xr3:uid="{E1AAFFBE-E6EF-4B79-8CD4-CA9AFF734BE8}" name="$"/>
    <tableColumn id="10" xr3:uid="{F641A9E9-666F-4A40-9921-F19BE6FFD761}" name="Importe AR$" totalsRowFunction="sum" totalsRowDxfId="45" dataCellStyle="Moneda" totalsRowCellStyle="Moneda"/>
    <tableColumn id="11" xr3:uid="{5A91D076-8AE2-4115-8C70-5283B83504ED}" name="Importe U$D"/>
    <tableColumn id="12" xr3:uid="{703DE706-CAA8-477F-82C7-D33E06C02A19}" name="Obs."/>
    <tableColumn id="13" xr3:uid="{4CA5F318-2A1C-4A21-B88D-2FD0ACA46954}" name="Fecha_Cheque"/>
    <tableColumn id="14" xr3:uid="{BB138F56-5F4A-42A3-A4E1-8B37C8C4B1C3}" name="SemanaCh"/>
    <tableColumn id="15" xr3:uid="{A7F7D9C1-708C-4281-B461-98BE5E8F231C}" name="OP"/>
    <tableColumn id="16" xr3:uid="{C0811881-69E2-46F9-A3D1-E7BB37AC11BF}" name="Estad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A21B297-F028-49B0-A5FA-C18B9E943BB0}" name="Tabla1230" displayName="Tabla1230" ref="A519:P534" totalsRowCount="1">
  <autoFilter ref="A519:P533" xr:uid="{5A21B297-F028-49B0-A5FA-C18B9E943BB0}">
    <filterColumn colId="5">
      <filters>
        <filter val="1"/>
      </filters>
    </filterColumn>
  </autoFilter>
  <sortState xmlns:xlrd2="http://schemas.microsoft.com/office/spreadsheetml/2017/richdata2" ref="A520:P533">
    <sortCondition ref="J3:J17"/>
  </sortState>
  <tableColumns count="16">
    <tableColumn id="1" xr3:uid="{F21853DE-F19A-4E19-8240-41BDC216C669}" name="Semana"/>
    <tableColumn id="2" xr3:uid="{D24EFC49-2181-4A55-8CF1-CF9B0C987DA2}" name="Proveedor"/>
    <tableColumn id="3" xr3:uid="{8C66A93F-1DCF-4A0A-BAAA-4DC114FEF7F6}" name="Descripción"/>
    <tableColumn id="4" xr3:uid="{28AA5FCE-5461-4423-942C-EC5149A93284}" name="FTP"/>
    <tableColumn id="5" xr3:uid="{4BA60109-0A13-4CDC-B6FD-698FC84295A3}" name="Rubro"/>
    <tableColumn id="6" xr3:uid="{A89F3FC6-691A-4138-8AFB-2E93FE441571}" name="Vía"/>
    <tableColumn id="7" xr3:uid="{69374474-03E5-434B-81C7-9DD2886938E9}" name="Forma  de pago"/>
    <tableColumn id="8" xr3:uid="{670153A4-E5BF-4338-88B8-F6C0A4581131}" name="Divisa"/>
    <tableColumn id="9" xr3:uid="{D1E3E2F4-DA00-47D1-A6A4-C00F14CF0B2C}" name="$"/>
    <tableColumn id="10" xr3:uid="{EA82EDFB-A200-47B4-855A-5AE83213EAEC}" name="Importe AR$" totalsRowFunction="sum" totalsRowDxfId="44" dataCellStyle="Moneda" totalsRowCellStyle="Moneda"/>
    <tableColumn id="11" xr3:uid="{E5100D68-E75F-4464-ADA8-EAD2326CF40E}" name="Importe U$D"/>
    <tableColumn id="12" xr3:uid="{CD6922B5-63D2-4655-8535-68BA94994DFA}" name="Obs."/>
    <tableColumn id="13" xr3:uid="{970BCF23-4F20-465B-9500-FBE4242BB8AD}" name="Fecha_Cheque"/>
    <tableColumn id="14" xr3:uid="{169B399C-8C08-4B57-9C06-F1E317F0412D}" name="SemanaCh"/>
    <tableColumn id="15" xr3:uid="{0CE9DA7A-5D15-49E1-B5CB-0F1158733E06}" name="OP"/>
    <tableColumn id="16" xr3:uid="{9D414378-E99C-4A8A-AA77-A26D374BC663}" name="Estado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C8EE704-FC7D-4143-9988-26657F26DA16}" name="Tabla1235" displayName="Tabla1235" ref="A536:P551" totalsRowCount="1">
  <autoFilter ref="A536:P550" xr:uid="{6C8EE704-FC7D-4143-9988-26657F26DA16}">
    <filterColumn colId="5">
      <filters>
        <filter val="2"/>
      </filters>
    </filterColumn>
  </autoFilter>
  <sortState xmlns:xlrd2="http://schemas.microsoft.com/office/spreadsheetml/2017/richdata2" ref="A537:P550">
    <sortCondition ref="J3:J17"/>
  </sortState>
  <tableColumns count="16">
    <tableColumn id="1" xr3:uid="{CBEB6AF0-A4B9-4FE7-8070-6DB3A6C2EA2E}" name="Semana"/>
    <tableColumn id="2" xr3:uid="{CD38FD3D-9941-42AF-93F3-85A5297FC3C0}" name="Proveedor"/>
    <tableColumn id="3" xr3:uid="{59950B58-1E48-43A0-9C83-AFAF2CCF6EDD}" name="Descripción"/>
    <tableColumn id="4" xr3:uid="{7EE8E74C-D4A6-41EE-A70D-D8FD6B9B73AF}" name="FTP"/>
    <tableColumn id="5" xr3:uid="{3D531E6E-974D-4606-990B-D6E343E510E4}" name="Rubro"/>
    <tableColumn id="6" xr3:uid="{9C3E97D0-3A96-4074-B5DF-E7485984D322}" name="Vía"/>
    <tableColumn id="7" xr3:uid="{CE56FF17-EEC1-41FB-ADAE-C9AB1CCDC635}" name="Forma  de pago"/>
    <tableColumn id="8" xr3:uid="{21D68114-F58F-4F9C-B846-BE0E1CFDCE96}" name="Divisa"/>
    <tableColumn id="9" xr3:uid="{639722E1-97D1-4353-B6B7-0A2E736F41BA}" name="$"/>
    <tableColumn id="10" xr3:uid="{171C77BF-AC24-484D-AE1E-B32C49C67F66}" name="Importe AR$" totalsRowFunction="sum" totalsRowDxfId="43" dataCellStyle="Moneda" totalsRowCellStyle="Moneda"/>
    <tableColumn id="11" xr3:uid="{CF26D3B0-E833-4FEE-A90C-75384247BEC9}" name="Importe U$D"/>
    <tableColumn id="12" xr3:uid="{8D758FE7-AEC6-44B7-A0DA-544BA1E22B5B}" name="Obs."/>
    <tableColumn id="13" xr3:uid="{0B6C5D22-000B-440A-8BA7-D70F439CE560}" name="Fecha_Cheque"/>
    <tableColumn id="14" xr3:uid="{A61D62C4-7921-4C4B-9E46-3BBEF7A93C57}" name="SemanaCh"/>
    <tableColumn id="15" xr3:uid="{CB1ECC14-7714-4BF5-B75F-048183A6A0C3}" name="OP"/>
    <tableColumn id="16" xr3:uid="{CE2B7A56-39AC-41AE-AB88-7FFCE247034B}" name="Estado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2071B49-312F-4726-8BBD-61EDDF73B2AC}" name="Tabla3638" displayName="Tabla3638" ref="A556:P573" totalsRowCount="1">
  <autoFilter ref="A556:P572" xr:uid="{22071B49-312F-4726-8BBD-61EDDF73B2AC}">
    <filterColumn colId="5">
      <filters>
        <filter val="1"/>
      </filters>
    </filterColumn>
  </autoFilter>
  <sortState xmlns:xlrd2="http://schemas.microsoft.com/office/spreadsheetml/2017/richdata2" ref="A557:P572">
    <sortCondition ref="J3:J19"/>
  </sortState>
  <tableColumns count="16">
    <tableColumn id="1" xr3:uid="{73F6A99B-5560-4D7E-BCB5-A889E26963B4}" name="Semana"/>
    <tableColumn id="2" xr3:uid="{0B2F74B1-65DA-4861-A0C9-34AC6699910A}" name="Proveedor"/>
    <tableColumn id="3" xr3:uid="{C90BDA46-5EB0-4588-B33E-15D55B58ADA5}" name="Descripción"/>
    <tableColumn id="4" xr3:uid="{78250828-2107-4D34-9CBC-8177C6810D41}" name="FTP"/>
    <tableColumn id="5" xr3:uid="{AECBC0AA-6FD0-4954-98FA-26ADE84B3AA1}" name="Rubro"/>
    <tableColumn id="6" xr3:uid="{D8B34602-9D90-4276-8A01-B85A91A3905E}" name="Vía"/>
    <tableColumn id="7" xr3:uid="{9E1E2EF6-5680-4A5A-9207-FD3CFBAA69B6}" name="Forma  de pago"/>
    <tableColumn id="8" xr3:uid="{141CDBB2-4F47-43E3-8C13-B085CCF6E515}" name="Divisa"/>
    <tableColumn id="9" xr3:uid="{C673ED22-9017-4B1D-9C8E-F006D01D9DB8}" name="$"/>
    <tableColumn id="10" xr3:uid="{6B92645E-2BEE-4812-835A-1A49E82A1DFE}" name="Importe AR$" totalsRowFunction="sum" totalsRowDxfId="42" dataCellStyle="Moneda" totalsRowCellStyle="Moneda"/>
    <tableColumn id="11" xr3:uid="{F63DE4DF-7847-458E-B6DC-574D15B5F2EE}" name="Importe U$D"/>
    <tableColumn id="12" xr3:uid="{00C166B4-7659-4E39-B1E6-D6DAEEDF57DC}" name="Obs."/>
    <tableColumn id="13" xr3:uid="{E7C94107-D031-4236-A98D-306DC08929BF}" name="Fecha_Cheque"/>
    <tableColumn id="14" xr3:uid="{93FE29D3-A068-404F-92C7-9C199482CA41}" name="SemanaCh"/>
    <tableColumn id="15" xr3:uid="{428E7A9B-AFB7-4C1B-90FB-A3056F5A9108}" name="OP"/>
    <tableColumn id="16" xr3:uid="{E68430A8-03F3-4E7B-9F51-3B25EA40A8FE}" name="Estado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518C738-7A7E-42ED-946A-94027110BFC8}" name="Tabla3639" displayName="Tabla3639" ref="A575:P592" totalsRowCount="1">
  <autoFilter ref="A575:P591" xr:uid="{B518C738-7A7E-42ED-946A-94027110BFC8}">
    <filterColumn colId="5">
      <filters>
        <filter val="2"/>
      </filters>
    </filterColumn>
  </autoFilter>
  <sortState xmlns:xlrd2="http://schemas.microsoft.com/office/spreadsheetml/2017/richdata2" ref="A576:P591">
    <sortCondition ref="J3:J19"/>
  </sortState>
  <tableColumns count="16">
    <tableColumn id="1" xr3:uid="{87D2BC45-3FAE-4503-AD13-D5A7DD90D1F0}" name="Semana"/>
    <tableColumn id="2" xr3:uid="{DF40D879-CFE8-4586-8F17-591EA0D66EC8}" name="Proveedor"/>
    <tableColumn id="3" xr3:uid="{B686A7E0-AEDD-4C86-9696-87BB629DA381}" name="Descripción"/>
    <tableColumn id="4" xr3:uid="{A2BABACC-7B1B-432A-BD28-BFB22B5BAB3E}" name="FTP"/>
    <tableColumn id="5" xr3:uid="{BE57BCF1-B5FB-41AE-81CF-272114B7BEE8}" name="Rubro"/>
    <tableColumn id="6" xr3:uid="{4B966FBD-DA12-4287-BCD6-C90CDCFA6F18}" name="Vía"/>
    <tableColumn id="7" xr3:uid="{45E923C5-6413-4ED8-82F8-B3C30F759C12}" name="Forma  de pago"/>
    <tableColumn id="8" xr3:uid="{53E09290-08A0-4459-9E6F-8DD6552D21FA}" name="Divisa"/>
    <tableColumn id="9" xr3:uid="{0B19C612-6A47-4188-BB4E-F2024686ABCA}" name="$"/>
    <tableColumn id="10" xr3:uid="{5A6EA122-0CA2-44C5-B316-1D0410B9AFA6}" name="Importe AR$" totalsRowFunction="sum" totalsRowDxfId="41" dataCellStyle="Moneda" totalsRowCellStyle="Moneda"/>
    <tableColumn id="11" xr3:uid="{8AEC547C-0F6D-49CD-B8EB-505AEBA2FFA1}" name="Importe U$D"/>
    <tableColumn id="12" xr3:uid="{43D5064B-E6B4-41EE-8057-EB5954774ED4}" name="Obs."/>
    <tableColumn id="13" xr3:uid="{C7BE775C-F6D2-4D22-A9FC-E52615F4F76A}" name="Fecha_Cheque"/>
    <tableColumn id="14" xr3:uid="{EFF511E3-71D1-45F6-8007-AB59D2C7435F}" name="SemanaCh"/>
    <tableColumn id="15" xr3:uid="{51DA34E9-DFD3-4D2C-BE39-F2ACD4E5B671}" name="OP"/>
    <tableColumn id="16" xr3:uid="{1FA66179-A70F-4D2F-9D2A-5F7749CB5BC6}" name="Estado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A3B4C1D-B9D7-4328-B226-EB25650C55B1}" name="Tabla3641" displayName="Tabla3641" ref="A596:P616" totalsRowCount="1">
  <autoFilter ref="A596:P615" xr:uid="{3A3B4C1D-B9D7-4328-B226-EB25650C55B1}">
    <filterColumn colId="5">
      <filters>
        <filter val="1"/>
      </filters>
    </filterColumn>
  </autoFilter>
  <sortState xmlns:xlrd2="http://schemas.microsoft.com/office/spreadsheetml/2017/richdata2" ref="A597:P615">
    <sortCondition ref="J3:J23"/>
  </sortState>
  <tableColumns count="16">
    <tableColumn id="1" xr3:uid="{72603FD8-B180-4B00-B355-5255933D85B8}" name="Semana"/>
    <tableColumn id="2" xr3:uid="{8751DA56-BF13-4295-9C8D-4DF5CDA87807}" name="Proveedor"/>
    <tableColumn id="3" xr3:uid="{DA410446-204E-430E-AA4D-F0C351AA9B22}" name="Descripción"/>
    <tableColumn id="4" xr3:uid="{BB46A6BD-00F1-4099-9E05-5C67DAD35879}" name="FTP"/>
    <tableColumn id="5" xr3:uid="{B0928839-1FA3-4160-9304-775806E269BA}" name="Rubro"/>
    <tableColumn id="6" xr3:uid="{613ED386-58C1-4138-A7FC-35551AD54EF6}" name="Vía"/>
    <tableColumn id="7" xr3:uid="{35459CDE-B2A5-4292-8FB9-B8CF12AB2FC9}" name="Forma  de pago"/>
    <tableColumn id="8" xr3:uid="{EB9BDEAE-D6E2-4949-A692-14ACDFE82952}" name="Divisa"/>
    <tableColumn id="9" xr3:uid="{FA3FFD17-CFD4-459D-A345-6FBC20C7887E}" name="$"/>
    <tableColumn id="10" xr3:uid="{CAAF57F3-1097-4142-BBE0-350FD6630F9D}" name="Importe AR$" totalsRowFunction="sum" totalsRowDxfId="40" dataCellStyle="Moneda" totalsRowCellStyle="Moneda"/>
    <tableColumn id="11" xr3:uid="{A0BE8E62-8680-4AD9-B795-8B06E49DCAA9}" name="Importe U$D"/>
    <tableColumn id="12" xr3:uid="{B74593FC-58AF-4846-94E8-8E223A9DCF62}" name="Obs."/>
    <tableColumn id="13" xr3:uid="{EC769978-12E8-4C79-8DD7-E76C48FC3F89}" name="Fecha_Cheque"/>
    <tableColumn id="14" xr3:uid="{1F46020C-B6A1-4DE9-BFA7-D742E1B17907}" name="SemanaCh"/>
    <tableColumn id="15" xr3:uid="{CF42411F-9323-4A12-AB29-823BE1945B3E}" name="OP"/>
    <tableColumn id="16" xr3:uid="{50D31AA6-74E4-4A94-A4D7-78652C48ECF1}" name="Estado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21FEC5D-9661-4B56-B8A4-B07A4BC526D3}" name="Tabla3642" displayName="Tabla3642" ref="A618:P638" totalsRowCount="1">
  <autoFilter ref="A618:P637" xr:uid="{621FEC5D-9661-4B56-B8A4-B07A4BC526D3}">
    <filterColumn colId="5">
      <filters>
        <filter val="2"/>
      </filters>
    </filterColumn>
  </autoFilter>
  <sortState xmlns:xlrd2="http://schemas.microsoft.com/office/spreadsheetml/2017/richdata2" ref="A619:P637">
    <sortCondition ref="J3:J23"/>
  </sortState>
  <tableColumns count="16">
    <tableColumn id="1" xr3:uid="{9AEBCFD2-0D2A-4304-BB75-5B7DE251673B}" name="Semana"/>
    <tableColumn id="2" xr3:uid="{4125AF2F-7CEC-4C2D-A3C0-8DD20D0E9247}" name="Proveedor"/>
    <tableColumn id="3" xr3:uid="{D942C484-5547-4B38-8D4F-0F7F0F182C95}" name="Descripción"/>
    <tableColumn id="4" xr3:uid="{DC81C2C0-3B6F-4749-BE90-7AE453463E2F}" name="FTP"/>
    <tableColumn id="5" xr3:uid="{DDE26D70-FA29-4D41-B417-CC00AD35C06F}" name="Rubro"/>
    <tableColumn id="6" xr3:uid="{7153B62F-F270-4FAD-BA67-52670FB60D5A}" name="Vía"/>
    <tableColumn id="7" xr3:uid="{82F0EF32-5DBE-448A-B894-D049D51E917F}" name="Forma  de pago"/>
    <tableColumn id="8" xr3:uid="{0A225FD5-39B4-4188-9A12-3755025E6D62}" name="Divisa"/>
    <tableColumn id="9" xr3:uid="{3E36AC0A-61B5-4017-BD11-E772F7F818E8}" name="$"/>
    <tableColumn id="10" xr3:uid="{3F86FDF9-5DEB-4122-9F9E-0E5BDE5BEAF4}" name="Importe AR$" totalsRowFunction="sum" totalsRowDxfId="39" dataCellStyle="Moneda" totalsRowCellStyle="Moneda"/>
    <tableColumn id="11" xr3:uid="{3A22F425-B863-47DE-8D68-7AE17549765D}" name="Importe U$D"/>
    <tableColumn id="12" xr3:uid="{0E30AFC2-11FB-4E2D-A752-747CCFBF477A}" name="Obs."/>
    <tableColumn id="13" xr3:uid="{A264B4A1-BEF5-4FB2-93FC-AB464A6413AB}" name="Fecha_Cheque"/>
    <tableColumn id="14" xr3:uid="{FD48DD1B-DE5F-40B2-92D8-D960867CDBA1}" name="SemanaCh"/>
    <tableColumn id="15" xr3:uid="{B487587A-CDB1-438D-ABBF-8E5DE1B2AA32}" name="OP"/>
    <tableColumn id="16" xr3:uid="{F35BB499-676C-4E19-813A-F19725B41DB5}" name="Estado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2E50B3-5F7D-42C5-8F59-0713F38F0FC0}" name="Tabla35" displayName="Tabla35" ref="A644:P671" totalsRowCount="1">
  <autoFilter ref="A644:P670" xr:uid="{832E50B3-5F7D-42C5-8F59-0713F38F0FC0}">
    <filterColumn colId="5">
      <filters>
        <filter val="1"/>
      </filters>
    </filterColumn>
    <filterColumn colId="9">
      <filters>
        <filter val="$ 100,000.00"/>
        <filter val="$ 200,000.00"/>
        <filter val="$ 200,001.08"/>
        <filter val="$ 80,000.00"/>
      </filters>
    </filterColumn>
  </autoFilter>
  <sortState xmlns:xlrd2="http://schemas.microsoft.com/office/spreadsheetml/2017/richdata2" ref="A645:P670">
    <sortCondition ref="J3:J29"/>
  </sortState>
  <tableColumns count="16">
    <tableColumn id="1" xr3:uid="{180849EF-6F75-40F5-9854-2D1E586C31BF}" name="Semana"/>
    <tableColumn id="2" xr3:uid="{EA3BABC2-19AD-41FB-84D0-63C3165F4804}" name="Proveedor"/>
    <tableColumn id="3" xr3:uid="{7FDD189C-F752-4804-A936-CA27D39FE339}" name="Descripción"/>
    <tableColumn id="4" xr3:uid="{D952DAE6-964A-4E9D-96B6-BB4D1C6997DF}" name="FTP"/>
    <tableColumn id="5" xr3:uid="{E937EB1C-6CDC-4229-A249-B16F4AF6430A}" name="Rubro"/>
    <tableColumn id="6" xr3:uid="{6E3FC441-BF7F-45E1-9CD1-E2479EAC7BD3}" name="Vía"/>
    <tableColumn id="7" xr3:uid="{44C1F4C4-079C-4E54-9A34-238D38B5D359}" name="Forma  de pago"/>
    <tableColumn id="8" xr3:uid="{140D0B3D-AD14-43BE-80C8-A82F93966B4D}" name="Divisa"/>
    <tableColumn id="9" xr3:uid="{F38E1127-BD29-4470-A5C4-0F112E9A2255}" name="$"/>
    <tableColumn id="10" xr3:uid="{C073DF38-D395-45E1-AF64-5F38F099F4E8}" name="Importe AR$" totalsRowFunction="sum" totalsRowDxfId="38" dataCellStyle="Moneda" totalsRowCellStyle="Moneda"/>
    <tableColumn id="11" xr3:uid="{8EE64F76-10C3-4366-8E1D-509B5657929D}" name="Importe U$D"/>
    <tableColumn id="12" xr3:uid="{44030B3E-E1D1-40DD-84F2-CA1289D0FFEF}" name="Obs."/>
    <tableColumn id="13" xr3:uid="{DACFD8F0-3119-471F-A75F-F6C0B0839AF6}" name="Fecha_Cheque"/>
    <tableColumn id="14" xr3:uid="{8D39E3C9-0741-4B14-A289-1877ADE46D12}" name="SemanaCh"/>
    <tableColumn id="15" xr3:uid="{EA7F3FE4-18E4-447C-93A2-FB41FF2B0625}" name="OP"/>
    <tableColumn id="16" xr3:uid="{DB6623EC-8ED8-4A60-A781-B1B9137E712D}" name="Estado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126CEF-C1E3-41CF-9D2F-A46201A0A6F0}" name="Tabla313" displayName="Tabla313" ref="A673:P700" totalsRowCount="1">
  <autoFilter ref="A673:P699" xr:uid="{F0126CEF-C1E3-41CF-9D2F-A46201A0A6F0}">
    <filterColumn colId="5">
      <filters>
        <filter val="2"/>
      </filters>
    </filterColumn>
    <filterColumn colId="9">
      <filters>
        <filter val="$ 200,000.00"/>
        <filter val="$ 700,000.00"/>
        <filter val="$ 800,000.00"/>
      </filters>
    </filterColumn>
  </autoFilter>
  <sortState xmlns:xlrd2="http://schemas.microsoft.com/office/spreadsheetml/2017/richdata2" ref="A674:P699">
    <sortCondition ref="J3:J29"/>
  </sortState>
  <tableColumns count="16">
    <tableColumn id="1" xr3:uid="{3EA603A9-ACF7-447A-9FB6-2952515AA64D}" name="Semana"/>
    <tableColumn id="2" xr3:uid="{202A9129-D3AC-491F-9C3B-09B3FF636A4B}" name="Proveedor"/>
    <tableColumn id="3" xr3:uid="{7C948FB1-7B29-443A-82EB-4947494B702D}" name="Descripción"/>
    <tableColumn id="4" xr3:uid="{75B322B1-DA89-4140-A6A6-E568AC4C8305}" name="FTP"/>
    <tableColumn id="5" xr3:uid="{5C87F5D4-FCB8-430B-BCC4-DEB1C504D065}" name="Rubro"/>
    <tableColumn id="6" xr3:uid="{7D5BFE17-3C2E-47B6-9CD2-243457EF85EA}" name="Vía"/>
    <tableColumn id="7" xr3:uid="{DB284B3F-FCC0-4029-BD81-E8E824ADF2CA}" name="Forma  de pago"/>
    <tableColumn id="8" xr3:uid="{1BFD516E-3664-4976-896E-74275F78C542}" name="Divisa"/>
    <tableColumn id="9" xr3:uid="{9B2FC490-B00B-4080-9F77-B4F94587B9C2}" name="$"/>
    <tableColumn id="10" xr3:uid="{401F6F2E-8944-43A4-9553-77C2B158D306}" name="Importe AR$" totalsRowFunction="sum" totalsRowDxfId="37" dataCellStyle="Moneda" totalsRowCellStyle="Moneda"/>
    <tableColumn id="11" xr3:uid="{29ECD0F0-1B51-4A95-8C0F-7B7E80164859}" name="Importe U$D"/>
    <tableColumn id="12" xr3:uid="{F29E447C-627C-4717-A7F0-5E18A3A1EF95}" name="Obs."/>
    <tableColumn id="13" xr3:uid="{A681ADD7-EDBA-4B19-A81A-538ACE813791}" name="Fecha_Cheque"/>
    <tableColumn id="14" xr3:uid="{DD9719FC-3254-48CD-9F4C-9E95250FA32D}" name="SemanaCh"/>
    <tableColumn id="15" xr3:uid="{B6B5D089-0D4D-4CAE-BC46-3E2EE58D9A78}" name="OP"/>
    <tableColumn id="16" xr3:uid="{BD0414A0-C017-42C5-924B-A78EF7DD9BCB}" name="Estado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4773637-9E36-4335-9A1F-5889A5290536}" name="Tabla36" displayName="Tabla36" ref="G703:J707" totalsRowShown="0" headerRowDxfId="36" dataDxfId="35">
  <autoFilter ref="G703:J707" xr:uid="{D4773637-9E36-4335-9A1F-5889A5290536}"/>
  <tableColumns count="4">
    <tableColumn id="1" xr3:uid="{6C121439-9780-4CED-9646-506F68DA7CF6}" name="Via" dataDxfId="34"/>
    <tableColumn id="2" xr3:uid="{18005122-B3DA-4996-BFB0-C51C6A40B4E4}" name="Columna1" dataDxfId="33"/>
    <tableColumn id="3" xr3:uid="{BE909BEE-F437-4A8E-A039-7F4BC367DA21}" name="Columna2" dataDxfId="32"/>
    <tableColumn id="4" xr3:uid="{20216FA8-6C7C-4936-B05B-3002C33B8CAA}" name="$" dataDxfId="31" dataCellStyle="Moneda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6FBE353-C43E-4B54-BA89-080005B16267}" name="Tabla4446" displayName="Tabla4446" ref="A710:P730" totalsRowCount="1">
  <autoFilter ref="A710:P729" xr:uid="{D6FBE353-C43E-4B54-BA89-080005B16267}">
    <filterColumn colId="5">
      <filters>
        <filter val="1"/>
      </filters>
    </filterColumn>
  </autoFilter>
  <sortState xmlns:xlrd2="http://schemas.microsoft.com/office/spreadsheetml/2017/richdata2" ref="A711:P729">
    <sortCondition ref="J3:J22"/>
  </sortState>
  <tableColumns count="16">
    <tableColumn id="1" xr3:uid="{E545B00A-6E07-4E46-8A34-7B70CCD79566}" name="Semana"/>
    <tableColumn id="2" xr3:uid="{009A6E19-19A6-4FBC-A1B5-210239A70CA9}" name="Proveedor"/>
    <tableColumn id="3" xr3:uid="{7700BFBF-A81E-416A-8CC3-5392C02A05AA}" name="Descripción"/>
    <tableColumn id="4" xr3:uid="{20355FCE-F316-4B9F-AE62-2D6661800112}" name="FTP"/>
    <tableColumn id="5" xr3:uid="{ACDCAB63-5D4D-4FFA-8DD5-B8A536DE4DD2}" name="Rubro"/>
    <tableColumn id="6" xr3:uid="{9E1C03B2-2D88-44CE-8C6B-618BDD6857AE}" name="Vía"/>
    <tableColumn id="7" xr3:uid="{75E525C9-D77E-4D58-81B9-DD4C2C33A891}" name="Forma  de pago"/>
    <tableColumn id="8" xr3:uid="{0E7A8C08-5EE1-4322-AF6D-C86A3E37D1A1}" name="Divisa"/>
    <tableColumn id="9" xr3:uid="{85F6844D-A6DE-408D-B935-69BD300BFD64}" name="$"/>
    <tableColumn id="10" xr3:uid="{A36EAE7D-38EF-43E2-8A5A-BF3DCBFFDC18}" name="Importe AR$" totalsRowFunction="sum" totalsRowDxfId="30" dataCellStyle="Moneda" totalsRowCellStyle="Moneda"/>
    <tableColumn id="11" xr3:uid="{DDBB92E0-CE6E-4902-8700-D70FCBEC6DB9}" name="Importe U$D"/>
    <tableColumn id="12" xr3:uid="{BB4E1B8B-338D-4216-B6BB-4630872EE160}" name="Obs."/>
    <tableColumn id="13" xr3:uid="{4C8CD4E7-207C-4B85-9781-C57EA8A97BAD}" name="Fecha_Cheque"/>
    <tableColumn id="14" xr3:uid="{21C1AF80-1F23-4F52-9521-18AE3F1E88E8}" name="SemanaCh"/>
    <tableColumn id="15" xr3:uid="{CB96662E-4A3A-45B6-B5B3-4306D05DFC9B}" name="OP"/>
    <tableColumn id="16" xr3:uid="{123A4B31-66E2-4293-A71C-896DA09D43E4}" name="Estado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22A54A9-745B-4B62-BA71-819E9BECCFDE}" name="Tabla4447" displayName="Tabla4447" ref="A732:P752" totalsRowCount="1">
  <autoFilter ref="A732:P751" xr:uid="{E22A54A9-745B-4B62-BA71-819E9BECCFDE}">
    <filterColumn colId="5">
      <filters>
        <filter val="2"/>
      </filters>
    </filterColumn>
  </autoFilter>
  <sortState xmlns:xlrd2="http://schemas.microsoft.com/office/spreadsheetml/2017/richdata2" ref="A733:P751">
    <sortCondition ref="J3:J22"/>
  </sortState>
  <tableColumns count="16">
    <tableColumn id="1" xr3:uid="{4AB471F3-A08C-4D18-91A0-4D1F08714200}" name="Semana"/>
    <tableColumn id="2" xr3:uid="{3705AF45-6BD1-4E3D-89FA-1E97EB1FB3D2}" name="Proveedor"/>
    <tableColumn id="3" xr3:uid="{3414326B-AEB5-42A0-91CF-55F495591A8A}" name="Descripción"/>
    <tableColumn id="4" xr3:uid="{D1F1472F-5F8E-43BA-AF3A-1C391C7F556C}" name="FTP"/>
    <tableColumn id="5" xr3:uid="{9869BD8A-C7CF-4663-A25A-878C7350A857}" name="Rubro"/>
    <tableColumn id="6" xr3:uid="{DF057974-7371-40CD-8F12-B0FBF39BE6FE}" name="Vía"/>
    <tableColumn id="7" xr3:uid="{09F48D1D-EEAE-4553-B38F-5516651C5718}" name="Forma  de pago"/>
    <tableColumn id="8" xr3:uid="{8A0EB95A-FF02-4459-806F-A1C93EBE1088}" name="Divisa"/>
    <tableColumn id="9" xr3:uid="{F75E37D3-E037-41D2-BE7F-4B5DAA4CFA0E}" name="$"/>
    <tableColumn id="10" xr3:uid="{DC1F0E5C-0BBB-4867-85F0-00DF44AE7AD4}" name="Importe AR$" totalsRowFunction="sum" totalsRowDxfId="29" dataCellStyle="Moneda" totalsRowCellStyle="Moneda"/>
    <tableColumn id="11" xr3:uid="{43E19404-4507-4535-B0DB-ABE9DB3BE204}" name="Importe U$D"/>
    <tableColumn id="12" xr3:uid="{5BDFB511-739F-4F77-9F71-2C6F2E0A13C1}" name="Obs."/>
    <tableColumn id="13" xr3:uid="{2D18289A-0884-4D91-ADE1-AF28665CB09E}" name="Fecha_Cheque"/>
    <tableColumn id="14" xr3:uid="{1B774002-C146-4CBB-AEF5-324DCB87B015}" name="SemanaCh"/>
    <tableColumn id="15" xr3:uid="{0D848478-DD45-415B-9A1B-524442C6B15F}" name="OP"/>
    <tableColumn id="16" xr3:uid="{83F273A7-2869-409A-ADEC-E303B94D17E4}" name="Estado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B397FFF-50C1-42F9-BAFE-2D1FF0676AB8}" name="Tabla4850" displayName="Tabla4850" ref="A757:P772" totalsRowCount="1">
  <autoFilter ref="A757:P771" xr:uid="{1B397FFF-50C1-42F9-BAFE-2D1FF0676AB8}">
    <filterColumn colId="5">
      <filters>
        <filter val="1"/>
      </filters>
    </filterColumn>
  </autoFilter>
  <sortState xmlns:xlrd2="http://schemas.microsoft.com/office/spreadsheetml/2017/richdata2" ref="A758:P771">
    <sortCondition ref="J3:J17"/>
  </sortState>
  <tableColumns count="16">
    <tableColumn id="1" xr3:uid="{5293208D-C9C2-4DFF-848B-731B727E52AD}" name="Semana"/>
    <tableColumn id="2" xr3:uid="{0F6C7241-848A-4197-9E26-C81FC5D1B6C3}" name="Proveedor"/>
    <tableColumn id="3" xr3:uid="{70944EEC-73DB-497F-938B-4823BA591591}" name="Descripción"/>
    <tableColumn id="4" xr3:uid="{3D66C1BC-F37C-4246-AE2E-A81CEC412933}" name="FTP"/>
    <tableColumn id="5" xr3:uid="{F7DEF6D9-0A26-4E78-93B6-FC9E758AF3CC}" name="Rubro"/>
    <tableColumn id="6" xr3:uid="{5A87E4BA-CD7C-4F75-A7D3-E07B933221A5}" name="Vía"/>
    <tableColumn id="7" xr3:uid="{22C9DA07-02CA-48ED-BB1A-5454628ABEE9}" name="Forma  de pago"/>
    <tableColumn id="8" xr3:uid="{E7D2CC5A-EE0F-4ADC-AFB9-CACB9E6D5389}" name="Divisa"/>
    <tableColumn id="9" xr3:uid="{9D126218-2076-45BD-B646-2CAE78F5A66D}" name="$"/>
    <tableColumn id="10" xr3:uid="{D64E2215-4233-46C9-808D-5EFECF625D6A}" name="Importe AR$" totalsRowFunction="sum" totalsRowDxfId="28" dataCellStyle="Moneda" totalsRowCellStyle="Moneda"/>
    <tableColumn id="11" xr3:uid="{9CC740AF-CFD8-439E-BDE9-EFD83A9400EA}" name="Importe U$D"/>
    <tableColumn id="12" xr3:uid="{BF14C663-BE25-454F-80B3-018DB5155EA2}" name="Obs."/>
    <tableColumn id="13" xr3:uid="{7A7EE655-083A-44F6-AC23-B28539269DB6}" name="Fecha_Cheque"/>
    <tableColumn id="14" xr3:uid="{772C4F5D-2C67-468E-A1B1-A3D01C2815A8}" name="SemanaCh"/>
    <tableColumn id="15" xr3:uid="{C7B07CB2-91AB-4D31-9F72-37109CFA17BF}" name="OP"/>
    <tableColumn id="16" xr3:uid="{CF9734AA-71CF-427C-86D3-318088B2E070}" name="Estado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060FD3E-E0F8-45F9-8519-9E11C5F0B520}" name="Tabla4851" displayName="Tabla4851" ref="A774:P789" totalsRowCount="1">
  <autoFilter ref="A774:P788" xr:uid="{C060FD3E-E0F8-45F9-8519-9E11C5F0B520}">
    <filterColumn colId="5">
      <filters>
        <filter val="2"/>
      </filters>
    </filterColumn>
  </autoFilter>
  <sortState xmlns:xlrd2="http://schemas.microsoft.com/office/spreadsheetml/2017/richdata2" ref="A775:P788">
    <sortCondition ref="J3:J17"/>
  </sortState>
  <tableColumns count="16">
    <tableColumn id="1" xr3:uid="{0532492B-9EAE-44EF-A901-372F4EE8A5FB}" name="Semana"/>
    <tableColumn id="2" xr3:uid="{FBAB9E7C-2CD0-4412-B96C-AB7FBB6F098F}" name="Proveedor"/>
    <tableColumn id="3" xr3:uid="{F3495403-9E06-471D-BCB6-8CDDFBBBDEE5}" name="Descripción"/>
    <tableColumn id="4" xr3:uid="{7CD889DC-E781-406B-AA6D-C3D873A74466}" name="FTP"/>
    <tableColumn id="5" xr3:uid="{1F9C9521-87B9-4403-B62A-8693EEAC1ACC}" name="Rubro"/>
    <tableColumn id="6" xr3:uid="{D30B254D-DB08-4EBE-8A73-895B07859F8E}" name="Vía"/>
    <tableColumn id="7" xr3:uid="{0A64A7F9-07D6-4782-B1A2-8E8617B74AD4}" name="Forma  de pago"/>
    <tableColumn id="8" xr3:uid="{364AF7F3-9F90-47B2-9AED-9C4221C0F40E}" name="Divisa"/>
    <tableColumn id="9" xr3:uid="{76B8814C-BE4D-4A06-9A1F-F20B03354DF4}" name="$"/>
    <tableColumn id="10" xr3:uid="{50FBFE5B-154E-4F5F-A1FC-461C7722571F}" name="Importe AR$" totalsRowFunction="sum" totalsRowDxfId="27" dataCellStyle="Moneda" totalsRowCellStyle="Moneda"/>
    <tableColumn id="11" xr3:uid="{63B0C94F-E2F5-4932-8033-EC414B1FED16}" name="Importe U$D"/>
    <tableColumn id="12" xr3:uid="{0D1F86E9-F8BC-49C5-93DB-6695E3EDE136}" name="Obs."/>
    <tableColumn id="13" xr3:uid="{0B53FE07-9D25-4F01-BD07-6C6740A837B2}" name="Fecha_Cheque"/>
    <tableColumn id="14" xr3:uid="{5A31F1F3-B31E-4751-AEBC-177CD1DC8514}" name="SemanaCh"/>
    <tableColumn id="15" xr3:uid="{A5A87F4D-17E0-4CAF-BE29-F68020E96AB8}" name="OP"/>
    <tableColumn id="16" xr3:uid="{473CCBC4-C671-4279-AFD2-DD2EB14F8D7D}" name="Estado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DA924-9AA4-4527-B9C3-EA26F7AFBFA1}" name="Tabla3" displayName="Tabla3" ref="R787:S789" totalsRowShown="0">
  <autoFilter ref="R787:S789" xr:uid="{D51DA924-9AA4-4527-B9C3-EA26F7AFBFA1}"/>
  <tableColumns count="2">
    <tableColumn id="1" xr3:uid="{593B4A95-ABEA-4047-BD69-EDC5953CB4C5}" name="Via"/>
    <tableColumn id="2" xr3:uid="{93A184E2-8097-4484-BD70-E75F7F6B87E3}" name="$" dataDxfId="26">
      <calculatedColumnFormula>Tabla4851[[#Totals],[Importe AR$]]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CD69A5C-DE72-48BA-960E-EEECE245EAAE}" name="Tabla5153" displayName="Tabla5153" ref="A802:P817" totalsRowCount="1">
  <autoFilter ref="A802:P816" xr:uid="{FCD69A5C-DE72-48BA-960E-EEECE245EAAE}">
    <filterColumn colId="5">
      <filters>
        <filter val="1"/>
      </filters>
    </filterColumn>
  </autoFilter>
  <sortState xmlns:xlrd2="http://schemas.microsoft.com/office/spreadsheetml/2017/richdata2" ref="A803:P816">
    <sortCondition ref="J3:J17"/>
  </sortState>
  <tableColumns count="16">
    <tableColumn id="1" xr3:uid="{9EBE85E3-CA98-467B-8D3A-86CD4EA93733}" name="Semana"/>
    <tableColumn id="2" xr3:uid="{15EAEECE-4CE3-4222-8FFA-D3B931938492}" name="Proveedor"/>
    <tableColumn id="3" xr3:uid="{BDF95B61-683D-45A9-AA9D-1BBF24F784E2}" name="Descripción"/>
    <tableColumn id="4" xr3:uid="{47C23196-09FB-4B5A-A394-832C66A4FE70}" name="FTP"/>
    <tableColumn id="5" xr3:uid="{8701F075-41AE-434D-8EBB-53D773F6A091}" name="Rubro"/>
    <tableColumn id="6" xr3:uid="{C4BAC521-4EA5-428B-8558-6E7EACAF5D56}" name="Vía"/>
    <tableColumn id="7" xr3:uid="{DE55ECAB-89C1-4DAE-83E4-3D76C6AB4407}" name="Forma  de pago"/>
    <tableColumn id="8" xr3:uid="{0E6C34D8-2D3F-4C68-93A8-A309B42010D8}" name="Divisa"/>
    <tableColumn id="9" xr3:uid="{71FB22B8-4D02-4816-8E3E-E5F24C65BDE1}" name="$"/>
    <tableColumn id="10" xr3:uid="{39DD4C5F-9465-4590-9EFD-412B6ABCDDE2}" name="Importe AR$" totalsRowFunction="sum" totalsRowDxfId="25" dataCellStyle="Moneda" totalsRowCellStyle="Moneda"/>
    <tableColumn id="11" xr3:uid="{DC46AEE0-CBC2-46F1-890A-647ACF49DB06}" name="Importe U$D"/>
    <tableColumn id="12" xr3:uid="{2611EC77-0BC4-4DC8-8A7F-48097447614D}" name="Obs."/>
    <tableColumn id="13" xr3:uid="{8EB69C85-7D93-46C2-BB0D-9BB08BA6B348}" name="Fecha_Cheque"/>
    <tableColumn id="14" xr3:uid="{FFFA93E2-B63F-4B77-A06C-886C27F51FD7}" name="SemanaCh"/>
    <tableColumn id="15" xr3:uid="{13FC9F37-0401-479F-8B7F-32D9373E1766}" name="OP"/>
    <tableColumn id="16" xr3:uid="{26E36724-2060-46EC-A0A1-7A5467A4934F}" name="Estado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17FA11E-82FD-4828-8BEE-E3727E8D77E6}" name="Tabla5154" displayName="Tabla5154" ref="A819:P834" totalsRowCount="1">
  <autoFilter ref="A819:P833" xr:uid="{D17FA11E-82FD-4828-8BEE-E3727E8D77E6}">
    <filterColumn colId="5">
      <filters>
        <filter val="2"/>
      </filters>
    </filterColumn>
  </autoFilter>
  <sortState xmlns:xlrd2="http://schemas.microsoft.com/office/spreadsheetml/2017/richdata2" ref="A820:P833">
    <sortCondition ref="J3:J17"/>
  </sortState>
  <tableColumns count="16">
    <tableColumn id="1" xr3:uid="{8E541854-204D-4066-9807-7A6586D56B21}" name="Semana"/>
    <tableColumn id="2" xr3:uid="{A55F3BC5-5500-48A3-B259-1A1CDB15B938}" name="Proveedor"/>
    <tableColumn id="3" xr3:uid="{EE3E1838-DDC6-4FD9-B96F-9F2E9874695B}" name="Descripción"/>
    <tableColumn id="4" xr3:uid="{1767453E-9FE5-482F-84F8-F576798E46E0}" name="FTP"/>
    <tableColumn id="5" xr3:uid="{E2E1AEC1-21CA-4DD4-98AA-82DE2C2074AE}" name="Rubro"/>
    <tableColumn id="6" xr3:uid="{05EF5ECE-C349-4BC6-B222-D85DD51ED3EB}" name="Vía"/>
    <tableColumn id="7" xr3:uid="{C5420678-6800-4DB6-A4DD-C2464AFE79B9}" name="Forma  de pago"/>
    <tableColumn id="8" xr3:uid="{EE14ABAD-F718-4A38-A2CB-6C58CE4024B1}" name="Divisa"/>
    <tableColumn id="9" xr3:uid="{D404EE10-7CBE-4BAD-A814-DA3108E2249A}" name="$"/>
    <tableColumn id="10" xr3:uid="{DDB2BFBF-24BC-4AB4-B284-AB0E1AE9E35A}" name="Importe AR$" totalsRowFunction="sum" totalsRowDxfId="24" dataCellStyle="Moneda" totalsRowCellStyle="Moneda"/>
    <tableColumn id="11" xr3:uid="{879FE3E2-4434-45C5-BFEA-86A320791684}" name="Importe U$D"/>
    <tableColumn id="12" xr3:uid="{2B781ECE-BAC9-433A-B7FB-653B2D33BF98}" name="Obs."/>
    <tableColumn id="13" xr3:uid="{35B6BA41-317C-445E-A916-8C582D2AF83E}" name="Fecha_Cheque"/>
    <tableColumn id="14" xr3:uid="{AA5AE92F-653E-4535-B3C9-96BDE210FD51}" name="SemanaCh"/>
    <tableColumn id="15" xr3:uid="{DE92FC22-95A3-4283-8469-FA3EBD754C8F}" name="OP"/>
    <tableColumn id="16" xr3:uid="{ECB23DAE-5B06-4094-8EB0-B7C8AE3B9A87}" name="Estado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CD2D1C0-03B3-4A1F-B9B4-BC7B336383DB}" name="Tabla4345" displayName="Tabla4345" ref="A839:P856" totalsRowCount="1">
  <autoFilter ref="A839:P855" xr:uid="{BCD2D1C0-03B3-4A1F-B9B4-BC7B336383DB}">
    <filterColumn colId="5">
      <filters>
        <filter val="1"/>
      </filters>
    </filterColumn>
  </autoFilter>
  <sortState xmlns:xlrd2="http://schemas.microsoft.com/office/spreadsheetml/2017/richdata2" ref="A840:P855">
    <sortCondition ref="J3:J19"/>
  </sortState>
  <tableColumns count="16">
    <tableColumn id="1" xr3:uid="{0AA0153D-1351-4CAE-B6E4-1B7A1A844461}" name="Semana"/>
    <tableColumn id="2" xr3:uid="{E053A626-3AF4-45D7-BECB-F714AABB1B84}" name="Proveedor"/>
    <tableColumn id="3" xr3:uid="{D3EF8FC5-79B0-450A-836A-4256A8D074E1}" name="Descripción"/>
    <tableColumn id="4" xr3:uid="{0E3AEA04-1F1A-48D3-BF70-B8EFA53B33CD}" name="FTP"/>
    <tableColumn id="5" xr3:uid="{EF997352-9B5E-4464-A458-6FEDD1898DD9}" name="Rubro"/>
    <tableColumn id="6" xr3:uid="{9F3634FD-08FC-4DCE-8EF0-3B4EA2A3DD2D}" name="Vía"/>
    <tableColumn id="7" xr3:uid="{25BAE400-2610-4DE6-BDC6-2A533E8A7B68}" name="Forma  de pago"/>
    <tableColumn id="8" xr3:uid="{A144B08A-1C59-461B-AB5E-B47D9ED689E5}" name="Divisa"/>
    <tableColumn id="9" xr3:uid="{041C6E9E-12E1-49DC-BD48-CF79647D657F}" name="$"/>
    <tableColumn id="10" xr3:uid="{5211018A-B0CB-4EA6-B1F0-D2EBDBEDA161}" name="Importe AR$" totalsRowFunction="sum" totalsRowDxfId="23" dataCellStyle="Moneda" totalsRowCellStyle="Moneda"/>
    <tableColumn id="11" xr3:uid="{607BF1B3-498E-44CA-B6F7-359808A02688}" name="Importe U$D"/>
    <tableColumn id="12" xr3:uid="{364296B4-62F5-44F4-B7E5-31EE0E6F62AA}" name="Obs."/>
    <tableColumn id="13" xr3:uid="{CF3E37FE-17DE-49DC-B09D-89FEDFB21792}" name="Fecha_Cheque"/>
    <tableColumn id="14" xr3:uid="{448968BE-A68B-49B8-A851-1D80CEB498DB}" name="SemanaCh"/>
    <tableColumn id="15" xr3:uid="{98234371-DE0C-4D9F-A2FB-A4DB6FF23118}" name="OP"/>
    <tableColumn id="16" xr3:uid="{639BD40D-6176-4D00-994A-BA2A65805711}" name="Estado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F170A9D-A0DF-455F-AA98-5E1C3E48990E}" name="Tabla4348" displayName="Tabla4348" ref="A858:P875" totalsRowCount="1">
  <autoFilter ref="A858:P874" xr:uid="{FF170A9D-A0DF-455F-AA98-5E1C3E48990E}">
    <filterColumn colId="5">
      <filters>
        <filter val="2"/>
      </filters>
    </filterColumn>
  </autoFilter>
  <sortState xmlns:xlrd2="http://schemas.microsoft.com/office/spreadsheetml/2017/richdata2" ref="A859:P874">
    <sortCondition ref="J3:J19"/>
  </sortState>
  <tableColumns count="16">
    <tableColumn id="1" xr3:uid="{8447B052-BB1D-4155-9F2A-4F108E348E9A}" name="Semana"/>
    <tableColumn id="2" xr3:uid="{0B5EE7DE-DCAC-4553-B15A-4A08A439DE75}" name="Proveedor"/>
    <tableColumn id="3" xr3:uid="{83F456F8-30AD-4FFC-A764-0C0F9437BCF8}" name="Descripción"/>
    <tableColumn id="4" xr3:uid="{01032D1A-A671-4DD2-A80D-C6337702A093}" name="FTP"/>
    <tableColumn id="5" xr3:uid="{DF48301C-A151-4A97-A537-EDA8F81B70DF}" name="Rubro"/>
    <tableColumn id="6" xr3:uid="{D5FC3AC5-DB80-4D78-BD3F-493553366931}" name="Vía"/>
    <tableColumn id="7" xr3:uid="{2947C6FC-F867-4EA4-AC70-89D9F39D1788}" name="Forma  de pago"/>
    <tableColumn id="8" xr3:uid="{C4AB25DF-F8C0-4013-AD35-A8D83CDCA812}" name="Divisa"/>
    <tableColumn id="9" xr3:uid="{385987B9-C7A1-4BCE-9621-C5577BFAAB5F}" name="$"/>
    <tableColumn id="10" xr3:uid="{8037CD1C-D195-4B7B-8AA7-D98884CB17B7}" name="Importe AR$" totalsRowFunction="sum" totalsRowDxfId="22" dataCellStyle="Moneda" totalsRowCellStyle="Moneda"/>
    <tableColumn id="11" xr3:uid="{435B733B-DE5B-48B9-A86C-4B3529D70A64}" name="Importe U$D"/>
    <tableColumn id="12" xr3:uid="{1AD71E17-C4F0-4CF0-8559-C1027FF800E5}" name="Obs."/>
    <tableColumn id="13" xr3:uid="{A0BBCF70-02A2-4F3D-B93A-F3B8ACCF5D61}" name="Fecha_Cheque"/>
    <tableColumn id="14" xr3:uid="{B8E1CA48-4D0F-4540-A25D-3F6B93AD0735}" name="SemanaCh"/>
    <tableColumn id="15" xr3:uid="{D4E3E4F3-8F5A-4FBA-9EC9-6F50B736A371}" name="OP"/>
    <tableColumn id="16" xr3:uid="{B78E59A9-4B22-4DFA-ACFD-602F1D858D8B}" name="Estado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79AFF09-1AA7-4DBD-B5FE-FE56709E1A4B}" name="Tabla5658" displayName="Tabla5658" ref="A880:P898" totalsRowCount="1">
  <autoFilter ref="A880:P897" xr:uid="{E79AFF09-1AA7-4DBD-B5FE-FE56709E1A4B}">
    <filterColumn colId="5">
      <filters>
        <filter val="1"/>
      </filters>
    </filterColumn>
  </autoFilter>
  <sortState xmlns:xlrd2="http://schemas.microsoft.com/office/spreadsheetml/2017/richdata2" ref="A881:P897">
    <sortCondition ref="J3:J20"/>
  </sortState>
  <tableColumns count="16">
    <tableColumn id="1" xr3:uid="{0FAB94E6-CEF8-403F-BBA5-D50A1FDC520E}" name="Semana"/>
    <tableColumn id="2" xr3:uid="{7A365FB6-4C2E-4933-8E47-A2A0677FED95}" name="Proveedor"/>
    <tableColumn id="3" xr3:uid="{D52E8789-95EA-492D-B476-C101FB2357CE}" name="Descripción"/>
    <tableColumn id="4" xr3:uid="{FD1EB28E-DF89-4A73-8360-CF34BD1201BE}" name="FTP"/>
    <tableColumn id="5" xr3:uid="{8709084D-872E-4E40-9EC8-E0776C67D754}" name="Rubro"/>
    <tableColumn id="6" xr3:uid="{754C8ADD-0A81-4CDE-979D-68A5D69A404E}" name="Vía"/>
    <tableColumn id="7" xr3:uid="{B9E5A184-88EB-4289-A4A5-3D28AB256334}" name="Forma  de pago"/>
    <tableColumn id="8" xr3:uid="{A8C770AD-F1F8-4A73-891E-D951C4DDCF0B}" name="Divisa"/>
    <tableColumn id="9" xr3:uid="{4986E5D2-B4AC-410E-8B5F-808326EC6815}" name="$"/>
    <tableColumn id="10" xr3:uid="{37861351-5D3D-46F9-8FA1-9B974B208E04}" name="Importe AR$" totalsRowFunction="sum" totalsRowDxfId="21" dataCellStyle="Moneda" totalsRowCellStyle="Moneda"/>
    <tableColumn id="11" xr3:uid="{6C16703C-87C5-425A-A5AE-CD9C453963E2}" name="Importe U$D"/>
    <tableColumn id="12" xr3:uid="{F40A9C1D-E83A-495C-B1CD-F124F788D8A5}" name="Obs."/>
    <tableColumn id="13" xr3:uid="{F6A679D6-05F8-4E2C-8727-35B8FFF561DC}" name="Fecha_Cheque"/>
    <tableColumn id="14" xr3:uid="{770365B1-415D-47E9-9B7F-3ECA3806D999}" name="SemanaCh"/>
    <tableColumn id="15" xr3:uid="{AF81DDDA-33BA-4418-A04D-22B1CC4F2194}" name="OP"/>
    <tableColumn id="16" xr3:uid="{793E3156-738C-4885-A8C1-BD7D5752EF76}" name="Estado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67C21AE-B4B1-4577-BF40-4E22B95594F1}" name="Tabla5659" displayName="Tabla5659" ref="A900:P917" totalsRowCount="1">
  <autoFilter ref="A900:P916" xr:uid="{267C21AE-B4B1-4577-BF40-4E22B95594F1}">
    <filterColumn colId="5">
      <filters>
        <filter val="2"/>
      </filters>
    </filterColumn>
  </autoFilter>
  <sortState xmlns:xlrd2="http://schemas.microsoft.com/office/spreadsheetml/2017/richdata2" ref="A901:P916">
    <sortCondition ref="J3:J20"/>
  </sortState>
  <tableColumns count="16">
    <tableColumn id="1" xr3:uid="{7E94AC06-B7D1-4F7E-B12C-EA1FA3749B1E}" name="Semana"/>
    <tableColumn id="2" xr3:uid="{AAD64386-09A5-4FD6-883A-1D8B06CC9122}" name="Proveedor"/>
    <tableColumn id="3" xr3:uid="{956544BD-00E0-4EB1-AB0E-335AD19F06DE}" name="Descripción"/>
    <tableColumn id="4" xr3:uid="{9DBBC0EC-5E0C-4D24-82BF-8915FE643DFA}" name="FTP"/>
    <tableColumn id="5" xr3:uid="{74EF6EE4-6396-43E5-9F5A-B38B54D46452}" name="Rubro"/>
    <tableColumn id="6" xr3:uid="{47F8E1D6-E5D8-411D-874E-C2791D969900}" name="Vía"/>
    <tableColumn id="7" xr3:uid="{F14D49B6-3F4C-4345-BF69-7C35DBE4B8BE}" name="Forma  de pago"/>
    <tableColumn id="8" xr3:uid="{744CCB95-5383-4455-867C-7705FEC4635E}" name="Divisa"/>
    <tableColumn id="9" xr3:uid="{F34F64FC-10BE-4E4C-8739-D4FFBD02FB30}" name="$"/>
    <tableColumn id="10" xr3:uid="{2DBDAE95-0095-4FE7-B682-3B7B6096F0D0}" name="Importe AR$" totalsRowFunction="sum" totalsRowDxfId="20" dataCellStyle="Moneda" totalsRowCellStyle="Moneda"/>
    <tableColumn id="11" xr3:uid="{50D6346A-3C6E-434C-A51F-89B62853ED2A}" name="Importe U$D"/>
    <tableColumn id="12" xr3:uid="{60A22BB3-EFE9-4869-A146-D9E83EDF174C}" name="Obs."/>
    <tableColumn id="13" xr3:uid="{B0D58D0E-A2A8-4CD1-AED2-0ED7C32F0C36}" name="Fecha_Cheque"/>
    <tableColumn id="14" xr3:uid="{23B453C3-3769-47D5-A51B-7B28B0F749D3}" name="SemanaCh"/>
    <tableColumn id="15" xr3:uid="{20FE6BBD-BD6B-4D00-8F1D-9599A71A7338}" name="OP"/>
    <tableColumn id="16" xr3:uid="{8CDCF7C5-8DB7-4D7C-9FF4-5A72FC76B644}" name="Estado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E837584-FB64-4298-8925-4083BCC757E0}" name="Tabla3840" displayName="Tabla3840" ref="A926:P942" totalsRowCount="1">
  <autoFilter ref="A926:P941" xr:uid="{CE837584-FB64-4298-8925-4083BCC757E0}">
    <filterColumn colId="5">
      <filters>
        <filter val="1"/>
      </filters>
    </filterColumn>
  </autoFilter>
  <sortState xmlns:xlrd2="http://schemas.microsoft.com/office/spreadsheetml/2017/richdata2" ref="A927:P941">
    <sortCondition ref="J3:J18"/>
  </sortState>
  <tableColumns count="16">
    <tableColumn id="1" xr3:uid="{824A8884-7BD2-4F3A-9959-A39AE2BB8B4B}" name="Semana"/>
    <tableColumn id="2" xr3:uid="{6F623AF5-C102-4D5E-A55A-3D4BEF582C25}" name="Proveedor"/>
    <tableColumn id="3" xr3:uid="{B66EA6CC-BBB0-40B2-873A-2AA4707E015B}" name="Descripción"/>
    <tableColumn id="4" xr3:uid="{4C14C9AF-4AB9-491A-9DD1-768EC144F811}" name="FTP"/>
    <tableColumn id="5" xr3:uid="{C4CC215A-48A0-4A79-B5B7-C873FAEFAF5B}" name="Rubro"/>
    <tableColumn id="6" xr3:uid="{11F4B6BA-3DDF-4B38-A485-A0F1A951A5A0}" name="Vía"/>
    <tableColumn id="7" xr3:uid="{7B3E23B1-7B09-4F3E-BC6C-2FAE4041E9E2}" name="Forma  de pago"/>
    <tableColumn id="8" xr3:uid="{8980036B-ED9A-4E90-BBCC-CF776C5E8E8C}" name="Divisa"/>
    <tableColumn id="9" xr3:uid="{C62504F1-6AE2-48C3-A407-F4C253D2406D}" name="$"/>
    <tableColumn id="10" xr3:uid="{A912D892-40AD-4EAA-BA0F-F03151CA90DE}" name="Importe AR$" totalsRowFunction="sum" totalsRowDxfId="19" dataCellStyle="Moneda" totalsRowCellStyle="Moneda"/>
    <tableColumn id="11" xr3:uid="{C30590B3-F9E1-4541-B4BF-C926206224B5}" name="Importe U$D"/>
    <tableColumn id="12" xr3:uid="{A05278AD-18DD-4A84-9F8E-AF55FD86316E}" name="Obs."/>
    <tableColumn id="13" xr3:uid="{465B45F6-D18A-483B-BEEE-CF844E269255}" name="Fecha_Cheque"/>
    <tableColumn id="14" xr3:uid="{D4C0DEF8-0BA5-4F41-A970-49DC0B80867F}" name="SemanaCh"/>
    <tableColumn id="15" xr3:uid="{28F3F172-A434-45A2-9247-D9AC856B0A25}" name="OP"/>
    <tableColumn id="16" xr3:uid="{23CBC558-2A0B-48CE-AD65-9F11E1874DD6}" name="Estado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D2F8213-54E8-4E24-B48A-5EAE03F16555}" name="Tabla3843" displayName="Tabla3843" ref="A944:P960" totalsRowCount="1">
  <autoFilter ref="A944:P959" xr:uid="{9D2F8213-54E8-4E24-B48A-5EAE03F16555}">
    <filterColumn colId="5">
      <filters>
        <filter val="2"/>
      </filters>
    </filterColumn>
  </autoFilter>
  <sortState xmlns:xlrd2="http://schemas.microsoft.com/office/spreadsheetml/2017/richdata2" ref="A945:P959">
    <sortCondition ref="J3:J18"/>
  </sortState>
  <tableColumns count="16">
    <tableColumn id="1" xr3:uid="{352916F4-D76E-433D-9165-8B6C681A3209}" name="Semana"/>
    <tableColumn id="2" xr3:uid="{51424441-8982-4E1F-8D6A-3578C6125754}" name="Proveedor"/>
    <tableColumn id="3" xr3:uid="{2D3BCDAA-271C-41B1-A33A-D2C1DD669E95}" name="Descripción"/>
    <tableColumn id="4" xr3:uid="{B0825E68-393B-4109-B947-00BFF49B5B8E}" name="FTP"/>
    <tableColumn id="5" xr3:uid="{6DCB4BE5-4CE4-47A7-94B9-2200E52EF42B}" name="Rubro"/>
    <tableColumn id="6" xr3:uid="{6B76F514-1772-4884-A7E9-FC6DC4FC85ED}" name="Vía"/>
    <tableColumn id="7" xr3:uid="{CD2AE877-3337-4717-8A53-6A4896715B3C}" name="Forma  de pago"/>
    <tableColumn id="8" xr3:uid="{C229443F-4379-4427-9F82-E1DD759C188F}" name="Divisa"/>
    <tableColumn id="9" xr3:uid="{035C8DC4-8ADB-478B-A9C6-AE2A581DB546}" name="$"/>
    <tableColumn id="10" xr3:uid="{9245BF2F-660E-4848-A2BF-A574CDC98D6B}" name="Importe AR$" totalsRowFunction="sum" totalsRowDxfId="18" dataCellStyle="Moneda" totalsRowCellStyle="Moneda"/>
    <tableColumn id="11" xr3:uid="{184F9004-AB44-4149-94B7-8F19BD1C39A5}" name="Importe U$D"/>
    <tableColumn id="12" xr3:uid="{D2B932EA-8263-4F25-BA72-FD09CCC42676}" name="Obs."/>
    <tableColumn id="13" xr3:uid="{7A29B93A-77E3-4BBC-A6E5-6D907D8BB895}" name="Fecha_Cheque"/>
    <tableColumn id="14" xr3:uid="{40394CE2-E3CA-4E05-AE8A-D85C758704F6}" name="SemanaCh"/>
    <tableColumn id="15" xr3:uid="{88CB954B-1C11-41F4-A313-BB0DCB701180}" name="OP"/>
    <tableColumn id="16" xr3:uid="{F01C80CE-BDF1-4D3B-A2E8-79051D991CF0}" name="Estado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DCE1E973-C3BC-406E-AADB-F5F05689732B}" name="Tabla5961" displayName="Tabla5961" ref="A965:P978" totalsRowCount="1">
  <autoFilter ref="A965:P977" xr:uid="{DCE1E973-C3BC-406E-AADB-F5F05689732B}">
    <filterColumn colId="5">
      <filters>
        <filter val="1"/>
      </filters>
    </filterColumn>
  </autoFilter>
  <sortState xmlns:xlrd2="http://schemas.microsoft.com/office/spreadsheetml/2017/richdata2" ref="A966:P977">
    <sortCondition ref="J3:J15"/>
  </sortState>
  <tableColumns count="16">
    <tableColumn id="1" xr3:uid="{CA2FFF33-6690-4A2D-895B-0F23C5739818}" name="Semana"/>
    <tableColumn id="2" xr3:uid="{D9152097-1B65-47D8-ADB4-BF70D17FE127}" name="Proveedor"/>
    <tableColumn id="3" xr3:uid="{8D468032-AC9A-497D-8F28-2280BDC8C65C}" name="Descripción"/>
    <tableColumn id="4" xr3:uid="{4114DB63-133D-446A-9C65-4C74FD5122BA}" name="FTP"/>
    <tableColumn id="5" xr3:uid="{A553B55E-EDB4-44FE-B5EA-A3F3B3073F6C}" name="Rubro"/>
    <tableColumn id="6" xr3:uid="{CCEDC6B1-A98C-4702-AE12-85C74799DC42}" name="Vía"/>
    <tableColumn id="7" xr3:uid="{7673E3A1-31B5-45DB-9220-428CACE6719B}" name="Forma  de pago"/>
    <tableColumn id="8" xr3:uid="{91C62D4D-79BC-43A8-BD00-27EED42F308A}" name="Divisa"/>
    <tableColumn id="9" xr3:uid="{62850355-6276-4932-9533-976E79CA4606}" name="$"/>
    <tableColumn id="10" xr3:uid="{612C04F0-B714-4CE9-AEC0-108F46A0A677}" name="Importe AR$" totalsRowFunction="sum" totalsRowDxfId="17" dataCellStyle="Moneda" totalsRowCellStyle="Moneda"/>
    <tableColumn id="11" xr3:uid="{E505ED9D-16F5-4354-9C96-6976E0CB8E0D}" name="Importe U$D"/>
    <tableColumn id="12" xr3:uid="{B81D2DAB-9840-472C-B320-5CDC02918DA4}" name="Obs."/>
    <tableColumn id="13" xr3:uid="{F2FE499D-C2B2-4691-BAAA-83D8BC3A111B}" name="Fecha_Cheque"/>
    <tableColumn id="14" xr3:uid="{B3434F08-07E1-4B9C-A863-E6424E526CE2}" name="SemanaCh"/>
    <tableColumn id="15" xr3:uid="{65F96893-B7C4-4FAA-9C1B-A1D71B866851}" name="OP"/>
    <tableColumn id="16" xr3:uid="{048B14F7-4F1A-4D61-958D-033EA246CBA0}" name="Estado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C947AA6-A469-475D-AD22-409EA59AC612}" name="Tabla5962" displayName="Tabla5962" ref="A980:P993" totalsRowCount="1">
  <autoFilter ref="A980:P992" xr:uid="{4C947AA6-A469-475D-AD22-409EA59AC612}">
    <filterColumn colId="5">
      <filters>
        <filter val="2"/>
      </filters>
    </filterColumn>
  </autoFilter>
  <sortState xmlns:xlrd2="http://schemas.microsoft.com/office/spreadsheetml/2017/richdata2" ref="A981:P992">
    <sortCondition ref="J3:J15"/>
  </sortState>
  <tableColumns count="16">
    <tableColumn id="1" xr3:uid="{BF712767-7431-4987-AFF2-B972A2838F56}" name="Semana"/>
    <tableColumn id="2" xr3:uid="{C3F47E9A-87E3-4522-800B-4CE24D82EC42}" name="Proveedor"/>
    <tableColumn id="3" xr3:uid="{D6A7BC81-601E-4341-99C3-3BC9B211A026}" name="Descripción"/>
    <tableColumn id="4" xr3:uid="{4BF346A8-29A1-4595-9641-0E1A75550771}" name="FTP"/>
    <tableColumn id="5" xr3:uid="{FC84DD18-44DF-43D5-89DE-5FAD68A1BA19}" name="Rubro"/>
    <tableColumn id="6" xr3:uid="{A43F2836-8BBD-41C3-B65E-6191CEC43143}" name="Vía"/>
    <tableColumn id="7" xr3:uid="{82E46427-10A9-4AF6-8383-22EC2E721FA7}" name="Forma  de pago"/>
    <tableColumn id="8" xr3:uid="{ACE427E7-BE84-4968-96BF-88564B3FD41B}" name="Divisa"/>
    <tableColumn id="9" xr3:uid="{0EDC3390-AF16-4F6E-9881-83A9884F1BF3}" name="$"/>
    <tableColumn id="10" xr3:uid="{8C15B6E8-268E-4DB8-85C6-C6A4194377F8}" name="Importe AR$" totalsRowFunction="sum" totalsRowDxfId="16" dataCellStyle="Moneda" totalsRowCellStyle="Moneda"/>
    <tableColumn id="11" xr3:uid="{5FE0EB66-A762-4821-8D66-DE2499AFA276}" name="Importe U$D"/>
    <tableColumn id="12" xr3:uid="{1D45AA05-C43F-4AA4-A515-235CE2CCF614}" name="Obs."/>
    <tableColumn id="13" xr3:uid="{A2FE0560-9C06-4550-A863-2BF234A51271}" name="Fecha_Cheque"/>
    <tableColumn id="14" xr3:uid="{2EF3D629-7514-4D96-8EAD-766FA673FC93}" name="SemanaCh"/>
    <tableColumn id="15" xr3:uid="{459F6004-77D4-40E1-9445-B894E61B1CF9}" name="OP"/>
    <tableColumn id="16" xr3:uid="{CDEB52D2-53BB-4610-8A7A-D9875DA61B79}" name="Estado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721DCAF-B7A4-4C2A-B57A-B03049365A55}" name="Tabla237" displayName="Tabla237" ref="A1004:P1018" totalsRowCount="1">
  <autoFilter ref="A1004:P1017" xr:uid="{C721DCAF-B7A4-4C2A-B57A-B03049365A55}">
    <filterColumn colId="5">
      <filters>
        <filter val="1"/>
      </filters>
    </filterColumn>
  </autoFilter>
  <sortState xmlns:xlrd2="http://schemas.microsoft.com/office/spreadsheetml/2017/richdata2" ref="A1005:P1017">
    <sortCondition ref="J3:J14"/>
  </sortState>
  <tableColumns count="16">
    <tableColumn id="1" xr3:uid="{A16EAF04-29D3-412F-AAD9-89BCA604AB2B}" name="Semana"/>
    <tableColumn id="2" xr3:uid="{29E2CBF9-01E2-45E4-BF8A-E869285188A6}" name="Proveedor"/>
    <tableColumn id="3" xr3:uid="{26678444-A403-4B67-AF9C-41DC6162A360}" name="Descripción"/>
    <tableColumn id="4" xr3:uid="{C8895BB4-4F35-45D5-896A-379A70B84E7C}" name="FTP"/>
    <tableColumn id="5" xr3:uid="{D2431ABC-BD31-4821-B36D-CBBD641A3DD6}" name="Rubro"/>
    <tableColumn id="6" xr3:uid="{A0F4A143-4ACA-4322-B7EE-314CBB202F43}" name="Vía"/>
    <tableColumn id="7" xr3:uid="{A1B24614-161B-42B2-AC30-F3D252D8943E}" name="Forma  de pago"/>
    <tableColumn id="8" xr3:uid="{87A8B082-B87D-4BA2-92EB-8921663E1F95}" name="Divisa"/>
    <tableColumn id="9" xr3:uid="{0E125B80-B0B5-4DC5-98BC-B5B4D6134A7D}" name="$"/>
    <tableColumn id="10" xr3:uid="{9C433A70-F3E5-45F1-91DD-C475B44BED60}" name="Importe AR$" totalsRowFunction="sum" totalsRowDxfId="1"/>
    <tableColumn id="11" xr3:uid="{11C5EAD3-88DF-43C3-A8AC-37F8A0A497F2}" name="Importe U$D"/>
    <tableColumn id="12" xr3:uid="{D94B1BC3-7892-4CAA-B1A0-B6369044B740}" name="Obs."/>
    <tableColumn id="13" xr3:uid="{5BD8054A-F40E-4BFE-88E4-BD9465858C7B}" name="Fecha_Cheque"/>
    <tableColumn id="14" xr3:uid="{B7C45951-C37D-4479-912A-751E0EDFEC31}" name="SemanaCh"/>
    <tableColumn id="15" xr3:uid="{F570325B-8932-408C-8298-D41F005CA4F1}" name="OP"/>
    <tableColumn id="16" xr3:uid="{288FC31D-7775-4805-AC6C-7DE37A384618}" name="Estado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A5C218C-2317-4FA5-97FE-76936ADC294B}" name="Tabla244" displayName="Tabla244" ref="A1020:P1033" totalsRowCount="1">
  <autoFilter ref="A1020:P1032" xr:uid="{7A5C218C-2317-4FA5-97FE-76936ADC294B}">
    <filterColumn colId="5">
      <filters>
        <filter val="2"/>
      </filters>
    </filterColumn>
  </autoFilter>
  <sortState xmlns:xlrd2="http://schemas.microsoft.com/office/spreadsheetml/2017/richdata2" ref="A1021:P1031">
    <sortCondition ref="J3:J14"/>
  </sortState>
  <tableColumns count="16">
    <tableColumn id="1" xr3:uid="{71E4C13D-A0D5-44C4-B3B7-6A762D8ABDDF}" name="Semana"/>
    <tableColumn id="2" xr3:uid="{707B81BC-5DB8-4E0A-BF80-161027947662}" name="Proveedor"/>
    <tableColumn id="3" xr3:uid="{FE85BC78-48FF-4715-8ABB-34812ED237DC}" name="Descripción"/>
    <tableColumn id="4" xr3:uid="{E8B396DB-1AA1-4799-BF2F-7528E38A4E7A}" name="FTP"/>
    <tableColumn id="5" xr3:uid="{991F4CC4-A1B5-4F42-971C-9E00CEBC06D8}" name="Rubro"/>
    <tableColumn id="6" xr3:uid="{54454C47-CD52-40DB-9BF3-E30585D23B3C}" name="Vía"/>
    <tableColumn id="7" xr3:uid="{324B5796-538B-43E1-935F-61A43C2A86E8}" name="Forma  de pago"/>
    <tableColumn id="8" xr3:uid="{6F093A0A-3AE4-4BF1-9653-11115A50F29F}" name="Divisa"/>
    <tableColumn id="9" xr3:uid="{29B9E822-E94E-481A-9DD8-6DA59FF583AB}" name="$"/>
    <tableColumn id="10" xr3:uid="{E647B3B2-0E05-40B6-944E-EB05537D5F97}" name="Importe AR$" totalsRowFunction="sum" totalsRowDxfId="0"/>
    <tableColumn id="11" xr3:uid="{9428C1B7-76F0-41A7-843E-54D6FC9F00EF}" name="Importe U$D"/>
    <tableColumn id="12" xr3:uid="{9DAB6C4A-391A-4C37-A3F4-041EDFC53C21}" name="Obs."/>
    <tableColumn id="13" xr3:uid="{C7714D2A-2162-4A0E-99BD-2FA8E20747A5}" name="Fecha_Cheque"/>
    <tableColumn id="14" xr3:uid="{2FC26672-2D7A-438C-BDFC-F0A1F30B0C7A}" name="SemanaCh"/>
    <tableColumn id="15" xr3:uid="{1226590C-C559-4679-BBF2-984566957126}" name="OP"/>
    <tableColumn id="16" xr3:uid="{C96ACEB9-E9AC-4C5D-B122-694B4E9642E4}" name="Estado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9E520D4-1289-4BD2-B503-6AAE6786F05E}" name="Tabla55" displayName="Tabla55" ref="S1020:T1029" totalsRowShown="0" headerRowDxfId="15">
  <autoFilter ref="S1020:T1029" xr:uid="{D9E520D4-1289-4BD2-B503-6AAE6786F05E}"/>
  <tableColumns count="2">
    <tableColumn id="1" xr3:uid="{D53705DF-A905-47ED-9A75-0D6D53AF8883}" name="Via"/>
    <tableColumn id="2" xr3:uid="{85C48D71-6934-4EAD-A43C-56B047ABFDDB}" name="$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4B2C6D-1F3D-4A76-BC94-C07D239F3854}" name="Tabla5" displayName="Tabla5" ref="A3:D20" totalsRowShown="0" headerRowDxfId="9" headerRowBorderDxfId="8" tableBorderDxfId="7" totalsRowBorderDxfId="6">
  <autoFilter ref="A3:D20" xr:uid="{484B2C6D-1F3D-4A76-BC94-C07D239F3854}"/>
  <tableColumns count="4">
    <tableColumn id="2" xr3:uid="{464734DE-CAC5-46F2-BCDD-99A002970D9C}" name="Proveedor" dataDxfId="5"/>
    <tableColumn id="3" xr3:uid="{902FA0D3-F167-43D7-9049-50514BB8F999}" name="Descripción" dataDxfId="4"/>
    <tableColumn id="4" xr3:uid="{19444C97-FA51-4F2F-988F-78F8B9C91042}" name="Forma  de pago" dataDxfId="3"/>
    <tableColumn id="5" xr3:uid="{5C1A55C9-073E-4BC6-BD4F-2FAEB1FB1C3C}" name="Importe AR$" dataDxfId="2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7" Type="http://schemas.openxmlformats.org/officeDocument/2006/relationships/table" Target="../tables/table6.xml"/><Relationship Id="rId2" Type="http://schemas.openxmlformats.org/officeDocument/2006/relationships/drawing" Target="../drawings/drawing2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3" Type="http://schemas.openxmlformats.org/officeDocument/2006/relationships/table" Target="../tables/table5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1B62-553C-4EA1-AF83-1F67ED3607DA}">
  <sheetPr>
    <tabColor theme="4"/>
    <pageSetUpPr fitToPage="1"/>
  </sheetPr>
  <dimension ref="A1:R4637"/>
  <sheetViews>
    <sheetView showGridLines="0" tabSelected="1" zoomScale="88" zoomScaleNormal="88" workbookViewId="0">
      <pane xSplit="2" ySplit="8" topLeftCell="C897" activePane="bottomRight" state="frozen"/>
      <selection pane="topRight" activeCell="J3085" sqref="J3085"/>
      <selection pane="bottomLeft" activeCell="J3085" sqref="J3085"/>
      <selection pane="bottomRight" activeCell="C1253" sqref="C1253"/>
    </sheetView>
  </sheetViews>
  <sheetFormatPr baseColWidth="10" defaultColWidth="11.42578125" defaultRowHeight="15" x14ac:dyDescent="0.25"/>
  <cols>
    <col min="1" max="1" width="13.28515625" bestFit="1" customWidth="1"/>
    <col min="2" max="2" width="32.7109375" customWidth="1"/>
    <col min="3" max="3" width="47" customWidth="1"/>
    <col min="4" max="4" width="7" customWidth="1"/>
    <col min="5" max="5" width="11.85546875" bestFit="1" customWidth="1"/>
    <col min="6" max="6" width="5.85546875" customWidth="1"/>
    <col min="7" max="7" width="22" customWidth="1"/>
    <col min="8" max="8" width="19" style="3" bestFit="1" customWidth="1"/>
    <col min="9" max="9" width="20.42578125" bestFit="1" customWidth="1"/>
    <col min="10" max="10" width="19.7109375" style="2" customWidth="1"/>
    <col min="11" max="11" width="19" style="51" bestFit="1" customWidth="1"/>
    <col min="12" max="12" width="22" customWidth="1"/>
    <col min="13" max="13" width="16.28515625" customWidth="1"/>
    <col min="14" max="14" width="15.5703125" style="3" bestFit="1" customWidth="1"/>
    <col min="15" max="15" width="16.140625" bestFit="1" customWidth="1"/>
    <col min="16" max="16" width="13.5703125" bestFit="1" customWidth="1"/>
    <col min="17" max="17" width="0.85546875" customWidth="1"/>
    <col min="18" max="18" width="21" customWidth="1"/>
    <col min="22" max="22" width="15.5703125" bestFit="1" customWidth="1"/>
  </cols>
  <sheetData>
    <row r="1" spans="1:18" x14ac:dyDescent="0.25">
      <c r="A1" s="62">
        <f ca="1">TODAY()</f>
        <v>46322</v>
      </c>
      <c r="B1" s="20" t="str">
        <f ca="1">_xlfn.CONCAT(YEAR(A1), "-", TEXT(WEEKNUM(A1), "00"))</f>
        <v>2026-44</v>
      </c>
      <c r="G1" s="5" t="str">
        <f ca="1">_xlfn.CONCAT("Pago Total Semana ",WEEKNUM(A1))</f>
        <v>Pago Total Semana 44</v>
      </c>
      <c r="H1" s="63">
        <f ca="1">SUMIFS(Gastos[Importe U$D],Gastos[Semana],B1,Gastos[Estado], "&lt;&gt;Pagado")</f>
        <v>1635868.0677729077</v>
      </c>
      <c r="I1" s="4">
        <f ca="1">SUMIFS(Gastos[Importe AR$],Gastos[Semana],B1,Gastos[Estado], "&lt;&gt;Pagado")</f>
        <v>2551954185.7257357</v>
      </c>
      <c r="J1" s="5" t="s">
        <v>0</v>
      </c>
      <c r="K1" s="6" t="s">
        <v>1</v>
      </c>
      <c r="L1" s="8"/>
      <c r="M1" s="60" t="s">
        <v>2</v>
      </c>
      <c r="N1" s="58">
        <v>1560</v>
      </c>
    </row>
    <row r="2" spans="1:18" x14ac:dyDescent="0.25">
      <c r="J2"/>
      <c r="K2" s="2"/>
      <c r="M2" s="61" t="s">
        <v>3</v>
      </c>
      <c r="N2" s="59">
        <v>1780</v>
      </c>
    </row>
    <row r="3" spans="1:18" x14ac:dyDescent="0.25">
      <c r="G3" s="7" t="s">
        <v>4</v>
      </c>
      <c r="H3" s="64">
        <f ca="1">SUMIFS(Gastos[Importe U$D],Gastos[Forma  de pago],G3,Gastos[Semana],B1,Gastos[Estado], "&lt;&gt;Pagado")</f>
        <v>2195.6523012820512</v>
      </c>
      <c r="I3" s="11">
        <f ca="1">SUMIFS(Gastos[Importe AR$],Gastos[Forma  de pago],G3,Gastos[Semana],B1,Gastos[Estado], "&lt;&gt;Pagado")</f>
        <v>3425217.5900000003</v>
      </c>
      <c r="J3" s="11">
        <f ca="1">SUMIFS(Gastos[Importe AR$],Gastos[Forma  de pago],G3,Gastos[Vía],1,Gastos[Semana],B1,Gastos[Estado], "&lt;&gt;Pagado")</f>
        <v>1145217.5899999999</v>
      </c>
      <c r="K3" s="11">
        <f ca="1">SUMIFS(Gastos[Importe AR$],Gastos[Forma  de pago],G3,Gastos[Vía],2,Gastos[Semana],B1,Gastos[Estado], "&lt;&gt;Pagado")</f>
        <v>2280000</v>
      </c>
      <c r="L3" s="9">
        <f ca="1">+I3-J3-K3</f>
        <v>0</v>
      </c>
      <c r="M3" s="68"/>
      <c r="N3" s="74">
        <f ca="1">+I3-5000000</f>
        <v>-1574782.4099999997</v>
      </c>
      <c r="O3" s="21"/>
      <c r="R3" s="8"/>
    </row>
    <row r="4" spans="1:18" x14ac:dyDescent="0.25">
      <c r="D4" s="3"/>
      <c r="E4" s="3"/>
      <c r="G4" s="1" t="s">
        <v>5</v>
      </c>
      <c r="H4" s="65">
        <f ca="1">SUMIFS(Gastos[Importe U$D],Gastos[Forma  de pago],G4,Gastos[Semana],B1,Gastos[Estado], "&lt;&gt;Pagado")</f>
        <v>242006.06663461533</v>
      </c>
      <c r="I4" s="12">
        <f ca="1">SUMIFS(Gastos[Importe AR$],Gastos[Forma  de pago],G4,Gastos[Semana],B1,Gastos[Estado], "&lt;&gt;Pagado")</f>
        <v>377529463.95000011</v>
      </c>
      <c r="J4" s="12">
        <f ca="1">SUMIFS(Gastos[Importe AR$],Gastos[Forma  de pago],G4,Gastos[Vía],1,Gastos[Semana],B1,Gastos[Estado], "&lt;&gt;Pagado")</f>
        <v>377529463.95000011</v>
      </c>
      <c r="K4" s="12">
        <f ca="1">SUMIFS(Gastos[Importe AR$],Gastos[Forma  de pago],G4,Gastos[Vía],2,Gastos[Semana],B1)</f>
        <v>0</v>
      </c>
      <c r="L4" s="9">
        <f ca="1">+I4-J4-K4</f>
        <v>0</v>
      </c>
      <c r="M4" s="9"/>
      <c r="O4" s="73">
        <f ca="1">+I4-25000000-6400000</f>
        <v>346129463.95000011</v>
      </c>
      <c r="R4" s="8"/>
    </row>
    <row r="5" spans="1:18" x14ac:dyDescent="0.25">
      <c r="G5" s="10" t="s">
        <v>6</v>
      </c>
      <c r="H5" s="66">
        <f ca="1">SUMIFS(Gastos[Importe U$D],Gastos[Forma  de pago],"Cheque",Gastos[Semana],B1,Gastos[Estado], "&lt;&gt;Pagado")</f>
        <v>1391666.3488370101</v>
      </c>
      <c r="I5" s="35">
        <f ca="1">SUMIFS(Gastos[Importe AR$],Gastos[Forma  de pago],"Cheque",Gastos[Semana],B1,Gastos[Estado], "&lt;&gt;Pagado")</f>
        <v>2170999504.1857357</v>
      </c>
      <c r="J5" s="13">
        <f ca="1">SUMIFS(Gastos[Importe AR$],Gastos[Forma  de pago],"Cheque",Gastos[Vía],1,Gastos[Semana],B1,Gastos[Estado], "&lt;&gt;Pagado")</f>
        <v>1631089710.9206197</v>
      </c>
      <c r="K5" s="13">
        <f ca="1">SUMIFS(Gastos[Importe AR$],Gastos[Forma  de pago],"Cheque",Gastos[Vía],2,Gastos[Semana],B1,Gastos[Estado], "&lt;&gt;Pagado")</f>
        <v>539909793.2651161</v>
      </c>
      <c r="L5" s="9">
        <f ca="1">+I5-J5-K5</f>
        <v>0</v>
      </c>
      <c r="M5" s="9"/>
      <c r="O5" s="8"/>
    </row>
    <row r="6" spans="1:18" x14ac:dyDescent="0.25">
      <c r="C6" s="41"/>
      <c r="H6" s="72">
        <f ca="1">SUM(H3:H5)-H1</f>
        <v>0</v>
      </c>
      <c r="I6" s="67">
        <f ca="1">SUM(I3:I5)-I1</f>
        <v>0</v>
      </c>
      <c r="J6" s="9"/>
      <c r="K6" s="52"/>
      <c r="L6" s="8"/>
    </row>
    <row r="8" spans="1:18" x14ac:dyDescent="0.25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8" t="s">
        <v>14</v>
      </c>
      <c r="I8" s="18" t="s">
        <v>15</v>
      </c>
      <c r="J8" s="15" t="s">
        <v>16</v>
      </c>
      <c r="K8" s="53" t="s">
        <v>17</v>
      </c>
      <c r="L8" s="14" t="s">
        <v>18</v>
      </c>
      <c r="M8" s="14" t="s">
        <v>19</v>
      </c>
      <c r="N8" s="14" t="s">
        <v>20</v>
      </c>
      <c r="O8" s="16" t="s">
        <v>21</v>
      </c>
      <c r="P8" s="22" t="s">
        <v>22</v>
      </c>
    </row>
    <row r="9" spans="1:18" hidden="1" x14ac:dyDescent="0.25">
      <c r="A9" s="3" t="s">
        <v>23</v>
      </c>
      <c r="B9" t="s">
        <v>24</v>
      </c>
      <c r="C9" t="s">
        <v>25</v>
      </c>
      <c r="D9" t="s">
        <v>26</v>
      </c>
      <c r="E9" t="s">
        <v>62</v>
      </c>
      <c r="F9">
        <v>1</v>
      </c>
      <c r="G9" s="3" t="s">
        <v>5</v>
      </c>
      <c r="H9" s="44" t="s">
        <v>15</v>
      </c>
      <c r="I9" s="17">
        <v>1156547.27</v>
      </c>
      <c r="J9" s="17">
        <f>IF(Gastos[[#This Row],[Divisa]]="$", I9*1, IF(Gastos[[#This Row],[Divisa]]="U$D", I9*$N$1, IF(Gastos[[#This Row],[Divisa]]="EUR", I9*$N$2, 0)))</f>
        <v>1156547.27</v>
      </c>
      <c r="K9" s="54">
        <f>Gastos[[#This Row],[Importe AR$]]/$N$1</f>
        <v>741.37645512820518</v>
      </c>
      <c r="M9" s="69"/>
      <c r="N9" s="43" t="str">
        <f>IF(Gastos[[#This Row],[Fecha_Cheque]]&gt;0,WEEKNUM(Gastos[[#This Row],[Fecha_Cheque]]),MID(Gastos[[#This Row],[Semana]],6,2))</f>
        <v>22</v>
      </c>
      <c r="P9" t="s">
        <v>27</v>
      </c>
    </row>
    <row r="10" spans="1:18" hidden="1" x14ac:dyDescent="0.25">
      <c r="A10" s="3" t="s">
        <v>28</v>
      </c>
      <c r="B10" t="s">
        <v>29</v>
      </c>
      <c r="C10" t="s">
        <v>30</v>
      </c>
      <c r="D10" t="s">
        <v>26</v>
      </c>
      <c r="E10" t="s">
        <v>31</v>
      </c>
      <c r="F10">
        <v>1</v>
      </c>
      <c r="G10" s="3" t="s">
        <v>32</v>
      </c>
      <c r="H10" s="46" t="s">
        <v>15</v>
      </c>
      <c r="I10" s="17">
        <f>1500*1897.5*1.21</f>
        <v>3443962.5</v>
      </c>
      <c r="J10" s="17">
        <f>IF(Gastos[[#This Row],[Divisa]]="$", I10*1, IF(Gastos[[#This Row],[Divisa]]="U$D", I10*$N$1, IF(Gastos[[#This Row],[Divisa]]="EUR", I10*$N$2, 0)))</f>
        <v>3443962.5</v>
      </c>
      <c r="K10" s="54">
        <f>Gastos[[#This Row],[Importe AR$]]/$N$1</f>
        <v>2207.6682692307691</v>
      </c>
      <c r="L10" t="s">
        <v>33</v>
      </c>
      <c r="M10" s="69"/>
      <c r="N10" s="43" t="str">
        <f>IF(Gastos[[#This Row],[Fecha_Cheque]]&gt;0,WEEKNUM(Gastos[[#This Row],[Fecha_Cheque]]),MID(Gastos[[#This Row],[Semana]],6,2))</f>
        <v>21</v>
      </c>
      <c r="P10" t="s">
        <v>27</v>
      </c>
    </row>
    <row r="11" spans="1:18" hidden="1" x14ac:dyDescent="0.25">
      <c r="A11" s="3" t="s">
        <v>34</v>
      </c>
      <c r="B11" t="s">
        <v>35</v>
      </c>
      <c r="C11" t="s">
        <v>36</v>
      </c>
      <c r="D11" t="s">
        <v>26</v>
      </c>
      <c r="E11" t="s">
        <v>31</v>
      </c>
      <c r="F11">
        <v>1</v>
      </c>
      <c r="G11" s="3" t="s">
        <v>32</v>
      </c>
      <c r="H11" s="46" t="s">
        <v>15</v>
      </c>
      <c r="I11" s="17">
        <v>235744.62</v>
      </c>
      <c r="J11" s="17">
        <f>IF(Gastos[[#This Row],[Divisa]]="$", I11*1, IF(Gastos[[#This Row],[Divisa]]="U$D", I11*$N$1, IF(Gastos[[#This Row],[Divisa]]="EUR", I11*$N$2, 0)))</f>
        <v>235744.62</v>
      </c>
      <c r="K11" s="54">
        <f>Gastos[[#This Row],[Importe AR$]]/$N$1</f>
        <v>151.11834615384615</v>
      </c>
      <c r="M11" s="69">
        <v>45899</v>
      </c>
      <c r="N11" s="43">
        <f>IF(Gastos[[#This Row],[Fecha_Cheque]]&gt;0,WEEKNUM(Gastos[[#This Row],[Fecha_Cheque]]),MID(Gastos[[#This Row],[Semana]],6,2))</f>
        <v>35</v>
      </c>
      <c r="O11" t="s">
        <v>37</v>
      </c>
      <c r="P11" t="s">
        <v>27</v>
      </c>
    </row>
    <row r="12" spans="1:18" hidden="1" x14ac:dyDescent="0.25">
      <c r="A12" s="3" t="s">
        <v>34</v>
      </c>
      <c r="B12" t="s">
        <v>35</v>
      </c>
      <c r="C12" t="s">
        <v>38</v>
      </c>
      <c r="D12" t="s">
        <v>26</v>
      </c>
      <c r="E12" t="s">
        <v>31</v>
      </c>
      <c r="F12">
        <v>1</v>
      </c>
      <c r="G12" s="3" t="s">
        <v>32</v>
      </c>
      <c r="H12" s="46" t="s">
        <v>15</v>
      </c>
      <c r="I12" s="17">
        <v>449630.84</v>
      </c>
      <c r="J12" s="17">
        <f>IF(Gastos[[#This Row],[Divisa]]="$", I12*1, IF(Gastos[[#This Row],[Divisa]]="U$D", I12*$N$1, IF(Gastos[[#This Row],[Divisa]]="EUR", I12*$N$2, 0)))</f>
        <v>449630.84</v>
      </c>
      <c r="K12" s="54">
        <f>Gastos[[#This Row],[Importe AR$]]/$N$1</f>
        <v>288.22489743589745</v>
      </c>
      <c r="M12" s="69">
        <v>45877</v>
      </c>
      <c r="N12" s="43">
        <f>IF(Gastos[[#This Row],[Fecha_Cheque]]&gt;0,WEEKNUM(Gastos[[#This Row],[Fecha_Cheque]]),MID(Gastos[[#This Row],[Semana]],6,2))</f>
        <v>32</v>
      </c>
      <c r="O12" t="s">
        <v>37</v>
      </c>
      <c r="P12" t="s">
        <v>27</v>
      </c>
    </row>
    <row r="13" spans="1:18" hidden="1" x14ac:dyDescent="0.25">
      <c r="A13" s="3" t="s">
        <v>34</v>
      </c>
      <c r="B13" t="s">
        <v>35</v>
      </c>
      <c r="C13" t="s">
        <v>38</v>
      </c>
      <c r="D13" t="s">
        <v>26</v>
      </c>
      <c r="E13" t="s">
        <v>31</v>
      </c>
      <c r="F13">
        <v>1</v>
      </c>
      <c r="G13" s="3" t="s">
        <v>32</v>
      </c>
      <c r="H13" s="46" t="s">
        <v>15</v>
      </c>
      <c r="I13" s="17">
        <v>758756.25</v>
      </c>
      <c r="J13" s="17">
        <f>IF(Gastos[[#This Row],[Divisa]]="$", I13*1, IF(Gastos[[#This Row],[Divisa]]="U$D", I13*$N$1, IF(Gastos[[#This Row],[Divisa]]="EUR", I13*$N$2, 0)))</f>
        <v>758756.25</v>
      </c>
      <c r="K13" s="54">
        <f>Gastos[[#This Row],[Importe AR$]]/$N$1</f>
        <v>486.38221153846155</v>
      </c>
      <c r="M13" s="69">
        <v>45889</v>
      </c>
      <c r="N13" s="43">
        <f>IF(Gastos[[#This Row],[Fecha_Cheque]]&gt;0,WEEKNUM(Gastos[[#This Row],[Fecha_Cheque]]),MID(Gastos[[#This Row],[Semana]],6,2))</f>
        <v>34</v>
      </c>
      <c r="O13" t="s">
        <v>37</v>
      </c>
      <c r="P13" t="s">
        <v>27</v>
      </c>
    </row>
    <row r="14" spans="1:18" hidden="1" x14ac:dyDescent="0.25">
      <c r="A14" s="3" t="s">
        <v>34</v>
      </c>
      <c r="B14" t="s">
        <v>35</v>
      </c>
      <c r="C14" t="s">
        <v>38</v>
      </c>
      <c r="D14" t="s">
        <v>26</v>
      </c>
      <c r="E14" t="s">
        <v>31</v>
      </c>
      <c r="F14">
        <v>1</v>
      </c>
      <c r="G14" s="3" t="s">
        <v>32</v>
      </c>
      <c r="H14" s="46" t="s">
        <v>15</v>
      </c>
      <c r="I14" s="17">
        <v>863160</v>
      </c>
      <c r="J14" s="17">
        <f>IF(Gastos[[#This Row],[Divisa]]="$", I14*1, IF(Gastos[[#This Row],[Divisa]]="U$D", I14*$N$1, IF(Gastos[[#This Row],[Divisa]]="EUR", I14*$N$2, 0)))</f>
        <v>863160</v>
      </c>
      <c r="K14" s="54">
        <f>Gastos[[#This Row],[Importe AR$]]/$N$1</f>
        <v>553.30769230769226</v>
      </c>
      <c r="M14" s="69">
        <v>45877</v>
      </c>
      <c r="N14" s="43">
        <f>IF(Gastos[[#This Row],[Fecha_Cheque]]&gt;0,WEEKNUM(Gastos[[#This Row],[Fecha_Cheque]]),MID(Gastos[[#This Row],[Semana]],6,2))</f>
        <v>32</v>
      </c>
      <c r="O14" t="s">
        <v>37</v>
      </c>
      <c r="P14" t="s">
        <v>27</v>
      </c>
    </row>
    <row r="15" spans="1:18" hidden="1" x14ac:dyDescent="0.25">
      <c r="A15" s="3" t="s">
        <v>34</v>
      </c>
      <c r="B15" t="s">
        <v>35</v>
      </c>
      <c r="C15" t="s">
        <v>38</v>
      </c>
      <c r="D15" t="s">
        <v>26</v>
      </c>
      <c r="E15" t="s">
        <v>31</v>
      </c>
      <c r="F15">
        <v>1</v>
      </c>
      <c r="G15" s="3" t="s">
        <v>32</v>
      </c>
      <c r="H15" s="46" t="s">
        <v>15</v>
      </c>
      <c r="I15" s="17">
        <v>308524.02</v>
      </c>
      <c r="J15" s="17">
        <f>IF(Gastos[[#This Row],[Divisa]]="$", I15*1, IF(Gastos[[#This Row],[Divisa]]="U$D", I15*$N$1, IF(Gastos[[#This Row],[Divisa]]="EUR", I15*$N$2, 0)))</f>
        <v>308524.02</v>
      </c>
      <c r="K15" s="54">
        <f>Gastos[[#This Row],[Importe AR$]]/$N$1</f>
        <v>197.7718076923077</v>
      </c>
      <c r="M15" s="69">
        <v>45889</v>
      </c>
      <c r="N15" s="43">
        <f>IF(Gastos[[#This Row],[Fecha_Cheque]]&gt;0,WEEKNUM(Gastos[[#This Row],[Fecha_Cheque]]),MID(Gastos[[#This Row],[Semana]],6,2))</f>
        <v>34</v>
      </c>
      <c r="O15" t="s">
        <v>37</v>
      </c>
      <c r="P15" t="s">
        <v>27</v>
      </c>
    </row>
    <row r="16" spans="1:18" x14ac:dyDescent="0.25">
      <c r="A16" s="3" t="s">
        <v>4655</v>
      </c>
      <c r="B16" t="s">
        <v>35</v>
      </c>
      <c r="C16" t="s">
        <v>2727</v>
      </c>
      <c r="D16" t="s">
        <v>26</v>
      </c>
      <c r="E16" t="s">
        <v>62</v>
      </c>
      <c r="F16">
        <v>1</v>
      </c>
      <c r="G16" s="3" t="s">
        <v>32</v>
      </c>
      <c r="H16" s="46" t="s">
        <v>15</v>
      </c>
      <c r="I16" s="17">
        <v>1223150</v>
      </c>
      <c r="J16" s="17">
        <f>IF(Gastos[[#This Row],[Divisa]]="$", I16*1, IF(Gastos[[#This Row],[Divisa]]="U$D", I16*$N$1, IF(Gastos[[#This Row],[Divisa]]="EUR", I16*$N$2, 0)))</f>
        <v>1223150</v>
      </c>
      <c r="K16" s="54">
        <f>Gastos[[#This Row],[Importe AR$]]/$N$1</f>
        <v>784.07051282051282</v>
      </c>
      <c r="M16" s="69"/>
      <c r="N16" s="43" t="str">
        <f>IF(Gastos[[#This Row],[Fecha_Cheque]]&gt;0,WEEKNUM(Gastos[[#This Row],[Fecha_Cheque]]),MID(Gastos[[#This Row],[Semana]],6,2))</f>
        <v>44</v>
      </c>
    </row>
    <row r="17" spans="1:16" hidden="1" x14ac:dyDescent="0.25">
      <c r="A17" s="3" t="s">
        <v>44</v>
      </c>
      <c r="B17" t="s">
        <v>45</v>
      </c>
      <c r="C17" t="s">
        <v>46</v>
      </c>
      <c r="D17" t="s">
        <v>26</v>
      </c>
      <c r="E17" t="s">
        <v>31</v>
      </c>
      <c r="F17">
        <v>1</v>
      </c>
      <c r="G17" s="3" t="s">
        <v>32</v>
      </c>
      <c r="H17" s="46" t="s">
        <v>15</v>
      </c>
      <c r="I17" s="17">
        <v>30040792.210000001</v>
      </c>
      <c r="J17" s="17">
        <f>IF(Gastos[[#This Row],[Divisa]]="$", I17*1, IF(Gastos[[#This Row],[Divisa]]="U$D", I17*$N$1, IF(Gastos[[#This Row],[Divisa]]="EUR", I17*$N$2, 0)))</f>
        <v>30040792.210000001</v>
      </c>
      <c r="K17" s="54">
        <f>Gastos[[#This Row],[Importe AR$]]/$N$1</f>
        <v>19256.918083333334</v>
      </c>
      <c r="M17" s="69">
        <v>46038</v>
      </c>
      <c r="N17" s="43">
        <f>IF(Gastos[[#This Row],[Fecha_Cheque]]&gt;0,WEEKNUM(Gastos[[#This Row],[Fecha_Cheque]]),MID(Gastos[[#This Row],[Semana]],6,2))</f>
        <v>3</v>
      </c>
      <c r="O17" t="s">
        <v>47</v>
      </c>
      <c r="P17" t="s">
        <v>27</v>
      </c>
    </row>
    <row r="18" spans="1:16" hidden="1" x14ac:dyDescent="0.25">
      <c r="A18" s="3" t="s">
        <v>44</v>
      </c>
      <c r="B18" t="s">
        <v>45</v>
      </c>
      <c r="C18" t="s">
        <v>48</v>
      </c>
      <c r="D18" t="s">
        <v>26</v>
      </c>
      <c r="E18" t="s">
        <v>31</v>
      </c>
      <c r="F18">
        <v>1</v>
      </c>
      <c r="G18" s="3" t="s">
        <v>32</v>
      </c>
      <c r="H18" s="46" t="s">
        <v>15</v>
      </c>
      <c r="I18" s="17">
        <v>29363152</v>
      </c>
      <c r="J18" s="17">
        <f>IF(Gastos[[#This Row],[Divisa]]="$", I18*1, IF(Gastos[[#This Row],[Divisa]]="U$D", I18*$N$1, IF(Gastos[[#This Row],[Divisa]]="EUR", I18*$N$2, 0)))</f>
        <v>29363152</v>
      </c>
      <c r="K18" s="54">
        <f>Gastos[[#This Row],[Importe AR$]]/$N$1</f>
        <v>18822.533333333333</v>
      </c>
      <c r="M18" s="69">
        <v>46038</v>
      </c>
      <c r="N18" s="43">
        <f>IF(Gastos[[#This Row],[Fecha_Cheque]]&gt;0,WEEKNUM(Gastos[[#This Row],[Fecha_Cheque]]),MID(Gastos[[#This Row],[Semana]],6,2))</f>
        <v>3</v>
      </c>
      <c r="O18" t="s">
        <v>49</v>
      </c>
      <c r="P18" t="s">
        <v>27</v>
      </c>
    </row>
    <row r="19" spans="1:16" hidden="1" x14ac:dyDescent="0.25">
      <c r="A19" s="3" t="s">
        <v>53</v>
      </c>
      <c r="B19" t="s">
        <v>51</v>
      </c>
      <c r="C19" t="s">
        <v>54</v>
      </c>
      <c r="D19" t="s">
        <v>26</v>
      </c>
      <c r="E19" t="s">
        <v>42</v>
      </c>
      <c r="F19">
        <v>1</v>
      </c>
      <c r="G19" s="3" t="s">
        <v>4</v>
      </c>
      <c r="H19" s="46" t="s">
        <v>15</v>
      </c>
      <c r="I19" s="17">
        <v>120500</v>
      </c>
      <c r="J19" s="17">
        <f>IF(Gastos[[#This Row],[Divisa]]="$", I19*1, IF(Gastos[[#This Row],[Divisa]]="U$D", I19*$N$1, IF(Gastos[[#This Row],[Divisa]]="EUR", I19*$N$2, 0)))</f>
        <v>120500</v>
      </c>
      <c r="K19" s="54">
        <f>Gastos[[#This Row],[Importe AR$]]/$N$1</f>
        <v>77.243589743589737</v>
      </c>
      <c r="M19" s="69"/>
      <c r="N19" s="43" t="str">
        <f>IF(Gastos[[#This Row],[Fecha_Cheque]]&gt;0,WEEKNUM(Gastos[[#This Row],[Fecha_Cheque]]),MID(Gastos[[#This Row],[Semana]],6,2))</f>
        <v>34</v>
      </c>
      <c r="O19" t="s">
        <v>55</v>
      </c>
      <c r="P19" t="s">
        <v>27</v>
      </c>
    </row>
    <row r="20" spans="1:16" hidden="1" x14ac:dyDescent="0.25">
      <c r="A20" s="3" t="s">
        <v>56</v>
      </c>
      <c r="B20" t="s">
        <v>57</v>
      </c>
      <c r="C20" t="s">
        <v>58</v>
      </c>
      <c r="D20" t="s">
        <v>26</v>
      </c>
      <c r="E20" t="s">
        <v>31</v>
      </c>
      <c r="F20">
        <v>1</v>
      </c>
      <c r="G20" s="3" t="s">
        <v>5</v>
      </c>
      <c r="H20" s="46" t="s">
        <v>15</v>
      </c>
      <c r="I20" s="17">
        <v>2056690</v>
      </c>
      <c r="J20" s="17">
        <f>IF(Gastos[[#This Row],[Divisa]]="$", I20*1, IF(Gastos[[#This Row],[Divisa]]="U$D", I20*$N$1, IF(Gastos[[#This Row],[Divisa]]="EUR", I20*$N$2, 0)))</f>
        <v>2056690</v>
      </c>
      <c r="K20" s="54">
        <f>Gastos[[#This Row],[Importe AR$]]/$N$1</f>
        <v>1318.3910256410256</v>
      </c>
      <c r="M20" s="69">
        <v>45994</v>
      </c>
      <c r="N20" s="43">
        <f>IF(Gastos[[#This Row],[Fecha_Cheque]]&gt;0,WEEKNUM(Gastos[[#This Row],[Fecha_Cheque]]),MID(Gastos[[#This Row],[Semana]],6,2))</f>
        <v>49</v>
      </c>
      <c r="O20" t="s">
        <v>59</v>
      </c>
      <c r="P20" t="s">
        <v>27</v>
      </c>
    </row>
    <row r="21" spans="1:16" hidden="1" x14ac:dyDescent="0.25">
      <c r="A21" s="3" t="s">
        <v>60</v>
      </c>
      <c r="B21" t="s">
        <v>57</v>
      </c>
      <c r="C21" t="s">
        <v>58</v>
      </c>
      <c r="D21" t="s">
        <v>61</v>
      </c>
      <c r="E21" t="s">
        <v>62</v>
      </c>
      <c r="F21">
        <v>1</v>
      </c>
      <c r="G21" s="3" t="s">
        <v>32</v>
      </c>
      <c r="H21" s="46" t="s">
        <v>15</v>
      </c>
      <c r="I21" s="17">
        <v>2500000</v>
      </c>
      <c r="J21" s="17">
        <f>IF(Gastos[[#This Row],[Divisa]]="$", I21*1, IF(Gastos[[#This Row],[Divisa]]="U$D", I21*$N$1, IF(Gastos[[#This Row],[Divisa]]="EUR", I21*$N$2, 0)))</f>
        <v>2500000</v>
      </c>
      <c r="K21" s="54">
        <f>Gastos[[#This Row],[Importe AR$]]/$N$1</f>
        <v>1602.5641025641025</v>
      </c>
      <c r="M21" s="69">
        <v>45989</v>
      </c>
      <c r="N21" s="43">
        <f>IF(Gastos[[#This Row],[Fecha_Cheque]]&gt;0,WEEKNUM(Gastos[[#This Row],[Fecha_Cheque]]),MID(Gastos[[#This Row],[Semana]],6,2))</f>
        <v>48</v>
      </c>
      <c r="O21" t="s">
        <v>63</v>
      </c>
      <c r="P21" t="s">
        <v>27</v>
      </c>
    </row>
    <row r="22" spans="1:16" hidden="1" x14ac:dyDescent="0.25">
      <c r="A22" s="3" t="s">
        <v>60</v>
      </c>
      <c r="B22" t="s">
        <v>57</v>
      </c>
      <c r="C22" t="s">
        <v>58</v>
      </c>
      <c r="D22" t="s">
        <v>61</v>
      </c>
      <c r="E22" t="s">
        <v>62</v>
      </c>
      <c r="F22">
        <v>1</v>
      </c>
      <c r="G22" s="3" t="s">
        <v>32</v>
      </c>
      <c r="H22" s="46" t="s">
        <v>15</v>
      </c>
      <c r="I22" s="17">
        <v>271968.40999999997</v>
      </c>
      <c r="J22" s="17">
        <f>IF(Gastos[[#This Row],[Divisa]]="$", I22*1, IF(Gastos[[#This Row],[Divisa]]="U$D", I22*$N$1, IF(Gastos[[#This Row],[Divisa]]="EUR", I22*$N$2, 0)))</f>
        <v>271968.40999999997</v>
      </c>
      <c r="K22" s="54">
        <f>Gastos[[#This Row],[Importe AR$]]/$N$1</f>
        <v>174.33872435897433</v>
      </c>
      <c r="M22" s="69">
        <v>45989</v>
      </c>
      <c r="N22" s="43">
        <f>IF(Gastos[[#This Row],[Fecha_Cheque]]&gt;0,WEEKNUM(Gastos[[#This Row],[Fecha_Cheque]]),MID(Gastos[[#This Row],[Semana]],6,2))</f>
        <v>48</v>
      </c>
      <c r="O22" t="s">
        <v>63</v>
      </c>
      <c r="P22" t="s">
        <v>27</v>
      </c>
    </row>
    <row r="23" spans="1:16" hidden="1" x14ac:dyDescent="0.25">
      <c r="A23" s="3" t="s">
        <v>60</v>
      </c>
      <c r="B23" t="s">
        <v>57</v>
      </c>
      <c r="C23" t="s">
        <v>58</v>
      </c>
      <c r="D23" t="s">
        <v>61</v>
      </c>
      <c r="E23" t="s">
        <v>62</v>
      </c>
      <c r="F23">
        <v>1</v>
      </c>
      <c r="G23" s="3" t="s">
        <v>32</v>
      </c>
      <c r="H23" s="46" t="s">
        <v>15</v>
      </c>
      <c r="I23" s="17">
        <v>318378.06</v>
      </c>
      <c r="J23" s="17">
        <f>IF(Gastos[[#This Row],[Divisa]]="$", I23*1, IF(Gastos[[#This Row],[Divisa]]="U$D", I23*$N$1, IF(Gastos[[#This Row],[Divisa]]="EUR", I23*$N$2, 0)))</f>
        <v>318378.06</v>
      </c>
      <c r="K23" s="54">
        <f>Gastos[[#This Row],[Importe AR$]]/$N$1</f>
        <v>204.08850000000001</v>
      </c>
      <c r="M23" s="69">
        <v>45996</v>
      </c>
      <c r="N23" s="43">
        <f>IF(Gastos[[#This Row],[Fecha_Cheque]]&gt;0,WEEKNUM(Gastos[[#This Row],[Fecha_Cheque]]),MID(Gastos[[#This Row],[Semana]],6,2))</f>
        <v>49</v>
      </c>
      <c r="O23" t="s">
        <v>63</v>
      </c>
      <c r="P23" t="s">
        <v>27</v>
      </c>
    </row>
    <row r="24" spans="1:16" hidden="1" x14ac:dyDescent="0.25">
      <c r="A24" s="3" t="s">
        <v>60</v>
      </c>
      <c r="B24" t="s">
        <v>57</v>
      </c>
      <c r="C24" t="s">
        <v>58</v>
      </c>
      <c r="D24" t="s">
        <v>61</v>
      </c>
      <c r="E24" t="s">
        <v>62</v>
      </c>
      <c r="F24">
        <v>1</v>
      </c>
      <c r="G24" s="3" t="s">
        <v>32</v>
      </c>
      <c r="H24" s="46" t="s">
        <v>15</v>
      </c>
      <c r="I24" s="17">
        <v>12828155.74</v>
      </c>
      <c r="J24" s="17">
        <f>IF(Gastos[[#This Row],[Divisa]]="$", I24*1, IF(Gastos[[#This Row],[Divisa]]="U$D", I24*$N$1, IF(Gastos[[#This Row],[Divisa]]="EUR", I24*$N$2, 0)))</f>
        <v>12828155.74</v>
      </c>
      <c r="K24" s="54">
        <f>Gastos[[#This Row],[Importe AR$]]/$N$1</f>
        <v>8223.1767564102574</v>
      </c>
      <c r="M24" s="69">
        <v>45988</v>
      </c>
      <c r="N24" s="43">
        <f>IF(Gastos[[#This Row],[Fecha_Cheque]]&gt;0,WEEKNUM(Gastos[[#This Row],[Fecha_Cheque]]),MID(Gastos[[#This Row],[Semana]],6,2))</f>
        <v>48</v>
      </c>
      <c r="O24" t="s">
        <v>63</v>
      </c>
      <c r="P24" t="s">
        <v>27</v>
      </c>
    </row>
    <row r="25" spans="1:16" hidden="1" x14ac:dyDescent="0.25">
      <c r="A25" s="3" t="s">
        <v>60</v>
      </c>
      <c r="B25" t="s">
        <v>57</v>
      </c>
      <c r="C25" t="s">
        <v>58</v>
      </c>
      <c r="D25" t="s">
        <v>61</v>
      </c>
      <c r="E25" t="s">
        <v>62</v>
      </c>
      <c r="F25">
        <v>1</v>
      </c>
      <c r="G25" s="3" t="s">
        <v>32</v>
      </c>
      <c r="H25" s="46" t="s">
        <v>15</v>
      </c>
      <c r="I25" s="17">
        <v>1735526.5</v>
      </c>
      <c r="J25" s="17">
        <f>IF(Gastos[[#This Row],[Divisa]]="$", I25*1, IF(Gastos[[#This Row],[Divisa]]="U$D", I25*$N$1, IF(Gastos[[#This Row],[Divisa]]="EUR", I25*$N$2, 0)))</f>
        <v>1735526.5</v>
      </c>
      <c r="K25" s="54">
        <f>Gastos[[#This Row],[Importe AR$]]/$N$1</f>
        <v>1112.5169871794872</v>
      </c>
      <c r="M25" s="69">
        <v>45996</v>
      </c>
      <c r="N25" s="43">
        <f>IF(Gastos[[#This Row],[Fecha_Cheque]]&gt;0,WEEKNUM(Gastos[[#This Row],[Fecha_Cheque]]),MID(Gastos[[#This Row],[Semana]],6,2))</f>
        <v>49</v>
      </c>
      <c r="O25" t="s">
        <v>63</v>
      </c>
      <c r="P25" t="s">
        <v>27</v>
      </c>
    </row>
    <row r="26" spans="1:16" hidden="1" x14ac:dyDescent="0.25">
      <c r="A26" s="3" t="s">
        <v>60</v>
      </c>
      <c r="B26" t="s">
        <v>57</v>
      </c>
      <c r="C26" t="s">
        <v>58</v>
      </c>
      <c r="D26" t="s">
        <v>61</v>
      </c>
      <c r="E26" t="s">
        <v>62</v>
      </c>
      <c r="F26">
        <v>1</v>
      </c>
      <c r="G26" s="3" t="s">
        <v>32</v>
      </c>
      <c r="H26" s="46" t="s">
        <v>15</v>
      </c>
      <c r="I26" s="17">
        <v>301300.31</v>
      </c>
      <c r="J26" s="17">
        <f>IF(Gastos[[#This Row],[Divisa]]="$", I26*1, IF(Gastos[[#This Row],[Divisa]]="U$D", I26*$N$1, IF(Gastos[[#This Row],[Divisa]]="EUR", I26*$N$2, 0)))</f>
        <v>301300.31</v>
      </c>
      <c r="K26" s="54">
        <f>Gastos[[#This Row],[Importe AR$]]/$N$1</f>
        <v>193.14122435897437</v>
      </c>
      <c r="M26" s="69">
        <v>45996</v>
      </c>
      <c r="N26" s="43">
        <f>IF(Gastos[[#This Row],[Fecha_Cheque]]&gt;0,WEEKNUM(Gastos[[#This Row],[Fecha_Cheque]]),MID(Gastos[[#This Row],[Semana]],6,2))</f>
        <v>49</v>
      </c>
      <c r="O26" t="s">
        <v>63</v>
      </c>
      <c r="P26" t="s">
        <v>27</v>
      </c>
    </row>
    <row r="27" spans="1:16" hidden="1" x14ac:dyDescent="0.25">
      <c r="A27" s="3" t="s">
        <v>60</v>
      </c>
      <c r="B27" t="s">
        <v>57</v>
      </c>
      <c r="C27" t="s">
        <v>58</v>
      </c>
      <c r="D27" t="s">
        <v>61</v>
      </c>
      <c r="E27" t="s">
        <v>62</v>
      </c>
      <c r="F27">
        <v>1</v>
      </c>
      <c r="G27" s="3" t="s">
        <v>32</v>
      </c>
      <c r="H27" s="46" t="s">
        <v>15</v>
      </c>
      <c r="I27" s="17">
        <v>453312.72</v>
      </c>
      <c r="J27" s="17">
        <f>IF(Gastos[[#This Row],[Divisa]]="$", I27*1, IF(Gastos[[#This Row],[Divisa]]="U$D", I27*$N$1, IF(Gastos[[#This Row],[Divisa]]="EUR", I27*$N$2, 0)))</f>
        <v>453312.72</v>
      </c>
      <c r="K27" s="54">
        <f>Gastos[[#This Row],[Importe AR$]]/$N$1</f>
        <v>290.58507692307688</v>
      </c>
      <c r="M27" s="69">
        <v>45996</v>
      </c>
      <c r="N27" s="43">
        <f>IF(Gastos[[#This Row],[Fecha_Cheque]]&gt;0,WEEKNUM(Gastos[[#This Row],[Fecha_Cheque]]),MID(Gastos[[#This Row],[Semana]],6,2))</f>
        <v>49</v>
      </c>
      <c r="O27" t="s">
        <v>63</v>
      </c>
      <c r="P27" t="s">
        <v>27</v>
      </c>
    </row>
    <row r="28" spans="1:16" hidden="1" x14ac:dyDescent="0.25">
      <c r="A28" s="3" t="s">
        <v>60</v>
      </c>
      <c r="B28" t="s">
        <v>57</v>
      </c>
      <c r="C28" t="s">
        <v>58</v>
      </c>
      <c r="D28" t="s">
        <v>61</v>
      </c>
      <c r="E28" t="s">
        <v>62</v>
      </c>
      <c r="F28">
        <v>1</v>
      </c>
      <c r="G28" s="3" t="s">
        <v>5</v>
      </c>
      <c r="H28" s="46" t="s">
        <v>15</v>
      </c>
      <c r="I28" s="17">
        <v>574661.56000000006</v>
      </c>
      <c r="J28" s="17">
        <f>IF(Gastos[[#This Row],[Divisa]]="$", I28*1, IF(Gastos[[#This Row],[Divisa]]="U$D", I28*$N$1, IF(Gastos[[#This Row],[Divisa]]="EUR", I28*$N$2, 0)))</f>
        <v>574661.56000000006</v>
      </c>
      <c r="K28" s="54">
        <f>Gastos[[#This Row],[Importe AR$]]/$N$1</f>
        <v>368.37279487179489</v>
      </c>
      <c r="M28" s="69"/>
      <c r="N28" s="43" t="str">
        <f>IF(Gastos[[#This Row],[Fecha_Cheque]]&gt;0,WEEKNUM(Gastos[[#This Row],[Fecha_Cheque]]),MID(Gastos[[#This Row],[Semana]],6,2))</f>
        <v>46</v>
      </c>
      <c r="O28" t="s">
        <v>63</v>
      </c>
      <c r="P28" t="s">
        <v>27</v>
      </c>
    </row>
    <row r="29" spans="1:16" hidden="1" x14ac:dyDescent="0.25">
      <c r="A29" s="3" t="s">
        <v>64</v>
      </c>
      <c r="B29" t="s">
        <v>65</v>
      </c>
      <c r="C29" t="s">
        <v>66</v>
      </c>
      <c r="D29" t="s">
        <v>26</v>
      </c>
      <c r="E29" t="s">
        <v>31</v>
      </c>
      <c r="F29">
        <v>1</v>
      </c>
      <c r="G29" s="3" t="s">
        <v>32</v>
      </c>
      <c r="H29" s="46" t="s">
        <v>15</v>
      </c>
      <c r="I29" s="17">
        <v>713006</v>
      </c>
      <c r="J29" s="17">
        <f>IF(Gastos[[#This Row],[Divisa]]="$", I29*1, IF(Gastos[[#This Row],[Divisa]]="U$D", I29*$N$1, IF(Gastos[[#This Row],[Divisa]]="EUR", I29*$N$2, 0)))</f>
        <v>713006</v>
      </c>
      <c r="K29" s="54">
        <f>Gastos[[#This Row],[Importe AR$]]/$N$1</f>
        <v>457.0551282051282</v>
      </c>
      <c r="M29" s="69">
        <v>45900</v>
      </c>
      <c r="N29" s="43">
        <f>IF(Gastos[[#This Row],[Fecha_Cheque]]&gt;0,WEEKNUM(Gastos[[#This Row],[Fecha_Cheque]]),MID(Gastos[[#This Row],[Semana]],6,2))</f>
        <v>36</v>
      </c>
      <c r="O29" t="s">
        <v>67</v>
      </c>
      <c r="P29" t="s">
        <v>27</v>
      </c>
    </row>
    <row r="30" spans="1:16" hidden="1" x14ac:dyDescent="0.25">
      <c r="A30" s="3" t="s">
        <v>68</v>
      </c>
      <c r="B30" t="s">
        <v>69</v>
      </c>
      <c r="C30" t="s">
        <v>70</v>
      </c>
      <c r="D30" t="s">
        <v>26</v>
      </c>
      <c r="E30" t="s">
        <v>31</v>
      </c>
      <c r="F30">
        <v>1</v>
      </c>
      <c r="G30" s="3" t="s">
        <v>32</v>
      </c>
      <c r="H30" s="46" t="s">
        <v>15</v>
      </c>
      <c r="I30" s="17">
        <v>4389020.13</v>
      </c>
      <c r="J30" s="17">
        <f>IF(Gastos[[#This Row],[Divisa]]="$", I30*1, IF(Gastos[[#This Row],[Divisa]]="U$D", I30*$N$1, IF(Gastos[[#This Row],[Divisa]]="EUR", I30*$N$2, 0)))</f>
        <v>4389020.13</v>
      </c>
      <c r="K30" s="54">
        <f>Gastos[[#This Row],[Importe AR$]]/$N$1</f>
        <v>2813.4744423076922</v>
      </c>
      <c r="M30" s="69">
        <v>46079</v>
      </c>
      <c r="N30" s="43">
        <f>IF(Gastos[[#This Row],[Fecha_Cheque]]&gt;0,WEEKNUM(Gastos[[#This Row],[Fecha_Cheque]]),MID(Gastos[[#This Row],[Semana]],6,2))</f>
        <v>9</v>
      </c>
      <c r="O30" t="s">
        <v>71</v>
      </c>
      <c r="P30" t="s">
        <v>27</v>
      </c>
    </row>
    <row r="31" spans="1:16" hidden="1" x14ac:dyDescent="0.25">
      <c r="A31" s="3" t="s">
        <v>72</v>
      </c>
      <c r="B31" t="s">
        <v>69</v>
      </c>
      <c r="C31" t="s">
        <v>73</v>
      </c>
      <c r="D31" t="s">
        <v>26</v>
      </c>
      <c r="E31" t="s">
        <v>31</v>
      </c>
      <c r="F31">
        <v>1</v>
      </c>
      <c r="G31" s="3" t="s">
        <v>32</v>
      </c>
      <c r="H31" s="46" t="s">
        <v>15</v>
      </c>
      <c r="I31" s="17">
        <v>2500000</v>
      </c>
      <c r="J31" s="17">
        <f>IF(Gastos[[#This Row],[Divisa]]="$", I31*1, IF(Gastos[[#This Row],[Divisa]]="U$D", I31*$N$1, IF(Gastos[[#This Row],[Divisa]]="EUR", I31*$N$2, 0)))</f>
        <v>2500000</v>
      </c>
      <c r="K31" s="54">
        <f>Gastos[[#This Row],[Importe AR$]]/$N$1</f>
        <v>1602.5641025641025</v>
      </c>
      <c r="M31" s="69">
        <v>46045</v>
      </c>
      <c r="N31" s="43">
        <f>IF(Gastos[[#This Row],[Fecha_Cheque]]&gt;0,WEEKNUM(Gastos[[#This Row],[Fecha_Cheque]]),MID(Gastos[[#This Row],[Semana]],6,2))</f>
        <v>4</v>
      </c>
      <c r="O31" t="s">
        <v>74</v>
      </c>
      <c r="P31" t="s">
        <v>27</v>
      </c>
    </row>
    <row r="32" spans="1:16" hidden="1" x14ac:dyDescent="0.25">
      <c r="A32" s="3" t="s">
        <v>72</v>
      </c>
      <c r="B32" t="s">
        <v>69</v>
      </c>
      <c r="C32" t="s">
        <v>73</v>
      </c>
      <c r="D32" t="s">
        <v>26</v>
      </c>
      <c r="E32" t="s">
        <v>31</v>
      </c>
      <c r="F32">
        <v>1</v>
      </c>
      <c r="G32" s="3" t="s">
        <v>32</v>
      </c>
      <c r="H32" s="46" t="s">
        <v>15</v>
      </c>
      <c r="I32" s="17">
        <v>203828</v>
      </c>
      <c r="J32" s="17">
        <f>IF(Gastos[[#This Row],[Divisa]]="$", I32*1, IF(Gastos[[#This Row],[Divisa]]="U$D", I32*$N$1, IF(Gastos[[#This Row],[Divisa]]="EUR", I32*$N$2, 0)))</f>
        <v>203828</v>
      </c>
      <c r="K32" s="54">
        <f>Gastos[[#This Row],[Importe AR$]]/$N$1</f>
        <v>130.65897435897435</v>
      </c>
      <c r="M32" s="69">
        <v>46045</v>
      </c>
      <c r="N32" s="43">
        <f>IF(Gastos[[#This Row],[Fecha_Cheque]]&gt;0,WEEKNUM(Gastos[[#This Row],[Fecha_Cheque]]),MID(Gastos[[#This Row],[Semana]],6,2))</f>
        <v>4</v>
      </c>
      <c r="O32" t="s">
        <v>74</v>
      </c>
      <c r="P32" t="s">
        <v>27</v>
      </c>
    </row>
    <row r="33" spans="1:16" hidden="1" x14ac:dyDescent="0.25">
      <c r="A33" s="3" t="s">
        <v>72</v>
      </c>
      <c r="B33" t="s">
        <v>69</v>
      </c>
      <c r="C33" t="s">
        <v>73</v>
      </c>
      <c r="D33" t="s">
        <v>26</v>
      </c>
      <c r="E33" t="s">
        <v>31</v>
      </c>
      <c r="F33">
        <v>1</v>
      </c>
      <c r="G33" s="3" t="s">
        <v>32</v>
      </c>
      <c r="H33" s="46" t="s">
        <v>15</v>
      </c>
      <c r="I33" s="17">
        <v>2500000</v>
      </c>
      <c r="J33" s="17">
        <f>IF(Gastos[[#This Row],[Divisa]]="$", I33*1, IF(Gastos[[#This Row],[Divisa]]="U$D", I33*$N$1, IF(Gastos[[#This Row],[Divisa]]="EUR", I33*$N$2, 0)))</f>
        <v>2500000</v>
      </c>
      <c r="K33" s="54">
        <f>Gastos[[#This Row],[Importe AR$]]/$N$1</f>
        <v>1602.5641025641025</v>
      </c>
      <c r="M33" s="69">
        <v>46046</v>
      </c>
      <c r="N33" s="43">
        <f>IF(Gastos[[#This Row],[Fecha_Cheque]]&gt;0,WEEKNUM(Gastos[[#This Row],[Fecha_Cheque]]),MID(Gastos[[#This Row],[Semana]],6,2))</f>
        <v>4</v>
      </c>
      <c r="O33" t="s">
        <v>74</v>
      </c>
      <c r="P33" t="s">
        <v>27</v>
      </c>
    </row>
    <row r="34" spans="1:16" hidden="1" x14ac:dyDescent="0.25">
      <c r="A34" s="3" t="s">
        <v>4211</v>
      </c>
      <c r="B34" t="s">
        <v>4077</v>
      </c>
      <c r="C34" t="s">
        <v>4257</v>
      </c>
      <c r="D34" t="s">
        <v>26</v>
      </c>
      <c r="E34" t="s">
        <v>62</v>
      </c>
      <c r="F34">
        <v>1</v>
      </c>
      <c r="G34" s="3" t="s">
        <v>5</v>
      </c>
      <c r="H34" s="44" t="s">
        <v>15</v>
      </c>
      <c r="I34" s="17">
        <v>5239195.58</v>
      </c>
      <c r="J34" s="17">
        <f>IF(Gastos[[#This Row],[Divisa]]="$", I34*1, IF(Gastos[[#This Row],[Divisa]]="U$D", I34*$N$1, IF(Gastos[[#This Row],[Divisa]]="EUR", I34*$N$2, 0)))</f>
        <v>5239195.58</v>
      </c>
      <c r="K34" s="54">
        <f>Gastos[[#This Row],[Importe AR$]]/$N$1</f>
        <v>3358.4587051282051</v>
      </c>
      <c r="M34" s="69"/>
      <c r="N34" s="43" t="str">
        <f>IF(Gastos[[#This Row],[Fecha_Cheque]]&gt;0,WEEKNUM(Gastos[[#This Row],[Fecha_Cheque]]),MID(Gastos[[#This Row],[Semana]],6,2))</f>
        <v>37</v>
      </c>
      <c r="O34" t="s">
        <v>4256</v>
      </c>
      <c r="P34" t="s">
        <v>27</v>
      </c>
    </row>
    <row r="35" spans="1:16" hidden="1" x14ac:dyDescent="0.25">
      <c r="A35" s="3" t="s">
        <v>4005</v>
      </c>
      <c r="B35" t="s">
        <v>4077</v>
      </c>
      <c r="C35" t="s">
        <v>554</v>
      </c>
      <c r="D35" t="s">
        <v>26</v>
      </c>
      <c r="E35" t="s">
        <v>62</v>
      </c>
      <c r="F35">
        <v>1</v>
      </c>
      <c r="G35" s="3" t="s">
        <v>5</v>
      </c>
      <c r="H35" s="44" t="s">
        <v>15</v>
      </c>
      <c r="I35" s="17">
        <v>1500000</v>
      </c>
      <c r="J35" s="17">
        <f>IF(Gastos[[#This Row],[Divisa]]="$", I35*1, IF(Gastos[[#This Row],[Divisa]]="U$D", I35*$N$1, IF(Gastos[[#This Row],[Divisa]]="EUR", I35*$N$2, 0)))</f>
        <v>1500000</v>
      </c>
      <c r="K35" s="54">
        <f>Gastos[[#This Row],[Importe AR$]]/$N$1</f>
        <v>961.53846153846155</v>
      </c>
      <c r="M35" s="69"/>
      <c r="N35" s="43" t="str">
        <f>IF(Gastos[[#This Row],[Fecha_Cheque]]&gt;0,WEEKNUM(Gastos[[#This Row],[Fecha_Cheque]]),MID(Gastos[[#This Row],[Semana]],6,2))</f>
        <v>33</v>
      </c>
      <c r="O35" t="s">
        <v>4078</v>
      </c>
      <c r="P35" t="s">
        <v>27</v>
      </c>
    </row>
    <row r="36" spans="1:16" hidden="1" x14ac:dyDescent="0.25">
      <c r="A36" s="3" t="s">
        <v>75</v>
      </c>
      <c r="B36" t="s">
        <v>76</v>
      </c>
      <c r="C36" t="s">
        <v>77</v>
      </c>
      <c r="D36" t="s">
        <v>26</v>
      </c>
      <c r="E36" t="s">
        <v>42</v>
      </c>
      <c r="F36">
        <v>2</v>
      </c>
      <c r="G36" s="3" t="s">
        <v>4</v>
      </c>
      <c r="H36" s="46" t="s">
        <v>15</v>
      </c>
      <c r="I36" s="17">
        <v>1415000</v>
      </c>
      <c r="J36" s="17">
        <f>IF(Gastos[[#This Row],[Divisa]]="$", I36*1, IF(Gastos[[#This Row],[Divisa]]="U$D", I36*$N$1, IF(Gastos[[#This Row],[Divisa]]="EUR", I36*$N$2, 0)))</f>
        <v>1415000</v>
      </c>
      <c r="K36" s="54">
        <f>Gastos[[#This Row],[Importe AR$]]/$N$1</f>
        <v>907.0512820512821</v>
      </c>
      <c r="M36" s="69"/>
      <c r="N36" s="43" t="str">
        <f>IF(Gastos[[#This Row],[Fecha_Cheque]]&gt;0,WEEKNUM(Gastos[[#This Row],[Fecha_Cheque]]),MID(Gastos[[#This Row],[Semana]],6,2))</f>
        <v>07</v>
      </c>
      <c r="O36" t="s">
        <v>78</v>
      </c>
      <c r="P36" t="s">
        <v>27</v>
      </c>
    </row>
    <row r="37" spans="1:16" hidden="1" x14ac:dyDescent="0.25">
      <c r="A37" s="3" t="s">
        <v>79</v>
      </c>
      <c r="B37" t="s">
        <v>76</v>
      </c>
      <c r="C37" t="s">
        <v>77</v>
      </c>
      <c r="D37" t="s">
        <v>26</v>
      </c>
      <c r="E37" t="s">
        <v>31</v>
      </c>
      <c r="F37">
        <v>1</v>
      </c>
      <c r="G37" s="3" t="s">
        <v>4</v>
      </c>
      <c r="H37" s="46" t="s">
        <v>15</v>
      </c>
      <c r="I37" s="17">
        <v>2175000</v>
      </c>
      <c r="J37" s="17">
        <f>IF(Gastos[[#This Row],[Divisa]]="$", I37*1, IF(Gastos[[#This Row],[Divisa]]="U$D", I37*$N$1, IF(Gastos[[#This Row],[Divisa]]="EUR", I37*$N$2, 0)))</f>
        <v>2175000</v>
      </c>
      <c r="K37" s="54">
        <f>Gastos[[#This Row],[Importe AR$]]/$N$1</f>
        <v>1394.2307692307693</v>
      </c>
      <c r="M37" s="69"/>
      <c r="N37" s="43" t="str">
        <f>IF(Gastos[[#This Row],[Fecha_Cheque]]&gt;0,WEEKNUM(Gastos[[#This Row],[Fecha_Cheque]]),MID(Gastos[[#This Row],[Semana]],6,2))</f>
        <v>47</v>
      </c>
      <c r="O37" t="s">
        <v>80</v>
      </c>
      <c r="P37" t="s">
        <v>27</v>
      </c>
    </row>
    <row r="38" spans="1:16" hidden="1" x14ac:dyDescent="0.25">
      <c r="A38" s="3" t="s">
        <v>81</v>
      </c>
      <c r="B38" t="s">
        <v>76</v>
      </c>
      <c r="C38" t="s">
        <v>77</v>
      </c>
      <c r="D38" t="s">
        <v>26</v>
      </c>
      <c r="E38" t="s">
        <v>42</v>
      </c>
      <c r="F38">
        <v>2</v>
      </c>
      <c r="G38" s="3" t="s">
        <v>4</v>
      </c>
      <c r="H38" s="46" t="s">
        <v>15</v>
      </c>
      <c r="I38" s="17">
        <v>1465000</v>
      </c>
      <c r="J38" s="17">
        <f>IF(Gastos[[#This Row],[Divisa]]="$", I38*1, IF(Gastos[[#This Row],[Divisa]]="U$D", I38*$N$1, IF(Gastos[[#This Row],[Divisa]]="EUR", I38*$N$2, 0)))</f>
        <v>1465000</v>
      </c>
      <c r="K38" s="54">
        <f>Gastos[[#This Row],[Importe AR$]]/$N$1</f>
        <v>939.10256410256409</v>
      </c>
      <c r="M38" s="69"/>
      <c r="N38" s="43" t="str">
        <f>IF(Gastos[[#This Row],[Fecha_Cheque]]&gt;0,WEEKNUM(Gastos[[#This Row],[Fecha_Cheque]]),MID(Gastos[[#This Row],[Semana]],6,2))</f>
        <v>49</v>
      </c>
      <c r="O38" t="s">
        <v>82</v>
      </c>
      <c r="P38" t="s">
        <v>27</v>
      </c>
    </row>
    <row r="39" spans="1:16" hidden="1" x14ac:dyDescent="0.25">
      <c r="A39" s="3" t="s">
        <v>60</v>
      </c>
      <c r="B39" t="s">
        <v>76</v>
      </c>
      <c r="C39" t="s">
        <v>83</v>
      </c>
      <c r="D39" t="s">
        <v>26</v>
      </c>
      <c r="E39" t="s">
        <v>31</v>
      </c>
      <c r="F39">
        <v>2</v>
      </c>
      <c r="G39" s="3" t="s">
        <v>4</v>
      </c>
      <c r="H39" s="46" t="s">
        <v>15</v>
      </c>
      <c r="I39" s="17">
        <v>2860000</v>
      </c>
      <c r="J39" s="17">
        <f>IF(Gastos[[#This Row],[Divisa]]="$", I39*1, IF(Gastos[[#This Row],[Divisa]]="U$D", I39*$N$1, IF(Gastos[[#This Row],[Divisa]]="EUR", I39*$N$2, 0)))</f>
        <v>2860000</v>
      </c>
      <c r="K39" s="54">
        <f>Gastos[[#This Row],[Importe AR$]]/$N$1</f>
        <v>1833.3333333333333</v>
      </c>
      <c r="M39" s="69"/>
      <c r="N39" s="43" t="str">
        <f>IF(Gastos[[#This Row],[Fecha_Cheque]]&gt;0,WEEKNUM(Gastos[[#This Row],[Fecha_Cheque]]),MID(Gastos[[#This Row],[Semana]],6,2))</f>
        <v>46</v>
      </c>
      <c r="O39" t="s">
        <v>84</v>
      </c>
      <c r="P39" t="s">
        <v>27</v>
      </c>
    </row>
    <row r="40" spans="1:16" x14ac:dyDescent="0.25">
      <c r="A40" s="3" t="s">
        <v>4655</v>
      </c>
      <c r="B40" t="s">
        <v>3920</v>
      </c>
      <c r="C40" t="s">
        <v>87</v>
      </c>
      <c r="D40" t="s">
        <v>26</v>
      </c>
      <c r="E40" t="s">
        <v>91</v>
      </c>
      <c r="F40">
        <v>1</v>
      </c>
      <c r="G40" s="3" t="s">
        <v>5</v>
      </c>
      <c r="H40" s="44" t="s">
        <v>15</v>
      </c>
      <c r="I40" s="17">
        <v>0</v>
      </c>
      <c r="J40" s="17">
        <f>IF(Gastos[[#This Row],[Divisa]]="$", I40*1, IF(Gastos[[#This Row],[Divisa]]="U$D", I40*$N$1, IF(Gastos[[#This Row],[Divisa]]="EUR", I40*$N$2, 0)))</f>
        <v>0</v>
      </c>
      <c r="K40" s="54">
        <f>Gastos[[#This Row],[Importe AR$]]/$N$1</f>
        <v>0</v>
      </c>
      <c r="M40" s="69"/>
      <c r="N40" s="43" t="str">
        <f>IF(Gastos[[#This Row],[Fecha_Cheque]]&gt;0,WEEKNUM(Gastos[[#This Row],[Fecha_Cheque]]),MID(Gastos[[#This Row],[Semana]],6,2))</f>
        <v>44</v>
      </c>
      <c r="P40" t="s">
        <v>7</v>
      </c>
    </row>
    <row r="41" spans="1:16" hidden="1" x14ac:dyDescent="0.25">
      <c r="A41" s="3" t="s">
        <v>4569</v>
      </c>
      <c r="B41" t="s">
        <v>4625</v>
      </c>
      <c r="C41" t="s">
        <v>87</v>
      </c>
      <c r="D41" t="s">
        <v>26</v>
      </c>
      <c r="E41" t="s">
        <v>62</v>
      </c>
      <c r="F41">
        <v>1</v>
      </c>
      <c r="G41" s="3" t="s">
        <v>5</v>
      </c>
      <c r="H41" s="44" t="s">
        <v>15</v>
      </c>
      <c r="I41" s="17">
        <v>595500</v>
      </c>
      <c r="J41" s="17">
        <f>IF(Gastos[[#This Row],[Divisa]]="$", I41*1, IF(Gastos[[#This Row],[Divisa]]="U$D", I41*$N$1, IF(Gastos[[#This Row],[Divisa]]="EUR", I41*$N$2, 0)))</f>
        <v>595500</v>
      </c>
      <c r="K41" s="54">
        <f>Gastos[[#This Row],[Importe AR$]]/$N$1</f>
        <v>381.73076923076923</v>
      </c>
      <c r="M41" s="69"/>
      <c r="N41" s="43" t="str">
        <f>IF(Gastos[[#This Row],[Fecha_Cheque]]&gt;0,WEEKNUM(Gastos[[#This Row],[Fecha_Cheque]]),MID(Gastos[[#This Row],[Semana]],6,2))</f>
        <v>43</v>
      </c>
      <c r="O41" t="s">
        <v>4626</v>
      </c>
      <c r="P41" t="s">
        <v>27</v>
      </c>
    </row>
    <row r="42" spans="1:16" hidden="1" x14ac:dyDescent="0.25">
      <c r="A42" s="3" t="s">
        <v>85</v>
      </c>
      <c r="B42" t="s">
        <v>86</v>
      </c>
      <c r="C42" t="s">
        <v>87</v>
      </c>
      <c r="D42" t="s">
        <v>26</v>
      </c>
      <c r="E42" t="s">
        <v>31</v>
      </c>
      <c r="F42">
        <v>1</v>
      </c>
      <c r="G42" s="3" t="s">
        <v>5</v>
      </c>
      <c r="H42" s="46" t="s">
        <v>15</v>
      </c>
      <c r="I42" s="17">
        <v>394000</v>
      </c>
      <c r="J42" s="17">
        <f>IF(Gastos[[#This Row],[Divisa]]="$", I42*1, IF(Gastos[[#This Row],[Divisa]]="U$D", I42*$N$1, IF(Gastos[[#This Row],[Divisa]]="EUR", I42*$N$2, 0)))</f>
        <v>394000</v>
      </c>
      <c r="K42" s="54">
        <f>Gastos[[#This Row],[Importe AR$]]/$N$1</f>
        <v>252.56410256410257</v>
      </c>
      <c r="M42" s="69"/>
      <c r="N42" s="43" t="str">
        <f>IF(Gastos[[#This Row],[Fecha_Cheque]]&gt;0,WEEKNUM(Gastos[[#This Row],[Fecha_Cheque]]),MID(Gastos[[#This Row],[Semana]],6,2))</f>
        <v>26</v>
      </c>
      <c r="O42" t="s">
        <v>88</v>
      </c>
      <c r="P42" t="s">
        <v>27</v>
      </c>
    </row>
    <row r="43" spans="1:16" hidden="1" x14ac:dyDescent="0.25">
      <c r="A43" s="3" t="s">
        <v>89</v>
      </c>
      <c r="B43" t="s">
        <v>86</v>
      </c>
      <c r="C43" t="s">
        <v>90</v>
      </c>
      <c r="D43" t="s">
        <v>26</v>
      </c>
      <c r="E43" t="s">
        <v>91</v>
      </c>
      <c r="F43">
        <v>1</v>
      </c>
      <c r="G43" s="3" t="s">
        <v>5</v>
      </c>
      <c r="H43" s="46" t="s">
        <v>15</v>
      </c>
      <c r="I43" s="17">
        <v>396000</v>
      </c>
      <c r="J43" s="17">
        <f>IF(Gastos[[#This Row],[Divisa]]="$", I43*1, IF(Gastos[[#This Row],[Divisa]]="U$D", I43*$N$1, IF(Gastos[[#This Row],[Divisa]]="EUR", I43*$N$2, 0)))</f>
        <v>396000</v>
      </c>
      <c r="K43" s="54">
        <f>Gastos[[#This Row],[Importe AR$]]/$N$1</f>
        <v>253.84615384615384</v>
      </c>
      <c r="M43" s="69"/>
      <c r="N43" s="43" t="str">
        <f>IF(Gastos[[#This Row],[Fecha_Cheque]]&gt;0,WEEKNUM(Gastos[[#This Row],[Fecha_Cheque]]),MID(Gastos[[#This Row],[Semana]],6,2))</f>
        <v>39</v>
      </c>
      <c r="O43" t="s">
        <v>92</v>
      </c>
      <c r="P43" t="s">
        <v>27</v>
      </c>
    </row>
    <row r="44" spans="1:16" hidden="1" x14ac:dyDescent="0.25">
      <c r="A44" s="3" t="s">
        <v>93</v>
      </c>
      <c r="B44" t="s">
        <v>86</v>
      </c>
      <c r="C44" t="s">
        <v>90</v>
      </c>
      <c r="D44" t="s">
        <v>26</v>
      </c>
      <c r="E44" t="s">
        <v>91</v>
      </c>
      <c r="F44">
        <v>1</v>
      </c>
      <c r="G44" s="3" t="s">
        <v>5</v>
      </c>
      <c r="H44" s="46" t="s">
        <v>15</v>
      </c>
      <c r="I44" s="17">
        <v>580000</v>
      </c>
      <c r="J44" s="17">
        <f>IF(Gastos[[#This Row],[Divisa]]="$", I44*1, IF(Gastos[[#This Row],[Divisa]]="U$D", I44*$N$1, IF(Gastos[[#This Row],[Divisa]]="EUR", I44*$N$2, 0)))</f>
        <v>580000</v>
      </c>
      <c r="K44" s="54">
        <f>Gastos[[#This Row],[Importe AR$]]/$N$1</f>
        <v>371.79487179487177</v>
      </c>
      <c r="M44" s="69"/>
      <c r="N44" s="43" t="str">
        <f>IF(Gastos[[#This Row],[Fecha_Cheque]]&gt;0,WEEKNUM(Gastos[[#This Row],[Fecha_Cheque]]),MID(Gastos[[#This Row],[Semana]],6,2))</f>
        <v>50</v>
      </c>
      <c r="O44" t="s">
        <v>94</v>
      </c>
      <c r="P44" t="s">
        <v>27</v>
      </c>
    </row>
    <row r="45" spans="1:16" hidden="1" x14ac:dyDescent="0.25">
      <c r="A45" s="3" t="s">
        <v>2711</v>
      </c>
      <c r="B45" t="s">
        <v>86</v>
      </c>
      <c r="C45" t="s">
        <v>2717</v>
      </c>
      <c r="D45" t="s">
        <v>26</v>
      </c>
      <c r="E45" t="s">
        <v>62</v>
      </c>
      <c r="F45">
        <v>1</v>
      </c>
      <c r="G45" s="3" t="s">
        <v>5</v>
      </c>
      <c r="H45" s="46" t="s">
        <v>15</v>
      </c>
      <c r="I45" s="17">
        <v>592000</v>
      </c>
      <c r="J45" s="17">
        <f>IF(Gastos[[#This Row],[Divisa]]="$", I45*1, IF(Gastos[[#This Row],[Divisa]]="U$D", I45*$N$1, IF(Gastos[[#This Row],[Divisa]]="EUR", I45*$N$2, 0)))</f>
        <v>592000</v>
      </c>
      <c r="K45" s="54">
        <f>Gastos[[#This Row],[Importe AR$]]/$N$1</f>
        <v>379.4871794871795</v>
      </c>
      <c r="M45" s="69"/>
      <c r="N45" s="43" t="str">
        <f>IF(Gastos[[#This Row],[Fecha_Cheque]]&gt;0,WEEKNUM(Gastos[[#This Row],[Fecha_Cheque]]),MID(Gastos[[#This Row],[Semana]],6,2))</f>
        <v>15</v>
      </c>
      <c r="O45" t="s">
        <v>2718</v>
      </c>
      <c r="P45" t="s">
        <v>27</v>
      </c>
    </row>
    <row r="46" spans="1:16" hidden="1" x14ac:dyDescent="0.25">
      <c r="A46" s="3" t="s">
        <v>23</v>
      </c>
      <c r="B46" t="s">
        <v>95</v>
      </c>
      <c r="C46" t="s">
        <v>96</v>
      </c>
      <c r="D46" t="s">
        <v>97</v>
      </c>
      <c r="E46" t="s">
        <v>132</v>
      </c>
      <c r="F46">
        <v>1</v>
      </c>
      <c r="G46" s="3" t="s">
        <v>5</v>
      </c>
      <c r="H46" s="46" t="s">
        <v>15</v>
      </c>
      <c r="I46" s="17">
        <v>2844389.01</v>
      </c>
      <c r="J46" s="17">
        <f>IF(Gastos[[#This Row],[Divisa]]="$", I46*1, IF(Gastos[[#This Row],[Divisa]]="U$D", I46*$N$1, IF(Gastos[[#This Row],[Divisa]]="EUR", I46*$N$2, 0)))</f>
        <v>2844389.01</v>
      </c>
      <c r="K46" s="54">
        <f>Gastos[[#This Row],[Importe AR$]]/$N$1</f>
        <v>1823.3262884615383</v>
      </c>
      <c r="M46" s="69"/>
      <c r="N46" s="43" t="str">
        <f>IF(Gastos[[#This Row],[Fecha_Cheque]]&gt;0,WEEKNUM(Gastos[[#This Row],[Fecha_Cheque]]),MID(Gastos[[#This Row],[Semana]],6,2))</f>
        <v>22</v>
      </c>
      <c r="O46" t="s">
        <v>98</v>
      </c>
      <c r="P46" t="s">
        <v>27</v>
      </c>
    </row>
    <row r="47" spans="1:16" hidden="1" x14ac:dyDescent="0.25">
      <c r="A47" s="3" t="s">
        <v>99</v>
      </c>
      <c r="B47" t="s">
        <v>95</v>
      </c>
      <c r="C47" t="s">
        <v>100</v>
      </c>
      <c r="D47" t="s">
        <v>26</v>
      </c>
      <c r="E47" t="s">
        <v>132</v>
      </c>
      <c r="F47">
        <v>1</v>
      </c>
      <c r="G47" s="3" t="s">
        <v>5</v>
      </c>
      <c r="H47" s="46" t="s">
        <v>15</v>
      </c>
      <c r="I47" s="17">
        <v>3049818.64</v>
      </c>
      <c r="J47" s="17">
        <f>IF(Gastos[[#This Row],[Divisa]]="$", I47*1, IF(Gastos[[#This Row],[Divisa]]="U$D", I47*$N$1, IF(Gastos[[#This Row],[Divisa]]="EUR", I47*$N$2, 0)))</f>
        <v>3049818.64</v>
      </c>
      <c r="K47" s="54">
        <f>Gastos[[#This Row],[Importe AR$]]/$N$1</f>
        <v>1955.0119487179488</v>
      </c>
      <c r="M47" s="69"/>
      <c r="N47" s="43" t="str">
        <f>IF(Gastos[[#This Row],[Fecha_Cheque]]&gt;0,WEEKNUM(Gastos[[#This Row],[Fecha_Cheque]]),MID(Gastos[[#This Row],[Semana]],6,2))</f>
        <v>28</v>
      </c>
      <c r="O47" t="s">
        <v>101</v>
      </c>
      <c r="P47" t="s">
        <v>27</v>
      </c>
    </row>
    <row r="48" spans="1:16" hidden="1" x14ac:dyDescent="0.25">
      <c r="A48" s="3" t="s">
        <v>2763</v>
      </c>
      <c r="B48" t="s">
        <v>2764</v>
      </c>
      <c r="C48" t="s">
        <v>2765</v>
      </c>
      <c r="D48" t="s">
        <v>26</v>
      </c>
      <c r="E48" t="s">
        <v>31</v>
      </c>
      <c r="F48">
        <v>1</v>
      </c>
      <c r="G48" s="3" t="s">
        <v>32</v>
      </c>
      <c r="H48" s="44" t="s">
        <v>15</v>
      </c>
      <c r="I48" s="17">
        <v>9119787</v>
      </c>
      <c r="J48" s="17">
        <f>IF(Gastos[[#This Row],[Divisa]]="$", I48*1, IF(Gastos[[#This Row],[Divisa]]="U$D", I48*$N$1, IF(Gastos[[#This Row],[Divisa]]="EUR", I48*$N$2, 0)))</f>
        <v>9119787</v>
      </c>
      <c r="K48" s="54">
        <f>Gastos[[#This Row],[Importe AR$]]/$N$1</f>
        <v>5846.0173076923074</v>
      </c>
      <c r="M48" s="69">
        <v>46234</v>
      </c>
      <c r="N48" s="43">
        <f>IF(Gastos[[#This Row],[Fecha_Cheque]]&gt;0,WEEKNUM(Gastos[[#This Row],[Fecha_Cheque]]),MID(Gastos[[#This Row],[Semana]],6,2))</f>
        <v>31</v>
      </c>
      <c r="O48" t="s">
        <v>2766</v>
      </c>
      <c r="P48" t="s">
        <v>27</v>
      </c>
    </row>
    <row r="49" spans="1:16" hidden="1" x14ac:dyDescent="0.25">
      <c r="A49" s="3" t="s">
        <v>2763</v>
      </c>
      <c r="B49" t="s">
        <v>2764</v>
      </c>
      <c r="C49" t="s">
        <v>2765</v>
      </c>
      <c r="D49" t="s">
        <v>26</v>
      </c>
      <c r="E49" t="s">
        <v>31</v>
      </c>
      <c r="F49">
        <v>1</v>
      </c>
      <c r="G49" s="3" t="s">
        <v>32</v>
      </c>
      <c r="H49" s="44" t="s">
        <v>15</v>
      </c>
      <c r="I49" s="17">
        <v>9119787</v>
      </c>
      <c r="J49" s="17">
        <f>IF(Gastos[[#This Row],[Divisa]]="$", I49*1, IF(Gastos[[#This Row],[Divisa]]="U$D", I49*$N$1, IF(Gastos[[#This Row],[Divisa]]="EUR", I49*$N$2, 0)))</f>
        <v>9119787</v>
      </c>
      <c r="K49" s="54">
        <f>Gastos[[#This Row],[Importe AR$]]/$N$1</f>
        <v>5846.0173076923074</v>
      </c>
      <c r="M49" s="69">
        <v>46262</v>
      </c>
      <c r="N49" s="43">
        <f>IF(Gastos[[#This Row],[Fecha_Cheque]]&gt;0,WEEKNUM(Gastos[[#This Row],[Fecha_Cheque]]),MID(Gastos[[#This Row],[Semana]],6,2))</f>
        <v>35</v>
      </c>
      <c r="O49" t="s">
        <v>2766</v>
      </c>
      <c r="P49" t="s">
        <v>27</v>
      </c>
    </row>
    <row r="50" spans="1:16" hidden="1" x14ac:dyDescent="0.25">
      <c r="A50" s="3" t="s">
        <v>2763</v>
      </c>
      <c r="B50" t="s">
        <v>2764</v>
      </c>
      <c r="C50" t="s">
        <v>2765</v>
      </c>
      <c r="D50" t="s">
        <v>26</v>
      </c>
      <c r="E50" t="s">
        <v>31</v>
      </c>
      <c r="F50">
        <v>1</v>
      </c>
      <c r="G50" s="3" t="s">
        <v>32</v>
      </c>
      <c r="H50" s="44" t="s">
        <v>15</v>
      </c>
      <c r="I50" s="17">
        <v>9119787</v>
      </c>
      <c r="J50" s="17">
        <f>IF(Gastos[[#This Row],[Divisa]]="$", I50*1, IF(Gastos[[#This Row],[Divisa]]="U$D", I50*$N$1, IF(Gastos[[#This Row],[Divisa]]="EUR", I50*$N$2, 0)))</f>
        <v>9119787</v>
      </c>
      <c r="K50" s="54">
        <f>Gastos[[#This Row],[Importe AR$]]/$N$1</f>
        <v>5846.0173076923074</v>
      </c>
      <c r="M50" s="69">
        <v>46275</v>
      </c>
      <c r="N50" s="43">
        <f>IF(Gastos[[#This Row],[Fecha_Cheque]]&gt;0,WEEKNUM(Gastos[[#This Row],[Fecha_Cheque]]),MID(Gastos[[#This Row],[Semana]],6,2))</f>
        <v>37</v>
      </c>
      <c r="O50" t="s">
        <v>2766</v>
      </c>
      <c r="P50" t="s">
        <v>27</v>
      </c>
    </row>
    <row r="51" spans="1:16" hidden="1" x14ac:dyDescent="0.25">
      <c r="A51" s="3" t="s">
        <v>2763</v>
      </c>
      <c r="B51" t="s">
        <v>2764</v>
      </c>
      <c r="C51" t="s">
        <v>2765</v>
      </c>
      <c r="D51" t="s">
        <v>26</v>
      </c>
      <c r="E51" t="s">
        <v>31</v>
      </c>
      <c r="F51">
        <v>1</v>
      </c>
      <c r="G51" s="3" t="s">
        <v>32</v>
      </c>
      <c r="H51" s="44" t="s">
        <v>15</v>
      </c>
      <c r="I51" s="17">
        <v>9119787</v>
      </c>
      <c r="J51" s="17">
        <f>IF(Gastos[[#This Row],[Divisa]]="$", I51*1, IF(Gastos[[#This Row],[Divisa]]="U$D", I51*$N$1, IF(Gastos[[#This Row],[Divisa]]="EUR", I51*$N$2, 0)))</f>
        <v>9119787</v>
      </c>
      <c r="K51" s="54">
        <f>Gastos[[#This Row],[Importe AR$]]/$N$1</f>
        <v>5846.0173076923074</v>
      </c>
      <c r="M51" s="69">
        <v>46280</v>
      </c>
      <c r="N51" s="43">
        <f>IF(Gastos[[#This Row],[Fecha_Cheque]]&gt;0,WEEKNUM(Gastos[[#This Row],[Fecha_Cheque]]),MID(Gastos[[#This Row],[Semana]],6,2))</f>
        <v>38</v>
      </c>
      <c r="O51" t="s">
        <v>2766</v>
      </c>
      <c r="P51" t="s">
        <v>27</v>
      </c>
    </row>
    <row r="52" spans="1:16" hidden="1" x14ac:dyDescent="0.25">
      <c r="A52" s="3" t="s">
        <v>2763</v>
      </c>
      <c r="B52" t="s">
        <v>2764</v>
      </c>
      <c r="C52" t="s">
        <v>2765</v>
      </c>
      <c r="D52" t="s">
        <v>26</v>
      </c>
      <c r="E52" t="s">
        <v>31</v>
      </c>
      <c r="F52">
        <v>1</v>
      </c>
      <c r="G52" s="3" t="s">
        <v>32</v>
      </c>
      <c r="H52" s="44" t="s">
        <v>15</v>
      </c>
      <c r="I52" s="17">
        <v>9119788.4299999997</v>
      </c>
      <c r="J52" s="17">
        <f>IF(Gastos[[#This Row],[Divisa]]="$", I52*1, IF(Gastos[[#This Row],[Divisa]]="U$D", I52*$N$1, IF(Gastos[[#This Row],[Divisa]]="EUR", I52*$N$2, 0)))</f>
        <v>9119788.4299999997</v>
      </c>
      <c r="K52" s="54">
        <f>Gastos[[#This Row],[Importe AR$]]/$N$1</f>
        <v>5846.0182243589743</v>
      </c>
      <c r="M52" s="69">
        <v>46294</v>
      </c>
      <c r="N52" s="43">
        <f>IF(Gastos[[#This Row],[Fecha_Cheque]]&gt;0,WEEKNUM(Gastos[[#This Row],[Fecha_Cheque]]),MID(Gastos[[#This Row],[Semana]],6,2))</f>
        <v>40</v>
      </c>
      <c r="O52" t="s">
        <v>2766</v>
      </c>
      <c r="P52" t="s">
        <v>27</v>
      </c>
    </row>
    <row r="53" spans="1:16" hidden="1" x14ac:dyDescent="0.25">
      <c r="A53" s="3" t="s">
        <v>2763</v>
      </c>
      <c r="B53" t="s">
        <v>2764</v>
      </c>
      <c r="C53" t="s">
        <v>2765</v>
      </c>
      <c r="D53" t="s">
        <v>26</v>
      </c>
      <c r="E53" t="s">
        <v>31</v>
      </c>
      <c r="F53">
        <v>1</v>
      </c>
      <c r="G53" s="3" t="s">
        <v>32</v>
      </c>
      <c r="H53" s="44" t="s">
        <v>15</v>
      </c>
      <c r="I53" s="17">
        <v>9119787</v>
      </c>
      <c r="J53" s="17">
        <f>IF(Gastos[[#This Row],[Divisa]]="$", I53*1, IF(Gastos[[#This Row],[Divisa]]="U$D", I53*$N$1, IF(Gastos[[#This Row],[Divisa]]="EUR", I53*$N$2, 0)))</f>
        <v>9119787</v>
      </c>
      <c r="K53" s="54">
        <f>Gastos[[#This Row],[Importe AR$]]/$N$1</f>
        <v>5846.0173076923074</v>
      </c>
      <c r="M53" s="69">
        <v>46249</v>
      </c>
      <c r="N53" s="43">
        <f>IF(Gastos[[#This Row],[Fecha_Cheque]]&gt;0,WEEKNUM(Gastos[[#This Row],[Fecha_Cheque]]),MID(Gastos[[#This Row],[Semana]],6,2))</f>
        <v>33</v>
      </c>
      <c r="O53" t="s">
        <v>2766</v>
      </c>
      <c r="P53" t="s">
        <v>27</v>
      </c>
    </row>
    <row r="54" spans="1:16" hidden="1" x14ac:dyDescent="0.25">
      <c r="A54" s="3" t="s">
        <v>2763</v>
      </c>
      <c r="B54" t="s">
        <v>2764</v>
      </c>
      <c r="C54" t="s">
        <v>2765</v>
      </c>
      <c r="D54" t="s">
        <v>26</v>
      </c>
      <c r="E54" t="s">
        <v>31</v>
      </c>
      <c r="F54">
        <v>1</v>
      </c>
      <c r="G54" s="3" t="s">
        <v>32</v>
      </c>
      <c r="H54" s="44" t="s">
        <v>15</v>
      </c>
      <c r="I54" s="17">
        <v>1007271.9</v>
      </c>
      <c r="J54" s="17">
        <f>IF(Gastos[[#This Row],[Divisa]]="$", I54*1, IF(Gastos[[#This Row],[Divisa]]="U$D", I54*$N$1, IF(Gastos[[#This Row],[Divisa]]="EUR", I54*$N$2, 0)))</f>
        <v>1007271.9</v>
      </c>
      <c r="K54" s="54">
        <f>Gastos[[#This Row],[Importe AR$]]/$N$1</f>
        <v>645.68711538461537</v>
      </c>
      <c r="L54" t="s">
        <v>340</v>
      </c>
      <c r="M54" s="69"/>
      <c r="N54" s="43" t="str">
        <f>IF(Gastos[[#This Row],[Fecha_Cheque]]&gt;0,WEEKNUM(Gastos[[#This Row],[Fecha_Cheque]]),MID(Gastos[[#This Row],[Semana]],6,2))</f>
        <v>23</v>
      </c>
      <c r="O54" t="s">
        <v>2766</v>
      </c>
      <c r="P54" t="s">
        <v>27</v>
      </c>
    </row>
    <row r="55" spans="1:16" hidden="1" x14ac:dyDescent="0.25">
      <c r="A55" s="3" t="s">
        <v>4211</v>
      </c>
      <c r="B55" t="s">
        <v>2764</v>
      </c>
      <c r="C55" t="s">
        <v>4110</v>
      </c>
      <c r="D55" t="s">
        <v>26</v>
      </c>
      <c r="E55" t="s">
        <v>62</v>
      </c>
      <c r="F55">
        <v>1</v>
      </c>
      <c r="G55" s="3" t="s">
        <v>5</v>
      </c>
      <c r="H55" s="44" t="s">
        <v>15</v>
      </c>
      <c r="I55" s="17">
        <v>7296478.8600000003</v>
      </c>
      <c r="J55" s="17">
        <f>IF(Gastos[[#This Row],[Divisa]]="$", I55*1, IF(Gastos[[#This Row],[Divisa]]="U$D", I55*$N$1, IF(Gastos[[#This Row],[Divisa]]="EUR", I55*$N$2, 0)))</f>
        <v>7296478.8600000003</v>
      </c>
      <c r="K55" s="54">
        <f>Gastos[[#This Row],[Importe AR$]]/$N$1</f>
        <v>4677.2300384615382</v>
      </c>
      <c r="M55" s="69"/>
      <c r="N55" s="43" t="str">
        <f>IF(Gastos[[#This Row],[Fecha_Cheque]]&gt;0,WEEKNUM(Gastos[[#This Row],[Fecha_Cheque]]),MID(Gastos[[#This Row],[Semana]],6,2))</f>
        <v>37</v>
      </c>
      <c r="O55" t="s">
        <v>4218</v>
      </c>
      <c r="P55" t="s">
        <v>27</v>
      </c>
    </row>
    <row r="56" spans="1:16" hidden="1" x14ac:dyDescent="0.25">
      <c r="A56" s="3" t="s">
        <v>4211</v>
      </c>
      <c r="B56" t="s">
        <v>2764</v>
      </c>
      <c r="C56" t="s">
        <v>4110</v>
      </c>
      <c r="D56" t="s">
        <v>26</v>
      </c>
      <c r="E56" t="s">
        <v>62</v>
      </c>
      <c r="F56">
        <v>1</v>
      </c>
      <c r="G56" s="3" t="s">
        <v>5</v>
      </c>
      <c r="H56" s="44" t="s">
        <v>15</v>
      </c>
      <c r="I56" s="17">
        <v>9119787</v>
      </c>
      <c r="J56" s="17">
        <f>IF(Gastos[[#This Row],[Divisa]]="$", I56*1, IF(Gastos[[#This Row],[Divisa]]="U$D", I56*$N$1, IF(Gastos[[#This Row],[Divisa]]="EUR", I56*$N$2, 0)))</f>
        <v>9119787</v>
      </c>
      <c r="K56" s="54">
        <f>Gastos[[#This Row],[Importe AR$]]/$N$1</f>
        <v>5846.0173076923074</v>
      </c>
      <c r="M56" s="69"/>
      <c r="N56" s="43" t="str">
        <f>IF(Gastos[[#This Row],[Fecha_Cheque]]&gt;0,WEEKNUM(Gastos[[#This Row],[Fecha_Cheque]]),MID(Gastos[[#This Row],[Semana]],6,2))</f>
        <v>37</v>
      </c>
      <c r="O56" t="s">
        <v>4219</v>
      </c>
      <c r="P56" t="s">
        <v>27</v>
      </c>
    </row>
    <row r="57" spans="1:16" hidden="1" x14ac:dyDescent="0.25">
      <c r="A57" s="3" t="s">
        <v>2751</v>
      </c>
      <c r="B57" t="s">
        <v>2752</v>
      </c>
      <c r="C57" t="s">
        <v>2753</v>
      </c>
      <c r="D57" t="s">
        <v>26</v>
      </c>
      <c r="E57" t="s">
        <v>31</v>
      </c>
      <c r="F57">
        <v>1</v>
      </c>
      <c r="G57" s="3" t="s">
        <v>32</v>
      </c>
      <c r="H57" s="44" t="s">
        <v>15</v>
      </c>
      <c r="I57" s="17">
        <v>190000.01</v>
      </c>
      <c r="J57" s="17">
        <f>IF(Gastos[[#This Row],[Divisa]]="$", I57*1, IF(Gastos[[#This Row],[Divisa]]="U$D", I57*$N$1, IF(Gastos[[#This Row],[Divisa]]="EUR", I57*$N$2, 0)))</f>
        <v>190000.01</v>
      </c>
      <c r="K57" s="54">
        <f>Gastos[[#This Row],[Importe AR$]]/$N$1</f>
        <v>121.79487820512821</v>
      </c>
      <c r="M57" s="69">
        <v>46161</v>
      </c>
      <c r="N57" s="43">
        <f>IF(Gastos[[#This Row],[Fecha_Cheque]]&gt;0,WEEKNUM(Gastos[[#This Row],[Fecha_Cheque]]),MID(Gastos[[#This Row],[Semana]],6,2))</f>
        <v>21</v>
      </c>
      <c r="O57" t="s">
        <v>2754</v>
      </c>
      <c r="P57" t="s">
        <v>27</v>
      </c>
    </row>
    <row r="58" spans="1:16" hidden="1" x14ac:dyDescent="0.25">
      <c r="A58" s="3" t="s">
        <v>64</v>
      </c>
      <c r="B58" t="s">
        <v>102</v>
      </c>
      <c r="C58" t="s">
        <v>103</v>
      </c>
      <c r="D58" t="s">
        <v>26</v>
      </c>
      <c r="E58" t="s">
        <v>31</v>
      </c>
      <c r="F58">
        <v>1</v>
      </c>
      <c r="G58" s="3" t="s">
        <v>5</v>
      </c>
      <c r="H58" s="46" t="s">
        <v>15</v>
      </c>
      <c r="I58" s="17">
        <v>177902.31</v>
      </c>
      <c r="J58" s="17">
        <f>IF(Gastos[[#This Row],[Divisa]]="$", I58*1, IF(Gastos[[#This Row],[Divisa]]="U$D", I58*$N$1, IF(Gastos[[#This Row],[Divisa]]="EUR", I58*$N$2, 0)))</f>
        <v>177902.31</v>
      </c>
      <c r="K58" s="54">
        <f>Gastos[[#This Row],[Importe AR$]]/$N$1</f>
        <v>114.0399423076923</v>
      </c>
      <c r="M58" s="69"/>
      <c r="N58" s="43" t="str">
        <f>IF(Gastos[[#This Row],[Fecha_Cheque]]&gt;0,WEEKNUM(Gastos[[#This Row],[Fecha_Cheque]]),MID(Gastos[[#This Row],[Semana]],6,2))</f>
        <v>33</v>
      </c>
      <c r="O58" t="s">
        <v>104</v>
      </c>
      <c r="P58" t="s">
        <v>27</v>
      </c>
    </row>
    <row r="59" spans="1:16" hidden="1" x14ac:dyDescent="0.25">
      <c r="A59" s="3" t="s">
        <v>39</v>
      </c>
      <c r="B59" t="s">
        <v>40</v>
      </c>
      <c r="C59" t="s">
        <v>41</v>
      </c>
      <c r="D59" t="s">
        <v>26</v>
      </c>
      <c r="E59" t="s">
        <v>42</v>
      </c>
      <c r="F59">
        <v>2</v>
      </c>
      <c r="G59" s="3" t="s">
        <v>4</v>
      </c>
      <c r="H59" s="44" t="s">
        <v>15</v>
      </c>
      <c r="I59" s="17">
        <v>1000000</v>
      </c>
      <c r="J59" s="17">
        <f>IF(Gastos[[#This Row],[Divisa]]="$", I59*1, IF(Gastos[[#This Row],[Divisa]]="U$D", I59*$N$1, IF(Gastos[[#This Row],[Divisa]]="EUR", I59*$N$2, 0)))</f>
        <v>1000000</v>
      </c>
      <c r="K59" s="54">
        <f>Gastos[[#This Row],[Importe AR$]]/$N$1</f>
        <v>641.02564102564099</v>
      </c>
      <c r="M59" s="69"/>
      <c r="N59" s="43" t="str">
        <f>IF(Gastos[[#This Row],[Fecha_Cheque]]&gt;0,WEEKNUM(Gastos[[#This Row],[Fecha_Cheque]]),MID(Gastos[[#This Row],[Semana]],6,2))</f>
        <v>14</v>
      </c>
      <c r="O59" t="s">
        <v>43</v>
      </c>
      <c r="P59" t="s">
        <v>27</v>
      </c>
    </row>
    <row r="60" spans="1:16" hidden="1" x14ac:dyDescent="0.25">
      <c r="A60" s="3" t="s">
        <v>105</v>
      </c>
      <c r="B60" t="s">
        <v>40</v>
      </c>
      <c r="C60" t="s">
        <v>106</v>
      </c>
      <c r="D60" t="s">
        <v>26</v>
      </c>
      <c r="E60" t="s">
        <v>132</v>
      </c>
      <c r="F60">
        <v>2</v>
      </c>
      <c r="G60" s="3" t="s">
        <v>32</v>
      </c>
      <c r="H60" s="46" t="s">
        <v>15</v>
      </c>
      <c r="I60" s="17">
        <v>278132</v>
      </c>
      <c r="J60" s="17">
        <f>IF(Gastos[[#This Row],[Divisa]]="$", I60*1, IF(Gastos[[#This Row],[Divisa]]="U$D", I60*$N$1, IF(Gastos[[#This Row],[Divisa]]="EUR", I60*$N$2, 0)))</f>
        <v>278132</v>
      </c>
      <c r="K60" s="54">
        <f>Gastos[[#This Row],[Importe AR$]]/$N$1</f>
        <v>178.28974358974358</v>
      </c>
      <c r="M60" s="69">
        <v>45842</v>
      </c>
      <c r="N60" s="43">
        <f>IF(Gastos[[#This Row],[Fecha_Cheque]]&gt;0,WEEKNUM(Gastos[[#This Row],[Fecha_Cheque]]),MID(Gastos[[#This Row],[Semana]],6,2))</f>
        <v>27</v>
      </c>
      <c r="O60" t="s">
        <v>107</v>
      </c>
      <c r="P60" t="s">
        <v>27</v>
      </c>
    </row>
    <row r="61" spans="1:16" hidden="1" x14ac:dyDescent="0.25">
      <c r="A61" s="3" t="s">
        <v>105</v>
      </c>
      <c r="B61" t="s">
        <v>40</v>
      </c>
      <c r="C61" t="s">
        <v>106</v>
      </c>
      <c r="D61" t="s">
        <v>26</v>
      </c>
      <c r="E61" t="s">
        <v>132</v>
      </c>
      <c r="F61">
        <v>2</v>
      </c>
      <c r="G61" s="3" t="s">
        <v>32</v>
      </c>
      <c r="H61" s="46" t="s">
        <v>15</v>
      </c>
      <c r="I61" s="17">
        <v>2200000</v>
      </c>
      <c r="J61" s="17">
        <f>IF(Gastos[[#This Row],[Divisa]]="$", I61*1, IF(Gastos[[#This Row],[Divisa]]="U$D", I61*$N$1, IF(Gastos[[#This Row],[Divisa]]="EUR", I61*$N$2, 0)))</f>
        <v>2200000</v>
      </c>
      <c r="K61" s="54">
        <f>Gastos[[#This Row],[Importe AR$]]/$N$1</f>
        <v>1410.2564102564102</v>
      </c>
      <c r="M61" s="69">
        <v>45879</v>
      </c>
      <c r="N61" s="43">
        <f>IF(Gastos[[#This Row],[Fecha_Cheque]]&gt;0,WEEKNUM(Gastos[[#This Row],[Fecha_Cheque]]),MID(Gastos[[#This Row],[Semana]],6,2))</f>
        <v>33</v>
      </c>
      <c r="O61" t="s">
        <v>107</v>
      </c>
      <c r="P61" t="s">
        <v>27</v>
      </c>
    </row>
    <row r="62" spans="1:16" hidden="1" x14ac:dyDescent="0.25">
      <c r="A62" s="3" t="s">
        <v>85</v>
      </c>
      <c r="B62" t="s">
        <v>40</v>
      </c>
      <c r="C62" t="s">
        <v>108</v>
      </c>
      <c r="D62" t="s">
        <v>26</v>
      </c>
      <c r="E62" t="s">
        <v>132</v>
      </c>
      <c r="F62">
        <v>2</v>
      </c>
      <c r="G62" s="3" t="s">
        <v>32</v>
      </c>
      <c r="H62" s="46" t="s">
        <v>15</v>
      </c>
      <c r="I62" s="17">
        <v>400000</v>
      </c>
      <c r="J62" s="17">
        <f>IF(Gastos[[#This Row],[Divisa]]="$", I62*1, IF(Gastos[[#This Row],[Divisa]]="U$D", I62*$N$1, IF(Gastos[[#This Row],[Divisa]]="EUR", I62*$N$2, 0)))</f>
        <v>400000</v>
      </c>
      <c r="K62" s="54">
        <f>Gastos[[#This Row],[Importe AR$]]/$N$1</f>
        <v>256.41025641025641</v>
      </c>
      <c r="M62" s="70" t="s">
        <v>109</v>
      </c>
      <c r="N62" s="43">
        <f>IF(Gastos[[#This Row],[Fecha_Cheque]]&gt;0,WEEKNUM(Gastos[[#This Row],[Fecha_Cheque]]),MID(Gastos[[#This Row],[Semana]],6,2))</f>
        <v>29</v>
      </c>
      <c r="O62" t="s">
        <v>110</v>
      </c>
      <c r="P62" t="s">
        <v>27</v>
      </c>
    </row>
    <row r="63" spans="1:16" hidden="1" x14ac:dyDescent="0.25">
      <c r="A63" s="3" t="s">
        <v>85</v>
      </c>
      <c r="B63" t="s">
        <v>40</v>
      </c>
      <c r="C63" t="s">
        <v>108</v>
      </c>
      <c r="D63" t="s">
        <v>26</v>
      </c>
      <c r="E63" t="s">
        <v>132</v>
      </c>
      <c r="F63">
        <v>2</v>
      </c>
      <c r="G63" s="3" t="s">
        <v>32</v>
      </c>
      <c r="H63" s="46" t="s">
        <v>15</v>
      </c>
      <c r="I63" s="17">
        <v>500000</v>
      </c>
      <c r="J63" s="17">
        <f>IF(Gastos[[#This Row],[Divisa]]="$", I63*1, IF(Gastos[[#This Row],[Divisa]]="U$D", I63*$N$1, IF(Gastos[[#This Row],[Divisa]]="EUR", I63*$N$2, 0)))</f>
        <v>500000</v>
      </c>
      <c r="K63" s="54">
        <f>Gastos[[#This Row],[Importe AR$]]/$N$1</f>
        <v>320.5128205128205</v>
      </c>
      <c r="M63" s="70" t="s">
        <v>111</v>
      </c>
      <c r="N63" s="43">
        <f>IF(Gastos[[#This Row],[Fecha_Cheque]]&gt;0,WEEKNUM(Gastos[[#This Row],[Fecha_Cheque]]),MID(Gastos[[#This Row],[Semana]],6,2))</f>
        <v>29</v>
      </c>
      <c r="O63" t="s">
        <v>110</v>
      </c>
      <c r="P63" t="s">
        <v>27</v>
      </c>
    </row>
    <row r="64" spans="1:16" hidden="1" x14ac:dyDescent="0.25">
      <c r="A64" s="3" t="s">
        <v>85</v>
      </c>
      <c r="B64" t="s">
        <v>40</v>
      </c>
      <c r="C64" t="s">
        <v>108</v>
      </c>
      <c r="D64" t="s">
        <v>26</v>
      </c>
      <c r="E64" t="s">
        <v>132</v>
      </c>
      <c r="F64">
        <v>2</v>
      </c>
      <c r="G64" s="3" t="s">
        <v>32</v>
      </c>
      <c r="H64" s="46" t="s">
        <v>15</v>
      </c>
      <c r="I64" s="17">
        <v>844730</v>
      </c>
      <c r="J64" s="17">
        <f>IF(Gastos[[#This Row],[Divisa]]="$", I64*1, IF(Gastos[[#This Row],[Divisa]]="U$D", I64*$N$1, IF(Gastos[[#This Row],[Divisa]]="EUR", I64*$N$2, 0)))</f>
        <v>844730</v>
      </c>
      <c r="K64" s="54">
        <f>Gastos[[#This Row],[Importe AR$]]/$N$1</f>
        <v>541.49358974358972</v>
      </c>
      <c r="M64" s="70" t="s">
        <v>112</v>
      </c>
      <c r="N64" s="43">
        <f>IF(Gastos[[#This Row],[Fecha_Cheque]]&gt;0,WEEKNUM(Gastos[[#This Row],[Fecha_Cheque]]),MID(Gastos[[#This Row],[Semana]],6,2))</f>
        <v>32</v>
      </c>
      <c r="O64" t="s">
        <v>110</v>
      </c>
      <c r="P64" t="s">
        <v>27</v>
      </c>
    </row>
    <row r="65" spans="1:16" hidden="1" x14ac:dyDescent="0.25">
      <c r="A65" s="3" t="s">
        <v>85</v>
      </c>
      <c r="B65" t="s">
        <v>40</v>
      </c>
      <c r="C65" t="s">
        <v>108</v>
      </c>
      <c r="D65" t="s">
        <v>26</v>
      </c>
      <c r="E65" t="s">
        <v>132</v>
      </c>
      <c r="F65">
        <v>2</v>
      </c>
      <c r="G65" s="3" t="s">
        <v>32</v>
      </c>
      <c r="H65" s="46" t="s">
        <v>15</v>
      </c>
      <c r="I65" s="17">
        <v>2444655.86</v>
      </c>
      <c r="J65" s="17">
        <f>IF(Gastos[[#This Row],[Divisa]]="$", I65*1, IF(Gastos[[#This Row],[Divisa]]="U$D", I65*$N$1, IF(Gastos[[#This Row],[Divisa]]="EUR", I65*$N$2, 0)))</f>
        <v>2444655.86</v>
      </c>
      <c r="K65" s="54">
        <f>Gastos[[#This Row],[Importe AR$]]/$N$1</f>
        <v>1567.0870897435896</v>
      </c>
      <c r="M65" s="70" t="s">
        <v>113</v>
      </c>
      <c r="N65" s="43">
        <f>IF(Gastos[[#This Row],[Fecha_Cheque]]&gt;0,WEEKNUM(Gastos[[#This Row],[Fecha_Cheque]]),MID(Gastos[[#This Row],[Semana]],6,2))</f>
        <v>32</v>
      </c>
      <c r="O65" t="s">
        <v>110</v>
      </c>
      <c r="P65" t="s">
        <v>27</v>
      </c>
    </row>
    <row r="66" spans="1:16" hidden="1" x14ac:dyDescent="0.25">
      <c r="A66" s="3" t="s">
        <v>114</v>
      </c>
      <c r="B66" t="s">
        <v>40</v>
      </c>
      <c r="C66" t="s">
        <v>115</v>
      </c>
      <c r="D66" t="s">
        <v>26</v>
      </c>
      <c r="E66" t="s">
        <v>132</v>
      </c>
      <c r="F66">
        <v>2</v>
      </c>
      <c r="G66" s="3" t="s">
        <v>32</v>
      </c>
      <c r="H66" s="46" t="s">
        <v>15</v>
      </c>
      <c r="I66" s="17">
        <v>149552</v>
      </c>
      <c r="J66" s="17">
        <f>IF(Gastos[[#This Row],[Divisa]]="$", I66*1, IF(Gastos[[#This Row],[Divisa]]="U$D", I66*$N$1, IF(Gastos[[#This Row],[Divisa]]="EUR", I66*$N$2, 0)))</f>
        <v>149552</v>
      </c>
      <c r="K66" s="54">
        <f>Gastos[[#This Row],[Importe AR$]]/$N$1</f>
        <v>95.86666666666666</v>
      </c>
      <c r="M66" s="69">
        <v>45829</v>
      </c>
      <c r="N66" s="43">
        <f>IF(Gastos[[#This Row],[Fecha_Cheque]]&gt;0,WEEKNUM(Gastos[[#This Row],[Fecha_Cheque]]),MID(Gastos[[#This Row],[Semana]],6,2))</f>
        <v>25</v>
      </c>
      <c r="O66" t="s">
        <v>116</v>
      </c>
      <c r="P66" t="s">
        <v>27</v>
      </c>
    </row>
    <row r="67" spans="1:16" hidden="1" x14ac:dyDescent="0.25">
      <c r="A67" s="3" t="s">
        <v>114</v>
      </c>
      <c r="B67" t="s">
        <v>40</v>
      </c>
      <c r="C67" t="s">
        <v>115</v>
      </c>
      <c r="D67" t="s">
        <v>26</v>
      </c>
      <c r="E67" t="s">
        <v>132</v>
      </c>
      <c r="F67">
        <v>2</v>
      </c>
      <c r="G67" s="3" t="s">
        <v>32</v>
      </c>
      <c r="H67" s="46" t="s">
        <v>15</v>
      </c>
      <c r="I67" s="17">
        <v>149552</v>
      </c>
      <c r="J67" s="17">
        <f>IF(Gastos[[#This Row],[Divisa]]="$", I67*1, IF(Gastos[[#This Row],[Divisa]]="U$D", I67*$N$1, IF(Gastos[[#This Row],[Divisa]]="EUR", I67*$N$2, 0)))</f>
        <v>149552</v>
      </c>
      <c r="K67" s="54">
        <f>Gastos[[#This Row],[Importe AR$]]/$N$1</f>
        <v>95.86666666666666</v>
      </c>
      <c r="M67" s="69">
        <v>45834</v>
      </c>
      <c r="N67" s="43">
        <f>IF(Gastos[[#This Row],[Fecha_Cheque]]&gt;0,WEEKNUM(Gastos[[#This Row],[Fecha_Cheque]]),MID(Gastos[[#This Row],[Semana]],6,2))</f>
        <v>26</v>
      </c>
      <c r="O67" t="s">
        <v>116</v>
      </c>
      <c r="P67" t="s">
        <v>27</v>
      </c>
    </row>
    <row r="68" spans="1:16" hidden="1" x14ac:dyDescent="0.25">
      <c r="A68" s="3" t="s">
        <v>114</v>
      </c>
      <c r="B68" t="s">
        <v>40</v>
      </c>
      <c r="C68" t="s">
        <v>115</v>
      </c>
      <c r="D68" t="s">
        <v>26</v>
      </c>
      <c r="E68" t="s">
        <v>132</v>
      </c>
      <c r="F68">
        <v>2</v>
      </c>
      <c r="G68" s="3" t="s">
        <v>32</v>
      </c>
      <c r="H68" s="46" t="s">
        <v>15</v>
      </c>
      <c r="I68" s="17">
        <v>149552</v>
      </c>
      <c r="J68" s="17">
        <f>IF(Gastos[[#This Row],[Divisa]]="$", I68*1, IF(Gastos[[#This Row],[Divisa]]="U$D", I68*$N$1, IF(Gastos[[#This Row],[Divisa]]="EUR", I68*$N$2, 0)))</f>
        <v>149552</v>
      </c>
      <c r="K68" s="54">
        <f>Gastos[[#This Row],[Importe AR$]]/$N$1</f>
        <v>95.86666666666666</v>
      </c>
      <c r="M68" s="69">
        <v>45833</v>
      </c>
      <c r="N68" s="43">
        <f>IF(Gastos[[#This Row],[Fecha_Cheque]]&gt;0,WEEKNUM(Gastos[[#This Row],[Fecha_Cheque]]),MID(Gastos[[#This Row],[Semana]],6,2))</f>
        <v>26</v>
      </c>
      <c r="O68" t="s">
        <v>116</v>
      </c>
      <c r="P68" t="s">
        <v>27</v>
      </c>
    </row>
    <row r="69" spans="1:16" hidden="1" x14ac:dyDescent="0.25">
      <c r="A69" s="3" t="s">
        <v>114</v>
      </c>
      <c r="B69" t="s">
        <v>40</v>
      </c>
      <c r="C69" t="s">
        <v>115</v>
      </c>
      <c r="D69" t="s">
        <v>26</v>
      </c>
      <c r="E69" t="s">
        <v>132</v>
      </c>
      <c r="F69">
        <v>2</v>
      </c>
      <c r="G69" s="3" t="s">
        <v>32</v>
      </c>
      <c r="H69" s="46" t="s">
        <v>15</v>
      </c>
      <c r="I69" s="17">
        <v>250000</v>
      </c>
      <c r="J69" s="17">
        <f>IF(Gastos[[#This Row],[Divisa]]="$", I69*1, IF(Gastos[[#This Row],[Divisa]]="U$D", I69*$N$1, IF(Gastos[[#This Row],[Divisa]]="EUR", I69*$N$2, 0)))</f>
        <v>250000</v>
      </c>
      <c r="K69" s="54">
        <f>Gastos[[#This Row],[Importe AR$]]/$N$1</f>
        <v>160.25641025641025</v>
      </c>
      <c r="M69" s="69">
        <v>45827</v>
      </c>
      <c r="N69" s="43">
        <f>IF(Gastos[[#This Row],[Fecha_Cheque]]&gt;0,WEEKNUM(Gastos[[#This Row],[Fecha_Cheque]]),MID(Gastos[[#This Row],[Semana]],6,2))</f>
        <v>25</v>
      </c>
      <c r="O69" t="s">
        <v>116</v>
      </c>
      <c r="P69" t="s">
        <v>27</v>
      </c>
    </row>
    <row r="70" spans="1:16" hidden="1" x14ac:dyDescent="0.25">
      <c r="A70" s="3" t="s">
        <v>114</v>
      </c>
      <c r="B70" t="s">
        <v>40</v>
      </c>
      <c r="C70" t="s">
        <v>115</v>
      </c>
      <c r="D70" t="s">
        <v>26</v>
      </c>
      <c r="E70" t="s">
        <v>132</v>
      </c>
      <c r="F70">
        <v>2</v>
      </c>
      <c r="G70" s="3" t="s">
        <v>32</v>
      </c>
      <c r="H70" s="46" t="s">
        <v>15</v>
      </c>
      <c r="I70" s="17">
        <v>434000</v>
      </c>
      <c r="J70" s="17">
        <f>IF(Gastos[[#This Row],[Divisa]]="$", I70*1, IF(Gastos[[#This Row],[Divisa]]="U$D", I70*$N$1, IF(Gastos[[#This Row],[Divisa]]="EUR", I70*$N$2, 0)))</f>
        <v>434000</v>
      </c>
      <c r="K70" s="54">
        <f>Gastos[[#This Row],[Importe AR$]]/$N$1</f>
        <v>278.20512820512823</v>
      </c>
      <c r="M70" s="69">
        <v>45838</v>
      </c>
      <c r="N70" s="43">
        <f>IF(Gastos[[#This Row],[Fecha_Cheque]]&gt;0,WEEKNUM(Gastos[[#This Row],[Fecha_Cheque]]),MID(Gastos[[#This Row],[Semana]],6,2))</f>
        <v>27</v>
      </c>
      <c r="O70" t="s">
        <v>116</v>
      </c>
      <c r="P70" t="s">
        <v>27</v>
      </c>
    </row>
    <row r="71" spans="1:16" hidden="1" x14ac:dyDescent="0.25">
      <c r="A71" s="3" t="s">
        <v>114</v>
      </c>
      <c r="B71" t="s">
        <v>40</v>
      </c>
      <c r="C71" t="s">
        <v>115</v>
      </c>
      <c r="D71" t="s">
        <v>26</v>
      </c>
      <c r="E71" t="s">
        <v>132</v>
      </c>
      <c r="F71">
        <v>2</v>
      </c>
      <c r="G71" s="3" t="s">
        <v>32</v>
      </c>
      <c r="H71" s="46" t="s">
        <v>15</v>
      </c>
      <c r="I71" s="17">
        <v>634000</v>
      </c>
      <c r="J71" s="17">
        <f>IF(Gastos[[#This Row],[Divisa]]="$", I71*1, IF(Gastos[[#This Row],[Divisa]]="U$D", I71*$N$1, IF(Gastos[[#This Row],[Divisa]]="EUR", I71*$N$2, 0)))</f>
        <v>634000</v>
      </c>
      <c r="K71" s="54">
        <f>Gastos[[#This Row],[Importe AR$]]/$N$1</f>
        <v>406.41025641025641</v>
      </c>
      <c r="M71" s="69">
        <v>45838</v>
      </c>
      <c r="N71" s="43">
        <f>IF(Gastos[[#This Row],[Fecha_Cheque]]&gt;0,WEEKNUM(Gastos[[#This Row],[Fecha_Cheque]]),MID(Gastos[[#This Row],[Semana]],6,2))</f>
        <v>27</v>
      </c>
      <c r="O71" t="s">
        <v>116</v>
      </c>
      <c r="P71" t="s">
        <v>27</v>
      </c>
    </row>
    <row r="72" spans="1:16" hidden="1" x14ac:dyDescent="0.25">
      <c r="A72" s="3" t="s">
        <v>114</v>
      </c>
      <c r="B72" t="s">
        <v>40</v>
      </c>
      <c r="C72" t="s">
        <v>115</v>
      </c>
      <c r="D72" t="s">
        <v>26</v>
      </c>
      <c r="E72" t="s">
        <v>132</v>
      </c>
      <c r="F72">
        <v>2</v>
      </c>
      <c r="G72" s="3" t="s">
        <v>32</v>
      </c>
      <c r="H72" s="46" t="s">
        <v>15</v>
      </c>
      <c r="I72" s="17">
        <v>640000</v>
      </c>
      <c r="J72" s="17">
        <f>IF(Gastos[[#This Row],[Divisa]]="$", I72*1, IF(Gastos[[#This Row],[Divisa]]="U$D", I72*$N$1, IF(Gastos[[#This Row],[Divisa]]="EUR", I72*$N$2, 0)))</f>
        <v>640000</v>
      </c>
      <c r="K72" s="54">
        <f>Gastos[[#This Row],[Importe AR$]]/$N$1</f>
        <v>410.25641025641028</v>
      </c>
      <c r="M72" s="69">
        <v>45824</v>
      </c>
      <c r="N72" s="43">
        <f>IF(Gastos[[#This Row],[Fecha_Cheque]]&gt;0,WEEKNUM(Gastos[[#This Row],[Fecha_Cheque]]),MID(Gastos[[#This Row],[Semana]],6,2))</f>
        <v>25</v>
      </c>
      <c r="O72" t="s">
        <v>116</v>
      </c>
      <c r="P72" t="s">
        <v>27</v>
      </c>
    </row>
    <row r="73" spans="1:16" hidden="1" x14ac:dyDescent="0.25">
      <c r="A73" s="3" t="s">
        <v>114</v>
      </c>
      <c r="B73" t="s">
        <v>40</v>
      </c>
      <c r="C73" t="s">
        <v>115</v>
      </c>
      <c r="D73" t="s">
        <v>26</v>
      </c>
      <c r="E73" t="s">
        <v>132</v>
      </c>
      <c r="F73">
        <v>2</v>
      </c>
      <c r="G73" s="3" t="s">
        <v>32</v>
      </c>
      <c r="H73" s="46" t="s">
        <v>15</v>
      </c>
      <c r="I73" s="17">
        <v>930000</v>
      </c>
      <c r="J73" s="17">
        <f>IF(Gastos[[#This Row],[Divisa]]="$", I73*1, IF(Gastos[[#This Row],[Divisa]]="U$D", I73*$N$1, IF(Gastos[[#This Row],[Divisa]]="EUR", I73*$N$2, 0)))</f>
        <v>930000</v>
      </c>
      <c r="K73" s="54">
        <f>Gastos[[#This Row],[Importe AR$]]/$N$1</f>
        <v>596.15384615384619</v>
      </c>
      <c r="M73" s="69">
        <v>45827</v>
      </c>
      <c r="N73" s="43">
        <f>IF(Gastos[[#This Row],[Fecha_Cheque]]&gt;0,WEEKNUM(Gastos[[#This Row],[Fecha_Cheque]]),MID(Gastos[[#This Row],[Semana]],6,2))</f>
        <v>25</v>
      </c>
      <c r="O73" t="s">
        <v>116</v>
      </c>
      <c r="P73" t="s">
        <v>27</v>
      </c>
    </row>
    <row r="74" spans="1:16" hidden="1" x14ac:dyDescent="0.25">
      <c r="A74" s="3" t="s">
        <v>117</v>
      </c>
      <c r="B74" t="s">
        <v>40</v>
      </c>
      <c r="C74" t="s">
        <v>118</v>
      </c>
      <c r="D74" t="s">
        <v>26</v>
      </c>
      <c r="E74" t="s">
        <v>132</v>
      </c>
      <c r="F74">
        <v>2</v>
      </c>
      <c r="G74" s="3" t="s">
        <v>32</v>
      </c>
      <c r="H74" s="46" t="s">
        <v>15</v>
      </c>
      <c r="I74" s="17">
        <v>166300</v>
      </c>
      <c r="J74" s="17">
        <f>IF(Gastos[[#This Row],[Divisa]]="$", I74*1, IF(Gastos[[#This Row],[Divisa]]="U$D", I74*$N$1, IF(Gastos[[#This Row],[Divisa]]="EUR", I74*$N$2, 0)))</f>
        <v>166300</v>
      </c>
      <c r="K74" s="54">
        <f>Gastos[[#This Row],[Importe AR$]]/$N$1</f>
        <v>106.6025641025641</v>
      </c>
      <c r="M74" s="69">
        <v>45912</v>
      </c>
      <c r="N74" s="43">
        <f>IF(Gastos[[#This Row],[Fecha_Cheque]]&gt;0,WEEKNUM(Gastos[[#This Row],[Fecha_Cheque]]),MID(Gastos[[#This Row],[Semana]],6,2))</f>
        <v>37</v>
      </c>
      <c r="O74" t="s">
        <v>119</v>
      </c>
      <c r="P74" t="s">
        <v>27</v>
      </c>
    </row>
    <row r="75" spans="1:16" hidden="1" x14ac:dyDescent="0.25">
      <c r="A75" s="3" t="s">
        <v>117</v>
      </c>
      <c r="B75" t="s">
        <v>40</v>
      </c>
      <c r="C75" t="s">
        <v>118</v>
      </c>
      <c r="D75" t="s">
        <v>26</v>
      </c>
      <c r="E75" t="s">
        <v>132</v>
      </c>
      <c r="F75">
        <v>2</v>
      </c>
      <c r="G75" s="3" t="s">
        <v>32</v>
      </c>
      <c r="H75" s="46" t="s">
        <v>15</v>
      </c>
      <c r="I75" s="17">
        <v>500000</v>
      </c>
      <c r="J75" s="17">
        <f>IF(Gastos[[#This Row],[Divisa]]="$", I75*1, IF(Gastos[[#This Row],[Divisa]]="U$D", I75*$N$1, IF(Gastos[[#This Row],[Divisa]]="EUR", I75*$N$2, 0)))</f>
        <v>500000</v>
      </c>
      <c r="K75" s="54">
        <f>Gastos[[#This Row],[Importe AR$]]/$N$1</f>
        <v>320.5128205128205</v>
      </c>
      <c r="M75" s="69">
        <v>45909</v>
      </c>
      <c r="N75" s="43">
        <f>IF(Gastos[[#This Row],[Fecha_Cheque]]&gt;0,WEEKNUM(Gastos[[#This Row],[Fecha_Cheque]]),MID(Gastos[[#This Row],[Semana]],6,2))</f>
        <v>37</v>
      </c>
      <c r="O75" t="s">
        <v>119</v>
      </c>
      <c r="P75" t="s">
        <v>27</v>
      </c>
    </row>
    <row r="76" spans="1:16" hidden="1" x14ac:dyDescent="0.25">
      <c r="A76" s="3" t="s">
        <v>117</v>
      </c>
      <c r="B76" t="s">
        <v>40</v>
      </c>
      <c r="C76" t="s">
        <v>118</v>
      </c>
      <c r="D76" t="s">
        <v>26</v>
      </c>
      <c r="E76" t="s">
        <v>132</v>
      </c>
      <c r="F76">
        <v>2</v>
      </c>
      <c r="G76" s="3" t="s">
        <v>32</v>
      </c>
      <c r="H76" s="46" t="s">
        <v>15</v>
      </c>
      <c r="I76" s="17">
        <v>562495.5</v>
      </c>
      <c r="J76" s="17">
        <f>IF(Gastos[[#This Row],[Divisa]]="$", I76*1, IF(Gastos[[#This Row],[Divisa]]="U$D", I76*$N$1, IF(Gastos[[#This Row],[Divisa]]="EUR", I76*$N$2, 0)))</f>
        <v>562495.5</v>
      </c>
      <c r="K76" s="54">
        <f>Gastos[[#This Row],[Importe AR$]]/$N$1</f>
        <v>360.57403846153846</v>
      </c>
      <c r="M76" s="69">
        <v>45910</v>
      </c>
      <c r="N76" s="43">
        <f>IF(Gastos[[#This Row],[Fecha_Cheque]]&gt;0,WEEKNUM(Gastos[[#This Row],[Fecha_Cheque]]),MID(Gastos[[#This Row],[Semana]],6,2))</f>
        <v>37</v>
      </c>
      <c r="O76" t="s">
        <v>119</v>
      </c>
      <c r="P76" t="s">
        <v>27</v>
      </c>
    </row>
    <row r="77" spans="1:16" hidden="1" x14ac:dyDescent="0.25">
      <c r="A77" s="3" t="s">
        <v>117</v>
      </c>
      <c r="B77" t="s">
        <v>40</v>
      </c>
      <c r="C77" t="s">
        <v>118</v>
      </c>
      <c r="D77" t="s">
        <v>26</v>
      </c>
      <c r="E77" t="s">
        <v>132</v>
      </c>
      <c r="F77">
        <v>2</v>
      </c>
      <c r="G77" s="3" t="s">
        <v>32</v>
      </c>
      <c r="H77" s="46" t="s">
        <v>15</v>
      </c>
      <c r="I77" s="17">
        <v>598230</v>
      </c>
      <c r="J77" s="17">
        <f>IF(Gastos[[#This Row],[Divisa]]="$", I77*1, IF(Gastos[[#This Row],[Divisa]]="U$D", I77*$N$1, IF(Gastos[[#This Row],[Divisa]]="EUR", I77*$N$2, 0)))</f>
        <v>598230</v>
      </c>
      <c r="K77" s="54">
        <f>Gastos[[#This Row],[Importe AR$]]/$N$1</f>
        <v>383.48076923076923</v>
      </c>
      <c r="M77" s="69">
        <v>45907</v>
      </c>
      <c r="N77" s="43">
        <f>IF(Gastos[[#This Row],[Fecha_Cheque]]&gt;0,WEEKNUM(Gastos[[#This Row],[Fecha_Cheque]]),MID(Gastos[[#This Row],[Semana]],6,2))</f>
        <v>37</v>
      </c>
      <c r="O77" t="s">
        <v>119</v>
      </c>
      <c r="P77" t="s">
        <v>27</v>
      </c>
    </row>
    <row r="78" spans="1:16" hidden="1" x14ac:dyDescent="0.25">
      <c r="A78" s="3" t="s">
        <v>117</v>
      </c>
      <c r="B78" t="s">
        <v>40</v>
      </c>
      <c r="C78" t="s">
        <v>118</v>
      </c>
      <c r="D78" t="s">
        <v>26</v>
      </c>
      <c r="E78" t="s">
        <v>132</v>
      </c>
      <c r="F78">
        <v>2</v>
      </c>
      <c r="G78" s="3" t="s">
        <v>32</v>
      </c>
      <c r="H78" s="46" t="s">
        <v>15</v>
      </c>
      <c r="I78" s="17">
        <v>3250000</v>
      </c>
      <c r="J78" s="17">
        <f>IF(Gastos[[#This Row],[Divisa]]="$", I78*1, IF(Gastos[[#This Row],[Divisa]]="U$D", I78*$N$1, IF(Gastos[[#This Row],[Divisa]]="EUR", I78*$N$2, 0)))</f>
        <v>3250000</v>
      </c>
      <c r="K78" s="54">
        <f>Gastos[[#This Row],[Importe AR$]]/$N$1</f>
        <v>2083.3333333333335</v>
      </c>
      <c r="M78" s="69">
        <v>45929</v>
      </c>
      <c r="N78" s="43">
        <f>IF(Gastos[[#This Row],[Fecha_Cheque]]&gt;0,WEEKNUM(Gastos[[#This Row],[Fecha_Cheque]]),MID(Gastos[[#This Row],[Semana]],6,2))</f>
        <v>40</v>
      </c>
      <c r="O78" t="s">
        <v>119</v>
      </c>
      <c r="P78" t="s">
        <v>27</v>
      </c>
    </row>
    <row r="79" spans="1:16" hidden="1" x14ac:dyDescent="0.25">
      <c r="A79" s="3" t="s">
        <v>89</v>
      </c>
      <c r="B79" t="s">
        <v>40</v>
      </c>
      <c r="C79" t="s">
        <v>120</v>
      </c>
      <c r="D79" t="s">
        <v>26</v>
      </c>
      <c r="E79" t="s">
        <v>42</v>
      </c>
      <c r="F79">
        <v>2</v>
      </c>
      <c r="G79" s="3" t="s">
        <v>4</v>
      </c>
      <c r="H79" s="46" t="s">
        <v>15</v>
      </c>
      <c r="I79" s="17">
        <v>2200000</v>
      </c>
      <c r="J79" s="17">
        <f>IF(Gastos[[#This Row],[Divisa]]="$", I79*1, IF(Gastos[[#This Row],[Divisa]]="U$D", I79*$N$1, IF(Gastos[[#This Row],[Divisa]]="EUR", I79*$N$2, 0)))</f>
        <v>2200000</v>
      </c>
      <c r="K79" s="54">
        <f>Gastos[[#This Row],[Importe AR$]]/$N$1</f>
        <v>1410.2564102564102</v>
      </c>
      <c r="M79" s="69"/>
      <c r="N79" s="43" t="str">
        <f>IF(Gastos[[#This Row],[Fecha_Cheque]]&gt;0,WEEKNUM(Gastos[[#This Row],[Fecha_Cheque]]),MID(Gastos[[#This Row],[Semana]],6,2))</f>
        <v>39</v>
      </c>
      <c r="O79" t="s">
        <v>121</v>
      </c>
      <c r="P79" t="s">
        <v>27</v>
      </c>
    </row>
    <row r="80" spans="1:16" hidden="1" x14ac:dyDescent="0.25">
      <c r="A80" s="3" t="s">
        <v>122</v>
      </c>
      <c r="B80" t="s">
        <v>40</v>
      </c>
      <c r="C80" t="s">
        <v>118</v>
      </c>
      <c r="D80" t="s">
        <v>26</v>
      </c>
      <c r="E80" t="s">
        <v>132</v>
      </c>
      <c r="F80">
        <v>2</v>
      </c>
      <c r="G80" s="3" t="s">
        <v>32</v>
      </c>
      <c r="H80" s="46" t="s">
        <v>15</v>
      </c>
      <c r="I80" s="17">
        <v>837000</v>
      </c>
      <c r="J80" s="17">
        <f>IF(Gastos[[#This Row],[Divisa]]="$", I80*1, IF(Gastos[[#This Row],[Divisa]]="U$D", I80*$N$1, IF(Gastos[[#This Row],[Divisa]]="EUR", I80*$N$2, 0)))</f>
        <v>837000</v>
      </c>
      <c r="K80" s="54">
        <f>Gastos[[#This Row],[Importe AR$]]/$N$1</f>
        <v>536.53846153846155</v>
      </c>
      <c r="M80" s="69">
        <v>45961</v>
      </c>
      <c r="N80" s="43">
        <f>IF(Gastos[[#This Row],[Fecha_Cheque]]&gt;0,WEEKNUM(Gastos[[#This Row],[Fecha_Cheque]]),MID(Gastos[[#This Row],[Semana]],6,2))</f>
        <v>44</v>
      </c>
      <c r="O80" t="s">
        <v>123</v>
      </c>
      <c r="P80" t="s">
        <v>27</v>
      </c>
    </row>
    <row r="81" spans="1:16" hidden="1" x14ac:dyDescent="0.25">
      <c r="A81" s="3" t="s">
        <v>122</v>
      </c>
      <c r="B81" t="s">
        <v>40</v>
      </c>
      <c r="C81" t="s">
        <v>118</v>
      </c>
      <c r="D81" t="s">
        <v>26</v>
      </c>
      <c r="E81" t="s">
        <v>132</v>
      </c>
      <c r="F81">
        <v>2</v>
      </c>
      <c r="G81" s="3" t="s">
        <v>32</v>
      </c>
      <c r="H81" s="46" t="s">
        <v>15</v>
      </c>
      <c r="I81" s="17">
        <v>800000</v>
      </c>
      <c r="J81" s="17">
        <f>IF(Gastos[[#This Row],[Divisa]]="$", I81*1, IF(Gastos[[#This Row],[Divisa]]="U$D", I81*$N$1, IF(Gastos[[#This Row],[Divisa]]="EUR", I81*$N$2, 0)))</f>
        <v>800000</v>
      </c>
      <c r="K81" s="54">
        <f>Gastos[[#This Row],[Importe AR$]]/$N$1</f>
        <v>512.82051282051282</v>
      </c>
      <c r="M81" s="69">
        <v>45967</v>
      </c>
      <c r="N81" s="43">
        <f>IF(Gastos[[#This Row],[Fecha_Cheque]]&gt;0,WEEKNUM(Gastos[[#This Row],[Fecha_Cheque]]),MID(Gastos[[#This Row],[Semana]],6,2))</f>
        <v>45</v>
      </c>
      <c r="O81" t="s">
        <v>123</v>
      </c>
      <c r="P81" t="s">
        <v>27</v>
      </c>
    </row>
    <row r="82" spans="1:16" hidden="1" x14ac:dyDescent="0.25">
      <c r="A82" s="3" t="s">
        <v>122</v>
      </c>
      <c r="B82" t="s">
        <v>40</v>
      </c>
      <c r="C82" t="s">
        <v>118</v>
      </c>
      <c r="D82" t="s">
        <v>26</v>
      </c>
      <c r="E82" t="s">
        <v>132</v>
      </c>
      <c r="F82">
        <v>2</v>
      </c>
      <c r="G82" s="3" t="s">
        <v>32</v>
      </c>
      <c r="H82" s="46" t="s">
        <v>15</v>
      </c>
      <c r="I82" s="17">
        <v>1000000</v>
      </c>
      <c r="J82" s="17">
        <f>IF(Gastos[[#This Row],[Divisa]]="$", I82*1, IF(Gastos[[#This Row],[Divisa]]="U$D", I82*$N$1, IF(Gastos[[#This Row],[Divisa]]="EUR", I82*$N$2, 0)))</f>
        <v>1000000</v>
      </c>
      <c r="K82" s="54">
        <f>Gastos[[#This Row],[Importe AR$]]/$N$1</f>
        <v>641.02564102564099</v>
      </c>
      <c r="M82" s="69">
        <v>45949</v>
      </c>
      <c r="N82" s="43">
        <f>IF(Gastos[[#This Row],[Fecha_Cheque]]&gt;0,WEEKNUM(Gastos[[#This Row],[Fecha_Cheque]]),MID(Gastos[[#This Row],[Semana]],6,2))</f>
        <v>43</v>
      </c>
      <c r="O82" t="s">
        <v>123</v>
      </c>
      <c r="P82" t="s">
        <v>27</v>
      </c>
    </row>
    <row r="83" spans="1:16" hidden="1" x14ac:dyDescent="0.25">
      <c r="A83" s="3" t="s">
        <v>122</v>
      </c>
      <c r="B83" t="s">
        <v>40</v>
      </c>
      <c r="C83" t="s">
        <v>118</v>
      </c>
      <c r="D83" t="s">
        <v>26</v>
      </c>
      <c r="E83" t="s">
        <v>132</v>
      </c>
      <c r="F83">
        <v>2</v>
      </c>
      <c r="G83" s="3" t="s">
        <v>32</v>
      </c>
      <c r="H83" s="46" t="s">
        <v>15</v>
      </c>
      <c r="I83" s="17">
        <v>900000</v>
      </c>
      <c r="J83" s="17">
        <f>IF(Gastos[[#This Row],[Divisa]]="$", I83*1, IF(Gastos[[#This Row],[Divisa]]="U$D", I83*$N$1, IF(Gastos[[#This Row],[Divisa]]="EUR", I83*$N$2, 0)))</f>
        <v>900000</v>
      </c>
      <c r="K83" s="54">
        <f>Gastos[[#This Row],[Importe AR$]]/$N$1</f>
        <v>576.92307692307691</v>
      </c>
      <c r="M83" s="69">
        <v>45960</v>
      </c>
      <c r="N83" s="43">
        <f>IF(Gastos[[#This Row],[Fecha_Cheque]]&gt;0,WEEKNUM(Gastos[[#This Row],[Fecha_Cheque]]),MID(Gastos[[#This Row],[Semana]],6,2))</f>
        <v>44</v>
      </c>
      <c r="P83" t="s">
        <v>27</v>
      </c>
    </row>
    <row r="84" spans="1:16" hidden="1" x14ac:dyDescent="0.25">
      <c r="A84" s="3" t="s">
        <v>122</v>
      </c>
      <c r="B84" t="s">
        <v>40</v>
      </c>
      <c r="C84" t="s">
        <v>118</v>
      </c>
      <c r="D84" t="s">
        <v>26</v>
      </c>
      <c r="E84" t="s">
        <v>132</v>
      </c>
      <c r="F84">
        <v>2</v>
      </c>
      <c r="G84" s="3" t="s">
        <v>32</v>
      </c>
      <c r="H84" s="46" t="s">
        <v>15</v>
      </c>
      <c r="I84" s="17">
        <v>626500</v>
      </c>
      <c r="J84" s="17">
        <f>IF(Gastos[[#This Row],[Divisa]]="$", I84*1, IF(Gastos[[#This Row],[Divisa]]="U$D", I84*$N$1, IF(Gastos[[#This Row],[Divisa]]="EUR", I84*$N$2, 0)))</f>
        <v>626500</v>
      </c>
      <c r="K84" s="54">
        <f>Gastos[[#This Row],[Importe AR$]]/$N$1</f>
        <v>401.60256410256409</v>
      </c>
      <c r="M84" s="69">
        <v>45964</v>
      </c>
      <c r="N84" s="43">
        <f>IF(Gastos[[#This Row],[Fecha_Cheque]]&gt;0,WEEKNUM(Gastos[[#This Row],[Fecha_Cheque]]),MID(Gastos[[#This Row],[Semana]],6,2))</f>
        <v>45</v>
      </c>
      <c r="P84" t="s">
        <v>27</v>
      </c>
    </row>
    <row r="85" spans="1:16" hidden="1" x14ac:dyDescent="0.25">
      <c r="A85" s="3" t="s">
        <v>124</v>
      </c>
      <c r="B85" t="s">
        <v>40</v>
      </c>
      <c r="C85" t="s">
        <v>125</v>
      </c>
      <c r="D85" t="s">
        <v>26</v>
      </c>
      <c r="E85" t="s">
        <v>42</v>
      </c>
      <c r="F85">
        <v>2</v>
      </c>
      <c r="G85" s="3" t="s">
        <v>4</v>
      </c>
      <c r="H85" s="46" t="s">
        <v>15</v>
      </c>
      <c r="I85" s="17">
        <v>1300000</v>
      </c>
      <c r="J85" s="17">
        <f>IF(Gastos[[#This Row],[Divisa]]="$", I85*1, IF(Gastos[[#This Row],[Divisa]]="U$D", I85*$N$1, IF(Gastos[[#This Row],[Divisa]]="EUR", I85*$N$2, 0)))</f>
        <v>1300000</v>
      </c>
      <c r="K85" s="54">
        <f>Gastos[[#This Row],[Importe AR$]]/$N$1</f>
        <v>833.33333333333337</v>
      </c>
      <c r="M85" s="69"/>
      <c r="N85" s="43" t="str">
        <f>IF(Gastos[[#This Row],[Fecha_Cheque]]&gt;0,WEEKNUM(Gastos[[#This Row],[Fecha_Cheque]]),MID(Gastos[[#This Row],[Semana]],6,2))</f>
        <v>42</v>
      </c>
      <c r="O85" t="s">
        <v>126</v>
      </c>
      <c r="P85" t="s">
        <v>27</v>
      </c>
    </row>
    <row r="86" spans="1:16" hidden="1" x14ac:dyDescent="0.25">
      <c r="A86" s="3" t="s">
        <v>56</v>
      </c>
      <c r="B86" t="s">
        <v>40</v>
      </c>
      <c r="C86" t="s">
        <v>118</v>
      </c>
      <c r="D86" t="s">
        <v>26</v>
      </c>
      <c r="E86" t="s">
        <v>132</v>
      </c>
      <c r="F86">
        <v>2</v>
      </c>
      <c r="G86" s="3" t="s">
        <v>32</v>
      </c>
      <c r="H86" s="46" t="s">
        <v>15</v>
      </c>
      <c r="I86" s="17">
        <v>264778</v>
      </c>
      <c r="J86" s="17">
        <f>IF(Gastos[[#This Row],[Divisa]]="$", I86*1, IF(Gastos[[#This Row],[Divisa]]="U$D", I86*$N$1, IF(Gastos[[#This Row],[Divisa]]="EUR", I86*$N$2, 0)))</f>
        <v>264778</v>
      </c>
      <c r="K86" s="54">
        <f>Gastos[[#This Row],[Importe AR$]]/$N$1</f>
        <v>169.72948717948717</v>
      </c>
      <c r="M86" s="69">
        <v>45941</v>
      </c>
      <c r="N86" s="43">
        <f>IF(Gastos[[#This Row],[Fecha_Cheque]]&gt;0,WEEKNUM(Gastos[[#This Row],[Fecha_Cheque]]),MID(Gastos[[#This Row],[Semana]],6,2))</f>
        <v>41</v>
      </c>
      <c r="O86" t="s">
        <v>127</v>
      </c>
      <c r="P86" t="s">
        <v>27</v>
      </c>
    </row>
    <row r="87" spans="1:16" hidden="1" x14ac:dyDescent="0.25">
      <c r="A87" s="3" t="s">
        <v>56</v>
      </c>
      <c r="B87" t="s">
        <v>40</v>
      </c>
      <c r="C87" t="s">
        <v>118</v>
      </c>
      <c r="D87" t="s">
        <v>26</v>
      </c>
      <c r="E87" t="s">
        <v>132</v>
      </c>
      <c r="F87">
        <v>2</v>
      </c>
      <c r="G87" s="3" t="s">
        <v>32</v>
      </c>
      <c r="H87" s="46" t="s">
        <v>15</v>
      </c>
      <c r="I87" s="17">
        <v>264778</v>
      </c>
      <c r="J87" s="17">
        <f>IF(Gastos[[#This Row],[Divisa]]="$", I87*1, IF(Gastos[[#This Row],[Divisa]]="U$D", I87*$N$1, IF(Gastos[[#This Row],[Divisa]]="EUR", I87*$N$2, 0)))</f>
        <v>264778</v>
      </c>
      <c r="K87" s="54">
        <f>Gastos[[#This Row],[Importe AR$]]/$N$1</f>
        <v>169.72948717948717</v>
      </c>
      <c r="M87" s="69">
        <v>45948</v>
      </c>
      <c r="N87" s="43">
        <f>IF(Gastos[[#This Row],[Fecha_Cheque]]&gt;0,WEEKNUM(Gastos[[#This Row],[Fecha_Cheque]]),MID(Gastos[[#This Row],[Semana]],6,2))</f>
        <v>42</v>
      </c>
      <c r="O87" t="s">
        <v>127</v>
      </c>
      <c r="P87" t="s">
        <v>27</v>
      </c>
    </row>
    <row r="88" spans="1:16" hidden="1" x14ac:dyDescent="0.25">
      <c r="A88" s="3" t="s">
        <v>56</v>
      </c>
      <c r="B88" t="s">
        <v>40</v>
      </c>
      <c r="C88" t="s">
        <v>118</v>
      </c>
      <c r="D88" t="s">
        <v>26</v>
      </c>
      <c r="E88" t="s">
        <v>132</v>
      </c>
      <c r="F88">
        <v>2</v>
      </c>
      <c r="G88" s="3" t="s">
        <v>32</v>
      </c>
      <c r="H88" s="46" t="s">
        <v>15</v>
      </c>
      <c r="I88" s="17">
        <v>795260.4</v>
      </c>
      <c r="J88" s="17">
        <f>IF(Gastos[[#This Row],[Divisa]]="$", I88*1, IF(Gastos[[#This Row],[Divisa]]="U$D", I88*$N$1, IF(Gastos[[#This Row],[Divisa]]="EUR", I88*$N$2, 0)))</f>
        <v>795260.4</v>
      </c>
      <c r="K88" s="54">
        <f>Gastos[[#This Row],[Importe AR$]]/$N$1</f>
        <v>509.78230769230771</v>
      </c>
      <c r="M88" s="69">
        <v>45945</v>
      </c>
      <c r="N88" s="43">
        <f>IF(Gastos[[#This Row],[Fecha_Cheque]]&gt;0,WEEKNUM(Gastos[[#This Row],[Fecha_Cheque]]),MID(Gastos[[#This Row],[Semana]],6,2))</f>
        <v>42</v>
      </c>
      <c r="O88" t="s">
        <v>127</v>
      </c>
      <c r="P88" t="s">
        <v>27</v>
      </c>
    </row>
    <row r="89" spans="1:16" hidden="1" x14ac:dyDescent="0.25">
      <c r="A89" s="3" t="s">
        <v>128</v>
      </c>
      <c r="B89" t="s">
        <v>40</v>
      </c>
      <c r="C89" t="s">
        <v>118</v>
      </c>
      <c r="D89" t="s">
        <v>61</v>
      </c>
      <c r="E89" t="s">
        <v>132</v>
      </c>
      <c r="F89">
        <v>2</v>
      </c>
      <c r="G89" s="3" t="s">
        <v>32</v>
      </c>
      <c r="H89" s="46" t="s">
        <v>15</v>
      </c>
      <c r="I89" s="17">
        <v>599462.5</v>
      </c>
      <c r="J89" s="17">
        <f>IF(Gastos[[#This Row],[Divisa]]="$", I89*1, IF(Gastos[[#This Row],[Divisa]]="U$D", I89*$N$1, IF(Gastos[[#This Row],[Divisa]]="EUR", I89*$N$2, 0)))</f>
        <v>599462.5</v>
      </c>
      <c r="K89" s="54">
        <f>Gastos[[#This Row],[Importe AR$]]/$N$1</f>
        <v>384.27083333333331</v>
      </c>
      <c r="M89" s="69">
        <v>45940</v>
      </c>
      <c r="N89" s="43">
        <f>IF(Gastos[[#This Row],[Fecha_Cheque]]&gt;0,WEEKNUM(Gastos[[#This Row],[Fecha_Cheque]]),MID(Gastos[[#This Row],[Semana]],6,2))</f>
        <v>41</v>
      </c>
      <c r="O89" t="s">
        <v>129</v>
      </c>
      <c r="P89" t="s">
        <v>27</v>
      </c>
    </row>
    <row r="90" spans="1:16" hidden="1" x14ac:dyDescent="0.25">
      <c r="A90" s="3" t="s">
        <v>128</v>
      </c>
      <c r="B90" t="s">
        <v>40</v>
      </c>
      <c r="C90" t="s">
        <v>118</v>
      </c>
      <c r="D90" t="s">
        <v>61</v>
      </c>
      <c r="E90" t="s">
        <v>132</v>
      </c>
      <c r="F90">
        <v>2</v>
      </c>
      <c r="G90" s="3" t="s">
        <v>32</v>
      </c>
      <c r="H90" s="46" t="s">
        <v>15</v>
      </c>
      <c r="I90" s="17">
        <v>500000</v>
      </c>
      <c r="J90" s="17">
        <f>IF(Gastos[[#This Row],[Divisa]]="$", I90*1, IF(Gastos[[#This Row],[Divisa]]="U$D", I90*$N$1, IF(Gastos[[#This Row],[Divisa]]="EUR", I90*$N$2, 0)))</f>
        <v>500000</v>
      </c>
      <c r="K90" s="54">
        <f>Gastos[[#This Row],[Importe AR$]]/$N$1</f>
        <v>320.5128205128205</v>
      </c>
      <c r="M90" s="69">
        <v>45940</v>
      </c>
      <c r="N90" s="43">
        <f>IF(Gastos[[#This Row],[Fecha_Cheque]]&gt;0,WEEKNUM(Gastos[[#This Row],[Fecha_Cheque]]),MID(Gastos[[#This Row],[Semana]],6,2))</f>
        <v>41</v>
      </c>
      <c r="O90" t="s">
        <v>129</v>
      </c>
      <c r="P90" t="s">
        <v>27</v>
      </c>
    </row>
    <row r="91" spans="1:16" hidden="1" x14ac:dyDescent="0.25">
      <c r="A91" s="3" t="s">
        <v>128</v>
      </c>
      <c r="B91" t="s">
        <v>40</v>
      </c>
      <c r="C91" t="s">
        <v>118</v>
      </c>
      <c r="D91" t="s">
        <v>61</v>
      </c>
      <c r="E91" t="s">
        <v>132</v>
      </c>
      <c r="F91">
        <v>2</v>
      </c>
      <c r="G91" s="3" t="s">
        <v>32</v>
      </c>
      <c r="H91" s="46" t="s">
        <v>15</v>
      </c>
      <c r="I91" s="17">
        <v>960535</v>
      </c>
      <c r="J91" s="17">
        <f>IF(Gastos[[#This Row],[Divisa]]="$", I91*1, IF(Gastos[[#This Row],[Divisa]]="U$D", I91*$N$1, IF(Gastos[[#This Row],[Divisa]]="EUR", I91*$N$2, 0)))</f>
        <v>960535</v>
      </c>
      <c r="K91" s="54">
        <f>Gastos[[#This Row],[Importe AR$]]/$N$1</f>
        <v>615.72756410256409</v>
      </c>
      <c r="M91" s="69">
        <v>45969</v>
      </c>
      <c r="N91" s="43">
        <f>IF(Gastos[[#This Row],[Fecha_Cheque]]&gt;0,WEEKNUM(Gastos[[#This Row],[Fecha_Cheque]]),MID(Gastos[[#This Row],[Semana]],6,2))</f>
        <v>45</v>
      </c>
      <c r="O91" t="s">
        <v>129</v>
      </c>
      <c r="P91" t="s">
        <v>27</v>
      </c>
    </row>
    <row r="92" spans="1:16" hidden="1" x14ac:dyDescent="0.25">
      <c r="A92" s="3" t="s">
        <v>128</v>
      </c>
      <c r="B92" t="s">
        <v>40</v>
      </c>
      <c r="C92" t="s">
        <v>118</v>
      </c>
      <c r="D92" t="s">
        <v>61</v>
      </c>
      <c r="E92" t="s">
        <v>132</v>
      </c>
      <c r="F92">
        <v>2</v>
      </c>
      <c r="G92" s="3" t="s">
        <v>32</v>
      </c>
      <c r="H92" s="46" t="s">
        <v>15</v>
      </c>
      <c r="I92" s="17">
        <v>443225.14</v>
      </c>
      <c r="J92" s="17">
        <f>IF(Gastos[[#This Row],[Divisa]]="$", I92*1, IF(Gastos[[#This Row],[Divisa]]="U$D", I92*$N$1, IF(Gastos[[#This Row],[Divisa]]="EUR", I92*$N$2, 0)))</f>
        <v>443225.14</v>
      </c>
      <c r="K92" s="54">
        <f>Gastos[[#This Row],[Importe AR$]]/$N$1</f>
        <v>284.11867948717952</v>
      </c>
      <c r="M92" s="69">
        <v>45976</v>
      </c>
      <c r="N92" s="43">
        <f>IF(Gastos[[#This Row],[Fecha_Cheque]]&gt;0,WEEKNUM(Gastos[[#This Row],[Fecha_Cheque]]),MID(Gastos[[#This Row],[Semana]],6,2))</f>
        <v>46</v>
      </c>
      <c r="O92" t="s">
        <v>129</v>
      </c>
      <c r="P92" t="s">
        <v>27</v>
      </c>
    </row>
    <row r="93" spans="1:16" hidden="1" x14ac:dyDescent="0.25">
      <c r="A93" s="3" t="s">
        <v>130</v>
      </c>
      <c r="B93" t="s">
        <v>40</v>
      </c>
      <c r="C93" t="s">
        <v>118</v>
      </c>
      <c r="D93" t="s">
        <v>61</v>
      </c>
      <c r="E93" t="s">
        <v>132</v>
      </c>
      <c r="F93">
        <v>2</v>
      </c>
      <c r="G93" s="3" t="s">
        <v>32</v>
      </c>
      <c r="H93" s="46" t="s">
        <v>15</v>
      </c>
      <c r="I93" s="17">
        <v>900000</v>
      </c>
      <c r="J93" s="17">
        <f>IF(Gastos[[#This Row],[Divisa]]="$", I93*1, IF(Gastos[[#This Row],[Divisa]]="U$D", I93*$N$1, IF(Gastos[[#This Row],[Divisa]]="EUR", I93*$N$2, 0)))</f>
        <v>900000</v>
      </c>
      <c r="K93" s="54">
        <f>Gastos[[#This Row],[Importe AR$]]/$N$1</f>
        <v>576.92307692307691</v>
      </c>
      <c r="M93" s="69">
        <v>45978</v>
      </c>
      <c r="N93" s="43">
        <f>IF(Gastos[[#This Row],[Fecha_Cheque]]&gt;0,WEEKNUM(Gastos[[#This Row],[Fecha_Cheque]]),MID(Gastos[[#This Row],[Semana]],6,2))</f>
        <v>47</v>
      </c>
      <c r="O93" t="s">
        <v>131</v>
      </c>
      <c r="P93" t="s">
        <v>27</v>
      </c>
    </row>
    <row r="94" spans="1:16" hidden="1" x14ac:dyDescent="0.25">
      <c r="A94" s="3" t="s">
        <v>130</v>
      </c>
      <c r="B94" t="s">
        <v>40</v>
      </c>
      <c r="C94" t="s">
        <v>118</v>
      </c>
      <c r="D94" t="s">
        <v>61</v>
      </c>
      <c r="E94" t="s">
        <v>132</v>
      </c>
      <c r="F94">
        <v>2</v>
      </c>
      <c r="G94" s="3" t="s">
        <v>32</v>
      </c>
      <c r="H94" s="46" t="s">
        <v>15</v>
      </c>
      <c r="I94" s="17">
        <v>900000</v>
      </c>
      <c r="J94" s="17">
        <f>IF(Gastos[[#This Row],[Divisa]]="$", I94*1, IF(Gastos[[#This Row],[Divisa]]="U$D", I94*$N$1, IF(Gastos[[#This Row],[Divisa]]="EUR", I94*$N$2, 0)))</f>
        <v>900000</v>
      </c>
      <c r="K94" s="54">
        <f>Gastos[[#This Row],[Importe AR$]]/$N$1</f>
        <v>576.92307692307691</v>
      </c>
      <c r="M94" s="69">
        <v>45978</v>
      </c>
      <c r="N94" s="43">
        <f>IF(Gastos[[#This Row],[Fecha_Cheque]]&gt;0,WEEKNUM(Gastos[[#This Row],[Fecha_Cheque]]),MID(Gastos[[#This Row],[Semana]],6,2))</f>
        <v>47</v>
      </c>
      <c r="O94" t="s">
        <v>131</v>
      </c>
      <c r="P94" t="s">
        <v>27</v>
      </c>
    </row>
    <row r="95" spans="1:16" hidden="1" x14ac:dyDescent="0.25">
      <c r="A95" s="3" t="s">
        <v>130</v>
      </c>
      <c r="B95" t="s">
        <v>40</v>
      </c>
      <c r="C95" t="s">
        <v>118</v>
      </c>
      <c r="D95" t="s">
        <v>61</v>
      </c>
      <c r="E95" t="s">
        <v>132</v>
      </c>
      <c r="F95">
        <v>2</v>
      </c>
      <c r="G95" s="3" t="s">
        <v>32</v>
      </c>
      <c r="H95" s="46" t="s">
        <v>15</v>
      </c>
      <c r="I95" s="17">
        <v>1170000</v>
      </c>
      <c r="J95" s="17">
        <f>IF(Gastos[[#This Row],[Divisa]]="$", I95*1, IF(Gastos[[#This Row],[Divisa]]="U$D", I95*$N$1, IF(Gastos[[#This Row],[Divisa]]="EUR", I95*$N$2, 0)))</f>
        <v>1170000</v>
      </c>
      <c r="K95" s="54">
        <f>Gastos[[#This Row],[Importe AR$]]/$N$1</f>
        <v>750</v>
      </c>
      <c r="M95" s="69">
        <v>45975</v>
      </c>
      <c r="N95" s="43">
        <f>IF(Gastos[[#This Row],[Fecha_Cheque]]&gt;0,WEEKNUM(Gastos[[#This Row],[Fecha_Cheque]]),MID(Gastos[[#This Row],[Semana]],6,2))</f>
        <v>46</v>
      </c>
      <c r="O95" t="s">
        <v>131</v>
      </c>
      <c r="P95" t="s">
        <v>27</v>
      </c>
    </row>
    <row r="96" spans="1:16" hidden="1" x14ac:dyDescent="0.25">
      <c r="A96" s="3" t="s">
        <v>130</v>
      </c>
      <c r="B96" t="s">
        <v>40</v>
      </c>
      <c r="C96" t="s">
        <v>118</v>
      </c>
      <c r="D96" t="s">
        <v>61</v>
      </c>
      <c r="E96" t="s">
        <v>132</v>
      </c>
      <c r="F96">
        <v>2</v>
      </c>
      <c r="G96" s="3" t="s">
        <v>32</v>
      </c>
      <c r="H96" s="46" t="s">
        <v>15</v>
      </c>
      <c r="I96" s="17">
        <v>2202500</v>
      </c>
      <c r="J96" s="17">
        <f>IF(Gastos[[#This Row],[Divisa]]="$", I96*1, IF(Gastos[[#This Row],[Divisa]]="U$D", I96*$N$1, IF(Gastos[[#This Row],[Divisa]]="EUR", I96*$N$2, 0)))</f>
        <v>2202500</v>
      </c>
      <c r="K96" s="54">
        <f>Gastos[[#This Row],[Importe AR$]]/$N$1</f>
        <v>1411.8589743589744</v>
      </c>
      <c r="M96" s="69">
        <v>45958</v>
      </c>
      <c r="N96" s="43">
        <f>IF(Gastos[[#This Row],[Fecha_Cheque]]&gt;0,WEEKNUM(Gastos[[#This Row],[Fecha_Cheque]]),MID(Gastos[[#This Row],[Semana]],6,2))</f>
        <v>44</v>
      </c>
      <c r="O96" t="s">
        <v>131</v>
      </c>
      <c r="P96" t="s">
        <v>27</v>
      </c>
    </row>
    <row r="97" spans="1:16" hidden="1" x14ac:dyDescent="0.25">
      <c r="A97" s="3" t="s">
        <v>130</v>
      </c>
      <c r="B97" t="s">
        <v>40</v>
      </c>
      <c r="C97" t="s">
        <v>118</v>
      </c>
      <c r="D97" t="s">
        <v>61</v>
      </c>
      <c r="E97" t="s">
        <v>132</v>
      </c>
      <c r="F97">
        <v>2</v>
      </c>
      <c r="G97" s="3" t="s">
        <v>32</v>
      </c>
      <c r="H97" s="46" t="s">
        <v>15</v>
      </c>
      <c r="I97" s="17">
        <v>2506000</v>
      </c>
      <c r="J97" s="17">
        <f>IF(Gastos[[#This Row],[Divisa]]="$", I97*1, IF(Gastos[[#This Row],[Divisa]]="U$D", I97*$N$1, IF(Gastos[[#This Row],[Divisa]]="EUR", I97*$N$2, 0)))</f>
        <v>2506000</v>
      </c>
      <c r="K97" s="54">
        <f>Gastos[[#This Row],[Importe AR$]]/$N$1</f>
        <v>1606.4102564102564</v>
      </c>
      <c r="M97" s="69">
        <v>45983</v>
      </c>
      <c r="N97" s="43">
        <f>IF(Gastos[[#This Row],[Fecha_Cheque]]&gt;0,WEEKNUM(Gastos[[#This Row],[Fecha_Cheque]]),MID(Gastos[[#This Row],[Semana]],6,2))</f>
        <v>47</v>
      </c>
      <c r="O97" t="s">
        <v>131</v>
      </c>
      <c r="P97" t="s">
        <v>27</v>
      </c>
    </row>
    <row r="98" spans="1:16" hidden="1" x14ac:dyDescent="0.25">
      <c r="A98" s="3" t="s">
        <v>79</v>
      </c>
      <c r="B98" t="s">
        <v>40</v>
      </c>
      <c r="C98" t="s">
        <v>118</v>
      </c>
      <c r="D98" t="s">
        <v>61</v>
      </c>
      <c r="E98" t="s">
        <v>132</v>
      </c>
      <c r="F98">
        <v>2</v>
      </c>
      <c r="G98" s="3" t="s">
        <v>32</v>
      </c>
      <c r="H98" s="46" t="s">
        <v>15</v>
      </c>
      <c r="I98" s="17">
        <v>2350000</v>
      </c>
      <c r="J98" s="17">
        <f>IF(Gastos[[#This Row],[Divisa]]="$", I98*1, IF(Gastos[[#This Row],[Divisa]]="U$D", I98*$N$1, IF(Gastos[[#This Row],[Divisa]]="EUR", I98*$N$2, 0)))</f>
        <v>2350000</v>
      </c>
      <c r="K98" s="54">
        <f>Gastos[[#This Row],[Importe AR$]]/$N$1</f>
        <v>1506.4102564102564</v>
      </c>
      <c r="M98" s="69">
        <v>46027</v>
      </c>
      <c r="N98" s="43">
        <f>IF(Gastos[[#This Row],[Fecha_Cheque]]&gt;0,WEEKNUM(Gastos[[#This Row],[Fecha_Cheque]]),MID(Gastos[[#This Row],[Semana]],6,2))</f>
        <v>2</v>
      </c>
      <c r="O98" t="s">
        <v>133</v>
      </c>
      <c r="P98" t="s">
        <v>27</v>
      </c>
    </row>
    <row r="99" spans="1:16" hidden="1" x14ac:dyDescent="0.25">
      <c r="A99" s="3" t="s">
        <v>79</v>
      </c>
      <c r="B99" t="s">
        <v>40</v>
      </c>
      <c r="C99" t="s">
        <v>118</v>
      </c>
      <c r="D99" t="s">
        <v>61</v>
      </c>
      <c r="E99" t="s">
        <v>132</v>
      </c>
      <c r="F99">
        <v>2</v>
      </c>
      <c r="G99" s="3" t="s">
        <v>32</v>
      </c>
      <c r="H99" s="46" t="s">
        <v>15</v>
      </c>
      <c r="I99" s="17">
        <v>700000</v>
      </c>
      <c r="J99" s="17">
        <f>IF(Gastos[[#This Row],[Divisa]]="$", I99*1, IF(Gastos[[#This Row],[Divisa]]="U$D", I99*$N$1, IF(Gastos[[#This Row],[Divisa]]="EUR", I99*$N$2, 0)))</f>
        <v>700000</v>
      </c>
      <c r="K99" s="54">
        <f>Gastos[[#This Row],[Importe AR$]]/$N$1</f>
        <v>448.71794871794873</v>
      </c>
      <c r="M99" s="69">
        <v>46022</v>
      </c>
      <c r="N99" s="43">
        <f>IF(Gastos[[#This Row],[Fecha_Cheque]]&gt;0,WEEKNUM(Gastos[[#This Row],[Fecha_Cheque]]),MID(Gastos[[#This Row],[Semana]],6,2))</f>
        <v>53</v>
      </c>
      <c r="O99" t="s">
        <v>133</v>
      </c>
      <c r="P99" t="s">
        <v>27</v>
      </c>
    </row>
    <row r="100" spans="1:16" hidden="1" x14ac:dyDescent="0.25">
      <c r="A100" s="3" t="s">
        <v>44</v>
      </c>
      <c r="B100" t="s">
        <v>40</v>
      </c>
      <c r="C100" t="s">
        <v>118</v>
      </c>
      <c r="D100" t="s">
        <v>61</v>
      </c>
      <c r="E100" t="s">
        <v>132</v>
      </c>
      <c r="F100">
        <v>2</v>
      </c>
      <c r="G100" s="3" t="s">
        <v>32</v>
      </c>
      <c r="H100" s="46" t="s">
        <v>15</v>
      </c>
      <c r="I100" s="17">
        <v>1200000</v>
      </c>
      <c r="J100" s="17">
        <f>IF(Gastos[[#This Row],[Divisa]]="$", I100*1, IF(Gastos[[#This Row],[Divisa]]="U$D", I100*$N$1, IF(Gastos[[#This Row],[Divisa]]="EUR", I100*$N$2, 0)))</f>
        <v>1200000</v>
      </c>
      <c r="K100" s="54">
        <f>Gastos[[#This Row],[Importe AR$]]/$N$1</f>
        <v>769.23076923076928</v>
      </c>
      <c r="M100" s="69">
        <v>46025</v>
      </c>
      <c r="N100" s="43">
        <f>IF(Gastos[[#This Row],[Fecha_Cheque]]&gt;0,WEEKNUM(Gastos[[#This Row],[Fecha_Cheque]]),MID(Gastos[[#This Row],[Semana]],6,2))</f>
        <v>1</v>
      </c>
      <c r="O100" t="s">
        <v>134</v>
      </c>
      <c r="P100" t="s">
        <v>27</v>
      </c>
    </row>
    <row r="101" spans="1:16" hidden="1" x14ac:dyDescent="0.25">
      <c r="A101" s="3" t="s">
        <v>44</v>
      </c>
      <c r="B101" t="s">
        <v>40</v>
      </c>
      <c r="C101" t="s">
        <v>118</v>
      </c>
      <c r="D101" t="s">
        <v>61</v>
      </c>
      <c r="E101" t="s">
        <v>132</v>
      </c>
      <c r="F101">
        <v>2</v>
      </c>
      <c r="G101" s="3" t="s">
        <v>32</v>
      </c>
      <c r="H101" s="46" t="s">
        <v>15</v>
      </c>
      <c r="I101" s="17">
        <v>1338268</v>
      </c>
      <c r="J101" s="17">
        <f>IF(Gastos[[#This Row],[Divisa]]="$", I101*1, IF(Gastos[[#This Row],[Divisa]]="U$D", I101*$N$1, IF(Gastos[[#This Row],[Divisa]]="EUR", I101*$N$2, 0)))</f>
        <v>1338268</v>
      </c>
      <c r="K101" s="54">
        <f>Gastos[[#This Row],[Importe AR$]]/$N$1</f>
        <v>857.86410256410261</v>
      </c>
      <c r="M101" s="69">
        <v>46025</v>
      </c>
      <c r="N101" s="43">
        <f>IF(Gastos[[#This Row],[Fecha_Cheque]]&gt;0,WEEKNUM(Gastos[[#This Row],[Fecha_Cheque]]),MID(Gastos[[#This Row],[Semana]],6,2))</f>
        <v>1</v>
      </c>
      <c r="O101" t="s">
        <v>134</v>
      </c>
      <c r="P101" t="s">
        <v>27</v>
      </c>
    </row>
    <row r="102" spans="1:16" hidden="1" x14ac:dyDescent="0.25">
      <c r="A102" s="3" t="s">
        <v>44</v>
      </c>
      <c r="B102" t="s">
        <v>40</v>
      </c>
      <c r="C102" t="s">
        <v>118</v>
      </c>
      <c r="D102" t="s">
        <v>61</v>
      </c>
      <c r="E102" t="s">
        <v>132</v>
      </c>
      <c r="F102">
        <v>2</v>
      </c>
      <c r="G102" s="3" t="s">
        <v>32</v>
      </c>
      <c r="H102" s="46" t="s">
        <v>15</v>
      </c>
      <c r="I102" s="17">
        <v>1161180</v>
      </c>
      <c r="J102" s="17">
        <f>IF(Gastos[[#This Row],[Divisa]]="$", I102*1, IF(Gastos[[#This Row],[Divisa]]="U$D", I102*$N$1, IF(Gastos[[#This Row],[Divisa]]="EUR", I102*$N$2, 0)))</f>
        <v>1161180</v>
      </c>
      <c r="K102" s="54">
        <f>Gastos[[#This Row],[Importe AR$]]/$N$1</f>
        <v>744.34615384615381</v>
      </c>
      <c r="M102" s="69">
        <v>46011</v>
      </c>
      <c r="N102" s="43">
        <f>IF(Gastos[[#This Row],[Fecha_Cheque]]&gt;0,WEEKNUM(Gastos[[#This Row],[Fecha_Cheque]]),MID(Gastos[[#This Row],[Semana]],6,2))</f>
        <v>51</v>
      </c>
      <c r="O102" t="s">
        <v>134</v>
      </c>
      <c r="P102" t="s">
        <v>27</v>
      </c>
    </row>
    <row r="103" spans="1:16" hidden="1" x14ac:dyDescent="0.25">
      <c r="A103" s="3" t="s">
        <v>44</v>
      </c>
      <c r="B103" t="s">
        <v>40</v>
      </c>
      <c r="C103" t="s">
        <v>118</v>
      </c>
      <c r="D103" t="s">
        <v>61</v>
      </c>
      <c r="E103" t="s">
        <v>132</v>
      </c>
      <c r="F103">
        <v>2</v>
      </c>
      <c r="G103" s="3" t="s">
        <v>32</v>
      </c>
      <c r="H103" s="46" t="s">
        <v>15</v>
      </c>
      <c r="I103" s="17">
        <v>2247000</v>
      </c>
      <c r="J103" s="17">
        <f>IF(Gastos[[#This Row],[Divisa]]="$", I103*1, IF(Gastos[[#This Row],[Divisa]]="U$D", I103*$N$1, IF(Gastos[[#This Row],[Divisa]]="EUR", I103*$N$2, 0)))</f>
        <v>2247000</v>
      </c>
      <c r="K103" s="54">
        <f>Gastos[[#This Row],[Importe AR$]]/$N$1</f>
        <v>1440.3846153846155</v>
      </c>
      <c r="L103" s="8"/>
      <c r="M103" s="69">
        <v>46010</v>
      </c>
      <c r="N103" s="43">
        <f>IF(Gastos[[#This Row],[Fecha_Cheque]]&gt;0,WEEKNUM(Gastos[[#This Row],[Fecha_Cheque]]),MID(Gastos[[#This Row],[Semana]],6,2))</f>
        <v>51</v>
      </c>
      <c r="O103" t="s">
        <v>134</v>
      </c>
      <c r="P103" t="s">
        <v>27</v>
      </c>
    </row>
    <row r="104" spans="1:16" hidden="1" x14ac:dyDescent="0.25">
      <c r="A104" s="3" t="s">
        <v>68</v>
      </c>
      <c r="B104" t="s">
        <v>40</v>
      </c>
      <c r="C104" t="s">
        <v>118</v>
      </c>
      <c r="D104" t="s">
        <v>61</v>
      </c>
      <c r="E104" t="s">
        <v>132</v>
      </c>
      <c r="F104">
        <v>2</v>
      </c>
      <c r="G104" s="3" t="s">
        <v>32</v>
      </c>
      <c r="H104" s="46" t="s">
        <v>15</v>
      </c>
      <c r="I104" s="17">
        <v>982000</v>
      </c>
      <c r="J104" s="17">
        <f>IF(Gastos[[#This Row],[Divisa]]="$", I104*1, IF(Gastos[[#This Row],[Divisa]]="U$D", I104*$N$1, IF(Gastos[[#This Row],[Divisa]]="EUR", I104*$N$2, 0)))</f>
        <v>982000</v>
      </c>
      <c r="K104" s="54">
        <f>Gastos[[#This Row],[Importe AR$]]/$N$1</f>
        <v>629.48717948717945</v>
      </c>
      <c r="L104" s="8"/>
      <c r="M104" s="69">
        <v>46095</v>
      </c>
      <c r="N104" s="43">
        <f>IF(Gastos[[#This Row],[Fecha_Cheque]]&gt;0,WEEKNUM(Gastos[[#This Row],[Fecha_Cheque]]),MID(Gastos[[#This Row],[Semana]],6,2))</f>
        <v>11</v>
      </c>
      <c r="O104" t="s">
        <v>135</v>
      </c>
      <c r="P104" t="s">
        <v>27</v>
      </c>
    </row>
    <row r="105" spans="1:16" hidden="1" x14ac:dyDescent="0.25">
      <c r="A105" s="3" t="s">
        <v>68</v>
      </c>
      <c r="B105" t="s">
        <v>40</v>
      </c>
      <c r="C105" t="s">
        <v>118</v>
      </c>
      <c r="D105" t="s">
        <v>61</v>
      </c>
      <c r="E105" t="s">
        <v>132</v>
      </c>
      <c r="F105">
        <v>2</v>
      </c>
      <c r="G105" s="3" t="s">
        <v>32</v>
      </c>
      <c r="H105" s="46" t="s">
        <v>15</v>
      </c>
      <c r="I105" s="17">
        <v>2263000</v>
      </c>
      <c r="J105" s="17">
        <f>IF(Gastos[[#This Row],[Divisa]]="$", I105*1, IF(Gastos[[#This Row],[Divisa]]="U$D", I105*$N$1, IF(Gastos[[#This Row],[Divisa]]="EUR", I105*$N$2, 0)))</f>
        <v>2263000</v>
      </c>
      <c r="K105" s="54">
        <f>Gastos[[#This Row],[Importe AR$]]/$N$1</f>
        <v>1450.6410256410256</v>
      </c>
      <c r="M105" s="69">
        <v>46092</v>
      </c>
      <c r="N105" s="43">
        <f>IF(Gastos[[#This Row],[Fecha_Cheque]]&gt;0,WEEKNUM(Gastos[[#This Row],[Fecha_Cheque]]),MID(Gastos[[#This Row],[Semana]],6,2))</f>
        <v>11</v>
      </c>
      <c r="O105" t="s">
        <v>135</v>
      </c>
      <c r="P105" t="s">
        <v>27</v>
      </c>
    </row>
    <row r="106" spans="1:16" hidden="1" x14ac:dyDescent="0.25">
      <c r="A106" s="3" t="s">
        <v>180</v>
      </c>
      <c r="B106" t="s">
        <v>40</v>
      </c>
      <c r="C106" t="s">
        <v>181</v>
      </c>
      <c r="D106" t="s">
        <v>61</v>
      </c>
      <c r="E106" t="s">
        <v>132</v>
      </c>
      <c r="F106">
        <v>2</v>
      </c>
      <c r="G106" s="3" t="s">
        <v>32</v>
      </c>
      <c r="H106" s="46" t="s">
        <v>15</v>
      </c>
      <c r="I106" s="17">
        <v>231510</v>
      </c>
      <c r="J106" s="17">
        <f>IF(Gastos[[#This Row],[Divisa]]="$", I106*1, IF(Gastos[[#This Row],[Divisa]]="U$D", I106*$N$1, IF(Gastos[[#This Row],[Divisa]]="EUR", I106*$N$2, 0)))</f>
        <v>231510</v>
      </c>
      <c r="K106" s="54">
        <f>Gastos[[#This Row],[Importe AR$]]/$N$1</f>
        <v>148.40384615384616</v>
      </c>
      <c r="M106" s="69">
        <v>46100</v>
      </c>
      <c r="N106" s="43">
        <f>IF(Gastos[[#This Row],[Fecha_Cheque]]&gt;0,WEEKNUM(Gastos[[#This Row],[Fecha_Cheque]]),MID(Gastos[[#This Row],[Semana]],6,2))</f>
        <v>12</v>
      </c>
      <c r="O106" t="s">
        <v>182</v>
      </c>
      <c r="P106" t="s">
        <v>27</v>
      </c>
    </row>
    <row r="107" spans="1:16" hidden="1" x14ac:dyDescent="0.25">
      <c r="A107" s="3" t="s">
        <v>180</v>
      </c>
      <c r="B107" t="s">
        <v>40</v>
      </c>
      <c r="C107" t="s">
        <v>181</v>
      </c>
      <c r="D107" t="s">
        <v>61</v>
      </c>
      <c r="E107" t="s">
        <v>132</v>
      </c>
      <c r="F107">
        <v>2</v>
      </c>
      <c r="G107" s="3" t="s">
        <v>32</v>
      </c>
      <c r="H107" s="46" t="s">
        <v>15</v>
      </c>
      <c r="I107" s="17">
        <v>487570</v>
      </c>
      <c r="J107" s="17">
        <f>IF(Gastos[[#This Row],[Divisa]]="$", I107*1, IF(Gastos[[#This Row],[Divisa]]="U$D", I107*$N$1, IF(Gastos[[#This Row],[Divisa]]="EUR", I107*$N$2, 0)))</f>
        <v>487570</v>
      </c>
      <c r="K107" s="54">
        <f>Gastos[[#This Row],[Importe AR$]]/$N$1</f>
        <v>312.54487179487177</v>
      </c>
      <c r="M107" s="69">
        <v>46087</v>
      </c>
      <c r="N107" s="43">
        <f>IF(Gastos[[#This Row],[Fecha_Cheque]]&gt;0,WEEKNUM(Gastos[[#This Row],[Fecha_Cheque]]),MID(Gastos[[#This Row],[Semana]],6,2))</f>
        <v>10</v>
      </c>
      <c r="O107" t="s">
        <v>182</v>
      </c>
      <c r="P107" t="s">
        <v>27</v>
      </c>
    </row>
    <row r="108" spans="1:16" hidden="1" x14ac:dyDescent="0.25">
      <c r="A108" s="3" t="s">
        <v>180</v>
      </c>
      <c r="B108" t="s">
        <v>40</v>
      </c>
      <c r="C108" t="s">
        <v>181</v>
      </c>
      <c r="D108" t="s">
        <v>61</v>
      </c>
      <c r="E108" t="s">
        <v>132</v>
      </c>
      <c r="F108">
        <v>2</v>
      </c>
      <c r="G108" s="3" t="s">
        <v>32</v>
      </c>
      <c r="H108" s="46" t="s">
        <v>15</v>
      </c>
      <c r="I108" s="17">
        <v>1113255</v>
      </c>
      <c r="J108" s="17">
        <f>IF(Gastos[[#This Row],[Divisa]]="$", I108*1, IF(Gastos[[#This Row],[Divisa]]="U$D", I108*$N$1, IF(Gastos[[#This Row],[Divisa]]="EUR", I108*$N$2, 0)))</f>
        <v>1113255</v>
      </c>
      <c r="K108" s="54">
        <f>Gastos[[#This Row],[Importe AR$]]/$N$1</f>
        <v>713.625</v>
      </c>
      <c r="M108" s="69">
        <v>46051</v>
      </c>
      <c r="N108" s="43">
        <f>IF(Gastos[[#This Row],[Fecha_Cheque]]&gt;0,WEEKNUM(Gastos[[#This Row],[Fecha_Cheque]]),MID(Gastos[[#This Row],[Semana]],6,2))</f>
        <v>5</v>
      </c>
      <c r="O108" t="s">
        <v>182</v>
      </c>
      <c r="P108" t="s">
        <v>27</v>
      </c>
    </row>
    <row r="109" spans="1:16" hidden="1" x14ac:dyDescent="0.25">
      <c r="A109" s="3" t="s">
        <v>332</v>
      </c>
      <c r="B109" t="s">
        <v>40</v>
      </c>
      <c r="C109" t="s">
        <v>41</v>
      </c>
      <c r="D109" t="s">
        <v>26</v>
      </c>
      <c r="E109" t="s">
        <v>42</v>
      </c>
      <c r="F109">
        <v>2</v>
      </c>
      <c r="G109" s="3" t="s">
        <v>4</v>
      </c>
      <c r="H109" s="44" t="s">
        <v>15</v>
      </c>
      <c r="I109" s="17">
        <v>1000000</v>
      </c>
      <c r="J109" s="17">
        <f>IF(Gastos[[#This Row],[Divisa]]="$", I109*1, IF(Gastos[[#This Row],[Divisa]]="U$D", I109*$N$1, IF(Gastos[[#This Row],[Divisa]]="EUR", I109*$N$2, 0)))</f>
        <v>1000000</v>
      </c>
      <c r="K109" s="54">
        <f>Gastos[[#This Row],[Importe AR$]]/$N$1</f>
        <v>641.02564102564099</v>
      </c>
      <c r="M109" s="69"/>
      <c r="N109" s="43" t="str">
        <f>IF(Gastos[[#This Row],[Fecha_Cheque]]&gt;0,WEEKNUM(Gastos[[#This Row],[Fecha_Cheque]]),MID(Gastos[[#This Row],[Semana]],6,2))</f>
        <v>12</v>
      </c>
      <c r="O109" t="s">
        <v>333</v>
      </c>
      <c r="P109" t="s">
        <v>27</v>
      </c>
    </row>
    <row r="110" spans="1:16" hidden="1" x14ac:dyDescent="0.25">
      <c r="A110" s="3" t="s">
        <v>2792</v>
      </c>
      <c r="B110" t="s">
        <v>40</v>
      </c>
      <c r="C110" t="s">
        <v>2667</v>
      </c>
      <c r="D110" t="s">
        <v>61</v>
      </c>
      <c r="E110" t="s">
        <v>132</v>
      </c>
      <c r="F110">
        <v>2</v>
      </c>
      <c r="G110" s="3" t="s">
        <v>32</v>
      </c>
      <c r="H110" s="44" t="s">
        <v>15</v>
      </c>
      <c r="I110" s="17">
        <v>1330337</v>
      </c>
      <c r="J110" s="17">
        <f>IF(Gastos[[#This Row],[Divisa]]="$", I110*1, IF(Gastos[[#This Row],[Divisa]]="U$D", I110*$N$1, IF(Gastos[[#This Row],[Divisa]]="EUR", I110*$N$2, 0)))</f>
        <v>1330337</v>
      </c>
      <c r="K110" s="54">
        <f>Gastos[[#This Row],[Importe AR$]]/$N$1</f>
        <v>852.78012820512822</v>
      </c>
      <c r="M110" s="69">
        <v>46203</v>
      </c>
      <c r="N110" s="43">
        <f>IF(Gastos[[#This Row],[Fecha_Cheque]]&gt;0,WEEKNUM(Gastos[[#This Row],[Fecha_Cheque]]),MID(Gastos[[#This Row],[Semana]],6,2))</f>
        <v>27</v>
      </c>
      <c r="O110" t="s">
        <v>2793</v>
      </c>
      <c r="P110" t="s">
        <v>27</v>
      </c>
    </row>
    <row r="111" spans="1:16" hidden="1" x14ac:dyDescent="0.25">
      <c r="A111" s="3" t="s">
        <v>3617</v>
      </c>
      <c r="B111" t="s">
        <v>40</v>
      </c>
      <c r="C111" t="s">
        <v>2667</v>
      </c>
      <c r="D111" t="s">
        <v>61</v>
      </c>
      <c r="E111" t="s">
        <v>42</v>
      </c>
      <c r="F111">
        <v>2</v>
      </c>
      <c r="G111" s="3" t="s">
        <v>4</v>
      </c>
      <c r="H111" s="44" t="s">
        <v>15</v>
      </c>
      <c r="I111" s="17">
        <v>1000000</v>
      </c>
      <c r="J111" s="17">
        <f>IF(Gastos[[#This Row],[Divisa]]="$", I111*1, IF(Gastos[[#This Row],[Divisa]]="U$D", I111*$N$1, IF(Gastos[[#This Row],[Divisa]]="EUR", I111*$N$2, 0)))</f>
        <v>1000000</v>
      </c>
      <c r="K111" s="54">
        <f>Gastos[[#This Row],[Importe AR$]]/$N$1</f>
        <v>641.02564102564099</v>
      </c>
      <c r="M111" s="69"/>
      <c r="N111" s="43" t="str">
        <f>IF(Gastos[[#This Row],[Fecha_Cheque]]&gt;0,WEEKNUM(Gastos[[#This Row],[Fecha_Cheque]]),MID(Gastos[[#This Row],[Semana]],6,2))</f>
        <v>27</v>
      </c>
      <c r="O111" t="s">
        <v>3700</v>
      </c>
      <c r="P111" t="s">
        <v>27</v>
      </c>
    </row>
    <row r="112" spans="1:16" hidden="1" x14ac:dyDescent="0.25">
      <c r="A112" s="3" t="s">
        <v>3693</v>
      </c>
      <c r="B112" t="s">
        <v>40</v>
      </c>
      <c r="C112" t="s">
        <v>2667</v>
      </c>
      <c r="D112" t="s">
        <v>61</v>
      </c>
      <c r="E112" t="s">
        <v>132</v>
      </c>
      <c r="F112">
        <v>2</v>
      </c>
      <c r="G112" s="3" t="s">
        <v>32</v>
      </c>
      <c r="H112" s="44" t="s">
        <v>15</v>
      </c>
      <c r="I112" s="17">
        <v>2500000</v>
      </c>
      <c r="J112" s="17">
        <f>IF(Gastos[[#This Row],[Divisa]]="$", I112*1, IF(Gastos[[#This Row],[Divisa]]="U$D", I112*$N$1, IF(Gastos[[#This Row],[Divisa]]="EUR", I112*$N$2, 0)))</f>
        <v>2500000</v>
      </c>
      <c r="K112" s="54">
        <f>Gastos[[#This Row],[Importe AR$]]/$N$1</f>
        <v>1602.5641025641025</v>
      </c>
      <c r="M112" s="69">
        <v>46240</v>
      </c>
      <c r="N112" s="43">
        <f>IF(Gastos[[#This Row],[Fecha_Cheque]]&gt;0,WEEKNUM(Gastos[[#This Row],[Fecha_Cheque]]),MID(Gastos[[#This Row],[Semana]],6,2))</f>
        <v>32</v>
      </c>
      <c r="O112" t="s">
        <v>3706</v>
      </c>
      <c r="P112" t="s">
        <v>27</v>
      </c>
    </row>
    <row r="113" spans="1:16" hidden="1" x14ac:dyDescent="0.25">
      <c r="A113" s="3" t="s">
        <v>3693</v>
      </c>
      <c r="B113" t="s">
        <v>40</v>
      </c>
      <c r="C113" t="s">
        <v>2667</v>
      </c>
      <c r="D113" t="s">
        <v>61</v>
      </c>
      <c r="E113" t="s">
        <v>132</v>
      </c>
      <c r="F113">
        <v>2</v>
      </c>
      <c r="G113" s="3" t="s">
        <v>32</v>
      </c>
      <c r="H113" s="44" t="s">
        <v>15</v>
      </c>
      <c r="I113" s="17">
        <v>2500000</v>
      </c>
      <c r="J113" s="17">
        <f>IF(Gastos[[#This Row],[Divisa]]="$", I113*1, IF(Gastos[[#This Row],[Divisa]]="U$D", I113*$N$1, IF(Gastos[[#This Row],[Divisa]]="EUR", I113*$N$2, 0)))</f>
        <v>2500000</v>
      </c>
      <c r="K113" s="54">
        <f>Gastos[[#This Row],[Importe AR$]]/$N$1</f>
        <v>1602.5641025641025</v>
      </c>
      <c r="M113" s="69">
        <v>46248</v>
      </c>
      <c r="N113" s="43">
        <f>IF(Gastos[[#This Row],[Fecha_Cheque]]&gt;0,WEEKNUM(Gastos[[#This Row],[Fecha_Cheque]]),MID(Gastos[[#This Row],[Semana]],6,2))</f>
        <v>33</v>
      </c>
      <c r="O113" t="s">
        <v>3706</v>
      </c>
      <c r="P113" t="s">
        <v>27</v>
      </c>
    </row>
    <row r="114" spans="1:16" hidden="1" x14ac:dyDescent="0.25">
      <c r="A114" s="3" t="s">
        <v>3754</v>
      </c>
      <c r="B114" t="s">
        <v>40</v>
      </c>
      <c r="C114" t="s">
        <v>2667</v>
      </c>
      <c r="D114" t="s">
        <v>61</v>
      </c>
      <c r="E114" t="s">
        <v>132</v>
      </c>
      <c r="F114">
        <v>2</v>
      </c>
      <c r="G114" s="3" t="s">
        <v>32</v>
      </c>
      <c r="H114" s="44" t="s">
        <v>15</v>
      </c>
      <c r="I114" s="17">
        <v>70120.45</v>
      </c>
      <c r="J114" s="17">
        <f>IF(Gastos[[#This Row],[Divisa]]="$", I114*1, IF(Gastos[[#This Row],[Divisa]]="U$D", I114*$N$1, IF(Gastos[[#This Row],[Divisa]]="EUR", I114*$N$2, 0)))</f>
        <v>70120.45</v>
      </c>
      <c r="K114" s="54">
        <f>Gastos[[#This Row],[Importe AR$]]/$N$1</f>
        <v>44.949006410256409</v>
      </c>
      <c r="M114" s="69">
        <v>46221</v>
      </c>
      <c r="N114" s="43">
        <f>IF(Gastos[[#This Row],[Fecha_Cheque]]&gt;0,WEEKNUM(Gastos[[#This Row],[Fecha_Cheque]]),MID(Gastos[[#This Row],[Semana]],6,2))</f>
        <v>29</v>
      </c>
      <c r="O114" t="s">
        <v>3775</v>
      </c>
      <c r="P114" t="s">
        <v>27</v>
      </c>
    </row>
    <row r="115" spans="1:16" hidden="1" x14ac:dyDescent="0.25">
      <c r="A115" s="3" t="s">
        <v>3754</v>
      </c>
      <c r="B115" t="s">
        <v>40</v>
      </c>
      <c r="C115" t="s">
        <v>2667</v>
      </c>
      <c r="D115" t="s">
        <v>61</v>
      </c>
      <c r="E115" t="s">
        <v>132</v>
      </c>
      <c r="F115">
        <v>2</v>
      </c>
      <c r="G115" s="3" t="s">
        <v>32</v>
      </c>
      <c r="H115" s="44" t="s">
        <v>15</v>
      </c>
      <c r="I115" s="17">
        <v>1461225</v>
      </c>
      <c r="J115" s="17">
        <f>IF(Gastos[[#This Row],[Divisa]]="$", I115*1, IF(Gastos[[#This Row],[Divisa]]="U$D", I115*$N$1, IF(Gastos[[#This Row],[Divisa]]="EUR", I115*$N$2, 0)))</f>
        <v>1461225</v>
      </c>
      <c r="K115" s="54">
        <f>Gastos[[#This Row],[Importe AR$]]/$N$1</f>
        <v>936.68269230769226</v>
      </c>
      <c r="M115" s="69">
        <v>46263</v>
      </c>
      <c r="N115" s="43">
        <f>IF(Gastos[[#This Row],[Fecha_Cheque]]&gt;0,WEEKNUM(Gastos[[#This Row],[Fecha_Cheque]]),MID(Gastos[[#This Row],[Semana]],6,2))</f>
        <v>35</v>
      </c>
      <c r="O115" t="s">
        <v>3775</v>
      </c>
      <c r="P115" t="s">
        <v>27</v>
      </c>
    </row>
    <row r="116" spans="1:16" hidden="1" x14ac:dyDescent="0.25">
      <c r="A116" s="3" t="s">
        <v>3754</v>
      </c>
      <c r="B116" t="s">
        <v>40</v>
      </c>
      <c r="C116" t="s">
        <v>2667</v>
      </c>
      <c r="D116" t="s">
        <v>61</v>
      </c>
      <c r="E116" t="s">
        <v>132</v>
      </c>
      <c r="F116">
        <v>2</v>
      </c>
      <c r="G116" s="3" t="s">
        <v>32</v>
      </c>
      <c r="H116" s="44" t="s">
        <v>15</v>
      </c>
      <c r="I116" s="17">
        <v>1548006.24</v>
      </c>
      <c r="J116" s="17">
        <f>IF(Gastos[[#This Row],[Divisa]]="$", I116*1, IF(Gastos[[#This Row],[Divisa]]="U$D", I116*$N$1, IF(Gastos[[#This Row],[Divisa]]="EUR", I116*$N$2, 0)))</f>
        <v>1548006.24</v>
      </c>
      <c r="K116" s="54">
        <f>Gastos[[#This Row],[Importe AR$]]/$N$1</f>
        <v>992.31169230769228</v>
      </c>
      <c r="M116" s="69">
        <v>46260</v>
      </c>
      <c r="N116" s="43">
        <f>IF(Gastos[[#This Row],[Fecha_Cheque]]&gt;0,WEEKNUM(Gastos[[#This Row],[Fecha_Cheque]]),MID(Gastos[[#This Row],[Semana]],6,2))</f>
        <v>35</v>
      </c>
      <c r="O116" t="s">
        <v>3775</v>
      </c>
      <c r="P116" t="s">
        <v>27</v>
      </c>
    </row>
    <row r="117" spans="1:16" hidden="1" x14ac:dyDescent="0.25">
      <c r="A117" s="3" t="s">
        <v>3963</v>
      </c>
      <c r="B117" t="s">
        <v>40</v>
      </c>
      <c r="C117" t="s">
        <v>2667</v>
      </c>
      <c r="D117" t="s">
        <v>61</v>
      </c>
      <c r="E117" t="s">
        <v>3928</v>
      </c>
      <c r="F117">
        <v>2</v>
      </c>
      <c r="G117" s="3" t="s">
        <v>4</v>
      </c>
      <c r="H117" s="44" t="s">
        <v>15</v>
      </c>
      <c r="I117" s="17">
        <v>1319000</v>
      </c>
      <c r="J117" s="17">
        <f>IF(Gastos[[#This Row],[Divisa]]="$", I117*1, IF(Gastos[[#This Row],[Divisa]]="U$D", I117*$N$1, IF(Gastos[[#This Row],[Divisa]]="EUR", I117*$N$2, 0)))</f>
        <v>1319000</v>
      </c>
      <c r="K117" s="54">
        <f>Gastos[[#This Row],[Importe AR$]]/$N$1</f>
        <v>845.51282051282055</v>
      </c>
      <c r="M117" s="69">
        <v>46283</v>
      </c>
      <c r="N117" s="43">
        <f>IF(Gastos[[#This Row],[Fecha_Cheque]]&gt;0,WEEKNUM(Gastos[[#This Row],[Fecha_Cheque]]),MID(Gastos[[#This Row],[Semana]],6,2))</f>
        <v>38</v>
      </c>
      <c r="O117" t="s">
        <v>3995</v>
      </c>
      <c r="P117" t="s">
        <v>27</v>
      </c>
    </row>
    <row r="118" spans="1:16" hidden="1" x14ac:dyDescent="0.25">
      <c r="A118" s="3" t="s">
        <v>3963</v>
      </c>
      <c r="B118" t="s">
        <v>40</v>
      </c>
      <c r="C118" t="s">
        <v>2667</v>
      </c>
      <c r="D118" t="s">
        <v>61</v>
      </c>
      <c r="E118" t="s">
        <v>3928</v>
      </c>
      <c r="F118">
        <v>2</v>
      </c>
      <c r="G118" s="3" t="s">
        <v>4</v>
      </c>
      <c r="H118" s="44" t="s">
        <v>15</v>
      </c>
      <c r="I118" s="17">
        <v>2500000</v>
      </c>
      <c r="J118" s="17">
        <f>IF(Gastos[[#This Row],[Divisa]]="$", I118*1, IF(Gastos[[#This Row],[Divisa]]="U$D", I118*$N$1, IF(Gastos[[#This Row],[Divisa]]="EUR", I118*$N$2, 0)))</f>
        <v>2500000</v>
      </c>
      <c r="K118" s="54">
        <f>Gastos[[#This Row],[Importe AR$]]/$N$1</f>
        <v>1602.5641025641025</v>
      </c>
      <c r="M118" s="69">
        <v>46268</v>
      </c>
      <c r="N118" s="43">
        <f>IF(Gastos[[#This Row],[Fecha_Cheque]]&gt;0,WEEKNUM(Gastos[[#This Row],[Fecha_Cheque]]),MID(Gastos[[#This Row],[Semana]],6,2))</f>
        <v>36</v>
      </c>
      <c r="O118" t="s">
        <v>3995</v>
      </c>
      <c r="P118" t="s">
        <v>27</v>
      </c>
    </row>
    <row r="119" spans="1:16" hidden="1" x14ac:dyDescent="0.25">
      <c r="A119" s="3" t="s">
        <v>3963</v>
      </c>
      <c r="B119" t="s">
        <v>40</v>
      </c>
      <c r="C119" t="s">
        <v>2667</v>
      </c>
      <c r="D119" t="s">
        <v>61</v>
      </c>
      <c r="E119" t="s">
        <v>3928</v>
      </c>
      <c r="F119">
        <v>2</v>
      </c>
      <c r="G119" s="3" t="s">
        <v>4</v>
      </c>
      <c r="H119" s="44" t="s">
        <v>15</v>
      </c>
      <c r="I119" s="17">
        <v>350000</v>
      </c>
      <c r="J119" s="17">
        <f>IF(Gastos[[#This Row],[Divisa]]="$", I119*1, IF(Gastos[[#This Row],[Divisa]]="U$D", I119*$N$1, IF(Gastos[[#This Row],[Divisa]]="EUR", I119*$N$2, 0)))</f>
        <v>350000</v>
      </c>
      <c r="K119" s="54">
        <f>Gastos[[#This Row],[Importe AR$]]/$N$1</f>
        <v>224.35897435897436</v>
      </c>
      <c r="M119" s="69">
        <v>46268</v>
      </c>
      <c r="N119" s="43">
        <f>IF(Gastos[[#This Row],[Fecha_Cheque]]&gt;0,WEEKNUM(Gastos[[#This Row],[Fecha_Cheque]]),MID(Gastos[[#This Row],[Semana]],6,2))</f>
        <v>36</v>
      </c>
      <c r="O119" t="s">
        <v>3995</v>
      </c>
      <c r="P119" t="s">
        <v>27</v>
      </c>
    </row>
    <row r="120" spans="1:16" hidden="1" x14ac:dyDescent="0.25">
      <c r="A120" s="3" t="s">
        <v>4322</v>
      </c>
      <c r="B120" t="s">
        <v>40</v>
      </c>
      <c r="C120" t="s">
        <v>2667</v>
      </c>
      <c r="D120" t="s">
        <v>61</v>
      </c>
      <c r="E120" t="s">
        <v>3928</v>
      </c>
      <c r="F120">
        <v>2</v>
      </c>
      <c r="G120" s="3" t="s">
        <v>32</v>
      </c>
      <c r="H120" s="44" t="s">
        <v>15</v>
      </c>
      <c r="I120" s="17">
        <v>1100000</v>
      </c>
      <c r="J120" s="17">
        <f>IF(Gastos[[#This Row],[Divisa]]="$", I120*1, IF(Gastos[[#This Row],[Divisa]]="U$D", I120*$N$1, IF(Gastos[[#This Row],[Divisa]]="EUR", I120*$N$2, 0)))</f>
        <v>1100000</v>
      </c>
      <c r="K120" s="54">
        <f>Gastos[[#This Row],[Importe AR$]]/$N$1</f>
        <v>705.12820512820508</v>
      </c>
      <c r="M120" s="69">
        <v>46318</v>
      </c>
      <c r="N120" s="43">
        <f>IF(Gastos[[#This Row],[Fecha_Cheque]]&gt;0,WEEKNUM(Gastos[[#This Row],[Fecha_Cheque]]),MID(Gastos[[#This Row],[Semana]],6,2))</f>
        <v>43</v>
      </c>
      <c r="O120" t="s">
        <v>4329</v>
      </c>
      <c r="P120" t="s">
        <v>27</v>
      </c>
    </row>
    <row r="121" spans="1:16" hidden="1" x14ac:dyDescent="0.25">
      <c r="A121" s="3" t="s">
        <v>4322</v>
      </c>
      <c r="B121" t="s">
        <v>40</v>
      </c>
      <c r="C121" t="s">
        <v>2667</v>
      </c>
      <c r="D121" t="s">
        <v>61</v>
      </c>
      <c r="E121" t="s">
        <v>3928</v>
      </c>
      <c r="F121">
        <v>2</v>
      </c>
      <c r="G121" s="3" t="s">
        <v>32</v>
      </c>
      <c r="H121" s="44" t="s">
        <v>15</v>
      </c>
      <c r="I121" s="17">
        <v>1370000</v>
      </c>
      <c r="J121" s="17">
        <f>IF(Gastos[[#This Row],[Divisa]]="$", I121*1, IF(Gastos[[#This Row],[Divisa]]="U$D", I121*$N$1, IF(Gastos[[#This Row],[Divisa]]="EUR", I121*$N$2, 0)))</f>
        <v>1370000</v>
      </c>
      <c r="K121" s="54">
        <f>Gastos[[#This Row],[Importe AR$]]/$N$1</f>
        <v>878.20512820512818</v>
      </c>
      <c r="M121" s="69">
        <v>46312</v>
      </c>
      <c r="N121" s="43">
        <f>IF(Gastos[[#This Row],[Fecha_Cheque]]&gt;0,WEEKNUM(Gastos[[#This Row],[Fecha_Cheque]]),MID(Gastos[[#This Row],[Semana]],6,2))</f>
        <v>42</v>
      </c>
      <c r="O121" t="s">
        <v>4329</v>
      </c>
      <c r="P121" t="s">
        <v>27</v>
      </c>
    </row>
    <row r="122" spans="1:16" hidden="1" x14ac:dyDescent="0.25">
      <c r="A122" s="3" t="s">
        <v>4322</v>
      </c>
      <c r="B122" t="s">
        <v>40</v>
      </c>
      <c r="C122" t="s">
        <v>2667</v>
      </c>
      <c r="D122" t="s">
        <v>61</v>
      </c>
      <c r="E122" t="s">
        <v>3928</v>
      </c>
      <c r="F122">
        <v>2</v>
      </c>
      <c r="G122" s="3" t="s">
        <v>32</v>
      </c>
      <c r="H122" s="44" t="s">
        <v>15</v>
      </c>
      <c r="I122" s="17">
        <v>137000</v>
      </c>
      <c r="J122" s="17">
        <f>IF(Gastos[[#This Row],[Divisa]]="$", I122*1, IF(Gastos[[#This Row],[Divisa]]="U$D", I122*$N$1, IF(Gastos[[#This Row],[Divisa]]="EUR", I122*$N$2, 0)))</f>
        <v>137000</v>
      </c>
      <c r="K122" s="54">
        <f>Gastos[[#This Row],[Importe AR$]]/$N$1</f>
        <v>87.820512820512818</v>
      </c>
      <c r="M122" s="69">
        <v>46310</v>
      </c>
      <c r="N122" s="43">
        <f>IF(Gastos[[#This Row],[Fecha_Cheque]]&gt;0,WEEKNUM(Gastos[[#This Row],[Fecha_Cheque]]),MID(Gastos[[#This Row],[Semana]],6,2))</f>
        <v>42</v>
      </c>
      <c r="O122" t="s">
        <v>4329</v>
      </c>
      <c r="P122" t="s">
        <v>27</v>
      </c>
    </row>
    <row r="123" spans="1:16" hidden="1" x14ac:dyDescent="0.25">
      <c r="A123" s="3" t="s">
        <v>4409</v>
      </c>
      <c r="B123" t="s">
        <v>40</v>
      </c>
      <c r="C123" t="s">
        <v>2667</v>
      </c>
      <c r="D123" t="s">
        <v>61</v>
      </c>
      <c r="E123" t="s">
        <v>3928</v>
      </c>
      <c r="F123">
        <v>2</v>
      </c>
      <c r="G123" s="3" t="s">
        <v>32</v>
      </c>
      <c r="H123" s="44" t="s">
        <v>15</v>
      </c>
      <c r="I123" s="17">
        <v>2628000</v>
      </c>
      <c r="J123" s="17">
        <f>IF(Gastos[[#This Row],[Divisa]]="$", I123*1, IF(Gastos[[#This Row],[Divisa]]="U$D", I123*$N$1, IF(Gastos[[#This Row],[Divisa]]="EUR", I123*$N$2, 0)))</f>
        <v>2628000</v>
      </c>
      <c r="K123" s="54">
        <f>Gastos[[#This Row],[Importe AR$]]/$N$1</f>
        <v>1684.6153846153845</v>
      </c>
      <c r="M123" s="69"/>
      <c r="N123" s="43" t="str">
        <f>IF(Gastos[[#This Row],[Fecha_Cheque]]&gt;0,WEEKNUM(Gastos[[#This Row],[Fecha_Cheque]]),MID(Gastos[[#This Row],[Semana]],6,2))</f>
        <v>40</v>
      </c>
      <c r="O123" t="s">
        <v>4443</v>
      </c>
      <c r="P123" t="s">
        <v>27</v>
      </c>
    </row>
    <row r="124" spans="1:16" x14ac:dyDescent="0.25">
      <c r="A124" s="3" t="s">
        <v>4655</v>
      </c>
      <c r="B124" t="s">
        <v>40</v>
      </c>
      <c r="C124" t="s">
        <v>2667</v>
      </c>
      <c r="D124" t="s">
        <v>61</v>
      </c>
      <c r="E124" t="s">
        <v>3928</v>
      </c>
      <c r="F124">
        <v>2</v>
      </c>
      <c r="G124" s="3" t="s">
        <v>32</v>
      </c>
      <c r="H124" s="44" t="s">
        <v>2</v>
      </c>
      <c r="I124" s="17">
        <v>2908.7761290322583</v>
      </c>
      <c r="J124" s="17">
        <f>IF(Gastos[[#This Row],[Divisa]]="$", I124*1, IF(Gastos[[#This Row],[Divisa]]="U$D", I124*$N$1, IF(Gastos[[#This Row],[Divisa]]="EUR", I124*$N$2, 0)))</f>
        <v>4537690.761290323</v>
      </c>
      <c r="K124" s="54">
        <f>Gastos[[#This Row],[Importe AR$]]/$N$1</f>
        <v>2908.7761290322583</v>
      </c>
      <c r="M124" s="69"/>
      <c r="N124" s="43" t="str">
        <f>IF(Gastos[[#This Row],[Fecha_Cheque]]&gt;0,WEEKNUM(Gastos[[#This Row],[Fecha_Cheque]]),MID(Gastos[[#This Row],[Semana]],6,2))</f>
        <v>44</v>
      </c>
    </row>
    <row r="125" spans="1:16" x14ac:dyDescent="0.25">
      <c r="A125" s="3" t="s">
        <v>4655</v>
      </c>
      <c r="B125" t="s">
        <v>40</v>
      </c>
      <c r="C125" t="s">
        <v>2667</v>
      </c>
      <c r="D125" t="s">
        <v>61</v>
      </c>
      <c r="E125" t="s">
        <v>3928</v>
      </c>
      <c r="F125">
        <v>2</v>
      </c>
      <c r="G125" s="3" t="s">
        <v>32</v>
      </c>
      <c r="H125" s="44" t="s">
        <v>15</v>
      </c>
      <c r="I125" s="17">
        <v>0</v>
      </c>
      <c r="J125" s="17">
        <f>IF(Gastos[[#This Row],[Divisa]]="$", I125*1, IF(Gastos[[#This Row],[Divisa]]="U$D", I125*$N$1, IF(Gastos[[#This Row],[Divisa]]="EUR", I125*$N$2, 0)))</f>
        <v>0</v>
      </c>
      <c r="K125" s="54">
        <f>Gastos[[#This Row],[Importe AR$]]/$N$1</f>
        <v>0</v>
      </c>
      <c r="M125" s="69"/>
      <c r="N125" s="43" t="str">
        <f>IF(Gastos[[#This Row],[Fecha_Cheque]]&gt;0,WEEKNUM(Gastos[[#This Row],[Fecha_Cheque]]),MID(Gastos[[#This Row],[Semana]],6,2))</f>
        <v>44</v>
      </c>
    </row>
    <row r="126" spans="1:16" hidden="1" x14ac:dyDescent="0.25">
      <c r="A126" s="3" t="s">
        <v>139</v>
      </c>
      <c r="B126" t="s">
        <v>140</v>
      </c>
      <c r="C126" t="s">
        <v>141</v>
      </c>
      <c r="D126" t="s">
        <v>26</v>
      </c>
      <c r="E126" t="s">
        <v>132</v>
      </c>
      <c r="F126">
        <v>2</v>
      </c>
      <c r="G126" s="3" t="s">
        <v>4</v>
      </c>
      <c r="H126" s="46" t="s">
        <v>15</v>
      </c>
      <c r="I126" s="17">
        <v>3500000</v>
      </c>
      <c r="J126" s="17">
        <f>IF(Gastos[[#This Row],[Divisa]]="$", I126*1, IF(Gastos[[#This Row],[Divisa]]="U$D", I126*$N$1, IF(Gastos[[#This Row],[Divisa]]="EUR", I126*$N$2, 0)))</f>
        <v>3500000</v>
      </c>
      <c r="K126" s="54">
        <f>Gastos[[#This Row],[Importe AR$]]/$N$1</f>
        <v>2243.5897435897436</v>
      </c>
      <c r="M126" s="69"/>
      <c r="N126" s="43" t="str">
        <f>IF(Gastos[[#This Row],[Fecha_Cheque]]&gt;0,WEEKNUM(Gastos[[#This Row],[Fecha_Cheque]]),MID(Gastos[[#This Row],[Semana]],6,2))</f>
        <v>08</v>
      </c>
      <c r="O126" t="s">
        <v>142</v>
      </c>
      <c r="P126" t="s">
        <v>27</v>
      </c>
    </row>
    <row r="127" spans="1:16" hidden="1" x14ac:dyDescent="0.25">
      <c r="A127" s="3" t="s">
        <v>139</v>
      </c>
      <c r="B127" t="s">
        <v>140</v>
      </c>
      <c r="C127" t="s">
        <v>41</v>
      </c>
      <c r="D127" t="s">
        <v>26</v>
      </c>
      <c r="E127" t="s">
        <v>132</v>
      </c>
      <c r="F127">
        <v>2</v>
      </c>
      <c r="G127" s="3" t="s">
        <v>4</v>
      </c>
      <c r="H127" s="46" t="s">
        <v>15</v>
      </c>
      <c r="I127" s="17">
        <v>700000</v>
      </c>
      <c r="J127" s="17">
        <f>IF(Gastos[[#This Row],[Divisa]]="$", I127*1, IF(Gastos[[#This Row],[Divisa]]="U$D", I127*$N$1, IF(Gastos[[#This Row],[Divisa]]="EUR", I127*$N$2, 0)))</f>
        <v>700000</v>
      </c>
      <c r="K127" s="54">
        <f>Gastos[[#This Row],[Importe AR$]]/$N$1</f>
        <v>448.71794871794873</v>
      </c>
      <c r="M127" s="69"/>
      <c r="N127" s="43" t="str">
        <f>IF(Gastos[[#This Row],[Fecha_Cheque]]&gt;0,WEEKNUM(Gastos[[#This Row],[Fecha_Cheque]]),MID(Gastos[[#This Row],[Semana]],6,2))</f>
        <v>08</v>
      </c>
      <c r="O127" t="s">
        <v>143</v>
      </c>
      <c r="P127" t="s">
        <v>27</v>
      </c>
    </row>
    <row r="128" spans="1:16" hidden="1" x14ac:dyDescent="0.25">
      <c r="A128" s="3" t="s">
        <v>2726</v>
      </c>
      <c r="B128" t="s">
        <v>2922</v>
      </c>
      <c r="C128" t="s">
        <v>2923</v>
      </c>
      <c r="D128" t="s">
        <v>61</v>
      </c>
      <c r="E128" t="s">
        <v>42</v>
      </c>
      <c r="F128">
        <v>2</v>
      </c>
      <c r="G128" s="3" t="s">
        <v>4</v>
      </c>
      <c r="H128" s="44" t="s">
        <v>15</v>
      </c>
      <c r="I128" s="17">
        <v>800000</v>
      </c>
      <c r="J128" s="17">
        <f>IF(Gastos[[#This Row],[Divisa]]="$", I128*1, IF(Gastos[[#This Row],[Divisa]]="U$D", I128*$N$1, IF(Gastos[[#This Row],[Divisa]]="EUR", I128*$N$2, 0)))</f>
        <v>800000</v>
      </c>
      <c r="K128" s="54">
        <f>Gastos[[#This Row],[Importe AR$]]/$N$1</f>
        <v>512.82051282051282</v>
      </c>
      <c r="M128" s="69"/>
      <c r="N128" s="43" t="str">
        <f>IF(Gastos[[#This Row],[Fecha_Cheque]]&gt;0,WEEKNUM(Gastos[[#This Row],[Fecha_Cheque]]),MID(Gastos[[#This Row],[Semana]],6,2))</f>
        <v>24</v>
      </c>
      <c r="O128" t="s">
        <v>2924</v>
      </c>
      <c r="P128" t="s">
        <v>27</v>
      </c>
    </row>
    <row r="129" spans="1:16" hidden="1" x14ac:dyDescent="0.25">
      <c r="A129" s="3" t="s">
        <v>3567</v>
      </c>
      <c r="B129" t="s">
        <v>2922</v>
      </c>
      <c r="C129" t="s">
        <v>3506</v>
      </c>
      <c r="D129" t="s">
        <v>61</v>
      </c>
      <c r="E129" t="s">
        <v>42</v>
      </c>
      <c r="F129">
        <v>2</v>
      </c>
      <c r="G129" s="3" t="s">
        <v>4</v>
      </c>
      <c r="H129" s="44" t="s">
        <v>15</v>
      </c>
      <c r="I129" s="17">
        <v>1000000</v>
      </c>
      <c r="J129" s="17">
        <f>IF(Gastos[[#This Row],[Divisa]]="$", I129*1, IF(Gastos[[#This Row],[Divisa]]="U$D", I129*$N$1, IF(Gastos[[#This Row],[Divisa]]="EUR", I129*$N$2, 0)))</f>
        <v>1000000</v>
      </c>
      <c r="K129" s="54">
        <f>Gastos[[#This Row],[Importe AR$]]/$N$1</f>
        <v>641.02564102564099</v>
      </c>
      <c r="M129" s="69"/>
      <c r="N129" s="43" t="str">
        <f>IF(Gastos[[#This Row],[Fecha_Cheque]]&gt;0,WEEKNUM(Gastos[[#This Row],[Fecha_Cheque]]),MID(Gastos[[#This Row],[Semana]],6,2))</f>
        <v>26</v>
      </c>
      <c r="O129" t="s">
        <v>3604</v>
      </c>
      <c r="P129" t="s">
        <v>27</v>
      </c>
    </row>
    <row r="130" spans="1:16" hidden="1" x14ac:dyDescent="0.25">
      <c r="A130" s="3" t="s">
        <v>3567</v>
      </c>
      <c r="B130" t="s">
        <v>2922</v>
      </c>
      <c r="C130" t="s">
        <v>3506</v>
      </c>
      <c r="D130" t="s">
        <v>61</v>
      </c>
      <c r="E130" t="s">
        <v>31</v>
      </c>
      <c r="F130">
        <v>2</v>
      </c>
      <c r="G130" s="3" t="s">
        <v>32</v>
      </c>
      <c r="H130" s="44" t="s">
        <v>15</v>
      </c>
      <c r="I130" s="17">
        <v>2000000</v>
      </c>
      <c r="J130" s="17">
        <f>IF(Gastos[[#This Row],[Divisa]]="$", I130*1, IF(Gastos[[#This Row],[Divisa]]="U$D", I130*$N$1, IF(Gastos[[#This Row],[Divisa]]="EUR", I130*$N$2, 0)))</f>
        <v>2000000</v>
      </c>
      <c r="K130" s="54">
        <f>Gastos[[#This Row],[Importe AR$]]/$N$1</f>
        <v>1282.051282051282</v>
      </c>
      <c r="M130" s="69">
        <v>46245</v>
      </c>
      <c r="N130" s="43">
        <f>IF(Gastos[[#This Row],[Fecha_Cheque]]&gt;0,WEEKNUM(Gastos[[#This Row],[Fecha_Cheque]]),MID(Gastos[[#This Row],[Semana]],6,2))</f>
        <v>33</v>
      </c>
      <c r="O130" t="s">
        <v>3604</v>
      </c>
      <c r="P130" t="s">
        <v>27</v>
      </c>
    </row>
    <row r="131" spans="1:16" hidden="1" x14ac:dyDescent="0.25">
      <c r="A131" s="3" t="s">
        <v>3693</v>
      </c>
      <c r="B131" t="s">
        <v>2922</v>
      </c>
      <c r="C131" t="s">
        <v>3442</v>
      </c>
      <c r="D131" t="s">
        <v>61</v>
      </c>
      <c r="E131" t="s">
        <v>42</v>
      </c>
      <c r="F131">
        <v>2</v>
      </c>
      <c r="G131" s="3" t="s">
        <v>4</v>
      </c>
      <c r="H131" s="44" t="s">
        <v>15</v>
      </c>
      <c r="I131" s="17">
        <v>752951</v>
      </c>
      <c r="J131" s="17">
        <f>IF(Gastos[[#This Row],[Divisa]]="$", I131*1, IF(Gastos[[#This Row],[Divisa]]="U$D", I131*$N$1, IF(Gastos[[#This Row],[Divisa]]="EUR", I131*$N$2, 0)))</f>
        <v>752951</v>
      </c>
      <c r="K131" s="54">
        <f>Gastos[[#This Row],[Importe AR$]]/$N$1</f>
        <v>482.66089743589743</v>
      </c>
      <c r="M131" s="69"/>
      <c r="N131" s="43" t="str">
        <f>IF(Gastos[[#This Row],[Fecha_Cheque]]&gt;0,WEEKNUM(Gastos[[#This Row],[Fecha_Cheque]]),MID(Gastos[[#This Row],[Semana]],6,2))</f>
        <v>28</v>
      </c>
      <c r="O131" t="s">
        <v>3748</v>
      </c>
      <c r="P131" t="s">
        <v>27</v>
      </c>
    </row>
    <row r="132" spans="1:16" hidden="1" x14ac:dyDescent="0.25">
      <c r="A132" s="3" t="s">
        <v>3693</v>
      </c>
      <c r="B132" t="s">
        <v>2922</v>
      </c>
      <c r="C132" t="s">
        <v>3442</v>
      </c>
      <c r="D132" t="s">
        <v>61</v>
      </c>
      <c r="E132" t="s">
        <v>62</v>
      </c>
      <c r="F132">
        <v>2</v>
      </c>
      <c r="G132" s="3" t="s">
        <v>32</v>
      </c>
      <c r="H132" s="44" t="s">
        <v>15</v>
      </c>
      <c r="I132" s="17">
        <v>2726733</v>
      </c>
      <c r="J132" s="17">
        <f>IF(Gastos[[#This Row],[Divisa]]="$", I132*1, IF(Gastos[[#This Row],[Divisa]]="U$D", I132*$N$1, IF(Gastos[[#This Row],[Divisa]]="EUR", I132*$N$2, 0)))</f>
        <v>2726733</v>
      </c>
      <c r="K132" s="54">
        <f>Gastos[[#This Row],[Importe AR$]]/$N$1</f>
        <v>1747.9057692307692</v>
      </c>
      <c r="M132" s="69">
        <v>46260</v>
      </c>
      <c r="N132" s="43">
        <f>IF(Gastos[[#This Row],[Fecha_Cheque]]&gt;0,WEEKNUM(Gastos[[#This Row],[Fecha_Cheque]]),MID(Gastos[[#This Row],[Semana]],6,2))</f>
        <v>35</v>
      </c>
      <c r="O132" t="s">
        <v>3747</v>
      </c>
      <c r="P132" t="s">
        <v>27</v>
      </c>
    </row>
    <row r="133" spans="1:16" hidden="1" x14ac:dyDescent="0.25">
      <c r="A133" s="3" t="s">
        <v>3754</v>
      </c>
      <c r="B133" t="s">
        <v>2922</v>
      </c>
      <c r="C133" t="s">
        <v>3506</v>
      </c>
      <c r="D133" t="s">
        <v>61</v>
      </c>
      <c r="E133" t="s">
        <v>31</v>
      </c>
      <c r="F133">
        <v>2</v>
      </c>
      <c r="G133" s="3" t="s">
        <v>32</v>
      </c>
      <c r="H133" s="44" t="s">
        <v>15</v>
      </c>
      <c r="I133" s="17">
        <v>299400</v>
      </c>
      <c r="J133" s="17">
        <f>IF(Gastos[[#This Row],[Divisa]]="$", I133*1, IF(Gastos[[#This Row],[Divisa]]="U$D", I133*$N$1, IF(Gastos[[#This Row],[Divisa]]="EUR", I133*$N$2, 0)))</f>
        <v>299400</v>
      </c>
      <c r="K133" s="54">
        <f>Gastos[[#This Row],[Importe AR$]]/$N$1</f>
        <v>191.92307692307693</v>
      </c>
      <c r="M133" s="69">
        <v>46224</v>
      </c>
      <c r="N133" s="43">
        <f>IF(Gastos[[#This Row],[Fecha_Cheque]]&gt;0,WEEKNUM(Gastos[[#This Row],[Fecha_Cheque]]),MID(Gastos[[#This Row],[Semana]],6,2))</f>
        <v>30</v>
      </c>
      <c r="O133" t="s">
        <v>3774</v>
      </c>
      <c r="P133" t="s">
        <v>27</v>
      </c>
    </row>
    <row r="134" spans="1:16" hidden="1" x14ac:dyDescent="0.25">
      <c r="A134" s="3" t="s">
        <v>3754</v>
      </c>
      <c r="B134" t="s">
        <v>2922</v>
      </c>
      <c r="C134" t="s">
        <v>3506</v>
      </c>
      <c r="D134" t="s">
        <v>61</v>
      </c>
      <c r="E134" t="s">
        <v>31</v>
      </c>
      <c r="F134">
        <v>2</v>
      </c>
      <c r="G134" s="3" t="s">
        <v>32</v>
      </c>
      <c r="H134" s="44" t="s">
        <v>15</v>
      </c>
      <c r="I134" s="17">
        <v>390000</v>
      </c>
      <c r="J134" s="17">
        <f>IF(Gastos[[#This Row],[Divisa]]="$", I134*1, IF(Gastos[[#This Row],[Divisa]]="U$D", I134*$N$1, IF(Gastos[[#This Row],[Divisa]]="EUR", I134*$N$2, 0)))</f>
        <v>390000</v>
      </c>
      <c r="K134" s="54">
        <f>Gastos[[#This Row],[Importe AR$]]/$N$1</f>
        <v>250</v>
      </c>
      <c r="M134" s="69">
        <v>46226</v>
      </c>
      <c r="N134" s="43">
        <f>IF(Gastos[[#This Row],[Fecha_Cheque]]&gt;0,WEEKNUM(Gastos[[#This Row],[Fecha_Cheque]]),MID(Gastos[[#This Row],[Semana]],6,2))</f>
        <v>30</v>
      </c>
      <c r="O134" t="s">
        <v>3774</v>
      </c>
      <c r="P134" t="s">
        <v>27</v>
      </c>
    </row>
    <row r="135" spans="1:16" hidden="1" x14ac:dyDescent="0.25">
      <c r="A135" s="3" t="s">
        <v>3754</v>
      </c>
      <c r="B135" t="s">
        <v>2922</v>
      </c>
      <c r="C135" t="s">
        <v>3506</v>
      </c>
      <c r="D135" t="s">
        <v>61</v>
      </c>
      <c r="E135" t="s">
        <v>31</v>
      </c>
      <c r="F135">
        <v>2</v>
      </c>
      <c r="G135" s="3" t="s">
        <v>32</v>
      </c>
      <c r="H135" s="44" t="s">
        <v>15</v>
      </c>
      <c r="I135" s="17">
        <v>1000000</v>
      </c>
      <c r="J135" s="17">
        <f>IF(Gastos[[#This Row],[Divisa]]="$", I135*1, IF(Gastos[[#This Row],[Divisa]]="U$D", I135*$N$1, IF(Gastos[[#This Row],[Divisa]]="EUR", I135*$N$2, 0)))</f>
        <v>1000000</v>
      </c>
      <c r="K135" s="54">
        <f>Gastos[[#This Row],[Importe AR$]]/$N$1</f>
        <v>641.02564102564099</v>
      </c>
      <c r="M135" s="69">
        <v>46239</v>
      </c>
      <c r="N135" s="43">
        <f>IF(Gastos[[#This Row],[Fecha_Cheque]]&gt;0,WEEKNUM(Gastos[[#This Row],[Fecha_Cheque]]),MID(Gastos[[#This Row],[Semana]],6,2))</f>
        <v>32</v>
      </c>
      <c r="O135" t="s">
        <v>3774</v>
      </c>
      <c r="P135" t="s">
        <v>27</v>
      </c>
    </row>
    <row r="136" spans="1:16" hidden="1" x14ac:dyDescent="0.25">
      <c r="A136" s="3" t="s">
        <v>3754</v>
      </c>
      <c r="B136" t="s">
        <v>2922</v>
      </c>
      <c r="C136" t="s">
        <v>3506</v>
      </c>
      <c r="D136" t="s">
        <v>61</v>
      </c>
      <c r="E136" t="s">
        <v>31</v>
      </c>
      <c r="F136">
        <v>2</v>
      </c>
      <c r="G136" s="3" t="s">
        <v>32</v>
      </c>
      <c r="H136" s="44" t="s">
        <v>15</v>
      </c>
      <c r="I136" s="17">
        <v>1000000</v>
      </c>
      <c r="J136" s="17">
        <f>IF(Gastos[[#This Row],[Divisa]]="$", I136*1, IF(Gastos[[#This Row],[Divisa]]="U$D", I136*$N$1, IF(Gastos[[#This Row],[Divisa]]="EUR", I136*$N$2, 0)))</f>
        <v>1000000</v>
      </c>
      <c r="K136" s="54">
        <f>Gastos[[#This Row],[Importe AR$]]/$N$1</f>
        <v>641.02564102564099</v>
      </c>
      <c r="M136" s="69">
        <v>46238</v>
      </c>
      <c r="N136" s="43">
        <f>IF(Gastos[[#This Row],[Fecha_Cheque]]&gt;0,WEEKNUM(Gastos[[#This Row],[Fecha_Cheque]]),MID(Gastos[[#This Row],[Semana]],6,2))</f>
        <v>32</v>
      </c>
      <c r="O136" t="s">
        <v>3774</v>
      </c>
      <c r="P136" t="s">
        <v>27</v>
      </c>
    </row>
    <row r="137" spans="1:16" hidden="1" x14ac:dyDescent="0.25">
      <c r="A137" s="3" t="s">
        <v>3754</v>
      </c>
      <c r="B137" t="s">
        <v>2922</v>
      </c>
      <c r="C137" t="s">
        <v>3506</v>
      </c>
      <c r="D137" t="s">
        <v>61</v>
      </c>
      <c r="E137" t="s">
        <v>42</v>
      </c>
      <c r="F137">
        <v>2</v>
      </c>
      <c r="G137" s="3" t="s">
        <v>4</v>
      </c>
      <c r="H137" s="44" t="s">
        <v>15</v>
      </c>
      <c r="I137" s="17">
        <v>1000000</v>
      </c>
      <c r="J137" s="17">
        <f>IF(Gastos[[#This Row],[Divisa]]="$", I137*1, IF(Gastos[[#This Row],[Divisa]]="U$D", I137*$N$1, IF(Gastos[[#This Row],[Divisa]]="EUR", I137*$N$2, 0)))</f>
        <v>1000000</v>
      </c>
      <c r="K137" s="54">
        <f>Gastos[[#This Row],[Importe AR$]]/$N$1</f>
        <v>641.02564102564099</v>
      </c>
      <c r="M137" s="69"/>
      <c r="N137" s="43" t="str">
        <f>IF(Gastos[[#This Row],[Fecha_Cheque]]&gt;0,WEEKNUM(Gastos[[#This Row],[Fecha_Cheque]]),MID(Gastos[[#This Row],[Semana]],6,2))</f>
        <v>29</v>
      </c>
      <c r="O137" t="s">
        <v>3812</v>
      </c>
      <c r="P137" t="s">
        <v>27</v>
      </c>
    </row>
    <row r="138" spans="1:16" hidden="1" x14ac:dyDescent="0.25">
      <c r="A138" s="3" t="s">
        <v>3963</v>
      </c>
      <c r="B138" t="s">
        <v>2922</v>
      </c>
      <c r="C138" t="s">
        <v>3506</v>
      </c>
      <c r="D138" t="s">
        <v>61</v>
      </c>
      <c r="E138" t="s">
        <v>62</v>
      </c>
      <c r="F138">
        <v>2</v>
      </c>
      <c r="G138" s="3" t="s">
        <v>4</v>
      </c>
      <c r="H138" s="44" t="s">
        <v>15</v>
      </c>
      <c r="I138" s="17">
        <v>850000</v>
      </c>
      <c r="J138" s="17">
        <f>IF(Gastos[[#This Row],[Divisa]]="$", I138*1, IF(Gastos[[#This Row],[Divisa]]="U$D", I138*$N$1, IF(Gastos[[#This Row],[Divisa]]="EUR", I138*$N$2, 0)))</f>
        <v>850000</v>
      </c>
      <c r="K138" s="54">
        <f>Gastos[[#This Row],[Importe AR$]]/$N$1</f>
        <v>544.87179487179492</v>
      </c>
      <c r="M138" s="69">
        <v>46267</v>
      </c>
      <c r="N138" s="43">
        <f>IF(Gastos[[#This Row],[Fecha_Cheque]]&gt;0,WEEKNUM(Gastos[[#This Row],[Fecha_Cheque]]),MID(Gastos[[#This Row],[Semana]],6,2))</f>
        <v>36</v>
      </c>
      <c r="O138" t="s">
        <v>3994</v>
      </c>
      <c r="P138" t="s">
        <v>27</v>
      </c>
    </row>
    <row r="139" spans="1:16" hidden="1" x14ac:dyDescent="0.25">
      <c r="A139" s="3" t="s">
        <v>3882</v>
      </c>
      <c r="B139" t="s">
        <v>2922</v>
      </c>
      <c r="C139" t="s">
        <v>3506</v>
      </c>
      <c r="D139" t="s">
        <v>61</v>
      </c>
      <c r="E139" t="s">
        <v>42</v>
      </c>
      <c r="F139">
        <v>2</v>
      </c>
      <c r="G139" s="3" t="s">
        <v>4</v>
      </c>
      <c r="H139" s="44" t="s">
        <v>15</v>
      </c>
      <c r="I139" s="17">
        <v>500000</v>
      </c>
      <c r="J139" s="17">
        <f>IF(Gastos[[#This Row],[Divisa]]="$", I139*1, IF(Gastos[[#This Row],[Divisa]]="U$D", I139*$N$1, IF(Gastos[[#This Row],[Divisa]]="EUR", I139*$N$2, 0)))</f>
        <v>500000</v>
      </c>
      <c r="K139" s="54">
        <f>Gastos[[#This Row],[Importe AR$]]/$N$1</f>
        <v>320.5128205128205</v>
      </c>
      <c r="M139" s="69"/>
      <c r="N139" s="43" t="str">
        <f>IF(Gastos[[#This Row],[Fecha_Cheque]]&gt;0,WEEKNUM(Gastos[[#This Row],[Fecha_Cheque]]),MID(Gastos[[#This Row],[Semana]],6,2))</f>
        <v>31</v>
      </c>
      <c r="O139" t="s">
        <v>3921</v>
      </c>
      <c r="P139" t="s">
        <v>27</v>
      </c>
    </row>
    <row r="140" spans="1:16" hidden="1" x14ac:dyDescent="0.25">
      <c r="A140" s="3" t="s">
        <v>4322</v>
      </c>
      <c r="B140" t="s">
        <v>2922</v>
      </c>
      <c r="C140" t="s">
        <v>3506</v>
      </c>
      <c r="D140" t="s">
        <v>61</v>
      </c>
      <c r="E140" t="s">
        <v>62</v>
      </c>
      <c r="F140">
        <v>2</v>
      </c>
      <c r="G140" s="3" t="s">
        <v>32</v>
      </c>
      <c r="H140" s="44" t="s">
        <v>15</v>
      </c>
      <c r="I140" s="17">
        <v>1100000</v>
      </c>
      <c r="J140" s="17">
        <f>IF(Gastos[[#This Row],[Divisa]]="$", I140*1, IF(Gastos[[#This Row],[Divisa]]="U$D", I140*$N$1, IF(Gastos[[#This Row],[Divisa]]="EUR", I140*$N$2, 0)))</f>
        <v>1100000</v>
      </c>
      <c r="K140" s="54">
        <f>Gastos[[#This Row],[Importe AR$]]/$N$1</f>
        <v>705.12820512820508</v>
      </c>
      <c r="M140" s="69">
        <v>46344</v>
      </c>
      <c r="N140" s="43">
        <f>IF(Gastos[[#This Row],[Fecha_Cheque]]&gt;0,WEEKNUM(Gastos[[#This Row],[Fecha_Cheque]]),MID(Gastos[[#This Row],[Semana]],6,2))</f>
        <v>47</v>
      </c>
      <c r="O140" t="s">
        <v>4330</v>
      </c>
      <c r="P140" t="s">
        <v>27</v>
      </c>
    </row>
    <row r="141" spans="1:16" hidden="1" x14ac:dyDescent="0.25">
      <c r="A141" s="3" t="s">
        <v>4322</v>
      </c>
      <c r="B141" t="s">
        <v>2922</v>
      </c>
      <c r="C141" t="s">
        <v>3506</v>
      </c>
      <c r="D141" t="s">
        <v>61</v>
      </c>
      <c r="E141" t="s">
        <v>62</v>
      </c>
      <c r="F141">
        <v>2</v>
      </c>
      <c r="G141" s="3" t="s">
        <v>32</v>
      </c>
      <c r="H141" s="44" t="s">
        <v>15</v>
      </c>
      <c r="I141" s="17">
        <v>2149500</v>
      </c>
      <c r="J141" s="17">
        <f>IF(Gastos[[#This Row],[Divisa]]="$", I141*1, IF(Gastos[[#This Row],[Divisa]]="U$D", I141*$N$1, IF(Gastos[[#This Row],[Divisa]]="EUR", I141*$N$2, 0)))</f>
        <v>2149500</v>
      </c>
      <c r="K141" s="54">
        <f>Gastos[[#This Row],[Importe AR$]]/$N$1</f>
        <v>1377.8846153846155</v>
      </c>
      <c r="M141" s="69">
        <v>46326</v>
      </c>
      <c r="N141" s="43">
        <f>IF(Gastos[[#This Row],[Fecha_Cheque]]&gt;0,WEEKNUM(Gastos[[#This Row],[Fecha_Cheque]]),MID(Gastos[[#This Row],[Semana]],6,2))</f>
        <v>44</v>
      </c>
      <c r="O141" t="s">
        <v>4330</v>
      </c>
      <c r="P141" t="s">
        <v>27</v>
      </c>
    </row>
    <row r="142" spans="1:16" hidden="1" x14ac:dyDescent="0.25">
      <c r="A142" s="3" t="s">
        <v>3439</v>
      </c>
      <c r="B142" t="s">
        <v>2922</v>
      </c>
      <c r="C142" t="s">
        <v>3559</v>
      </c>
      <c r="D142" t="s">
        <v>26</v>
      </c>
      <c r="E142" t="s">
        <v>42</v>
      </c>
      <c r="F142">
        <v>2</v>
      </c>
      <c r="G142" s="3" t="s">
        <v>4</v>
      </c>
      <c r="H142" s="44" t="s">
        <v>15</v>
      </c>
      <c r="I142" s="17">
        <v>500000</v>
      </c>
      <c r="J142" s="17">
        <f>IF(Gastos[[#This Row],[Divisa]]="$", I142*1, IF(Gastos[[#This Row],[Divisa]]="U$D", I142*$N$1, IF(Gastos[[#This Row],[Divisa]]="EUR", I142*$N$2, 0)))</f>
        <v>500000</v>
      </c>
      <c r="K142" s="54">
        <f>Gastos[[#This Row],[Importe AR$]]/$N$1</f>
        <v>320.5128205128205</v>
      </c>
      <c r="M142" s="69"/>
      <c r="N142" s="43" t="str">
        <f>IF(Gastos[[#This Row],[Fecha_Cheque]]&gt;0,WEEKNUM(Gastos[[#This Row],[Fecha_Cheque]]),MID(Gastos[[#This Row],[Semana]],6,2))</f>
        <v>25</v>
      </c>
      <c r="O142" t="s">
        <v>3564</v>
      </c>
      <c r="P142" t="s">
        <v>27</v>
      </c>
    </row>
    <row r="143" spans="1:16" x14ac:dyDescent="0.25">
      <c r="A143" s="3" t="s">
        <v>4655</v>
      </c>
      <c r="B143" t="s">
        <v>2922</v>
      </c>
      <c r="C143" t="s">
        <v>3506</v>
      </c>
      <c r="D143" t="s">
        <v>61</v>
      </c>
      <c r="E143" t="s">
        <v>62</v>
      </c>
      <c r="F143">
        <v>2</v>
      </c>
      <c r="G143" s="3" t="s">
        <v>32</v>
      </c>
      <c r="H143" s="44" t="s">
        <v>15</v>
      </c>
      <c r="I143" s="17">
        <v>3058665</v>
      </c>
      <c r="J143" s="17">
        <f>IF(Gastos[[#This Row],[Divisa]]="$", I143*1, IF(Gastos[[#This Row],[Divisa]]="U$D", I143*$N$1, IF(Gastos[[#This Row],[Divisa]]="EUR", I143*$N$2, 0)))</f>
        <v>3058665</v>
      </c>
      <c r="K143" s="54">
        <f>Gastos[[#This Row],[Importe AR$]]/$N$1</f>
        <v>1960.6826923076924</v>
      </c>
      <c r="M143" s="69"/>
      <c r="N143" s="43" t="str">
        <f>IF(Gastos[[#This Row],[Fecha_Cheque]]&gt;0,WEEKNUM(Gastos[[#This Row],[Fecha_Cheque]]),MID(Gastos[[#This Row],[Semana]],6,2))</f>
        <v>44</v>
      </c>
    </row>
    <row r="144" spans="1:16" hidden="1" x14ac:dyDescent="0.25">
      <c r="A144" s="3" t="s">
        <v>4513</v>
      </c>
      <c r="B144" t="s">
        <v>4522</v>
      </c>
      <c r="C144" t="s">
        <v>4524</v>
      </c>
      <c r="D144" t="s">
        <v>26</v>
      </c>
      <c r="E144" t="s">
        <v>42</v>
      </c>
      <c r="F144">
        <v>1</v>
      </c>
      <c r="G144" s="3" t="s">
        <v>4</v>
      </c>
      <c r="H144" s="44" t="s">
        <v>15</v>
      </c>
      <c r="I144" s="17">
        <v>65000</v>
      </c>
      <c r="J144" s="17">
        <f>IF(Gastos[[#This Row],[Divisa]]="$", I144*1, IF(Gastos[[#This Row],[Divisa]]="U$D", I144*$N$1, IF(Gastos[[#This Row],[Divisa]]="EUR", I144*$N$2, 0)))</f>
        <v>65000</v>
      </c>
      <c r="K144" s="54">
        <f>Gastos[[#This Row],[Importe AR$]]/$N$1</f>
        <v>41.666666666666664</v>
      </c>
      <c r="M144" s="69"/>
      <c r="N144" s="43" t="str">
        <f>IF(Gastos[[#This Row],[Fecha_Cheque]]&gt;0,WEEKNUM(Gastos[[#This Row],[Fecha_Cheque]]),MID(Gastos[[#This Row],[Semana]],6,2))</f>
        <v>42</v>
      </c>
      <c r="O144" t="s">
        <v>4523</v>
      </c>
      <c r="P144" t="s">
        <v>27</v>
      </c>
    </row>
    <row r="145" spans="1:16" hidden="1" x14ac:dyDescent="0.25">
      <c r="A145" s="3" t="s">
        <v>2711</v>
      </c>
      <c r="B145" t="s">
        <v>2721</v>
      </c>
      <c r="C145" t="s">
        <v>2722</v>
      </c>
      <c r="D145" t="s">
        <v>26</v>
      </c>
      <c r="E145" t="s">
        <v>42</v>
      </c>
      <c r="F145">
        <v>1</v>
      </c>
      <c r="G145" s="3" t="s">
        <v>4</v>
      </c>
      <c r="H145" s="44" t="s">
        <v>15</v>
      </c>
      <c r="I145" s="17">
        <v>50000</v>
      </c>
      <c r="J145" s="17">
        <f>IF(Gastos[[#This Row],[Divisa]]="$", I145*1, IF(Gastos[[#This Row],[Divisa]]="U$D", I145*$N$1, IF(Gastos[[#This Row],[Divisa]]="EUR", I145*$N$2, 0)))</f>
        <v>50000</v>
      </c>
      <c r="K145" s="54">
        <f>Gastos[[#This Row],[Importe AR$]]/$N$1</f>
        <v>32.051282051282051</v>
      </c>
      <c r="M145" s="69"/>
      <c r="N145" s="43" t="str">
        <f>IF(Gastos[[#This Row],[Fecha_Cheque]]&gt;0,WEEKNUM(Gastos[[#This Row],[Fecha_Cheque]]),MID(Gastos[[#This Row],[Semana]],6,2))</f>
        <v>15</v>
      </c>
      <c r="O145" t="s">
        <v>2723</v>
      </c>
      <c r="P145" t="s">
        <v>27</v>
      </c>
    </row>
    <row r="146" spans="1:16" hidden="1" x14ac:dyDescent="0.25">
      <c r="A146" s="3" t="s">
        <v>2773</v>
      </c>
      <c r="B146" t="s">
        <v>2774</v>
      </c>
      <c r="C146" t="s">
        <v>2775</v>
      </c>
      <c r="D146" t="s">
        <v>26</v>
      </c>
      <c r="E146" t="s">
        <v>31</v>
      </c>
      <c r="F146">
        <v>1</v>
      </c>
      <c r="G146" s="3" t="s">
        <v>32</v>
      </c>
      <c r="H146" s="44" t="s">
        <v>15</v>
      </c>
      <c r="I146" s="17">
        <v>2736481.7</v>
      </c>
      <c r="J146" s="17">
        <f>IF(Gastos[[#This Row],[Divisa]]="$", I146*1, IF(Gastos[[#This Row],[Divisa]]="U$D", I146*$N$1, IF(Gastos[[#This Row],[Divisa]]="EUR", I146*$N$2, 0)))</f>
        <v>2736481.7</v>
      </c>
      <c r="K146" s="54">
        <f>Gastos[[#This Row],[Importe AR$]]/$N$1</f>
        <v>1754.154935897436</v>
      </c>
      <c r="M146" s="69">
        <v>46198</v>
      </c>
      <c r="N146" s="43">
        <f>IF(Gastos[[#This Row],[Fecha_Cheque]]&gt;0,WEEKNUM(Gastos[[#This Row],[Fecha_Cheque]]),MID(Gastos[[#This Row],[Semana]],6,2))</f>
        <v>26</v>
      </c>
      <c r="O146" t="s">
        <v>2776</v>
      </c>
      <c r="P146" t="s">
        <v>27</v>
      </c>
    </row>
    <row r="147" spans="1:16" hidden="1" x14ac:dyDescent="0.25">
      <c r="A147" s="3" t="s">
        <v>2773</v>
      </c>
      <c r="B147" t="s">
        <v>2774</v>
      </c>
      <c r="C147" t="s">
        <v>2775</v>
      </c>
      <c r="D147" t="s">
        <v>26</v>
      </c>
      <c r="E147" t="s">
        <v>31</v>
      </c>
      <c r="F147">
        <v>1</v>
      </c>
      <c r="G147" s="3" t="s">
        <v>32</v>
      </c>
      <c r="H147" s="44" t="s">
        <v>15</v>
      </c>
      <c r="I147" s="17">
        <v>2736481.7</v>
      </c>
      <c r="J147" s="17">
        <f>IF(Gastos[[#This Row],[Divisa]]="$", I147*1, IF(Gastos[[#This Row],[Divisa]]="U$D", I147*$N$1, IF(Gastos[[#This Row],[Divisa]]="EUR", I147*$N$2, 0)))</f>
        <v>2736481.7</v>
      </c>
      <c r="K147" s="54">
        <f>Gastos[[#This Row],[Importe AR$]]/$N$1</f>
        <v>1754.154935897436</v>
      </c>
      <c r="M147" s="69">
        <v>46213</v>
      </c>
      <c r="N147" s="43">
        <f>IF(Gastos[[#This Row],[Fecha_Cheque]]&gt;0,WEEKNUM(Gastos[[#This Row],[Fecha_Cheque]]),MID(Gastos[[#This Row],[Semana]],6,2))</f>
        <v>28</v>
      </c>
      <c r="O147" t="s">
        <v>2776</v>
      </c>
      <c r="P147" t="s">
        <v>27</v>
      </c>
    </row>
    <row r="148" spans="1:16" hidden="1" x14ac:dyDescent="0.25">
      <c r="A148" s="3" t="s">
        <v>2773</v>
      </c>
      <c r="B148" t="s">
        <v>2774</v>
      </c>
      <c r="C148" t="s">
        <v>2775</v>
      </c>
      <c r="D148" t="s">
        <v>26</v>
      </c>
      <c r="E148" t="s">
        <v>31</v>
      </c>
      <c r="F148">
        <v>1</v>
      </c>
      <c r="G148" s="3" t="s">
        <v>32</v>
      </c>
      <c r="H148" s="44" t="s">
        <v>15</v>
      </c>
      <c r="I148" s="17">
        <v>90616.6</v>
      </c>
      <c r="J148" s="17">
        <f>IF(Gastos[[#This Row],[Divisa]]="$", I148*1, IF(Gastos[[#This Row],[Divisa]]="U$D", I148*$N$1, IF(Gastos[[#This Row],[Divisa]]="EUR", I148*$N$2, 0)))</f>
        <v>90616.6</v>
      </c>
      <c r="K148" s="54">
        <f>Gastos[[#This Row],[Importe AR$]]/$N$1</f>
        <v>58.087564102564109</v>
      </c>
      <c r="L148" t="s">
        <v>340</v>
      </c>
      <c r="M148" s="69"/>
      <c r="N148" s="43" t="str">
        <f>IF(Gastos[[#This Row],[Fecha_Cheque]]&gt;0,WEEKNUM(Gastos[[#This Row],[Fecha_Cheque]]),MID(Gastos[[#This Row],[Semana]],6,2))</f>
        <v>20</v>
      </c>
      <c r="O148" t="s">
        <v>2776</v>
      </c>
      <c r="P148" t="s">
        <v>27</v>
      </c>
    </row>
    <row r="149" spans="1:16" hidden="1" x14ac:dyDescent="0.25">
      <c r="A149" s="3" t="s">
        <v>144</v>
      </c>
      <c r="B149" t="s">
        <v>145</v>
      </c>
      <c r="C149" t="s">
        <v>146</v>
      </c>
      <c r="D149" t="s">
        <v>26</v>
      </c>
      <c r="E149" t="s">
        <v>31</v>
      </c>
      <c r="F149">
        <v>2</v>
      </c>
      <c r="G149" s="3" t="s">
        <v>4</v>
      </c>
      <c r="H149" s="46" t="s">
        <v>15</v>
      </c>
      <c r="I149" s="17">
        <v>15000</v>
      </c>
      <c r="J149" s="17">
        <f>IF(Gastos[[#This Row],[Divisa]]="$", I149*1, IF(Gastos[[#This Row],[Divisa]]="U$D", I149*$N$1, IF(Gastos[[#This Row],[Divisa]]="EUR", I149*$N$2, 0)))</f>
        <v>15000</v>
      </c>
      <c r="K149" s="54">
        <f>Gastos[[#This Row],[Importe AR$]]/$N$1</f>
        <v>9.615384615384615</v>
      </c>
      <c r="M149" s="69"/>
      <c r="N149" s="43" t="str">
        <f>IF(Gastos[[#This Row],[Fecha_Cheque]]&gt;0,WEEKNUM(Gastos[[#This Row],[Fecha_Cheque]]),MID(Gastos[[#This Row],[Semana]],6,2))</f>
        <v>16</v>
      </c>
      <c r="P149" t="s">
        <v>27</v>
      </c>
    </row>
    <row r="150" spans="1:16" hidden="1" x14ac:dyDescent="0.25">
      <c r="A150" s="3" t="s">
        <v>50</v>
      </c>
      <c r="B150" t="s">
        <v>148</v>
      </c>
      <c r="C150" t="s">
        <v>149</v>
      </c>
      <c r="D150" t="s">
        <v>61</v>
      </c>
      <c r="E150" t="s">
        <v>31</v>
      </c>
      <c r="F150">
        <v>1</v>
      </c>
      <c r="G150" s="3" t="s">
        <v>32</v>
      </c>
      <c r="H150" s="46" t="s">
        <v>15</v>
      </c>
      <c r="I150" s="17">
        <v>1431964.03</v>
      </c>
      <c r="J150" s="17">
        <f>IF(Gastos[[#This Row],[Divisa]]="$", I150*1, IF(Gastos[[#This Row],[Divisa]]="U$D", I150*$N$1, IF(Gastos[[#This Row],[Divisa]]="EUR", I150*$N$2, 0)))</f>
        <v>1431964.03</v>
      </c>
      <c r="K150" s="54">
        <f>Gastos[[#This Row],[Importe AR$]]/$N$1</f>
        <v>917.92566025641031</v>
      </c>
      <c r="L150" t="s">
        <v>150</v>
      </c>
      <c r="M150" s="69">
        <v>45849</v>
      </c>
      <c r="N150" s="43">
        <f>IF(Gastos[[#This Row],[Fecha_Cheque]]&gt;0,WEEKNUM(Gastos[[#This Row],[Fecha_Cheque]]),MID(Gastos[[#This Row],[Semana]],6,2))</f>
        <v>28</v>
      </c>
      <c r="O150" t="s">
        <v>151</v>
      </c>
      <c r="P150" t="s">
        <v>27</v>
      </c>
    </row>
    <row r="151" spans="1:16" hidden="1" x14ac:dyDescent="0.25">
      <c r="A151" s="3" t="s">
        <v>152</v>
      </c>
      <c r="B151" t="s">
        <v>148</v>
      </c>
      <c r="C151" t="s">
        <v>153</v>
      </c>
      <c r="D151" t="s">
        <v>26</v>
      </c>
      <c r="E151" t="s">
        <v>62</v>
      </c>
      <c r="F151">
        <v>1</v>
      </c>
      <c r="G151" s="3" t="s">
        <v>32</v>
      </c>
      <c r="H151" s="46" t="s">
        <v>15</v>
      </c>
      <c r="I151" s="17">
        <v>1273305.6000000001</v>
      </c>
      <c r="J151" s="17">
        <f>IF(Gastos[[#This Row],[Divisa]]="$", I151*1, IF(Gastos[[#This Row],[Divisa]]="U$D", I151*$N$1, IF(Gastos[[#This Row],[Divisa]]="EUR", I151*$N$2, 0)))</f>
        <v>1273305.6000000001</v>
      </c>
      <c r="K151" s="54">
        <f>Gastos[[#This Row],[Importe AR$]]/$N$1</f>
        <v>816.22153846153856</v>
      </c>
      <c r="M151" s="69">
        <v>46050</v>
      </c>
      <c r="N151" s="43">
        <f>IF(Gastos[[#This Row],[Fecha_Cheque]]&gt;0,WEEKNUM(Gastos[[#This Row],[Fecha_Cheque]]),MID(Gastos[[#This Row],[Semana]],6,2))</f>
        <v>5</v>
      </c>
      <c r="O151" t="s">
        <v>154</v>
      </c>
      <c r="P151" t="s">
        <v>27</v>
      </c>
    </row>
    <row r="152" spans="1:16" hidden="1" x14ac:dyDescent="0.25">
      <c r="A152" s="3" t="s">
        <v>53</v>
      </c>
      <c r="B152" t="s">
        <v>156</v>
      </c>
      <c r="C152" t="s">
        <v>157</v>
      </c>
      <c r="D152" t="s">
        <v>26</v>
      </c>
      <c r="E152" t="s">
        <v>31</v>
      </c>
      <c r="F152">
        <v>1</v>
      </c>
      <c r="G152" s="3" t="s">
        <v>5</v>
      </c>
      <c r="H152" s="46" t="s">
        <v>15</v>
      </c>
      <c r="I152" s="17">
        <v>119911</v>
      </c>
      <c r="J152" s="17">
        <f>IF(Gastos[[#This Row],[Divisa]]="$", I152*1, IF(Gastos[[#This Row],[Divisa]]="U$D", I152*$N$1, IF(Gastos[[#This Row],[Divisa]]="EUR", I152*$N$2, 0)))</f>
        <v>119911</v>
      </c>
      <c r="K152" s="54">
        <f>Gastos[[#This Row],[Importe AR$]]/$N$1</f>
        <v>76.866025641025644</v>
      </c>
      <c r="M152" s="69"/>
      <c r="N152" s="43" t="str">
        <f>IF(Gastos[[#This Row],[Fecha_Cheque]]&gt;0,WEEKNUM(Gastos[[#This Row],[Fecha_Cheque]]),MID(Gastos[[#This Row],[Semana]],6,2))</f>
        <v>34</v>
      </c>
      <c r="O152" t="s">
        <v>158</v>
      </c>
      <c r="P152" t="s">
        <v>27</v>
      </c>
    </row>
    <row r="153" spans="1:16" hidden="1" x14ac:dyDescent="0.25">
      <c r="A153" s="3" t="s">
        <v>60</v>
      </c>
      <c r="B153" t="s">
        <v>156</v>
      </c>
      <c r="C153" t="s">
        <v>159</v>
      </c>
      <c r="D153" t="s">
        <v>26</v>
      </c>
      <c r="E153" t="s">
        <v>31</v>
      </c>
      <c r="F153">
        <v>1</v>
      </c>
      <c r="G153" s="3" t="s">
        <v>5</v>
      </c>
      <c r="H153" s="46" t="s">
        <v>15</v>
      </c>
      <c r="I153" s="17">
        <v>1278970</v>
      </c>
      <c r="J153" s="17">
        <f>IF(Gastos[[#This Row],[Divisa]]="$", I153*1, IF(Gastos[[#This Row],[Divisa]]="U$D", I153*$N$1, IF(Gastos[[#This Row],[Divisa]]="EUR", I153*$N$2, 0)))</f>
        <v>1278970</v>
      </c>
      <c r="K153" s="54">
        <f>Gastos[[#This Row],[Importe AR$]]/$N$1</f>
        <v>819.85256410256409</v>
      </c>
      <c r="M153" s="69"/>
      <c r="N153" s="43" t="str">
        <f>IF(Gastos[[#This Row],[Fecha_Cheque]]&gt;0,WEEKNUM(Gastos[[#This Row],[Fecha_Cheque]]),MID(Gastos[[#This Row],[Semana]],6,2))</f>
        <v>46</v>
      </c>
      <c r="O153" t="s">
        <v>160</v>
      </c>
      <c r="P153" t="s">
        <v>27</v>
      </c>
    </row>
    <row r="154" spans="1:16" hidden="1" x14ac:dyDescent="0.25">
      <c r="A154" s="3" t="s">
        <v>89</v>
      </c>
      <c r="B154" t="s">
        <v>156</v>
      </c>
      <c r="D154" t="s">
        <v>26</v>
      </c>
      <c r="E154" t="s">
        <v>31</v>
      </c>
      <c r="F154">
        <v>1</v>
      </c>
      <c r="G154" s="3" t="s">
        <v>5</v>
      </c>
      <c r="H154" s="46" t="s">
        <v>15</v>
      </c>
      <c r="I154" s="17">
        <v>69817</v>
      </c>
      <c r="J154" s="17">
        <f>IF(Gastos[[#This Row],[Divisa]]="$", I154*1, IF(Gastos[[#This Row],[Divisa]]="U$D", I154*$N$1, IF(Gastos[[#This Row],[Divisa]]="EUR", I154*$N$2, 0)))</f>
        <v>69817</v>
      </c>
      <c r="K154" s="54">
        <f>Gastos[[#This Row],[Importe AR$]]/$N$1</f>
        <v>44.754487179487178</v>
      </c>
      <c r="M154" s="69"/>
      <c r="N154" s="43" t="str">
        <f>IF(Gastos[[#This Row],[Fecha_Cheque]]&gt;0,WEEKNUM(Gastos[[#This Row],[Fecha_Cheque]]),MID(Gastos[[#This Row],[Semana]],6,2))</f>
        <v>39</v>
      </c>
      <c r="O154" t="s">
        <v>161</v>
      </c>
      <c r="P154" t="s">
        <v>27</v>
      </c>
    </row>
    <row r="155" spans="1:16" hidden="1" x14ac:dyDescent="0.25">
      <c r="A155" s="3" t="s">
        <v>180</v>
      </c>
      <c r="B155" t="s">
        <v>156</v>
      </c>
      <c r="C155" t="s">
        <v>228</v>
      </c>
      <c r="D155" t="s">
        <v>26</v>
      </c>
      <c r="E155" t="s">
        <v>31</v>
      </c>
      <c r="F155">
        <v>1</v>
      </c>
      <c r="G155" s="3" t="s">
        <v>5</v>
      </c>
      <c r="H155" s="46" t="s">
        <v>15</v>
      </c>
      <c r="I155" s="17">
        <v>116523</v>
      </c>
      <c r="J155" s="17">
        <f>IF(Gastos[[#This Row],[Divisa]]="$", I155*1, IF(Gastos[[#This Row],[Divisa]]="U$D", I155*$N$1, IF(Gastos[[#This Row],[Divisa]]="EUR", I155*$N$2, 0)))</f>
        <v>116523</v>
      </c>
      <c r="K155" s="54">
        <f>Gastos[[#This Row],[Importe AR$]]/$N$1</f>
        <v>74.694230769230771</v>
      </c>
      <c r="M155" s="69"/>
      <c r="N155" s="43" t="str">
        <f>IF(Gastos[[#This Row],[Fecha_Cheque]]&gt;0,WEEKNUM(Gastos[[#This Row],[Fecha_Cheque]]),MID(Gastos[[#This Row],[Semana]],6,2))</f>
        <v>09</v>
      </c>
      <c r="O155" t="s">
        <v>229</v>
      </c>
      <c r="P155" t="s">
        <v>27</v>
      </c>
    </row>
    <row r="156" spans="1:16" hidden="1" x14ac:dyDescent="0.25">
      <c r="A156" s="3" t="s">
        <v>3882</v>
      </c>
      <c r="B156" t="s">
        <v>156</v>
      </c>
      <c r="C156" t="s">
        <v>3935</v>
      </c>
      <c r="D156" t="s">
        <v>26</v>
      </c>
      <c r="E156" t="s">
        <v>42</v>
      </c>
      <c r="F156">
        <v>1</v>
      </c>
      <c r="G156" s="3" t="s">
        <v>4</v>
      </c>
      <c r="H156" s="44" t="s">
        <v>15</v>
      </c>
      <c r="I156" s="17">
        <v>100000</v>
      </c>
      <c r="J156" s="17">
        <f>IF(Gastos[[#This Row],[Divisa]]="$", I156*1, IF(Gastos[[#This Row],[Divisa]]="U$D", I156*$N$1, IF(Gastos[[#This Row],[Divisa]]="EUR", I156*$N$2, 0)))</f>
        <v>100000</v>
      </c>
      <c r="K156" s="54">
        <f>Gastos[[#This Row],[Importe AR$]]/$N$1</f>
        <v>64.102564102564102</v>
      </c>
      <c r="M156" s="69"/>
      <c r="N156" s="43" t="str">
        <f>IF(Gastos[[#This Row],[Fecha_Cheque]]&gt;0,WEEKNUM(Gastos[[#This Row],[Fecha_Cheque]]),MID(Gastos[[#This Row],[Semana]],6,2))</f>
        <v>31</v>
      </c>
      <c r="O156" t="s">
        <v>3936</v>
      </c>
      <c r="P156" t="s">
        <v>27</v>
      </c>
    </row>
    <row r="157" spans="1:16" hidden="1" x14ac:dyDescent="0.25">
      <c r="A157" s="3" t="s">
        <v>28</v>
      </c>
      <c r="B157" t="s">
        <v>162</v>
      </c>
      <c r="C157" t="s">
        <v>163</v>
      </c>
      <c r="D157" t="s">
        <v>26</v>
      </c>
      <c r="E157" t="s">
        <v>31</v>
      </c>
      <c r="F157">
        <v>1</v>
      </c>
      <c r="G157" s="3" t="s">
        <v>5</v>
      </c>
      <c r="H157" s="46" t="s">
        <v>15</v>
      </c>
      <c r="I157" s="17">
        <v>675000</v>
      </c>
      <c r="J157" s="17">
        <f>IF(Gastos[[#This Row],[Divisa]]="$", I157*1, IF(Gastos[[#This Row],[Divisa]]="U$D", I157*$N$1, IF(Gastos[[#This Row],[Divisa]]="EUR", I157*$N$2, 0)))</f>
        <v>675000</v>
      </c>
      <c r="K157" s="54">
        <f>Gastos[[#This Row],[Importe AR$]]/$N$1</f>
        <v>432.69230769230768</v>
      </c>
      <c r="M157" s="69"/>
      <c r="N157" s="43" t="str">
        <f>IF(Gastos[[#This Row],[Fecha_Cheque]]&gt;0,WEEKNUM(Gastos[[#This Row],[Fecha_Cheque]]),MID(Gastos[[#This Row],[Semana]],6,2))</f>
        <v>21</v>
      </c>
      <c r="P157" t="s">
        <v>27</v>
      </c>
    </row>
    <row r="158" spans="1:16" hidden="1" x14ac:dyDescent="0.25">
      <c r="A158" s="3" t="s">
        <v>85</v>
      </c>
      <c r="B158" t="s">
        <v>162</v>
      </c>
      <c r="C158" t="s">
        <v>164</v>
      </c>
      <c r="D158" t="s">
        <v>26</v>
      </c>
      <c r="E158" t="s">
        <v>31</v>
      </c>
      <c r="F158">
        <v>1</v>
      </c>
      <c r="G158" s="3" t="s">
        <v>5</v>
      </c>
      <c r="H158" s="46" t="s">
        <v>15</v>
      </c>
      <c r="I158" s="17">
        <v>750000</v>
      </c>
      <c r="J158" s="17">
        <f>IF(Gastos[[#This Row],[Divisa]]="$", I158*1, IF(Gastos[[#This Row],[Divisa]]="U$D", I158*$N$1, IF(Gastos[[#This Row],[Divisa]]="EUR", I158*$N$2, 0)))</f>
        <v>750000</v>
      </c>
      <c r="K158" s="54">
        <f>Gastos[[#This Row],[Importe AR$]]/$N$1</f>
        <v>480.76923076923077</v>
      </c>
      <c r="M158" s="69"/>
      <c r="N158" s="43" t="str">
        <f>IF(Gastos[[#This Row],[Fecha_Cheque]]&gt;0,WEEKNUM(Gastos[[#This Row],[Fecha_Cheque]]),MID(Gastos[[#This Row],[Semana]],6,2))</f>
        <v>26</v>
      </c>
      <c r="O158" t="s">
        <v>165</v>
      </c>
      <c r="P158" t="s">
        <v>27</v>
      </c>
    </row>
    <row r="159" spans="1:16" hidden="1" x14ac:dyDescent="0.25">
      <c r="A159" s="3" t="s">
        <v>144</v>
      </c>
      <c r="B159" t="s">
        <v>166</v>
      </c>
      <c r="C159" t="s">
        <v>167</v>
      </c>
      <c r="D159" t="s">
        <v>26</v>
      </c>
      <c r="E159" t="s">
        <v>31</v>
      </c>
      <c r="F159">
        <v>2</v>
      </c>
      <c r="G159" s="3" t="s">
        <v>4</v>
      </c>
      <c r="H159" s="46" t="s">
        <v>15</v>
      </c>
      <c r="I159" s="17">
        <f>560*1.2*1074.65</f>
        <v>722164.8</v>
      </c>
      <c r="J159" s="17">
        <f>IF(Gastos[[#This Row],[Divisa]]="$", I159*1, IF(Gastos[[#This Row],[Divisa]]="U$D", I159*$N$1, IF(Gastos[[#This Row],[Divisa]]="EUR", I159*$N$2, 0)))</f>
        <v>722164.8</v>
      </c>
      <c r="K159" s="54">
        <f>Gastos[[#This Row],[Importe AR$]]/$N$1</f>
        <v>462.92615384615385</v>
      </c>
      <c r="M159" s="69"/>
      <c r="N159" s="43" t="str">
        <f>IF(Gastos[[#This Row],[Fecha_Cheque]]&gt;0,WEEKNUM(Gastos[[#This Row],[Fecha_Cheque]]),MID(Gastos[[#This Row],[Semana]],6,2))</f>
        <v>16</v>
      </c>
      <c r="P159" t="s">
        <v>27</v>
      </c>
    </row>
    <row r="160" spans="1:16" hidden="1" x14ac:dyDescent="0.25">
      <c r="A160" s="3" t="s">
        <v>147</v>
      </c>
      <c r="B160" t="s">
        <v>166</v>
      </c>
      <c r="C160" t="s">
        <v>167</v>
      </c>
      <c r="D160" t="s">
        <v>26</v>
      </c>
      <c r="E160" t="s">
        <v>31</v>
      </c>
      <c r="F160">
        <v>2</v>
      </c>
      <c r="G160" s="3" t="s">
        <v>4</v>
      </c>
      <c r="H160" s="46" t="s">
        <v>15</v>
      </c>
      <c r="I160" s="17">
        <v>471658</v>
      </c>
      <c r="J160" s="17">
        <f>IF(Gastos[[#This Row],[Divisa]]="$", I160*1, IF(Gastos[[#This Row],[Divisa]]="U$D", I160*$N$1, IF(Gastos[[#This Row],[Divisa]]="EUR", I160*$N$2, 0)))</f>
        <v>471658</v>
      </c>
      <c r="K160" s="54">
        <f>Gastos[[#This Row],[Importe AR$]]/$N$1</f>
        <v>302.34487179487178</v>
      </c>
      <c r="M160" s="69"/>
      <c r="N160" s="43" t="str">
        <f>IF(Gastos[[#This Row],[Fecha_Cheque]]&gt;0,WEEKNUM(Gastos[[#This Row],[Fecha_Cheque]]),MID(Gastos[[#This Row],[Semana]],6,2))</f>
        <v>17</v>
      </c>
      <c r="P160" t="s">
        <v>27</v>
      </c>
    </row>
    <row r="161" spans="1:16" hidden="1" x14ac:dyDescent="0.25">
      <c r="A161" s="3" t="s">
        <v>50</v>
      </c>
      <c r="B161" t="s">
        <v>168</v>
      </c>
      <c r="C161" t="s">
        <v>169</v>
      </c>
      <c r="D161" t="s">
        <v>26</v>
      </c>
      <c r="E161" t="s">
        <v>31</v>
      </c>
      <c r="F161">
        <v>1</v>
      </c>
      <c r="G161" s="3" t="s">
        <v>5</v>
      </c>
      <c r="H161" s="46" t="s">
        <v>15</v>
      </c>
      <c r="I161" s="17">
        <v>289588.28000000003</v>
      </c>
      <c r="J161" s="17">
        <f>IF(Gastos[[#This Row],[Divisa]]="$", I161*1, IF(Gastos[[#This Row],[Divisa]]="U$D", I161*$N$1, IF(Gastos[[#This Row],[Divisa]]="EUR", I161*$N$2, 0)))</f>
        <v>289588.28000000003</v>
      </c>
      <c r="K161" s="54">
        <f>Gastos[[#This Row],[Importe AR$]]/$N$1</f>
        <v>185.63351282051283</v>
      </c>
      <c r="M161" s="69"/>
      <c r="N161" s="43" t="str">
        <f>IF(Gastos[[#This Row],[Fecha_Cheque]]&gt;0,WEEKNUM(Gastos[[#This Row],[Fecha_Cheque]]),MID(Gastos[[#This Row],[Semana]],6,2))</f>
        <v>25</v>
      </c>
      <c r="O161" t="s">
        <v>170</v>
      </c>
      <c r="P161" t="s">
        <v>27</v>
      </c>
    </row>
    <row r="162" spans="1:16" hidden="1" x14ac:dyDescent="0.25">
      <c r="A162" s="3" t="s">
        <v>171</v>
      </c>
      <c r="B162" t="s">
        <v>168</v>
      </c>
      <c r="C162" t="s">
        <v>172</v>
      </c>
      <c r="D162" t="s">
        <v>26</v>
      </c>
      <c r="E162" t="s">
        <v>31</v>
      </c>
      <c r="F162">
        <v>1</v>
      </c>
      <c r="G162" s="3" t="s">
        <v>5</v>
      </c>
      <c r="H162" s="46" t="s">
        <v>15</v>
      </c>
      <c r="I162" s="17">
        <v>293462</v>
      </c>
      <c r="J162" s="17">
        <f>IF(Gastos[[#This Row],[Divisa]]="$", I162*1, IF(Gastos[[#This Row],[Divisa]]="U$D", I162*$N$1, IF(Gastos[[#This Row],[Divisa]]="EUR", I162*$N$2, 0)))</f>
        <v>293462</v>
      </c>
      <c r="K162" s="54">
        <f>Gastos[[#This Row],[Importe AR$]]/$N$1</f>
        <v>188.11666666666667</v>
      </c>
      <c r="M162" s="69"/>
      <c r="N162" s="43" t="str">
        <f>IF(Gastos[[#This Row],[Fecha_Cheque]]&gt;0,WEEKNUM(Gastos[[#This Row],[Fecha_Cheque]]),MID(Gastos[[#This Row],[Semana]],6,2))</f>
        <v>38</v>
      </c>
      <c r="O162" t="s">
        <v>173</v>
      </c>
      <c r="P162" t="s">
        <v>27</v>
      </c>
    </row>
    <row r="163" spans="1:16" hidden="1" x14ac:dyDescent="0.25">
      <c r="A163" s="3" t="s">
        <v>171</v>
      </c>
      <c r="B163" t="s">
        <v>168</v>
      </c>
      <c r="C163" t="s">
        <v>172</v>
      </c>
      <c r="D163" t="s">
        <v>26</v>
      </c>
      <c r="E163" t="s">
        <v>31</v>
      </c>
      <c r="F163">
        <v>1</v>
      </c>
      <c r="G163" s="3" t="s">
        <v>32</v>
      </c>
      <c r="H163" s="46" t="s">
        <v>15</v>
      </c>
      <c r="I163" s="17">
        <v>478013.33</v>
      </c>
      <c r="J163" s="17">
        <f>IF(Gastos[[#This Row],[Divisa]]="$", I163*1, IF(Gastos[[#This Row],[Divisa]]="U$D", I163*$N$1, IF(Gastos[[#This Row],[Divisa]]="EUR", I163*$N$2, 0)))</f>
        <v>478013.33</v>
      </c>
      <c r="K163" s="54">
        <f>Gastos[[#This Row],[Importe AR$]]/$N$1</f>
        <v>306.41880128205128</v>
      </c>
      <c r="M163" s="69">
        <v>45930</v>
      </c>
      <c r="N163" s="43">
        <f>IF(Gastos[[#This Row],[Fecha_Cheque]]&gt;0,WEEKNUM(Gastos[[#This Row],[Fecha_Cheque]]),MID(Gastos[[#This Row],[Semana]],6,2))</f>
        <v>40</v>
      </c>
      <c r="O163" t="s">
        <v>173</v>
      </c>
      <c r="P163" t="s">
        <v>27</v>
      </c>
    </row>
    <row r="164" spans="1:16" hidden="1" x14ac:dyDescent="0.25">
      <c r="A164" s="3" t="s">
        <v>53</v>
      </c>
      <c r="B164" t="s">
        <v>168</v>
      </c>
      <c r="C164" t="s">
        <v>174</v>
      </c>
      <c r="D164" t="s">
        <v>26</v>
      </c>
      <c r="E164" t="s">
        <v>31</v>
      </c>
      <c r="F164">
        <v>1</v>
      </c>
      <c r="G164" s="3" t="s">
        <v>5</v>
      </c>
      <c r="H164" s="46" t="s">
        <v>15</v>
      </c>
      <c r="I164" s="17">
        <v>75000.009999999995</v>
      </c>
      <c r="J164" s="17">
        <f>IF(Gastos[[#This Row],[Divisa]]="$", I164*1, IF(Gastos[[#This Row],[Divisa]]="U$D", I164*$N$1, IF(Gastos[[#This Row],[Divisa]]="EUR", I164*$N$2, 0)))</f>
        <v>75000.009999999995</v>
      </c>
      <c r="K164" s="54">
        <f>Gastos[[#This Row],[Importe AR$]]/$N$1</f>
        <v>48.076929487179484</v>
      </c>
      <c r="M164" s="69"/>
      <c r="N164" s="43" t="str">
        <f>IF(Gastos[[#This Row],[Fecha_Cheque]]&gt;0,WEEKNUM(Gastos[[#This Row],[Fecha_Cheque]]),MID(Gastos[[#This Row],[Semana]],6,2))</f>
        <v>34</v>
      </c>
      <c r="O164" t="s">
        <v>175</v>
      </c>
      <c r="P164" t="s">
        <v>27</v>
      </c>
    </row>
    <row r="165" spans="1:16" hidden="1" x14ac:dyDescent="0.25">
      <c r="A165" s="3" t="s">
        <v>128</v>
      </c>
      <c r="B165" t="s">
        <v>168</v>
      </c>
      <c r="C165" t="s">
        <v>176</v>
      </c>
      <c r="D165" t="s">
        <v>26</v>
      </c>
      <c r="E165" t="s">
        <v>31</v>
      </c>
      <c r="F165">
        <v>1</v>
      </c>
      <c r="G165" s="3" t="s">
        <v>5</v>
      </c>
      <c r="H165" s="46" t="s">
        <v>15</v>
      </c>
      <c r="I165" s="17">
        <v>433600</v>
      </c>
      <c r="J165" s="17">
        <f>IF(Gastos[[#This Row],[Divisa]]="$", I165*1, IF(Gastos[[#This Row],[Divisa]]="U$D", I165*$N$1, IF(Gastos[[#This Row],[Divisa]]="EUR", I165*$N$2, 0)))</f>
        <v>433600</v>
      </c>
      <c r="K165" s="54">
        <f>Gastos[[#This Row],[Importe AR$]]/$N$1</f>
        <v>277.94871794871796</v>
      </c>
      <c r="M165" s="69"/>
      <c r="N165" s="43" t="str">
        <f>IF(Gastos[[#This Row],[Fecha_Cheque]]&gt;0,WEEKNUM(Gastos[[#This Row],[Fecha_Cheque]]),MID(Gastos[[#This Row],[Semana]],6,2))</f>
        <v>43</v>
      </c>
      <c r="O165" t="s">
        <v>177</v>
      </c>
      <c r="P165" t="s">
        <v>27</v>
      </c>
    </row>
    <row r="166" spans="1:16" hidden="1" x14ac:dyDescent="0.25">
      <c r="A166" s="3" t="s">
        <v>79</v>
      </c>
      <c r="B166" t="s">
        <v>168</v>
      </c>
      <c r="C166" t="s">
        <v>178</v>
      </c>
      <c r="D166" t="s">
        <v>26</v>
      </c>
      <c r="E166" t="s">
        <v>31</v>
      </c>
      <c r="F166">
        <v>1</v>
      </c>
      <c r="G166" s="3" t="s">
        <v>5</v>
      </c>
      <c r="H166" s="46" t="s">
        <v>15</v>
      </c>
      <c r="I166" s="17">
        <v>295980.83</v>
      </c>
      <c r="J166" s="17">
        <f>IF(Gastos[[#This Row],[Divisa]]="$", I166*1, IF(Gastos[[#This Row],[Divisa]]="U$D", I166*$N$1, IF(Gastos[[#This Row],[Divisa]]="EUR", I166*$N$2, 0)))</f>
        <v>295980.83</v>
      </c>
      <c r="K166" s="54">
        <f>Gastos[[#This Row],[Importe AR$]]/$N$1</f>
        <v>189.73130128205131</v>
      </c>
      <c r="M166" s="69">
        <v>45989</v>
      </c>
      <c r="N166" s="43">
        <f>IF(Gastos[[#This Row],[Fecha_Cheque]]&gt;0,WEEKNUM(Gastos[[#This Row],[Fecha_Cheque]]),MID(Gastos[[#This Row],[Semana]],6,2))</f>
        <v>48</v>
      </c>
      <c r="O166" t="s">
        <v>179</v>
      </c>
      <c r="P166" t="s">
        <v>27</v>
      </c>
    </row>
    <row r="167" spans="1:16" hidden="1" x14ac:dyDescent="0.25">
      <c r="A167" s="3" t="s">
        <v>2731</v>
      </c>
      <c r="B167" t="s">
        <v>168</v>
      </c>
      <c r="C167" t="s">
        <v>2732</v>
      </c>
      <c r="D167" t="s">
        <v>26</v>
      </c>
      <c r="E167" t="s">
        <v>31</v>
      </c>
      <c r="F167">
        <v>1</v>
      </c>
      <c r="G167" s="3" t="s">
        <v>32</v>
      </c>
      <c r="H167" s="44" t="s">
        <v>15</v>
      </c>
      <c r="I167" s="17">
        <v>458000</v>
      </c>
      <c r="J167" s="17">
        <f>IF(Gastos[[#This Row],[Divisa]]="$", I167*1, IF(Gastos[[#This Row],[Divisa]]="U$D", I167*$N$1, IF(Gastos[[#This Row],[Divisa]]="EUR", I167*$N$2, 0)))</f>
        <v>458000</v>
      </c>
      <c r="K167" s="54">
        <f>Gastos[[#This Row],[Importe AR$]]/$N$1</f>
        <v>293.58974358974359</v>
      </c>
      <c r="M167" s="69"/>
      <c r="N167" s="43" t="str">
        <f>IF(Gastos[[#This Row],[Fecha_Cheque]]&gt;0,WEEKNUM(Gastos[[#This Row],[Fecha_Cheque]]),MID(Gastos[[#This Row],[Semana]],6,2))</f>
        <v>17</v>
      </c>
      <c r="O167" t="s">
        <v>2733</v>
      </c>
      <c r="P167" t="s">
        <v>27</v>
      </c>
    </row>
    <row r="168" spans="1:16" hidden="1" x14ac:dyDescent="0.25">
      <c r="A168" s="3" t="s">
        <v>4447</v>
      </c>
      <c r="B168" t="s">
        <v>168</v>
      </c>
      <c r="C168" t="s">
        <v>4476</v>
      </c>
      <c r="D168" t="s">
        <v>26</v>
      </c>
      <c r="E168" t="s">
        <v>31</v>
      </c>
      <c r="F168">
        <v>1</v>
      </c>
      <c r="G168" s="3" t="s">
        <v>5</v>
      </c>
      <c r="H168" s="44" t="s">
        <v>15</v>
      </c>
      <c r="I168" s="17">
        <v>98750</v>
      </c>
      <c r="J168" s="17">
        <f>IF(Gastos[[#This Row],[Divisa]]="$", I168*1, IF(Gastos[[#This Row],[Divisa]]="U$D", I168*$N$1, IF(Gastos[[#This Row],[Divisa]]="EUR", I168*$N$2, 0)))</f>
        <v>98750</v>
      </c>
      <c r="K168" s="54">
        <f>Gastos[[#This Row],[Importe AR$]]/$N$1</f>
        <v>63.301282051282051</v>
      </c>
      <c r="M168" s="69"/>
      <c r="N168" s="43" t="str">
        <f>IF(Gastos[[#This Row],[Fecha_Cheque]]&gt;0,WEEKNUM(Gastos[[#This Row],[Fecha_Cheque]]),MID(Gastos[[#This Row],[Semana]],6,2))</f>
        <v>41</v>
      </c>
      <c r="O168" t="s">
        <v>4477</v>
      </c>
      <c r="P168" t="s">
        <v>27</v>
      </c>
    </row>
    <row r="169" spans="1:16" hidden="1" x14ac:dyDescent="0.25">
      <c r="A169" s="3" t="s">
        <v>4513</v>
      </c>
      <c r="B169" t="s">
        <v>2925</v>
      </c>
      <c r="C169" t="s">
        <v>2926</v>
      </c>
      <c r="D169" t="s">
        <v>26</v>
      </c>
      <c r="E169" t="s">
        <v>62</v>
      </c>
      <c r="F169">
        <v>1</v>
      </c>
      <c r="G169" s="3" t="s">
        <v>32</v>
      </c>
      <c r="H169" s="44" t="s">
        <v>15</v>
      </c>
      <c r="I169" s="17">
        <v>2400000</v>
      </c>
      <c r="J169" s="17">
        <f>IF(Gastos[[#This Row],[Divisa]]="$", I169*1, IF(Gastos[[#This Row],[Divisa]]="U$D", I169*$N$1, IF(Gastos[[#This Row],[Divisa]]="EUR", I169*$N$2, 0)))</f>
        <v>2400000</v>
      </c>
      <c r="K169" s="54">
        <f>Gastos[[#This Row],[Importe AR$]]/$N$1</f>
        <v>1538.4615384615386</v>
      </c>
      <c r="M169" s="69">
        <v>46373</v>
      </c>
      <c r="N169" s="43">
        <f>IF(Gastos[[#This Row],[Fecha_Cheque]]&gt;0,WEEKNUM(Gastos[[#This Row],[Fecha_Cheque]]),MID(Gastos[[#This Row],[Semana]],6,2))</f>
        <v>51</v>
      </c>
      <c r="O169" t="s">
        <v>4566</v>
      </c>
      <c r="P169" t="s">
        <v>27</v>
      </c>
    </row>
    <row r="170" spans="1:16" hidden="1" x14ac:dyDescent="0.25">
      <c r="A170" s="3" t="s">
        <v>4513</v>
      </c>
      <c r="B170" t="s">
        <v>2925</v>
      </c>
      <c r="C170" t="s">
        <v>2926</v>
      </c>
      <c r="D170" t="s">
        <v>26</v>
      </c>
      <c r="E170" t="s">
        <v>62</v>
      </c>
      <c r="F170">
        <v>1</v>
      </c>
      <c r="G170" s="3" t="s">
        <v>32</v>
      </c>
      <c r="H170" s="44" t="s">
        <v>15</v>
      </c>
      <c r="I170" s="17">
        <v>43520</v>
      </c>
      <c r="J170" s="17">
        <f>IF(Gastos[[#This Row],[Divisa]]="$", I170*1, IF(Gastos[[#This Row],[Divisa]]="U$D", I170*$N$1, IF(Gastos[[#This Row],[Divisa]]="EUR", I170*$N$2, 0)))</f>
        <v>43520</v>
      </c>
      <c r="K170" s="54">
        <f>Gastos[[#This Row],[Importe AR$]]/$N$1</f>
        <v>27.897435897435898</v>
      </c>
      <c r="L170" t="s">
        <v>340</v>
      </c>
      <c r="M170" s="69"/>
      <c r="N170" s="43" t="str">
        <f>IF(Gastos[[#This Row],[Fecha_Cheque]]&gt;0,WEEKNUM(Gastos[[#This Row],[Fecha_Cheque]]),MID(Gastos[[#This Row],[Semana]],6,2))</f>
        <v>42</v>
      </c>
      <c r="O170" t="s">
        <v>4566</v>
      </c>
      <c r="P170" t="s">
        <v>27</v>
      </c>
    </row>
    <row r="171" spans="1:16" x14ac:dyDescent="0.25">
      <c r="A171" s="3" t="s">
        <v>4655</v>
      </c>
      <c r="B171" t="s">
        <v>4679</v>
      </c>
      <c r="C171" t="s">
        <v>4680</v>
      </c>
      <c r="D171" t="s">
        <v>26</v>
      </c>
      <c r="E171" t="s">
        <v>62</v>
      </c>
      <c r="F171">
        <v>1</v>
      </c>
      <c r="G171" s="3" t="s">
        <v>5</v>
      </c>
      <c r="H171" s="44" t="s">
        <v>15</v>
      </c>
      <c r="I171" s="17">
        <v>207341.97</v>
      </c>
      <c r="J171" s="17">
        <f>IF(Gastos[[#This Row],[Divisa]]="$", I171*1, IF(Gastos[[#This Row],[Divisa]]="U$D", I171*$N$1, IF(Gastos[[#This Row],[Divisa]]="EUR", I171*$N$2, 0)))</f>
        <v>207341.97</v>
      </c>
      <c r="K171" s="54">
        <f>Gastos[[#This Row],[Importe AR$]]/$N$1</f>
        <v>132.91151923076924</v>
      </c>
      <c r="M171" s="69"/>
      <c r="N171" s="43" t="str">
        <f>IF(Gastos[[#This Row],[Fecha_Cheque]]&gt;0,WEEKNUM(Gastos[[#This Row],[Fecha_Cheque]]),MID(Gastos[[#This Row],[Semana]],6,2))</f>
        <v>44</v>
      </c>
    </row>
    <row r="172" spans="1:16" hidden="1" x14ac:dyDescent="0.25">
      <c r="A172" s="3" t="s">
        <v>4569</v>
      </c>
      <c r="B172" t="s">
        <v>2925</v>
      </c>
      <c r="C172" t="s">
        <v>2926</v>
      </c>
      <c r="D172" t="s">
        <v>26</v>
      </c>
      <c r="E172" t="s">
        <v>62</v>
      </c>
      <c r="F172">
        <v>1</v>
      </c>
      <c r="G172" s="3" t="s">
        <v>32</v>
      </c>
      <c r="H172" s="44" t="s">
        <v>15</v>
      </c>
      <c r="I172" s="17">
        <v>2400000</v>
      </c>
      <c r="J172" s="17">
        <f>IF(Gastos[[#This Row],[Divisa]]="$", I172*1, IF(Gastos[[#This Row],[Divisa]]="U$D", I172*$N$1, IF(Gastos[[#This Row],[Divisa]]="EUR", I172*$N$2, 0)))</f>
        <v>2400000</v>
      </c>
      <c r="K172" s="54">
        <f>Gastos[[#This Row],[Importe AR$]]/$N$1</f>
        <v>1538.4615384615386</v>
      </c>
      <c r="M172" s="69">
        <v>46373</v>
      </c>
      <c r="N172" s="43">
        <f>IF(Gastos[[#This Row],[Fecha_Cheque]]&gt;0,WEEKNUM(Gastos[[#This Row],[Fecha_Cheque]]),MID(Gastos[[#This Row],[Semana]],6,2))</f>
        <v>51</v>
      </c>
      <c r="O172" t="s">
        <v>4566</v>
      </c>
      <c r="P172" t="s">
        <v>27</v>
      </c>
    </row>
    <row r="173" spans="1:16" hidden="1" x14ac:dyDescent="0.25">
      <c r="A173" s="3" t="s">
        <v>4569</v>
      </c>
      <c r="B173" t="s">
        <v>2925</v>
      </c>
      <c r="C173" t="s">
        <v>2926</v>
      </c>
      <c r="D173" t="s">
        <v>26</v>
      </c>
      <c r="E173" t="s">
        <v>62</v>
      </c>
      <c r="F173">
        <v>1</v>
      </c>
      <c r="G173" s="3" t="s">
        <v>32</v>
      </c>
      <c r="H173" s="44" t="s">
        <v>15</v>
      </c>
      <c r="I173" s="17">
        <v>43520</v>
      </c>
      <c r="J173" s="17">
        <f>IF(Gastos[[#This Row],[Divisa]]="$", I173*1, IF(Gastos[[#This Row],[Divisa]]="U$D", I173*$N$1, IF(Gastos[[#This Row],[Divisa]]="EUR", I173*$N$2, 0)))</f>
        <v>43520</v>
      </c>
      <c r="K173" s="54">
        <f>Gastos[[#This Row],[Importe AR$]]/$N$1</f>
        <v>27.897435897435898</v>
      </c>
      <c r="L173" t="s">
        <v>340</v>
      </c>
      <c r="M173" s="69"/>
      <c r="N173" s="43" t="str">
        <f>IF(Gastos[[#This Row],[Fecha_Cheque]]&gt;0,WEEKNUM(Gastos[[#This Row],[Fecha_Cheque]]),MID(Gastos[[#This Row],[Semana]],6,2))</f>
        <v>43</v>
      </c>
      <c r="O173" t="s">
        <v>4566</v>
      </c>
      <c r="P173" t="s">
        <v>27</v>
      </c>
    </row>
    <row r="174" spans="1:16" hidden="1" x14ac:dyDescent="0.25">
      <c r="A174" s="3" t="s">
        <v>50</v>
      </c>
      <c r="B174" t="s">
        <v>183</v>
      </c>
      <c r="C174" t="s">
        <v>184</v>
      </c>
      <c r="D174" t="s">
        <v>26</v>
      </c>
      <c r="E174" t="s">
        <v>62</v>
      </c>
      <c r="F174">
        <v>2</v>
      </c>
      <c r="G174" s="3" t="s">
        <v>4</v>
      </c>
      <c r="H174" s="46" t="s">
        <v>15</v>
      </c>
      <c r="I174" s="17">
        <v>730671.15</v>
      </c>
      <c r="J174" s="17">
        <f>IF(Gastos[[#This Row],[Divisa]]="$", I174*1, IF(Gastos[[#This Row],[Divisa]]="U$D", I174*$N$1, IF(Gastos[[#This Row],[Divisa]]="EUR", I174*$N$2, 0)))</f>
        <v>730671.15</v>
      </c>
      <c r="K174" s="54">
        <f>Gastos[[#This Row],[Importe AR$]]/$N$1</f>
        <v>468.37894230769234</v>
      </c>
      <c r="M174" s="69"/>
      <c r="N174" s="43" t="str">
        <f>IF(Gastos[[#This Row],[Fecha_Cheque]]&gt;0,WEEKNUM(Gastos[[#This Row],[Fecha_Cheque]]),MID(Gastos[[#This Row],[Semana]],6,2))</f>
        <v>25</v>
      </c>
      <c r="O174" t="s">
        <v>185</v>
      </c>
      <c r="P174" t="s">
        <v>27</v>
      </c>
    </row>
    <row r="175" spans="1:16" hidden="1" x14ac:dyDescent="0.25">
      <c r="A175" s="3" t="s">
        <v>147</v>
      </c>
      <c r="B175" t="s">
        <v>183</v>
      </c>
      <c r="C175" t="s">
        <v>186</v>
      </c>
      <c r="D175" t="s">
        <v>26</v>
      </c>
      <c r="E175" t="s">
        <v>31</v>
      </c>
      <c r="F175">
        <v>2</v>
      </c>
      <c r="G175" s="3" t="s">
        <v>4</v>
      </c>
      <c r="H175" s="46" t="s">
        <v>15</v>
      </c>
      <c r="I175" s="17">
        <v>1000000</v>
      </c>
      <c r="J175" s="17">
        <f>IF(Gastos[[#This Row],[Divisa]]="$", I175*1, IF(Gastos[[#This Row],[Divisa]]="U$D", I175*$N$1, IF(Gastos[[#This Row],[Divisa]]="EUR", I175*$N$2, 0)))</f>
        <v>1000000</v>
      </c>
      <c r="K175" s="54">
        <f>Gastos[[#This Row],[Importe AR$]]/$N$1</f>
        <v>641.02564102564099</v>
      </c>
      <c r="M175" s="69"/>
      <c r="N175" s="43" t="str">
        <f>IF(Gastos[[#This Row],[Fecha_Cheque]]&gt;0,WEEKNUM(Gastos[[#This Row],[Fecha_Cheque]]),MID(Gastos[[#This Row],[Semana]],6,2))</f>
        <v>17</v>
      </c>
      <c r="O175" t="s">
        <v>187</v>
      </c>
      <c r="P175" t="s">
        <v>27</v>
      </c>
    </row>
    <row r="176" spans="1:16" hidden="1" x14ac:dyDescent="0.25">
      <c r="A176" s="3" t="s">
        <v>188</v>
      </c>
      <c r="B176" t="s">
        <v>183</v>
      </c>
      <c r="C176" t="s">
        <v>186</v>
      </c>
      <c r="D176" t="s">
        <v>26</v>
      </c>
      <c r="E176" t="s">
        <v>31</v>
      </c>
      <c r="F176">
        <v>2</v>
      </c>
      <c r="G176" s="3" t="s">
        <v>32</v>
      </c>
      <c r="H176" s="46" t="s">
        <v>15</v>
      </c>
      <c r="I176" s="17">
        <v>2433645.21</v>
      </c>
      <c r="J176" s="17">
        <f>IF(Gastos[[#This Row],[Divisa]]="$", I176*1, IF(Gastos[[#This Row],[Divisa]]="U$D", I176*$N$1, IF(Gastos[[#This Row],[Divisa]]="EUR", I176*$N$2, 0)))</f>
        <v>2433645.21</v>
      </c>
      <c r="K176" s="54">
        <f>Gastos[[#This Row],[Importe AR$]]/$N$1</f>
        <v>1560.0289807692307</v>
      </c>
      <c r="M176" s="69"/>
      <c r="N176" s="43" t="str">
        <f>IF(Gastos[[#This Row],[Fecha_Cheque]]&gt;0,WEEKNUM(Gastos[[#This Row],[Fecha_Cheque]]),MID(Gastos[[#This Row],[Semana]],6,2))</f>
        <v>19</v>
      </c>
      <c r="O176" t="s">
        <v>189</v>
      </c>
      <c r="P176" t="s">
        <v>27</v>
      </c>
    </row>
    <row r="177" spans="1:16" hidden="1" x14ac:dyDescent="0.25">
      <c r="A177" s="3" t="s">
        <v>28</v>
      </c>
      <c r="B177" t="s">
        <v>183</v>
      </c>
      <c r="C177" t="s">
        <v>190</v>
      </c>
      <c r="D177" t="s">
        <v>26</v>
      </c>
      <c r="E177" t="s">
        <v>31</v>
      </c>
      <c r="F177">
        <v>2</v>
      </c>
      <c r="G177" s="3" t="s">
        <v>32</v>
      </c>
      <c r="H177" s="46" t="s">
        <v>15</v>
      </c>
      <c r="I177" s="17">
        <v>5210339.9000000004</v>
      </c>
      <c r="J177" s="17">
        <f>IF(Gastos[[#This Row],[Divisa]]="$", I177*1, IF(Gastos[[#This Row],[Divisa]]="U$D", I177*$N$1, IF(Gastos[[#This Row],[Divisa]]="EUR", I177*$N$2, 0)))</f>
        <v>5210339.9000000004</v>
      </c>
      <c r="K177" s="54">
        <f>Gastos[[#This Row],[Importe AR$]]/$N$1</f>
        <v>3339.9614743589746</v>
      </c>
      <c r="L177" t="s">
        <v>150</v>
      </c>
      <c r="M177" s="69"/>
      <c r="N177" s="43" t="str">
        <f>IF(Gastos[[#This Row],[Fecha_Cheque]]&gt;0,WEEKNUM(Gastos[[#This Row],[Fecha_Cheque]]),MID(Gastos[[#This Row],[Semana]],6,2))</f>
        <v>21</v>
      </c>
      <c r="P177" t="s">
        <v>27</v>
      </c>
    </row>
    <row r="178" spans="1:16" hidden="1" x14ac:dyDescent="0.25">
      <c r="A178" s="3" t="s">
        <v>397</v>
      </c>
      <c r="B178" t="s">
        <v>183</v>
      </c>
      <c r="C178" t="s">
        <v>398</v>
      </c>
      <c r="D178" t="s">
        <v>26</v>
      </c>
      <c r="E178" t="s">
        <v>62</v>
      </c>
      <c r="F178">
        <v>2</v>
      </c>
      <c r="G178" s="3" t="s">
        <v>4</v>
      </c>
      <c r="H178" s="44" t="s">
        <v>15</v>
      </c>
      <c r="I178" s="17">
        <v>350000</v>
      </c>
      <c r="J178" s="17">
        <f>IF(Gastos[[#This Row],[Divisa]]="$", I178*1, IF(Gastos[[#This Row],[Divisa]]="U$D", I178*$N$1, IF(Gastos[[#This Row],[Divisa]]="EUR", I178*$N$2, 0)))</f>
        <v>350000</v>
      </c>
      <c r="K178" s="54">
        <f>Gastos[[#This Row],[Importe AR$]]/$N$1</f>
        <v>224.35897435897436</v>
      </c>
      <c r="M178" s="69"/>
      <c r="N178" s="43" t="str">
        <f>IF(Gastos[[#This Row],[Fecha_Cheque]]&gt;0,WEEKNUM(Gastos[[#This Row],[Fecha_Cheque]]),MID(Gastos[[#This Row],[Semana]],6,2))</f>
        <v>11</v>
      </c>
      <c r="O178" t="s">
        <v>399</v>
      </c>
      <c r="P178" t="s">
        <v>27</v>
      </c>
    </row>
    <row r="179" spans="1:16" hidden="1" x14ac:dyDescent="0.25">
      <c r="A179" s="3" t="s">
        <v>2740</v>
      </c>
      <c r="B179" t="s">
        <v>183</v>
      </c>
      <c r="C179" t="s">
        <v>2741</v>
      </c>
      <c r="D179" t="s">
        <v>26</v>
      </c>
      <c r="E179" t="s">
        <v>42</v>
      </c>
      <c r="F179">
        <v>2</v>
      </c>
      <c r="G179" s="3" t="s">
        <v>4</v>
      </c>
      <c r="H179" s="44" t="s">
        <v>15</v>
      </c>
      <c r="I179" s="17">
        <v>500000</v>
      </c>
      <c r="J179" s="17">
        <f>IF(Gastos[[#This Row],[Divisa]]="$", I179*1, IF(Gastos[[#This Row],[Divisa]]="U$D", I179*$N$1, IF(Gastos[[#This Row],[Divisa]]="EUR", I179*$N$2, 0)))</f>
        <v>500000</v>
      </c>
      <c r="K179" s="54">
        <f>Gastos[[#This Row],[Importe AR$]]/$N$1</f>
        <v>320.5128205128205</v>
      </c>
      <c r="M179" s="69"/>
      <c r="N179" s="43" t="str">
        <f>IF(Gastos[[#This Row],[Fecha_Cheque]]&gt;0,WEEKNUM(Gastos[[#This Row],[Fecha_Cheque]]),MID(Gastos[[#This Row],[Semana]],6,2))</f>
        <v>16</v>
      </c>
      <c r="O179" t="s">
        <v>2742</v>
      </c>
      <c r="P179" t="s">
        <v>27</v>
      </c>
    </row>
    <row r="180" spans="1:16" hidden="1" x14ac:dyDescent="0.25">
      <c r="A180" s="3" t="s">
        <v>144</v>
      </c>
      <c r="B180" t="s">
        <v>191</v>
      </c>
      <c r="C180" t="s">
        <v>192</v>
      </c>
      <c r="D180" t="s">
        <v>26</v>
      </c>
      <c r="E180" t="s">
        <v>31</v>
      </c>
      <c r="F180">
        <v>1</v>
      </c>
      <c r="G180" s="3" t="s">
        <v>5</v>
      </c>
      <c r="H180" s="46" t="s">
        <v>15</v>
      </c>
      <c r="I180" s="17">
        <v>900000</v>
      </c>
      <c r="J180" s="17">
        <f>IF(Gastos[[#This Row],[Divisa]]="$", I180*1, IF(Gastos[[#This Row],[Divisa]]="U$D", I180*$N$1, IF(Gastos[[#This Row],[Divisa]]="EUR", I180*$N$2, 0)))</f>
        <v>900000</v>
      </c>
      <c r="K180" s="54">
        <f>Gastos[[#This Row],[Importe AR$]]/$N$1</f>
        <v>576.92307692307691</v>
      </c>
      <c r="L180" t="s">
        <v>193</v>
      </c>
      <c r="M180" s="69"/>
      <c r="N180" s="43" t="str">
        <f>IF(Gastos[[#This Row],[Fecha_Cheque]]&gt;0,WEEKNUM(Gastos[[#This Row],[Fecha_Cheque]]),MID(Gastos[[#This Row],[Semana]],6,2))</f>
        <v>16</v>
      </c>
      <c r="O180" t="s">
        <v>194</v>
      </c>
      <c r="P180" t="s">
        <v>27</v>
      </c>
    </row>
    <row r="181" spans="1:16" hidden="1" x14ac:dyDescent="0.25">
      <c r="A181" s="3" t="s">
        <v>23</v>
      </c>
      <c r="B181" t="s">
        <v>191</v>
      </c>
      <c r="C181" t="s">
        <v>195</v>
      </c>
      <c r="D181" t="s">
        <v>26</v>
      </c>
      <c r="E181" t="s">
        <v>31</v>
      </c>
      <c r="F181">
        <v>1</v>
      </c>
      <c r="G181" s="3" t="s">
        <v>5</v>
      </c>
      <c r="H181" s="46" t="s">
        <v>15</v>
      </c>
      <c r="I181" s="17">
        <v>600000</v>
      </c>
      <c r="J181" s="17">
        <f>IF(Gastos[[#This Row],[Divisa]]="$", I181*1, IF(Gastos[[#This Row],[Divisa]]="U$D", I181*$N$1, IF(Gastos[[#This Row],[Divisa]]="EUR", I181*$N$2, 0)))</f>
        <v>600000</v>
      </c>
      <c r="K181" s="54">
        <f>Gastos[[#This Row],[Importe AR$]]/$N$1</f>
        <v>384.61538461538464</v>
      </c>
      <c r="M181" s="69"/>
      <c r="N181" s="43" t="str">
        <f>IF(Gastos[[#This Row],[Fecha_Cheque]]&gt;0,WEEKNUM(Gastos[[#This Row],[Fecha_Cheque]]),MID(Gastos[[#This Row],[Semana]],6,2))</f>
        <v>22</v>
      </c>
      <c r="P181" t="s">
        <v>27</v>
      </c>
    </row>
    <row r="182" spans="1:16" hidden="1" x14ac:dyDescent="0.25">
      <c r="A182" s="3" t="s">
        <v>2740</v>
      </c>
      <c r="B182" t="s">
        <v>2744</v>
      </c>
      <c r="C182" t="s">
        <v>2745</v>
      </c>
      <c r="D182" t="s">
        <v>26</v>
      </c>
      <c r="E182" t="s">
        <v>31</v>
      </c>
      <c r="F182">
        <v>1</v>
      </c>
      <c r="G182" s="3" t="s">
        <v>5</v>
      </c>
      <c r="H182" s="44" t="s">
        <v>15</v>
      </c>
      <c r="I182" s="17">
        <v>575500</v>
      </c>
      <c r="J182" s="17">
        <f>IF(Gastos[[#This Row],[Divisa]]="$", I182*1, IF(Gastos[[#This Row],[Divisa]]="U$D", I182*$N$1, IF(Gastos[[#This Row],[Divisa]]="EUR", I182*$N$2, 0)))</f>
        <v>575500</v>
      </c>
      <c r="K182" s="54">
        <f>Gastos[[#This Row],[Importe AR$]]/$N$1</f>
        <v>368.91025641025641</v>
      </c>
      <c r="M182" s="69">
        <v>46128</v>
      </c>
      <c r="N182" s="43">
        <f>IF(Gastos[[#This Row],[Fecha_Cheque]]&gt;0,WEEKNUM(Gastos[[#This Row],[Fecha_Cheque]]),MID(Gastos[[#This Row],[Semana]],6,2))</f>
        <v>16</v>
      </c>
      <c r="O182" t="s">
        <v>2746</v>
      </c>
      <c r="P182" t="s">
        <v>27</v>
      </c>
    </row>
    <row r="183" spans="1:16" hidden="1" x14ac:dyDescent="0.25">
      <c r="A183" s="3" t="s">
        <v>2740</v>
      </c>
      <c r="B183" t="s">
        <v>2744</v>
      </c>
      <c r="C183" t="s">
        <v>2745</v>
      </c>
      <c r="D183" t="s">
        <v>26</v>
      </c>
      <c r="E183" t="s">
        <v>31</v>
      </c>
      <c r="F183">
        <v>1</v>
      </c>
      <c r="G183" s="3" t="s">
        <v>32</v>
      </c>
      <c r="H183" s="44" t="s">
        <v>15</v>
      </c>
      <c r="I183" s="17">
        <v>1273480</v>
      </c>
      <c r="J183" s="17">
        <f>IF(Gastos[[#This Row],[Divisa]]="$", I183*1, IF(Gastos[[#This Row],[Divisa]]="U$D", I183*$N$1, IF(Gastos[[#This Row],[Divisa]]="EUR", I183*$N$2, 0)))</f>
        <v>1273480</v>
      </c>
      <c r="K183" s="54">
        <f>Gastos[[#This Row],[Importe AR$]]/$N$1</f>
        <v>816.33333333333337</v>
      </c>
      <c r="M183" s="69">
        <v>46158</v>
      </c>
      <c r="N183" s="43">
        <f>IF(Gastos[[#This Row],[Fecha_Cheque]]&gt;0,WEEKNUM(Gastos[[#This Row],[Fecha_Cheque]]),MID(Gastos[[#This Row],[Semana]],6,2))</f>
        <v>20</v>
      </c>
      <c r="O183" t="s">
        <v>2746</v>
      </c>
      <c r="P183" t="s">
        <v>27</v>
      </c>
    </row>
    <row r="184" spans="1:16" hidden="1" x14ac:dyDescent="0.25">
      <c r="A184" s="3" t="s">
        <v>2740</v>
      </c>
      <c r="B184" t="s">
        <v>2744</v>
      </c>
      <c r="C184" t="s">
        <v>2745</v>
      </c>
      <c r="D184" t="s">
        <v>26</v>
      </c>
      <c r="E184" t="s">
        <v>31</v>
      </c>
      <c r="F184">
        <v>1</v>
      </c>
      <c r="G184" s="3" t="s">
        <v>32</v>
      </c>
      <c r="H184" s="44" t="s">
        <v>15</v>
      </c>
      <c r="I184" s="17">
        <v>26520</v>
      </c>
      <c r="J184" s="17">
        <f>IF(Gastos[[#This Row],[Divisa]]="$", I184*1, IF(Gastos[[#This Row],[Divisa]]="U$D", I184*$N$1, IF(Gastos[[#This Row],[Divisa]]="EUR", I184*$N$2, 0)))</f>
        <v>26520</v>
      </c>
      <c r="K184" s="54">
        <f>Gastos[[#This Row],[Importe AR$]]/$N$1</f>
        <v>17</v>
      </c>
      <c r="M184" s="69"/>
      <c r="N184" s="43" t="str">
        <f>IF(Gastos[[#This Row],[Fecha_Cheque]]&gt;0,WEEKNUM(Gastos[[#This Row],[Fecha_Cheque]]),MID(Gastos[[#This Row],[Semana]],6,2))</f>
        <v>16</v>
      </c>
      <c r="O184" t="s">
        <v>2746</v>
      </c>
      <c r="P184" t="s">
        <v>27</v>
      </c>
    </row>
    <row r="185" spans="1:16" hidden="1" x14ac:dyDescent="0.25">
      <c r="A185" s="3" t="s">
        <v>2711</v>
      </c>
      <c r="B185" t="s">
        <v>2728</v>
      </c>
      <c r="C185" t="s">
        <v>2729</v>
      </c>
      <c r="D185" t="s">
        <v>26</v>
      </c>
      <c r="E185" t="s">
        <v>42</v>
      </c>
      <c r="F185">
        <v>2</v>
      </c>
      <c r="G185" s="3" t="s">
        <v>4</v>
      </c>
      <c r="H185" s="44" t="s">
        <v>15</v>
      </c>
      <c r="I185" s="17">
        <v>1500000</v>
      </c>
      <c r="J185" s="49">
        <f>IF(Gastos[[#This Row],[Divisa]]="$", I185*1, IF(Gastos[[#This Row],[Divisa]]="U$D", I185*$N$1, IF(Gastos[[#This Row],[Divisa]]="EUR", I185*$N$2, 0)))</f>
        <v>1500000</v>
      </c>
      <c r="K185" s="54">
        <f>Gastos[[#This Row],[Importe AR$]]/$N$1</f>
        <v>961.53846153846155</v>
      </c>
      <c r="M185" s="69"/>
      <c r="N185" s="43" t="str">
        <f>IF(Gastos[[#This Row],[Fecha_Cheque]]&gt;0,WEEKNUM(Gastos[[#This Row],[Fecha_Cheque]]),MID(Gastos[[#This Row],[Semana]],6,2))</f>
        <v>15</v>
      </c>
      <c r="O185" t="s">
        <v>2730</v>
      </c>
      <c r="P185" t="s">
        <v>27</v>
      </c>
    </row>
    <row r="186" spans="1:16" hidden="1" x14ac:dyDescent="0.25">
      <c r="A186" s="3" t="s">
        <v>3567</v>
      </c>
      <c r="B186" t="s">
        <v>2728</v>
      </c>
      <c r="C186" t="s">
        <v>3608</v>
      </c>
      <c r="D186" t="s">
        <v>26</v>
      </c>
      <c r="E186" t="s">
        <v>42</v>
      </c>
      <c r="F186">
        <v>2</v>
      </c>
      <c r="G186" s="3" t="s">
        <v>4</v>
      </c>
      <c r="H186" s="44" t="s">
        <v>15</v>
      </c>
      <c r="I186" s="17">
        <v>500000</v>
      </c>
      <c r="J186" s="17">
        <f>IF(Gastos[[#This Row],[Divisa]]="$", I186*1, IF(Gastos[[#This Row],[Divisa]]="U$D", I186*$N$1, IF(Gastos[[#This Row],[Divisa]]="EUR", I186*$N$2, 0)))</f>
        <v>500000</v>
      </c>
      <c r="K186" s="54">
        <f>Gastos[[#This Row],[Importe AR$]]/$N$1</f>
        <v>320.5128205128205</v>
      </c>
      <c r="M186" s="69"/>
      <c r="N186" s="43" t="str">
        <f>IF(Gastos[[#This Row],[Fecha_Cheque]]&gt;0,WEEKNUM(Gastos[[#This Row],[Fecha_Cheque]]),MID(Gastos[[#This Row],[Semana]],6,2))</f>
        <v>26</v>
      </c>
      <c r="O186" t="s">
        <v>3609</v>
      </c>
      <c r="P186" t="s">
        <v>27</v>
      </c>
    </row>
    <row r="187" spans="1:16" hidden="1" x14ac:dyDescent="0.25">
      <c r="A187" s="3" t="s">
        <v>3567</v>
      </c>
      <c r="B187" t="s">
        <v>2728</v>
      </c>
      <c r="C187" t="s">
        <v>3608</v>
      </c>
      <c r="D187" t="s">
        <v>26</v>
      </c>
      <c r="E187" t="s">
        <v>42</v>
      </c>
      <c r="F187">
        <v>2</v>
      </c>
      <c r="G187" s="3" t="s">
        <v>4</v>
      </c>
      <c r="H187" s="44" t="s">
        <v>15</v>
      </c>
      <c r="I187" s="17">
        <v>1012500</v>
      </c>
      <c r="J187" s="17">
        <f>IF(Gastos[[#This Row],[Divisa]]="$", I187*1, IF(Gastos[[#This Row],[Divisa]]="U$D", I187*$N$1, IF(Gastos[[#This Row],[Divisa]]="EUR", I187*$N$2, 0)))</f>
        <v>1012500</v>
      </c>
      <c r="K187" s="54">
        <f>Gastos[[#This Row],[Importe AR$]]/$N$1</f>
        <v>649.03846153846155</v>
      </c>
      <c r="M187" s="69"/>
      <c r="N187" s="43" t="str">
        <f>IF(Gastos[[#This Row],[Fecha_Cheque]]&gt;0,WEEKNUM(Gastos[[#This Row],[Fecha_Cheque]]),MID(Gastos[[#This Row],[Semana]],6,2))</f>
        <v>26</v>
      </c>
      <c r="O187" t="s">
        <v>3609</v>
      </c>
      <c r="P187" t="s">
        <v>27</v>
      </c>
    </row>
    <row r="188" spans="1:16" hidden="1" x14ac:dyDescent="0.25">
      <c r="A188" s="3" t="s">
        <v>3693</v>
      </c>
      <c r="B188" t="s">
        <v>2728</v>
      </c>
      <c r="C188" t="s">
        <v>3554</v>
      </c>
      <c r="D188" t="s">
        <v>26</v>
      </c>
      <c r="E188" t="s">
        <v>31</v>
      </c>
      <c r="F188">
        <v>2</v>
      </c>
      <c r="G188" s="3" t="s">
        <v>32</v>
      </c>
      <c r="H188" s="44" t="s">
        <v>15</v>
      </c>
      <c r="I188" s="17">
        <v>2726733</v>
      </c>
      <c r="J188" s="17">
        <f>IF(Gastos[[#This Row],[Divisa]]="$", I188*1, IF(Gastos[[#This Row],[Divisa]]="U$D", I188*$N$1, IF(Gastos[[#This Row],[Divisa]]="EUR", I188*$N$2, 0)))</f>
        <v>2726733</v>
      </c>
      <c r="K188" s="54">
        <f>Gastos[[#This Row],[Importe AR$]]/$N$1</f>
        <v>1747.9057692307692</v>
      </c>
      <c r="M188" s="69">
        <v>46261</v>
      </c>
      <c r="N188" s="43">
        <f>IF(Gastos[[#This Row],[Fecha_Cheque]]&gt;0,WEEKNUM(Gastos[[#This Row],[Fecha_Cheque]]),MID(Gastos[[#This Row],[Semana]],6,2))</f>
        <v>35</v>
      </c>
      <c r="O188" t="s">
        <v>3709</v>
      </c>
      <c r="P188" t="s">
        <v>27</v>
      </c>
    </row>
    <row r="189" spans="1:16" hidden="1" x14ac:dyDescent="0.25">
      <c r="A189" s="3" t="s">
        <v>3693</v>
      </c>
      <c r="B189" t="s">
        <v>2728</v>
      </c>
      <c r="C189" t="s">
        <v>3554</v>
      </c>
      <c r="D189" t="s">
        <v>26</v>
      </c>
      <c r="E189" t="s">
        <v>31</v>
      </c>
      <c r="F189">
        <v>2</v>
      </c>
      <c r="G189" s="3" t="s">
        <v>4</v>
      </c>
      <c r="H189" s="44" t="s">
        <v>15</v>
      </c>
      <c r="I189" s="17">
        <v>273267</v>
      </c>
      <c r="J189" s="17">
        <f>IF(Gastos[[#This Row],[Divisa]]="$", I189*1, IF(Gastos[[#This Row],[Divisa]]="U$D", I189*$N$1, IF(Gastos[[#This Row],[Divisa]]="EUR", I189*$N$2, 0)))</f>
        <v>273267</v>
      </c>
      <c r="K189" s="54">
        <f>Gastos[[#This Row],[Importe AR$]]/$N$1</f>
        <v>175.17115384615386</v>
      </c>
      <c r="M189" s="69"/>
      <c r="N189" s="43" t="str">
        <f>IF(Gastos[[#This Row],[Fecha_Cheque]]&gt;0,WEEKNUM(Gastos[[#This Row],[Fecha_Cheque]]),MID(Gastos[[#This Row],[Semana]],6,2))</f>
        <v>28</v>
      </c>
      <c r="O189" t="s">
        <v>3709</v>
      </c>
      <c r="P189" t="s">
        <v>27</v>
      </c>
    </row>
    <row r="190" spans="1:16" hidden="1" x14ac:dyDescent="0.25">
      <c r="A190" s="3" t="s">
        <v>3754</v>
      </c>
      <c r="B190" t="s">
        <v>2728</v>
      </c>
      <c r="C190" t="s">
        <v>3608</v>
      </c>
      <c r="D190" t="s">
        <v>26</v>
      </c>
      <c r="E190" t="s">
        <v>62</v>
      </c>
      <c r="F190">
        <v>2</v>
      </c>
      <c r="G190" s="3" t="s">
        <v>32</v>
      </c>
      <c r="H190" s="44" t="s">
        <v>15</v>
      </c>
      <c r="I190" s="17">
        <v>290000</v>
      </c>
      <c r="J190" s="17">
        <f>IF(Gastos[[#This Row],[Divisa]]="$", I190*1, IF(Gastos[[#This Row],[Divisa]]="U$D", I190*$N$1, IF(Gastos[[#This Row],[Divisa]]="EUR", I190*$N$2, 0)))</f>
        <v>290000</v>
      </c>
      <c r="K190" s="54">
        <f>Gastos[[#This Row],[Importe AR$]]/$N$1</f>
        <v>185.89743589743588</v>
      </c>
      <c r="M190" s="69">
        <v>46227</v>
      </c>
      <c r="N190" s="43">
        <f>IF(Gastos[[#This Row],[Fecha_Cheque]]&gt;0,WEEKNUM(Gastos[[#This Row],[Fecha_Cheque]]),MID(Gastos[[#This Row],[Semana]],6,2))</f>
        <v>30</v>
      </c>
      <c r="O190" t="s">
        <v>3773</v>
      </c>
      <c r="P190" t="s">
        <v>27</v>
      </c>
    </row>
    <row r="191" spans="1:16" hidden="1" x14ac:dyDescent="0.25">
      <c r="A191" s="3" t="s">
        <v>3754</v>
      </c>
      <c r="B191" t="s">
        <v>2728</v>
      </c>
      <c r="C191" t="s">
        <v>3608</v>
      </c>
      <c r="D191" t="s">
        <v>26</v>
      </c>
      <c r="E191" t="s">
        <v>62</v>
      </c>
      <c r="F191">
        <v>2</v>
      </c>
      <c r="G191" s="3" t="s">
        <v>32</v>
      </c>
      <c r="H191" s="44" t="s">
        <v>15</v>
      </c>
      <c r="I191" s="17">
        <v>600000</v>
      </c>
      <c r="J191" s="17">
        <f>IF(Gastos[[#This Row],[Divisa]]="$", I191*1, IF(Gastos[[#This Row],[Divisa]]="U$D", I191*$N$1, IF(Gastos[[#This Row],[Divisa]]="EUR", I191*$N$2, 0)))</f>
        <v>600000</v>
      </c>
      <c r="K191" s="54">
        <f>Gastos[[#This Row],[Importe AR$]]/$N$1</f>
        <v>384.61538461538464</v>
      </c>
      <c r="M191" s="69">
        <v>46227</v>
      </c>
      <c r="N191" s="43">
        <f>IF(Gastos[[#This Row],[Fecha_Cheque]]&gt;0,WEEKNUM(Gastos[[#This Row],[Fecha_Cheque]]),MID(Gastos[[#This Row],[Semana]],6,2))</f>
        <v>30</v>
      </c>
      <c r="O191" t="s">
        <v>3773</v>
      </c>
      <c r="P191" t="s">
        <v>27</v>
      </c>
    </row>
    <row r="192" spans="1:16" hidden="1" x14ac:dyDescent="0.25">
      <c r="A192" s="3" t="s">
        <v>3754</v>
      </c>
      <c r="B192" t="s">
        <v>2728</v>
      </c>
      <c r="C192" t="s">
        <v>3608</v>
      </c>
      <c r="D192" t="s">
        <v>26</v>
      </c>
      <c r="E192" t="s">
        <v>62</v>
      </c>
      <c r="F192">
        <v>2</v>
      </c>
      <c r="G192" s="3" t="s">
        <v>32</v>
      </c>
      <c r="H192" s="44" t="s">
        <v>15</v>
      </c>
      <c r="I192" s="17">
        <v>1200000</v>
      </c>
      <c r="J192" s="17">
        <f>IF(Gastos[[#This Row],[Divisa]]="$", I192*1, IF(Gastos[[#This Row],[Divisa]]="U$D", I192*$N$1, IF(Gastos[[#This Row],[Divisa]]="EUR", I192*$N$2, 0)))</f>
        <v>1200000</v>
      </c>
      <c r="K192" s="54">
        <f>Gastos[[#This Row],[Importe AR$]]/$N$1</f>
        <v>769.23076923076928</v>
      </c>
      <c r="M192" s="69">
        <v>46258</v>
      </c>
      <c r="N192" s="43">
        <f>IF(Gastos[[#This Row],[Fecha_Cheque]]&gt;0,WEEKNUM(Gastos[[#This Row],[Fecha_Cheque]]),MID(Gastos[[#This Row],[Semana]],6,2))</f>
        <v>35</v>
      </c>
      <c r="O192" t="s">
        <v>3773</v>
      </c>
      <c r="P192" t="s">
        <v>27</v>
      </c>
    </row>
    <row r="193" spans="1:16" hidden="1" x14ac:dyDescent="0.25">
      <c r="A193" s="3" t="s">
        <v>3754</v>
      </c>
      <c r="B193" t="s">
        <v>2728</v>
      </c>
      <c r="C193" t="s">
        <v>3608</v>
      </c>
      <c r="D193" t="s">
        <v>26</v>
      </c>
      <c r="E193" t="s">
        <v>42</v>
      </c>
      <c r="F193">
        <v>2</v>
      </c>
      <c r="G193" s="3" t="s">
        <v>4</v>
      </c>
      <c r="H193" s="44" t="s">
        <v>15</v>
      </c>
      <c r="I193" s="17">
        <v>400000</v>
      </c>
      <c r="J193" s="17">
        <f>IF(Gastos[[#This Row],[Divisa]]="$", I193*1, IF(Gastos[[#This Row],[Divisa]]="U$D", I193*$N$1, IF(Gastos[[#This Row],[Divisa]]="EUR", I193*$N$2, 0)))</f>
        <v>400000</v>
      </c>
      <c r="K193" s="54">
        <f>Gastos[[#This Row],[Importe AR$]]/$N$1</f>
        <v>256.41025641025641</v>
      </c>
      <c r="M193" s="69"/>
      <c r="N193" s="43" t="str">
        <f>IF(Gastos[[#This Row],[Fecha_Cheque]]&gt;0,WEEKNUM(Gastos[[#This Row],[Fecha_Cheque]]),MID(Gastos[[#This Row],[Semana]],6,2))</f>
        <v>29</v>
      </c>
      <c r="O193" t="s">
        <v>3811</v>
      </c>
      <c r="P193" t="s">
        <v>27</v>
      </c>
    </row>
    <row r="194" spans="1:16" hidden="1" x14ac:dyDescent="0.25">
      <c r="A194" s="3" t="s">
        <v>3817</v>
      </c>
      <c r="B194" t="s">
        <v>2728</v>
      </c>
      <c r="C194" t="s">
        <v>3608</v>
      </c>
      <c r="D194" t="s">
        <v>26</v>
      </c>
      <c r="E194" t="s">
        <v>42</v>
      </c>
      <c r="F194">
        <v>2</v>
      </c>
      <c r="G194" s="3" t="s">
        <v>4</v>
      </c>
      <c r="H194" s="44" t="s">
        <v>15</v>
      </c>
      <c r="I194" s="17">
        <v>500000</v>
      </c>
      <c r="J194" s="17">
        <f>IF(Gastos[[#This Row],[Divisa]]="$", I194*1, IF(Gastos[[#This Row],[Divisa]]="U$D", I194*$N$1, IF(Gastos[[#This Row],[Divisa]]="EUR", I194*$N$2, 0)))</f>
        <v>500000</v>
      </c>
      <c r="K194" s="54">
        <f>Gastos[[#This Row],[Importe AR$]]/$N$1</f>
        <v>320.5128205128205</v>
      </c>
      <c r="M194" s="69"/>
      <c r="N194" s="43" t="str">
        <f>IF(Gastos[[#This Row],[Fecha_Cheque]]&gt;0,WEEKNUM(Gastos[[#This Row],[Fecha_Cheque]]),MID(Gastos[[#This Row],[Semana]],6,2))</f>
        <v>30</v>
      </c>
      <c r="O194" t="s">
        <v>3880</v>
      </c>
      <c r="P194" t="s">
        <v>27</v>
      </c>
    </row>
    <row r="195" spans="1:16" hidden="1" x14ac:dyDescent="0.25">
      <c r="A195" s="3" t="s">
        <v>4211</v>
      </c>
      <c r="B195" t="s">
        <v>2728</v>
      </c>
      <c r="C195" t="s">
        <v>3910</v>
      </c>
      <c r="D195" t="s">
        <v>26</v>
      </c>
      <c r="E195" t="s">
        <v>42</v>
      </c>
      <c r="F195">
        <v>2</v>
      </c>
      <c r="G195" s="3" t="s">
        <v>4</v>
      </c>
      <c r="H195" s="44" t="s">
        <v>15</v>
      </c>
      <c r="I195" s="17">
        <v>500000</v>
      </c>
      <c r="J195" s="17">
        <f>IF(Gastos[[#This Row],[Divisa]]="$", I195*1, IF(Gastos[[#This Row],[Divisa]]="U$D", I195*$N$1, IF(Gastos[[#This Row],[Divisa]]="EUR", I195*$N$2, 0)))</f>
        <v>500000</v>
      </c>
      <c r="K195" s="54">
        <f>Gastos[[#This Row],[Importe AR$]]/$N$1</f>
        <v>320.5128205128205</v>
      </c>
      <c r="M195" s="69"/>
      <c r="N195" s="43" t="str">
        <f>IF(Gastos[[#This Row],[Fecha_Cheque]]&gt;0,WEEKNUM(Gastos[[#This Row],[Fecha_Cheque]]),MID(Gastos[[#This Row],[Semana]],6,2))</f>
        <v>37</v>
      </c>
      <c r="O195" t="s">
        <v>3957</v>
      </c>
      <c r="P195" t="s">
        <v>27</v>
      </c>
    </row>
    <row r="196" spans="1:16" hidden="1" x14ac:dyDescent="0.25">
      <c r="A196" s="3" t="s">
        <v>2763</v>
      </c>
      <c r="B196" t="s">
        <v>2728</v>
      </c>
      <c r="C196" t="s">
        <v>3295</v>
      </c>
      <c r="D196" t="s">
        <v>26</v>
      </c>
      <c r="E196" t="s">
        <v>42</v>
      </c>
      <c r="F196">
        <v>2</v>
      </c>
      <c r="G196" s="3" t="s">
        <v>4</v>
      </c>
      <c r="H196" s="44" t="s">
        <v>15</v>
      </c>
      <c r="I196" s="17">
        <v>500000</v>
      </c>
      <c r="J196" s="17">
        <f>IF(Gastos[[#This Row],[Divisa]]="$", I196*1, IF(Gastos[[#This Row],[Divisa]]="U$D", I196*$N$1, IF(Gastos[[#This Row],[Divisa]]="EUR", I196*$N$2, 0)))</f>
        <v>500000</v>
      </c>
      <c r="K196" s="54">
        <f>Gastos[[#This Row],[Importe AR$]]/$N$1</f>
        <v>320.5128205128205</v>
      </c>
      <c r="M196" s="69"/>
      <c r="N196" s="43" t="str">
        <f>IF(Gastos[[#This Row],[Fecha_Cheque]]&gt;0,WEEKNUM(Gastos[[#This Row],[Fecha_Cheque]]),MID(Gastos[[#This Row],[Semana]],6,2))</f>
        <v>23</v>
      </c>
      <c r="O196" t="s">
        <v>3425</v>
      </c>
      <c r="P196" t="s">
        <v>27</v>
      </c>
    </row>
    <row r="197" spans="1:16" hidden="1" x14ac:dyDescent="0.25">
      <c r="A197" s="3" t="s">
        <v>2763</v>
      </c>
      <c r="B197" t="s">
        <v>2728</v>
      </c>
      <c r="C197" t="s">
        <v>3295</v>
      </c>
      <c r="D197" t="s">
        <v>26</v>
      </c>
      <c r="E197" t="s">
        <v>42</v>
      </c>
      <c r="F197">
        <v>2</v>
      </c>
      <c r="G197" s="3" t="s">
        <v>4</v>
      </c>
      <c r="H197" s="44" t="s">
        <v>15</v>
      </c>
      <c r="I197" s="17">
        <v>400000</v>
      </c>
      <c r="J197" s="17">
        <f>IF(Gastos[[#This Row],[Divisa]]="$", I197*1, IF(Gastos[[#This Row],[Divisa]]="U$D", I197*$N$1, IF(Gastos[[#This Row],[Divisa]]="EUR", I197*$N$2, 0)))</f>
        <v>400000</v>
      </c>
      <c r="K197" s="54">
        <f>Gastos[[#This Row],[Importe AR$]]/$N$1</f>
        <v>256.41025641025641</v>
      </c>
      <c r="M197" s="69"/>
      <c r="N197" s="43" t="str">
        <f>IF(Gastos[[#This Row],[Fecha_Cheque]]&gt;0,WEEKNUM(Gastos[[#This Row],[Fecha_Cheque]]),MID(Gastos[[#This Row],[Semana]],6,2))</f>
        <v>23</v>
      </c>
      <c r="O197" t="s">
        <v>3433</v>
      </c>
      <c r="P197" t="s">
        <v>27</v>
      </c>
    </row>
    <row r="198" spans="1:16" hidden="1" x14ac:dyDescent="0.25">
      <c r="A198" s="3" t="s">
        <v>3439</v>
      </c>
      <c r="B198" t="s">
        <v>2728</v>
      </c>
      <c r="C198" t="s">
        <v>3554</v>
      </c>
      <c r="D198" t="s">
        <v>26</v>
      </c>
      <c r="E198" t="s">
        <v>42</v>
      </c>
      <c r="F198">
        <v>2</v>
      </c>
      <c r="G198" s="3" t="s">
        <v>4</v>
      </c>
      <c r="H198" s="44" t="s">
        <v>15</v>
      </c>
      <c r="I198" s="17">
        <v>400000</v>
      </c>
      <c r="J198" s="17">
        <f>IF(Gastos[[#This Row],[Divisa]]="$", I198*1, IF(Gastos[[#This Row],[Divisa]]="U$D", I198*$N$1, IF(Gastos[[#This Row],[Divisa]]="EUR", I198*$N$2, 0)))</f>
        <v>400000</v>
      </c>
      <c r="K198" s="54">
        <f>Gastos[[#This Row],[Importe AR$]]/$N$1</f>
        <v>256.41025641025641</v>
      </c>
      <c r="M198" s="69"/>
      <c r="N198" s="43" t="str">
        <f>IF(Gastos[[#This Row],[Fecha_Cheque]]&gt;0,WEEKNUM(Gastos[[#This Row],[Fecha_Cheque]]),MID(Gastos[[#This Row],[Semana]],6,2))</f>
        <v>25</v>
      </c>
      <c r="O198" t="s">
        <v>3556</v>
      </c>
      <c r="P198" t="s">
        <v>27</v>
      </c>
    </row>
    <row r="199" spans="1:16" hidden="1" x14ac:dyDescent="0.25">
      <c r="A199" s="3" t="s">
        <v>4513</v>
      </c>
      <c r="B199" t="s">
        <v>2728</v>
      </c>
      <c r="C199" t="s">
        <v>3910</v>
      </c>
      <c r="D199" t="s">
        <v>26</v>
      </c>
      <c r="E199" t="s">
        <v>42</v>
      </c>
      <c r="F199">
        <v>2</v>
      </c>
      <c r="G199" s="3" t="s">
        <v>4</v>
      </c>
      <c r="H199" s="44" t="s">
        <v>15</v>
      </c>
      <c r="I199" s="17">
        <v>300000</v>
      </c>
      <c r="J199" s="17">
        <f>IF(Gastos[[#This Row],[Divisa]]="$", I199*1, IF(Gastos[[#This Row],[Divisa]]="U$D", I199*$N$1, IF(Gastos[[#This Row],[Divisa]]="EUR", I199*$N$2, 0)))</f>
        <v>300000</v>
      </c>
      <c r="K199" s="54">
        <f>Gastos[[#This Row],[Importe AR$]]/$N$1</f>
        <v>192.30769230769232</v>
      </c>
      <c r="L199" t="s">
        <v>4512</v>
      </c>
      <c r="M199" s="69"/>
      <c r="N199" s="43" t="str">
        <f>IF(Gastos[[#This Row],[Fecha_Cheque]]&gt;0,WEEKNUM(Gastos[[#This Row],[Fecha_Cheque]]),MID(Gastos[[#This Row],[Semana]],6,2))</f>
        <v>42</v>
      </c>
      <c r="O199" t="s">
        <v>4530</v>
      </c>
      <c r="P199" t="s">
        <v>27</v>
      </c>
    </row>
    <row r="200" spans="1:16" x14ac:dyDescent="0.25">
      <c r="A200" s="3" t="s">
        <v>4655</v>
      </c>
      <c r="B200" t="s">
        <v>4679</v>
      </c>
      <c r="C200" t="s">
        <v>4680</v>
      </c>
      <c r="D200" t="s">
        <v>26</v>
      </c>
      <c r="E200" t="s">
        <v>62</v>
      </c>
      <c r="F200">
        <v>1</v>
      </c>
      <c r="G200" s="3" t="s">
        <v>5</v>
      </c>
      <c r="H200" s="44" t="s">
        <v>15</v>
      </c>
      <c r="I200" s="17">
        <v>168998.28</v>
      </c>
      <c r="J200" s="17">
        <f>IF(Gastos[[#This Row],[Divisa]]="$", I200*1, IF(Gastos[[#This Row],[Divisa]]="U$D", I200*$N$1, IF(Gastos[[#This Row],[Divisa]]="EUR", I200*$N$2, 0)))</f>
        <v>168998.28</v>
      </c>
      <c r="K200" s="54">
        <f>Gastos[[#This Row],[Importe AR$]]/$N$1</f>
        <v>108.33223076923076</v>
      </c>
      <c r="M200" s="69"/>
      <c r="N200" s="43" t="str">
        <f>IF(Gastos[[#This Row],[Fecha_Cheque]]&gt;0,WEEKNUM(Gastos[[#This Row],[Fecha_Cheque]]),MID(Gastos[[#This Row],[Semana]],6,2))</f>
        <v>44</v>
      </c>
    </row>
    <row r="201" spans="1:16" hidden="1" x14ac:dyDescent="0.25">
      <c r="A201" s="3" t="s">
        <v>114</v>
      </c>
      <c r="B201" t="s">
        <v>196</v>
      </c>
      <c r="C201" t="s">
        <v>197</v>
      </c>
      <c r="D201" t="s">
        <v>26</v>
      </c>
      <c r="E201" t="s">
        <v>31</v>
      </c>
      <c r="F201">
        <v>1</v>
      </c>
      <c r="G201" s="3" t="s">
        <v>5</v>
      </c>
      <c r="H201" s="46" t="s">
        <v>15</v>
      </c>
      <c r="I201" s="17">
        <v>96800</v>
      </c>
      <c r="J201" s="17">
        <f>IF(Gastos[[#This Row],[Divisa]]="$", I201*1, IF(Gastos[[#This Row],[Divisa]]="U$D", I201*$N$1, IF(Gastos[[#This Row],[Divisa]]="EUR", I201*$N$2, 0)))</f>
        <v>96800</v>
      </c>
      <c r="K201" s="54">
        <f>Gastos[[#This Row],[Importe AR$]]/$N$1</f>
        <v>62.051282051282051</v>
      </c>
      <c r="M201" s="69"/>
      <c r="N201" s="43" t="str">
        <f>IF(Gastos[[#This Row],[Fecha_Cheque]]&gt;0,WEEKNUM(Gastos[[#This Row],[Fecha_Cheque]]),MID(Gastos[[#This Row],[Semana]],6,2))</f>
        <v>29</v>
      </c>
      <c r="O201" t="s">
        <v>198</v>
      </c>
      <c r="P201" t="s">
        <v>27</v>
      </c>
    </row>
    <row r="202" spans="1:16" hidden="1" x14ac:dyDescent="0.25">
      <c r="A202" s="3" t="s">
        <v>2773</v>
      </c>
      <c r="B202" t="s">
        <v>3266</v>
      </c>
      <c r="C202" t="s">
        <v>3267</v>
      </c>
      <c r="D202" t="s">
        <v>26</v>
      </c>
      <c r="E202" t="s">
        <v>31</v>
      </c>
      <c r="F202">
        <v>1</v>
      </c>
      <c r="G202" s="3" t="s">
        <v>4</v>
      </c>
      <c r="H202" s="44" t="s">
        <v>15</v>
      </c>
      <c r="I202" s="17">
        <v>48590</v>
      </c>
      <c r="J202" s="17">
        <f>IF(Gastos[[#This Row],[Divisa]]="$", I202*1, IF(Gastos[[#This Row],[Divisa]]="U$D", I202*$N$1, IF(Gastos[[#This Row],[Divisa]]="EUR", I202*$N$2, 0)))</f>
        <v>48590</v>
      </c>
      <c r="K202" s="54">
        <f>Gastos[[#This Row],[Importe AR$]]/$N$1</f>
        <v>31.147435897435898</v>
      </c>
      <c r="M202" s="69"/>
      <c r="N202" s="43" t="str">
        <f>IF(Gastos[[#This Row],[Fecha_Cheque]]&gt;0,WEEKNUM(Gastos[[#This Row],[Fecha_Cheque]]),MID(Gastos[[#This Row],[Semana]],6,2))</f>
        <v>20</v>
      </c>
      <c r="O202" t="s">
        <v>3268</v>
      </c>
      <c r="P202" t="s">
        <v>27</v>
      </c>
    </row>
    <row r="203" spans="1:16" hidden="1" x14ac:dyDescent="0.25">
      <c r="A203" s="3" t="s">
        <v>130</v>
      </c>
      <c r="B203" t="s">
        <v>199</v>
      </c>
      <c r="C203" t="s">
        <v>200</v>
      </c>
      <c r="D203" t="s">
        <v>26</v>
      </c>
      <c r="E203" t="s">
        <v>62</v>
      </c>
      <c r="F203">
        <v>1</v>
      </c>
      <c r="G203" s="3" t="s">
        <v>5</v>
      </c>
      <c r="H203" s="46" t="s">
        <v>15</v>
      </c>
      <c r="I203" s="17">
        <v>47743024</v>
      </c>
      <c r="J203" s="17">
        <f>IF(Gastos[[#This Row],[Divisa]]="$", I203*1, IF(Gastos[[#This Row],[Divisa]]="U$D", I203*$N$1, IF(Gastos[[#This Row],[Divisa]]="EUR", I203*$N$2, 0)))</f>
        <v>47743024</v>
      </c>
      <c r="K203" s="54">
        <f>Gastos[[#This Row],[Importe AR$]]/$N$1</f>
        <v>30604.502564102564</v>
      </c>
      <c r="L203" t="s">
        <v>201</v>
      </c>
      <c r="M203" s="69"/>
      <c r="N203" s="43" t="str">
        <f>IF(Gastos[[#This Row],[Fecha_Cheque]]&gt;0,WEEKNUM(Gastos[[#This Row],[Fecha_Cheque]]),MID(Gastos[[#This Row],[Semana]],6,2))</f>
        <v>45</v>
      </c>
      <c r="O203" t="s">
        <v>202</v>
      </c>
      <c r="P203" t="s">
        <v>27</v>
      </c>
    </row>
    <row r="204" spans="1:16" hidden="1" x14ac:dyDescent="0.25">
      <c r="A204" s="3" t="s">
        <v>2711</v>
      </c>
      <c r="B204" t="s">
        <v>199</v>
      </c>
      <c r="C204" t="s">
        <v>2734</v>
      </c>
      <c r="D204" t="s">
        <v>26</v>
      </c>
      <c r="E204" t="s">
        <v>62</v>
      </c>
      <c r="F204">
        <v>1</v>
      </c>
      <c r="G204" s="3" t="s">
        <v>5</v>
      </c>
      <c r="H204" s="44" t="s">
        <v>15</v>
      </c>
      <c r="I204" s="17">
        <v>46019932</v>
      </c>
      <c r="J204" s="17">
        <f>IF(Gastos[[#This Row],[Divisa]]="$", I204*1, IF(Gastos[[#This Row],[Divisa]]="U$D", I204*$N$1, IF(Gastos[[#This Row],[Divisa]]="EUR", I204*$N$2, 0)))</f>
        <v>46019932</v>
      </c>
      <c r="K204" s="54">
        <f>Gastos[[#This Row],[Importe AR$]]/$N$1</f>
        <v>29499.956410256411</v>
      </c>
      <c r="L204" t="s">
        <v>2735</v>
      </c>
      <c r="M204" s="69"/>
      <c r="N204" s="43" t="str">
        <f>IF(Gastos[[#This Row],[Fecha_Cheque]]&gt;0,WEEKNUM(Gastos[[#This Row],[Fecha_Cheque]]),MID(Gastos[[#This Row],[Semana]],6,2))</f>
        <v>15</v>
      </c>
      <c r="O204" t="s">
        <v>2736</v>
      </c>
      <c r="P204" t="s">
        <v>27</v>
      </c>
    </row>
    <row r="205" spans="1:16" x14ac:dyDescent="0.25">
      <c r="A205" s="3" t="s">
        <v>4655</v>
      </c>
      <c r="B205" t="s">
        <v>2925</v>
      </c>
      <c r="C205" t="s">
        <v>2926</v>
      </c>
      <c r="D205" t="s">
        <v>26</v>
      </c>
      <c r="E205" t="s">
        <v>62</v>
      </c>
      <c r="F205">
        <v>1</v>
      </c>
      <c r="G205" s="3" t="s">
        <v>32</v>
      </c>
      <c r="H205" s="46" t="s">
        <v>3</v>
      </c>
      <c r="I205" s="17">
        <v>4682.7</v>
      </c>
      <c r="J205" s="17">
        <f>IF(Gastos[[#This Row],[Divisa]]="$", I205*1, IF(Gastos[[#This Row],[Divisa]]="U$D", I205*$N$1, IF(Gastos[[#This Row],[Divisa]]="EUR", I205*$N$2, 0)))</f>
        <v>8335206</v>
      </c>
      <c r="K205" s="54">
        <f>Gastos[[#This Row],[Importe AR$]]/$N$1</f>
        <v>5343.080769230769</v>
      </c>
      <c r="M205" s="69"/>
      <c r="N205" s="43" t="str">
        <f>IF(Gastos[[#This Row],[Fecha_Cheque]]&gt;0,WEEKNUM(Gastos[[#This Row],[Fecha_Cheque]]),MID(Gastos[[#This Row],[Semana]],6,2))</f>
        <v>44</v>
      </c>
    </row>
    <row r="206" spans="1:16" hidden="1" x14ac:dyDescent="0.25">
      <c r="A206" s="3" t="s">
        <v>117</v>
      </c>
      <c r="B206" t="s">
        <v>203</v>
      </c>
      <c r="C206" t="s">
        <v>204</v>
      </c>
      <c r="D206" t="s">
        <v>26</v>
      </c>
      <c r="E206" t="s">
        <v>31</v>
      </c>
      <c r="F206">
        <v>1</v>
      </c>
      <c r="G206" s="3" t="s">
        <v>5</v>
      </c>
      <c r="H206" s="46" t="s">
        <v>15</v>
      </c>
      <c r="I206" s="17">
        <v>91718</v>
      </c>
      <c r="J206" s="17">
        <f>IF(Gastos[[#This Row],[Divisa]]="$", I206*1, IF(Gastos[[#This Row],[Divisa]]="U$D", I206*$N$1, IF(Gastos[[#This Row],[Divisa]]="EUR", I206*$N$2, 0)))</f>
        <v>91718</v>
      </c>
      <c r="K206" s="54">
        <f>Gastos[[#This Row],[Importe AR$]]/$N$1</f>
        <v>58.793589743589742</v>
      </c>
      <c r="M206" s="69"/>
      <c r="N206" s="43" t="str">
        <f>IF(Gastos[[#This Row],[Fecha_Cheque]]&gt;0,WEEKNUM(Gastos[[#This Row],[Fecha_Cheque]]),MID(Gastos[[#This Row],[Semana]],6,2))</f>
        <v>35</v>
      </c>
      <c r="O206" t="s">
        <v>205</v>
      </c>
      <c r="P206" t="s">
        <v>27</v>
      </c>
    </row>
    <row r="207" spans="1:16" hidden="1" x14ac:dyDescent="0.25">
      <c r="A207" s="3" t="s">
        <v>3567</v>
      </c>
      <c r="B207" t="s">
        <v>203</v>
      </c>
      <c r="C207" t="s">
        <v>3593</v>
      </c>
      <c r="D207" t="s">
        <v>26</v>
      </c>
      <c r="E207" t="s">
        <v>31</v>
      </c>
      <c r="F207">
        <v>1</v>
      </c>
      <c r="G207" s="3" t="s">
        <v>5</v>
      </c>
      <c r="H207" s="44" t="s">
        <v>15</v>
      </c>
      <c r="I207" s="17">
        <v>104665</v>
      </c>
      <c r="J207" s="17">
        <f>IF(Gastos[[#This Row],[Divisa]]="$", I207*1, IF(Gastos[[#This Row],[Divisa]]="U$D", I207*$N$1, IF(Gastos[[#This Row],[Divisa]]="EUR", I207*$N$2, 0)))</f>
        <v>104665</v>
      </c>
      <c r="K207" s="54">
        <f>Gastos[[#This Row],[Importe AR$]]/$N$1</f>
        <v>67.092948717948715</v>
      </c>
      <c r="M207" s="69"/>
      <c r="N207" s="43" t="str">
        <f>IF(Gastos[[#This Row],[Fecha_Cheque]]&gt;0,WEEKNUM(Gastos[[#This Row],[Fecha_Cheque]]),MID(Gastos[[#This Row],[Semana]],6,2))</f>
        <v>26</v>
      </c>
      <c r="O207" t="s">
        <v>3594</v>
      </c>
      <c r="P207" t="s">
        <v>27</v>
      </c>
    </row>
    <row r="208" spans="1:16" hidden="1" x14ac:dyDescent="0.25">
      <c r="A208" s="3" t="s">
        <v>3882</v>
      </c>
      <c r="B208" t="s">
        <v>203</v>
      </c>
      <c r="C208" t="s">
        <v>3930</v>
      </c>
      <c r="D208" t="s">
        <v>26</v>
      </c>
      <c r="E208" t="s">
        <v>31</v>
      </c>
      <c r="F208">
        <v>1</v>
      </c>
      <c r="G208" s="3" t="s">
        <v>5</v>
      </c>
      <c r="H208" s="44" t="s">
        <v>15</v>
      </c>
      <c r="I208" s="17">
        <v>104665</v>
      </c>
      <c r="J208" s="17">
        <f>IF(Gastos[[#This Row],[Divisa]]="$", I208*1, IF(Gastos[[#This Row],[Divisa]]="U$D", I208*$N$1, IF(Gastos[[#This Row],[Divisa]]="EUR", I208*$N$2, 0)))</f>
        <v>104665</v>
      </c>
      <c r="K208" s="54">
        <f>Gastos[[#This Row],[Importe AR$]]/$N$1</f>
        <v>67.092948717948715</v>
      </c>
      <c r="M208" s="69"/>
      <c r="N208" s="43" t="str">
        <f>IF(Gastos[[#This Row],[Fecha_Cheque]]&gt;0,WEEKNUM(Gastos[[#This Row],[Fecha_Cheque]]),MID(Gastos[[#This Row],[Semana]],6,2))</f>
        <v>31</v>
      </c>
      <c r="O208" t="s">
        <v>3931</v>
      </c>
      <c r="P208" t="s">
        <v>27</v>
      </c>
    </row>
    <row r="209" spans="1:16" hidden="1" x14ac:dyDescent="0.25">
      <c r="A209" s="3" t="s">
        <v>206</v>
      </c>
      <c r="B209" t="s">
        <v>207</v>
      </c>
      <c r="C209" t="s">
        <v>208</v>
      </c>
      <c r="D209" t="s">
        <v>26</v>
      </c>
      <c r="E209" t="s">
        <v>31</v>
      </c>
      <c r="F209">
        <v>1</v>
      </c>
      <c r="G209" s="3" t="s">
        <v>4</v>
      </c>
      <c r="H209" s="46" t="s">
        <v>15</v>
      </c>
      <c r="I209" s="17">
        <v>375760</v>
      </c>
      <c r="J209" s="17">
        <f>IF(Gastos[[#This Row],[Divisa]]="$", I209*1, IF(Gastos[[#This Row],[Divisa]]="U$D", I209*$N$1, IF(Gastos[[#This Row],[Divisa]]="EUR", I209*$N$2, 0)))</f>
        <v>375760</v>
      </c>
      <c r="K209" s="54">
        <f>Gastos[[#This Row],[Importe AR$]]/$N$1</f>
        <v>240.87179487179486</v>
      </c>
      <c r="M209" s="69"/>
      <c r="N209" s="43" t="str">
        <f>IF(Gastos[[#This Row],[Fecha_Cheque]]&gt;0,WEEKNUM(Gastos[[#This Row],[Fecha_Cheque]]),MID(Gastos[[#This Row],[Semana]],6,2))</f>
        <v>06</v>
      </c>
      <c r="O209" t="s">
        <v>209</v>
      </c>
      <c r="P209" t="s">
        <v>27</v>
      </c>
    </row>
    <row r="210" spans="1:16" x14ac:dyDescent="0.25">
      <c r="A210" s="3" t="s">
        <v>4655</v>
      </c>
      <c r="B210" t="s">
        <v>2728</v>
      </c>
      <c r="C210" t="s">
        <v>3910</v>
      </c>
      <c r="D210" t="s">
        <v>26</v>
      </c>
      <c r="E210" t="s">
        <v>42</v>
      </c>
      <c r="F210">
        <v>2</v>
      </c>
      <c r="G210" s="3" t="s">
        <v>4</v>
      </c>
      <c r="H210" s="44" t="s">
        <v>15</v>
      </c>
      <c r="I210" s="49">
        <v>210500</v>
      </c>
      <c r="J210" s="17">
        <f>IF(Gastos[[#This Row],[Divisa]]="$", I210*1, IF(Gastos[[#This Row],[Divisa]]="U$D", I210*$N$1, IF(Gastos[[#This Row],[Divisa]]="EUR", I210*$N$2, 0)))</f>
        <v>210500</v>
      </c>
      <c r="K210" s="54">
        <f>Gastos[[#This Row],[Importe AR$]]/$N$1</f>
        <v>134.93589743589743</v>
      </c>
      <c r="M210" s="69"/>
      <c r="N210" s="43" t="str">
        <f>IF(Gastos[[#This Row],[Fecha_Cheque]]&gt;0,WEEKNUM(Gastos[[#This Row],[Fecha_Cheque]]),MID(Gastos[[#This Row],[Semana]],6,2))</f>
        <v>44</v>
      </c>
      <c r="O210" t="s">
        <v>4668</v>
      </c>
      <c r="P210" t="s">
        <v>27</v>
      </c>
    </row>
    <row r="211" spans="1:16" hidden="1" x14ac:dyDescent="0.25">
      <c r="A211" s="3" t="s">
        <v>2792</v>
      </c>
      <c r="B211" t="s">
        <v>3304</v>
      </c>
      <c r="C211" t="s">
        <v>3305</v>
      </c>
      <c r="D211" t="s">
        <v>26</v>
      </c>
      <c r="E211" t="s">
        <v>42</v>
      </c>
      <c r="F211">
        <v>1</v>
      </c>
      <c r="G211" s="3" t="s">
        <v>4</v>
      </c>
      <c r="H211" s="44" t="s">
        <v>15</v>
      </c>
      <c r="I211" s="17">
        <v>100000</v>
      </c>
      <c r="J211" s="17">
        <f>IF(Gastos[[#This Row],[Divisa]]="$", I211*1, IF(Gastos[[#This Row],[Divisa]]="U$D", I211*$N$1, IF(Gastos[[#This Row],[Divisa]]="EUR", I211*$N$2, 0)))</f>
        <v>100000</v>
      </c>
      <c r="K211" s="54">
        <f>Gastos[[#This Row],[Importe AR$]]/$N$1</f>
        <v>64.102564102564102</v>
      </c>
      <c r="M211" s="69"/>
      <c r="N211" s="43" t="str">
        <f>IF(Gastos[[#This Row],[Fecha_Cheque]]&gt;0,WEEKNUM(Gastos[[#This Row],[Fecha_Cheque]]),MID(Gastos[[#This Row],[Semana]],6,2))</f>
        <v>21</v>
      </c>
      <c r="O211" t="s">
        <v>3202</v>
      </c>
      <c r="P211" t="s">
        <v>27</v>
      </c>
    </row>
    <row r="212" spans="1:16" hidden="1" x14ac:dyDescent="0.25">
      <c r="A212" s="3" t="s">
        <v>210</v>
      </c>
      <c r="B212" t="s">
        <v>211</v>
      </c>
      <c r="C212" t="s">
        <v>212</v>
      </c>
      <c r="D212" t="s">
        <v>26</v>
      </c>
      <c r="E212" t="s">
        <v>31</v>
      </c>
      <c r="F212">
        <v>1</v>
      </c>
      <c r="G212" s="3" t="s">
        <v>5</v>
      </c>
      <c r="H212" s="46" t="s">
        <v>15</v>
      </c>
      <c r="I212" s="17">
        <v>968000</v>
      </c>
      <c r="J212" s="17">
        <f>IF(Gastos[[#This Row],[Divisa]]="$", I212*1, IF(Gastos[[#This Row],[Divisa]]="U$D", I212*$N$1, IF(Gastos[[#This Row],[Divisa]]="EUR", I212*$N$2, 0)))</f>
        <v>968000</v>
      </c>
      <c r="K212" s="54">
        <f>Gastos[[#This Row],[Importe AR$]]/$N$1</f>
        <v>620.51282051282055</v>
      </c>
      <c r="M212" s="69"/>
      <c r="N212" s="43" t="str">
        <f>IF(Gastos[[#This Row],[Fecha_Cheque]]&gt;0,WEEKNUM(Gastos[[#This Row],[Fecha_Cheque]]),MID(Gastos[[#This Row],[Semana]],6,2))</f>
        <v>37</v>
      </c>
      <c r="O212" t="s">
        <v>213</v>
      </c>
      <c r="P212" t="s">
        <v>27</v>
      </c>
    </row>
    <row r="213" spans="1:16" hidden="1" x14ac:dyDescent="0.25">
      <c r="A213" s="3" t="s">
        <v>3693</v>
      </c>
      <c r="B213" t="s">
        <v>3742</v>
      </c>
      <c r="C213" t="s">
        <v>3743</v>
      </c>
      <c r="D213" t="s">
        <v>26</v>
      </c>
      <c r="E213" t="s">
        <v>31</v>
      </c>
      <c r="F213">
        <v>1</v>
      </c>
      <c r="G213" s="3" t="s">
        <v>5</v>
      </c>
      <c r="H213" s="44" t="s">
        <v>15</v>
      </c>
      <c r="I213" s="17">
        <v>777980</v>
      </c>
      <c r="J213" s="17">
        <f>IF(Gastos[[#This Row],[Divisa]]="$", I213*1, IF(Gastos[[#This Row],[Divisa]]="U$D", I213*$N$1, IF(Gastos[[#This Row],[Divisa]]="EUR", I213*$N$2, 0)))</f>
        <v>777980</v>
      </c>
      <c r="K213" s="54">
        <f>Gastos[[#This Row],[Importe AR$]]/$N$1</f>
        <v>498.70512820512823</v>
      </c>
      <c r="M213" s="69"/>
      <c r="N213" s="43" t="str">
        <f>IF(Gastos[[#This Row],[Fecha_Cheque]]&gt;0,WEEKNUM(Gastos[[#This Row],[Fecha_Cheque]]),MID(Gastos[[#This Row],[Semana]],6,2))</f>
        <v>28</v>
      </c>
      <c r="O213" t="s">
        <v>3744</v>
      </c>
      <c r="P213" t="s">
        <v>27</v>
      </c>
    </row>
    <row r="214" spans="1:16" hidden="1" x14ac:dyDescent="0.25">
      <c r="A214" s="3" t="s">
        <v>3693</v>
      </c>
      <c r="B214" t="s">
        <v>3742</v>
      </c>
      <c r="C214" t="s">
        <v>3743</v>
      </c>
      <c r="D214" t="s">
        <v>26</v>
      </c>
      <c r="E214" t="s">
        <v>31</v>
      </c>
      <c r="F214">
        <v>1</v>
      </c>
      <c r="G214" s="3" t="s">
        <v>5</v>
      </c>
      <c r="H214" s="44" t="s">
        <v>15</v>
      </c>
      <c r="I214" s="17">
        <v>8520</v>
      </c>
      <c r="J214" s="17">
        <f>IF(Gastos[[#This Row],[Divisa]]="$", I214*1, IF(Gastos[[#This Row],[Divisa]]="U$D", I214*$N$1, IF(Gastos[[#This Row],[Divisa]]="EUR", I214*$N$2, 0)))</f>
        <v>8520</v>
      </c>
      <c r="K214" s="54">
        <f>Gastos[[#This Row],[Importe AR$]]/$N$1</f>
        <v>5.4615384615384617</v>
      </c>
      <c r="L214" t="s">
        <v>340</v>
      </c>
      <c r="M214" s="69"/>
      <c r="N214" s="43" t="str">
        <f>IF(Gastos[[#This Row],[Fecha_Cheque]]&gt;0,WEEKNUM(Gastos[[#This Row],[Fecha_Cheque]]),MID(Gastos[[#This Row],[Semana]],6,2))</f>
        <v>28</v>
      </c>
      <c r="O214" t="s">
        <v>3744</v>
      </c>
      <c r="P214" t="s">
        <v>27</v>
      </c>
    </row>
    <row r="215" spans="1:16" x14ac:dyDescent="0.25">
      <c r="A215" s="3" t="s">
        <v>4655</v>
      </c>
      <c r="B215" t="s">
        <v>199</v>
      </c>
      <c r="C215" t="s">
        <v>2734</v>
      </c>
      <c r="D215" t="s">
        <v>26</v>
      </c>
      <c r="E215" t="s">
        <v>62</v>
      </c>
      <c r="F215">
        <v>1</v>
      </c>
      <c r="G215" s="3" t="s">
        <v>5</v>
      </c>
      <c r="H215" s="44" t="s">
        <v>3</v>
      </c>
      <c r="I215" s="17">
        <f>223400-28000</f>
        <v>195400</v>
      </c>
      <c r="J215" s="17">
        <f>IF(Gastos[[#This Row],[Divisa]]="$", I215*1, IF(Gastos[[#This Row],[Divisa]]="U$D", I215*$N$1, IF(Gastos[[#This Row],[Divisa]]="EUR", I215*$N$2, 0)))</f>
        <v>347812000</v>
      </c>
      <c r="K215" s="54">
        <f>Gastos[[#This Row],[Importe AR$]]/$N$1</f>
        <v>222956.41025641025</v>
      </c>
      <c r="L215">
        <v>223400</v>
      </c>
      <c r="M215" s="69"/>
      <c r="N215" s="43" t="str">
        <f>IF(Gastos[[#This Row],[Fecha_Cheque]]&gt;0,WEEKNUM(Gastos[[#This Row],[Fecha_Cheque]]),MID(Gastos[[#This Row],[Semana]],6,2))</f>
        <v>44</v>
      </c>
    </row>
    <row r="216" spans="1:16" hidden="1" x14ac:dyDescent="0.25">
      <c r="A216" s="3" t="s">
        <v>2726</v>
      </c>
      <c r="B216" t="s">
        <v>2987</v>
      </c>
      <c r="C216" t="s">
        <v>155</v>
      </c>
      <c r="D216" t="s">
        <v>26</v>
      </c>
      <c r="E216" t="s">
        <v>42</v>
      </c>
      <c r="F216">
        <v>1</v>
      </c>
      <c r="G216" s="3" t="s">
        <v>4</v>
      </c>
      <c r="H216" s="44" t="s">
        <v>15</v>
      </c>
      <c r="I216" s="17">
        <v>39999.89</v>
      </c>
      <c r="J216" s="17">
        <f>IF(Gastos[[#This Row],[Divisa]]="$", I216*1, IF(Gastos[[#This Row],[Divisa]]="U$D", I216*$N$1, IF(Gastos[[#This Row],[Divisa]]="EUR", I216*$N$2, 0)))</f>
        <v>39999.89</v>
      </c>
      <c r="K216" s="54">
        <f>Gastos[[#This Row],[Importe AR$]]/$N$1</f>
        <v>25.640955128205128</v>
      </c>
      <c r="M216" s="69"/>
      <c r="N216" s="43" t="str">
        <f>IF(Gastos[[#This Row],[Fecha_Cheque]]&gt;0,WEEKNUM(Gastos[[#This Row],[Fecha_Cheque]]),MID(Gastos[[#This Row],[Semana]],6,2))</f>
        <v>24</v>
      </c>
      <c r="O216" t="s">
        <v>2988</v>
      </c>
      <c r="P216" t="s">
        <v>27</v>
      </c>
    </row>
    <row r="217" spans="1:16" hidden="1" x14ac:dyDescent="0.25">
      <c r="A217" s="3" t="s">
        <v>180</v>
      </c>
      <c r="B217" t="s">
        <v>314</v>
      </c>
      <c r="C217" t="s">
        <v>315</v>
      </c>
      <c r="D217" t="s">
        <v>26</v>
      </c>
      <c r="E217" t="s">
        <v>31</v>
      </c>
      <c r="F217">
        <v>1</v>
      </c>
      <c r="G217" s="3" t="s">
        <v>5</v>
      </c>
      <c r="H217" s="46" t="s">
        <v>15</v>
      </c>
      <c r="I217" s="17">
        <v>40000</v>
      </c>
      <c r="J217" s="17">
        <f>IF(Gastos[[#This Row],[Divisa]]="$", I217*1, IF(Gastos[[#This Row],[Divisa]]="U$D", I217*$N$1, IF(Gastos[[#This Row],[Divisa]]="EUR", I217*$N$2, 0)))</f>
        <v>40000</v>
      </c>
      <c r="K217" s="54">
        <f>Gastos[[#This Row],[Importe AR$]]/$N$1</f>
        <v>25.641025641025642</v>
      </c>
      <c r="M217" s="69"/>
      <c r="N217" s="43" t="str">
        <f>IF(Gastos[[#This Row],[Fecha_Cheque]]&gt;0,WEEKNUM(Gastos[[#This Row],[Fecha_Cheque]]),MID(Gastos[[#This Row],[Semana]],6,2))</f>
        <v>09</v>
      </c>
      <c r="O217" t="s">
        <v>316</v>
      </c>
      <c r="P217" t="s">
        <v>27</v>
      </c>
    </row>
    <row r="218" spans="1:16" hidden="1" x14ac:dyDescent="0.25">
      <c r="A218" s="3" t="s">
        <v>217</v>
      </c>
      <c r="B218" t="s">
        <v>214</v>
      </c>
      <c r="C218" t="s">
        <v>218</v>
      </c>
      <c r="D218" t="s">
        <v>26</v>
      </c>
      <c r="E218" t="s">
        <v>31</v>
      </c>
      <c r="F218">
        <v>2</v>
      </c>
      <c r="G218" s="3" t="s">
        <v>32</v>
      </c>
      <c r="H218" s="46" t="s">
        <v>15</v>
      </c>
      <c r="I218" s="17">
        <v>5089358.6100000003</v>
      </c>
      <c r="J218" s="17">
        <f>IF(Gastos[[#This Row],[Divisa]]="$", I218*1, IF(Gastos[[#This Row],[Divisa]]="U$D", I218*$N$1, IF(Gastos[[#This Row],[Divisa]]="EUR", I218*$N$2, 0)))</f>
        <v>5089358.6100000003</v>
      </c>
      <c r="K218" s="54">
        <f>Gastos[[#This Row],[Importe AR$]]/$N$1</f>
        <v>3262.4093653846157</v>
      </c>
      <c r="L218" t="s">
        <v>219</v>
      </c>
      <c r="M218" s="69">
        <v>45882</v>
      </c>
      <c r="N218" s="43">
        <f>IF(Gastos[[#This Row],[Fecha_Cheque]]&gt;0,WEEKNUM(Gastos[[#This Row],[Fecha_Cheque]]),MID(Gastos[[#This Row],[Semana]],6,2))</f>
        <v>33</v>
      </c>
      <c r="O218" t="s">
        <v>220</v>
      </c>
      <c r="P218" t="s">
        <v>27</v>
      </c>
    </row>
    <row r="219" spans="1:16" hidden="1" x14ac:dyDescent="0.25">
      <c r="A219" s="3" t="s">
        <v>122</v>
      </c>
      <c r="B219" t="s">
        <v>214</v>
      </c>
      <c r="C219" t="s">
        <v>221</v>
      </c>
      <c r="D219" t="s">
        <v>26</v>
      </c>
      <c r="E219" t="s">
        <v>31</v>
      </c>
      <c r="F219">
        <v>1</v>
      </c>
      <c r="G219" s="3" t="s">
        <v>32</v>
      </c>
      <c r="H219" s="46" t="s">
        <v>15</v>
      </c>
      <c r="I219" s="17">
        <v>438439.67999999999</v>
      </c>
      <c r="J219" s="17">
        <f>IF(Gastos[[#This Row],[Divisa]]="$", I219*1, IF(Gastos[[#This Row],[Divisa]]="U$D", I219*$N$1, IF(Gastos[[#This Row],[Divisa]]="EUR", I219*$N$2, 0)))</f>
        <v>438439.67999999999</v>
      </c>
      <c r="K219" s="54">
        <f>Gastos[[#This Row],[Importe AR$]]/$N$1</f>
        <v>281.05107692307689</v>
      </c>
      <c r="M219" s="69">
        <v>45960</v>
      </c>
      <c r="N219" s="43">
        <f>IF(Gastos[[#This Row],[Fecha_Cheque]]&gt;0,WEEKNUM(Gastos[[#This Row],[Fecha_Cheque]]),MID(Gastos[[#This Row],[Semana]],6,2))</f>
        <v>44</v>
      </c>
      <c r="O219" t="s">
        <v>123</v>
      </c>
      <c r="P219" t="s">
        <v>27</v>
      </c>
    </row>
    <row r="220" spans="1:16" hidden="1" x14ac:dyDescent="0.25">
      <c r="A220" s="3" t="s">
        <v>122</v>
      </c>
      <c r="B220" t="s">
        <v>214</v>
      </c>
      <c r="C220" t="s">
        <v>221</v>
      </c>
      <c r="D220" t="s">
        <v>26</v>
      </c>
      <c r="E220" t="s">
        <v>31</v>
      </c>
      <c r="F220">
        <v>1</v>
      </c>
      <c r="G220" s="3" t="s">
        <v>32</v>
      </c>
      <c r="H220" s="46" t="s">
        <v>15</v>
      </c>
      <c r="I220" s="17">
        <v>661821.6</v>
      </c>
      <c r="J220" s="17">
        <f>IF(Gastos[[#This Row],[Divisa]]="$", I220*1, IF(Gastos[[#This Row],[Divisa]]="U$D", I220*$N$1, IF(Gastos[[#This Row],[Divisa]]="EUR", I220*$N$2, 0)))</f>
        <v>661821.6</v>
      </c>
      <c r="K220" s="54">
        <f>Gastos[[#This Row],[Importe AR$]]/$N$1</f>
        <v>424.24461538461537</v>
      </c>
      <c r="M220" s="69">
        <v>45952</v>
      </c>
      <c r="N220" s="43">
        <f>IF(Gastos[[#This Row],[Fecha_Cheque]]&gt;0,WEEKNUM(Gastos[[#This Row],[Fecha_Cheque]]),MID(Gastos[[#This Row],[Semana]],6,2))</f>
        <v>43</v>
      </c>
      <c r="O220" t="s">
        <v>123</v>
      </c>
      <c r="P220" t="s">
        <v>27</v>
      </c>
    </row>
    <row r="221" spans="1:16" hidden="1" x14ac:dyDescent="0.25">
      <c r="A221" s="3" t="s">
        <v>122</v>
      </c>
      <c r="B221" t="s">
        <v>214</v>
      </c>
      <c r="C221" t="s">
        <v>221</v>
      </c>
      <c r="D221" t="s">
        <v>26</v>
      </c>
      <c r="E221" t="s">
        <v>31</v>
      </c>
      <c r="F221">
        <v>1</v>
      </c>
      <c r="G221" s="3" t="s">
        <v>32</v>
      </c>
      <c r="H221" s="46" t="s">
        <v>15</v>
      </c>
      <c r="I221" s="17">
        <v>719378.8</v>
      </c>
      <c r="J221" s="17">
        <f>IF(Gastos[[#This Row],[Divisa]]="$", I221*1, IF(Gastos[[#This Row],[Divisa]]="U$D", I221*$N$1, IF(Gastos[[#This Row],[Divisa]]="EUR", I221*$N$2, 0)))</f>
        <v>719378.8</v>
      </c>
      <c r="K221" s="54">
        <f>Gastos[[#This Row],[Importe AR$]]/$N$1</f>
        <v>461.14025641025643</v>
      </c>
      <c r="M221" s="69">
        <v>45960</v>
      </c>
      <c r="N221" s="43">
        <f>IF(Gastos[[#This Row],[Fecha_Cheque]]&gt;0,WEEKNUM(Gastos[[#This Row],[Fecha_Cheque]]),MID(Gastos[[#This Row],[Semana]],6,2))</f>
        <v>44</v>
      </c>
      <c r="O221" t="s">
        <v>123</v>
      </c>
      <c r="P221" t="s">
        <v>27</v>
      </c>
    </row>
    <row r="222" spans="1:16" hidden="1" x14ac:dyDescent="0.25">
      <c r="A222" s="3" t="s">
        <v>122</v>
      </c>
      <c r="B222" t="s">
        <v>214</v>
      </c>
      <c r="C222" t="s">
        <v>221</v>
      </c>
      <c r="D222" t="s">
        <v>26</v>
      </c>
      <c r="E222" t="s">
        <v>31</v>
      </c>
      <c r="F222">
        <v>1</v>
      </c>
      <c r="G222" s="3" t="s">
        <v>32</v>
      </c>
      <c r="H222" s="46" t="s">
        <v>15</v>
      </c>
      <c r="I222" s="17">
        <v>2056690</v>
      </c>
      <c r="J222" s="17">
        <f>IF(Gastos[[#This Row],[Divisa]]="$", I222*1, IF(Gastos[[#This Row],[Divisa]]="U$D", I222*$N$1, IF(Gastos[[#This Row],[Divisa]]="EUR", I222*$N$2, 0)))</f>
        <v>2056690</v>
      </c>
      <c r="K222" s="54">
        <f>Gastos[[#This Row],[Importe AR$]]/$N$1</f>
        <v>1318.3910256410256</v>
      </c>
      <c r="M222" s="69">
        <v>45993</v>
      </c>
      <c r="N222" s="43">
        <f>IF(Gastos[[#This Row],[Fecha_Cheque]]&gt;0,WEEKNUM(Gastos[[#This Row],[Fecha_Cheque]]),MID(Gastos[[#This Row],[Semana]],6,2))</f>
        <v>49</v>
      </c>
      <c r="O222" t="s">
        <v>123</v>
      </c>
      <c r="P222" t="s">
        <v>27</v>
      </c>
    </row>
    <row r="223" spans="1:16" hidden="1" x14ac:dyDescent="0.25">
      <c r="A223" s="3" t="s">
        <v>122</v>
      </c>
      <c r="B223" t="s">
        <v>214</v>
      </c>
      <c r="C223" t="s">
        <v>221</v>
      </c>
      <c r="D223" t="s">
        <v>26</v>
      </c>
      <c r="E223" t="s">
        <v>31</v>
      </c>
      <c r="F223">
        <v>1</v>
      </c>
      <c r="G223" s="3" t="s">
        <v>32</v>
      </c>
      <c r="H223" s="46" t="s">
        <v>15</v>
      </c>
      <c r="I223" s="17">
        <v>700000</v>
      </c>
      <c r="J223" s="17">
        <f>IF(Gastos[[#This Row],[Divisa]]="$", I223*1, IF(Gastos[[#This Row],[Divisa]]="U$D", I223*$N$1, IF(Gastos[[#This Row],[Divisa]]="EUR", I223*$N$2, 0)))</f>
        <v>700000</v>
      </c>
      <c r="K223" s="54">
        <f>Gastos[[#This Row],[Importe AR$]]/$N$1</f>
        <v>448.71794871794873</v>
      </c>
      <c r="M223" s="69">
        <v>45991</v>
      </c>
      <c r="N223" s="43">
        <f>IF(Gastos[[#This Row],[Fecha_Cheque]]&gt;0,WEEKNUM(Gastos[[#This Row],[Fecha_Cheque]]),MID(Gastos[[#This Row],[Semana]],6,2))</f>
        <v>49</v>
      </c>
      <c r="O223" t="s">
        <v>123</v>
      </c>
      <c r="P223" t="s">
        <v>27</v>
      </c>
    </row>
    <row r="224" spans="1:16" hidden="1" x14ac:dyDescent="0.25">
      <c r="A224" s="3" t="s">
        <v>122</v>
      </c>
      <c r="B224" t="s">
        <v>214</v>
      </c>
      <c r="C224" t="s">
        <v>221</v>
      </c>
      <c r="D224" t="s">
        <v>26</v>
      </c>
      <c r="E224" t="s">
        <v>31</v>
      </c>
      <c r="F224">
        <v>1</v>
      </c>
      <c r="G224" s="3" t="s">
        <v>32</v>
      </c>
      <c r="H224" s="46" t="s">
        <v>15</v>
      </c>
      <c r="I224" s="17">
        <v>9887.92</v>
      </c>
      <c r="J224" s="17">
        <f>IF(Gastos[[#This Row],[Divisa]]="$", I224*1, IF(Gastos[[#This Row],[Divisa]]="U$D", I224*$N$1, IF(Gastos[[#This Row],[Divisa]]="EUR", I224*$N$2, 0)))</f>
        <v>9887.92</v>
      </c>
      <c r="K224" s="54">
        <f>Gastos[[#This Row],[Importe AR$]]/$N$1</f>
        <v>6.3384102564102562</v>
      </c>
      <c r="M224" s="69">
        <v>45933</v>
      </c>
      <c r="N224" s="43">
        <f>IF(Gastos[[#This Row],[Fecha_Cheque]]&gt;0,WEEKNUM(Gastos[[#This Row],[Fecha_Cheque]]),MID(Gastos[[#This Row],[Semana]],6,2))</f>
        <v>40</v>
      </c>
      <c r="O224" t="s">
        <v>123</v>
      </c>
      <c r="P224" t="s">
        <v>27</v>
      </c>
    </row>
    <row r="225" spans="1:16" hidden="1" x14ac:dyDescent="0.25">
      <c r="A225" s="3" t="s">
        <v>56</v>
      </c>
      <c r="B225" t="s">
        <v>214</v>
      </c>
      <c r="C225" t="s">
        <v>222</v>
      </c>
      <c r="D225" t="s">
        <v>61</v>
      </c>
      <c r="E225" t="s">
        <v>31</v>
      </c>
      <c r="F225">
        <v>1</v>
      </c>
      <c r="G225" s="3" t="s">
        <v>32</v>
      </c>
      <c r="H225" s="46" t="s">
        <v>15</v>
      </c>
      <c r="I225" s="17">
        <v>661821.6</v>
      </c>
      <c r="J225" s="17">
        <f>IF(Gastos[[#This Row],[Divisa]]="$", I225*1, IF(Gastos[[#This Row],[Divisa]]="U$D", I225*$N$1, IF(Gastos[[#This Row],[Divisa]]="EUR", I225*$N$2, 0)))</f>
        <v>661821.6</v>
      </c>
      <c r="K225" s="54">
        <f>Gastos[[#This Row],[Importe AR$]]/$N$1</f>
        <v>424.24461538461537</v>
      </c>
      <c r="M225" s="69">
        <v>45952</v>
      </c>
      <c r="N225" s="43">
        <f>IF(Gastos[[#This Row],[Fecha_Cheque]]&gt;0,WEEKNUM(Gastos[[#This Row],[Fecha_Cheque]]),MID(Gastos[[#This Row],[Semana]],6,2))</f>
        <v>43</v>
      </c>
      <c r="O225" t="s">
        <v>123</v>
      </c>
      <c r="P225" t="s">
        <v>27</v>
      </c>
    </row>
    <row r="226" spans="1:16" hidden="1" x14ac:dyDescent="0.25">
      <c r="A226" s="3" t="s">
        <v>56</v>
      </c>
      <c r="B226" t="s">
        <v>214</v>
      </c>
      <c r="C226" t="s">
        <v>222</v>
      </c>
      <c r="D226" t="s">
        <v>61</v>
      </c>
      <c r="E226" t="s">
        <v>31</v>
      </c>
      <c r="F226">
        <v>1</v>
      </c>
      <c r="G226" s="3" t="s">
        <v>32</v>
      </c>
      <c r="H226" s="46" t="s">
        <v>15</v>
      </c>
      <c r="I226" s="17">
        <v>700000</v>
      </c>
      <c r="J226" s="17">
        <f>IF(Gastos[[#This Row],[Divisa]]="$", I226*1, IF(Gastos[[#This Row],[Divisa]]="U$D", I226*$N$1, IF(Gastos[[#This Row],[Divisa]]="EUR", I226*$N$2, 0)))</f>
        <v>700000</v>
      </c>
      <c r="K226" s="54">
        <f>Gastos[[#This Row],[Importe AR$]]/$N$1</f>
        <v>448.71794871794873</v>
      </c>
      <c r="M226" s="69">
        <v>45991</v>
      </c>
      <c r="N226" s="43">
        <f>IF(Gastos[[#This Row],[Fecha_Cheque]]&gt;0,WEEKNUM(Gastos[[#This Row],[Fecha_Cheque]]),MID(Gastos[[#This Row],[Semana]],6,2))</f>
        <v>49</v>
      </c>
      <c r="O226" t="s">
        <v>123</v>
      </c>
      <c r="P226" t="s">
        <v>27</v>
      </c>
    </row>
    <row r="227" spans="1:16" hidden="1" x14ac:dyDescent="0.25">
      <c r="A227" s="3" t="s">
        <v>56</v>
      </c>
      <c r="B227" t="s">
        <v>214</v>
      </c>
      <c r="C227" t="s">
        <v>222</v>
      </c>
      <c r="D227" t="s">
        <v>61</v>
      </c>
      <c r="E227" t="s">
        <v>31</v>
      </c>
      <c r="F227">
        <v>1</v>
      </c>
      <c r="G227" s="3" t="s">
        <v>32</v>
      </c>
      <c r="H227" s="46" t="s">
        <v>15</v>
      </c>
      <c r="I227" s="17">
        <v>2056690</v>
      </c>
      <c r="J227" s="17">
        <f>IF(Gastos[[#This Row],[Divisa]]="$", I227*1, IF(Gastos[[#This Row],[Divisa]]="U$D", I227*$N$1, IF(Gastos[[#This Row],[Divisa]]="EUR", I227*$N$2, 0)))</f>
        <v>2056690</v>
      </c>
      <c r="K227" s="54">
        <f>Gastos[[#This Row],[Importe AR$]]/$N$1</f>
        <v>1318.3910256410256</v>
      </c>
      <c r="M227" s="69">
        <v>45993</v>
      </c>
      <c r="N227" s="43">
        <f>IF(Gastos[[#This Row],[Fecha_Cheque]]&gt;0,WEEKNUM(Gastos[[#This Row],[Fecha_Cheque]]),MID(Gastos[[#This Row],[Semana]],6,2))</f>
        <v>49</v>
      </c>
      <c r="O227" t="s">
        <v>123</v>
      </c>
      <c r="P227" t="s">
        <v>27</v>
      </c>
    </row>
    <row r="228" spans="1:16" hidden="1" x14ac:dyDescent="0.25">
      <c r="A228" s="3" t="s">
        <v>56</v>
      </c>
      <c r="B228" t="s">
        <v>214</v>
      </c>
      <c r="C228" t="s">
        <v>222</v>
      </c>
      <c r="D228" t="s">
        <v>61</v>
      </c>
      <c r="E228" t="s">
        <v>31</v>
      </c>
      <c r="F228">
        <v>1</v>
      </c>
      <c r="G228" s="3" t="s">
        <v>32</v>
      </c>
      <c r="H228" s="46" t="s">
        <v>15</v>
      </c>
      <c r="I228" s="17">
        <v>719378.8</v>
      </c>
      <c r="J228" s="17">
        <f>IF(Gastos[[#This Row],[Divisa]]="$", I228*1, IF(Gastos[[#This Row],[Divisa]]="U$D", I228*$N$1, IF(Gastos[[#This Row],[Divisa]]="EUR", I228*$N$2, 0)))</f>
        <v>719378.8</v>
      </c>
      <c r="K228" s="54">
        <f>Gastos[[#This Row],[Importe AR$]]/$N$1</f>
        <v>461.14025641025643</v>
      </c>
      <c r="M228" s="70" t="s">
        <v>223</v>
      </c>
      <c r="N228" s="43">
        <f>IF(Gastos[[#This Row],[Fecha_Cheque]]&gt;0,WEEKNUM(Gastos[[#This Row],[Fecha_Cheque]]),MID(Gastos[[#This Row],[Semana]],6,2))</f>
        <v>44</v>
      </c>
      <c r="O228" t="s">
        <v>123</v>
      </c>
      <c r="P228" t="s">
        <v>27</v>
      </c>
    </row>
    <row r="229" spans="1:16" hidden="1" x14ac:dyDescent="0.25">
      <c r="A229" s="3" t="s">
        <v>56</v>
      </c>
      <c r="B229" t="s">
        <v>214</v>
      </c>
      <c r="C229" t="s">
        <v>222</v>
      </c>
      <c r="D229" t="s">
        <v>61</v>
      </c>
      <c r="E229" t="s">
        <v>31</v>
      </c>
      <c r="F229">
        <v>1</v>
      </c>
      <c r="G229" s="3" t="s">
        <v>32</v>
      </c>
      <c r="H229" s="46" t="s">
        <v>15</v>
      </c>
      <c r="I229" s="17">
        <v>438439.67999999999</v>
      </c>
      <c r="J229" s="17">
        <f>IF(Gastos[[#This Row],[Divisa]]="$", I229*1, IF(Gastos[[#This Row],[Divisa]]="U$D", I229*$N$1, IF(Gastos[[#This Row],[Divisa]]="EUR", I229*$N$2, 0)))</f>
        <v>438439.67999999999</v>
      </c>
      <c r="K229" s="54">
        <f>Gastos[[#This Row],[Importe AR$]]/$N$1</f>
        <v>281.05107692307689</v>
      </c>
      <c r="M229" s="70" t="s">
        <v>223</v>
      </c>
      <c r="N229" s="43">
        <f>IF(Gastos[[#This Row],[Fecha_Cheque]]&gt;0,WEEKNUM(Gastos[[#This Row],[Fecha_Cheque]]),MID(Gastos[[#This Row],[Semana]],6,2))</f>
        <v>44</v>
      </c>
      <c r="O229" t="s">
        <v>123</v>
      </c>
      <c r="P229" t="s">
        <v>27</v>
      </c>
    </row>
    <row r="230" spans="1:16" hidden="1" x14ac:dyDescent="0.25">
      <c r="A230" s="3" t="s">
        <v>75</v>
      </c>
      <c r="B230" t="s">
        <v>214</v>
      </c>
      <c r="C230" t="s">
        <v>224</v>
      </c>
      <c r="D230" t="s">
        <v>26</v>
      </c>
      <c r="E230" t="s">
        <v>225</v>
      </c>
      <c r="F230">
        <v>1</v>
      </c>
      <c r="G230" s="3" t="s">
        <v>32</v>
      </c>
      <c r="H230" s="46" t="s">
        <v>15</v>
      </c>
      <c r="I230" s="17">
        <v>17691152.670000002</v>
      </c>
      <c r="J230" s="17">
        <f>IF(Gastos[[#This Row],[Divisa]]="$", I230*1, IF(Gastos[[#This Row],[Divisa]]="U$D", I230*$N$1, IF(Gastos[[#This Row],[Divisa]]="EUR", I230*$N$2, 0)))</f>
        <v>17691152.670000002</v>
      </c>
      <c r="K230" s="54">
        <f>Gastos[[#This Row],[Importe AR$]]/$N$1</f>
        <v>11340.482480769231</v>
      </c>
      <c r="L230" t="s">
        <v>226</v>
      </c>
      <c r="M230" s="69"/>
      <c r="N230" s="43" t="str">
        <f>IF(Gastos[[#This Row],[Fecha_Cheque]]&gt;0,WEEKNUM(Gastos[[#This Row],[Fecha_Cheque]]),MID(Gastos[[#This Row],[Semana]],6,2))</f>
        <v>07</v>
      </c>
      <c r="O230" t="s">
        <v>227</v>
      </c>
      <c r="P230" t="s">
        <v>27</v>
      </c>
    </row>
    <row r="231" spans="1:16" hidden="1" x14ac:dyDescent="0.25">
      <c r="A231" s="3" t="s">
        <v>2731</v>
      </c>
      <c r="B231" t="s">
        <v>214</v>
      </c>
      <c r="C231" t="s">
        <v>224</v>
      </c>
      <c r="D231" t="s">
        <v>26</v>
      </c>
      <c r="E231" t="s">
        <v>225</v>
      </c>
      <c r="F231">
        <v>1</v>
      </c>
      <c r="G231" s="3" t="s">
        <v>32</v>
      </c>
      <c r="H231" s="46" t="s">
        <v>15</v>
      </c>
      <c r="I231" s="17">
        <v>39156.36</v>
      </c>
      <c r="J231" s="17">
        <f>IF(Gastos[[#This Row],[Divisa]]="$", I231*1, IF(Gastos[[#This Row],[Divisa]]="U$D", I231*$N$1, IF(Gastos[[#This Row],[Divisa]]="EUR", I231*$N$2, 0)))</f>
        <v>39156.36</v>
      </c>
      <c r="K231" s="54">
        <f>Gastos[[#This Row],[Importe AR$]]/$N$1</f>
        <v>25.10023076923077</v>
      </c>
      <c r="L231" t="s">
        <v>340</v>
      </c>
      <c r="M231" s="69"/>
      <c r="N231" s="43" t="str">
        <f>IF(Gastos[[#This Row],[Fecha_Cheque]]&gt;0,WEEKNUM(Gastos[[#This Row],[Fecha_Cheque]]),MID(Gastos[[#This Row],[Semana]],6,2))</f>
        <v>17</v>
      </c>
      <c r="O231" t="s">
        <v>2778</v>
      </c>
      <c r="P231" t="s">
        <v>27</v>
      </c>
    </row>
    <row r="232" spans="1:16" hidden="1" x14ac:dyDescent="0.25">
      <c r="A232" s="3" t="s">
        <v>2731</v>
      </c>
      <c r="B232" t="s">
        <v>214</v>
      </c>
      <c r="C232" t="s">
        <v>224</v>
      </c>
      <c r="D232" t="s">
        <v>26</v>
      </c>
      <c r="E232" t="s">
        <v>225</v>
      </c>
      <c r="F232">
        <v>1</v>
      </c>
      <c r="G232" s="3" t="s">
        <v>32</v>
      </c>
      <c r="H232" s="46" t="s">
        <v>15</v>
      </c>
      <c r="I232" s="17">
        <v>1320000</v>
      </c>
      <c r="J232" s="17">
        <f>IF(Gastos[[#This Row],[Divisa]]="$", I232*1, IF(Gastos[[#This Row],[Divisa]]="U$D", I232*$N$1, IF(Gastos[[#This Row],[Divisa]]="EUR", I232*$N$2, 0)))</f>
        <v>1320000</v>
      </c>
      <c r="K232" s="54">
        <f>Gastos[[#This Row],[Importe AR$]]/$N$1</f>
        <v>846.15384615384619</v>
      </c>
      <c r="M232" s="69">
        <v>46184</v>
      </c>
      <c r="N232" s="43">
        <f>IF(Gastos[[#This Row],[Fecha_Cheque]]&gt;0,WEEKNUM(Gastos[[#This Row],[Fecha_Cheque]]),MID(Gastos[[#This Row],[Semana]],6,2))</f>
        <v>24</v>
      </c>
      <c r="O232" t="s">
        <v>2778</v>
      </c>
      <c r="P232" t="s">
        <v>27</v>
      </c>
    </row>
    <row r="233" spans="1:16" hidden="1" x14ac:dyDescent="0.25">
      <c r="A233" s="3" t="s">
        <v>2731</v>
      </c>
      <c r="B233" t="s">
        <v>214</v>
      </c>
      <c r="C233" t="s">
        <v>224</v>
      </c>
      <c r="D233" t="s">
        <v>26</v>
      </c>
      <c r="E233" t="s">
        <v>225</v>
      </c>
      <c r="F233">
        <v>1</v>
      </c>
      <c r="G233" s="3" t="s">
        <v>32</v>
      </c>
      <c r="H233" s="46" t="s">
        <v>15</v>
      </c>
      <c r="I233" s="17">
        <v>1320000</v>
      </c>
      <c r="J233" s="17">
        <f>IF(Gastos[[#This Row],[Divisa]]="$", I233*1, IF(Gastos[[#This Row],[Divisa]]="U$D", I233*$N$1, IF(Gastos[[#This Row],[Divisa]]="EUR", I233*$N$2, 0)))</f>
        <v>1320000</v>
      </c>
      <c r="K233" s="54">
        <f>Gastos[[#This Row],[Importe AR$]]/$N$1</f>
        <v>846.15384615384619</v>
      </c>
      <c r="M233" s="69">
        <v>46185</v>
      </c>
      <c r="N233" s="43">
        <f>IF(Gastos[[#This Row],[Fecha_Cheque]]&gt;0,WEEKNUM(Gastos[[#This Row],[Fecha_Cheque]]),MID(Gastos[[#This Row],[Semana]],6,2))</f>
        <v>24</v>
      </c>
      <c r="O233" t="s">
        <v>2778</v>
      </c>
      <c r="P233" t="s">
        <v>27</v>
      </c>
    </row>
    <row r="234" spans="1:16" hidden="1" x14ac:dyDescent="0.25">
      <c r="A234" s="3" t="s">
        <v>2804</v>
      </c>
      <c r="B234" t="s">
        <v>214</v>
      </c>
      <c r="C234" t="s">
        <v>224</v>
      </c>
      <c r="D234" t="s">
        <v>26</v>
      </c>
      <c r="E234" t="s">
        <v>62</v>
      </c>
      <c r="F234">
        <v>1</v>
      </c>
      <c r="G234" s="3" t="s">
        <v>32</v>
      </c>
      <c r="H234" s="46" t="s">
        <v>15</v>
      </c>
      <c r="I234" s="17">
        <v>441878.16</v>
      </c>
      <c r="J234" s="17">
        <f>IF(Gastos[[#This Row],[Divisa]]="$", I234*1, IF(Gastos[[#This Row],[Divisa]]="U$D", I234*$N$1, IF(Gastos[[#This Row],[Divisa]]="EUR", I234*$N$2, 0)))</f>
        <v>441878.16</v>
      </c>
      <c r="K234" s="54">
        <f>Gastos[[#This Row],[Importe AR$]]/$N$1</f>
        <v>283.25523076923076</v>
      </c>
      <c r="M234" s="69">
        <v>46183</v>
      </c>
      <c r="N234" s="43">
        <f>IF(Gastos[[#This Row],[Fecha_Cheque]]&gt;0,WEEKNUM(Gastos[[#This Row],[Fecha_Cheque]]),MID(Gastos[[#This Row],[Semana]],6,2))</f>
        <v>24</v>
      </c>
      <c r="O234" t="s">
        <v>2805</v>
      </c>
      <c r="P234" t="s">
        <v>27</v>
      </c>
    </row>
    <row r="235" spans="1:16" hidden="1" x14ac:dyDescent="0.25">
      <c r="A235" s="3" t="s">
        <v>2804</v>
      </c>
      <c r="B235" t="s">
        <v>214</v>
      </c>
      <c r="C235" t="s">
        <v>224</v>
      </c>
      <c r="D235" t="s">
        <v>26</v>
      </c>
      <c r="E235" t="s">
        <v>62</v>
      </c>
      <c r="F235">
        <v>1</v>
      </c>
      <c r="G235" s="3" t="s">
        <v>32</v>
      </c>
      <c r="H235" s="46" t="s">
        <v>15</v>
      </c>
      <c r="I235" s="17">
        <v>506122.25</v>
      </c>
      <c r="J235" s="17">
        <f>IF(Gastos[[#This Row],[Divisa]]="$", I235*1, IF(Gastos[[#This Row],[Divisa]]="U$D", I235*$N$1, IF(Gastos[[#This Row],[Divisa]]="EUR", I235*$N$2, 0)))</f>
        <v>506122.25</v>
      </c>
      <c r="K235" s="54">
        <f>Gastos[[#This Row],[Importe AR$]]/$N$1</f>
        <v>324.43733974358975</v>
      </c>
      <c r="M235" s="69">
        <v>46183</v>
      </c>
      <c r="N235" s="43">
        <f>IF(Gastos[[#This Row],[Fecha_Cheque]]&gt;0,WEEKNUM(Gastos[[#This Row],[Fecha_Cheque]]),MID(Gastos[[#This Row],[Semana]],6,2))</f>
        <v>24</v>
      </c>
      <c r="O235" t="s">
        <v>2805</v>
      </c>
      <c r="P235" t="s">
        <v>27</v>
      </c>
    </row>
    <row r="236" spans="1:16" hidden="1" x14ac:dyDescent="0.25">
      <c r="A236" s="3" t="s">
        <v>2804</v>
      </c>
      <c r="B236" t="s">
        <v>214</v>
      </c>
      <c r="C236" t="s">
        <v>224</v>
      </c>
      <c r="D236" t="s">
        <v>26</v>
      </c>
      <c r="E236" t="s">
        <v>62</v>
      </c>
      <c r="F236">
        <v>1</v>
      </c>
      <c r="G236" s="3" t="s">
        <v>32</v>
      </c>
      <c r="H236" s="46" t="s">
        <v>15</v>
      </c>
      <c r="I236" s="17">
        <v>1267399.52</v>
      </c>
      <c r="J236" s="17">
        <f>IF(Gastos[[#This Row],[Divisa]]="$", I236*1, IF(Gastos[[#This Row],[Divisa]]="U$D", I236*$N$1, IF(Gastos[[#This Row],[Divisa]]="EUR", I236*$N$2, 0)))</f>
        <v>1267399.52</v>
      </c>
      <c r="K236" s="54">
        <f>Gastos[[#This Row],[Importe AR$]]/$N$1</f>
        <v>812.43558974358973</v>
      </c>
      <c r="M236" s="69">
        <v>46183</v>
      </c>
      <c r="N236" s="43">
        <f>IF(Gastos[[#This Row],[Fecha_Cheque]]&gt;0,WEEKNUM(Gastos[[#This Row],[Fecha_Cheque]]),MID(Gastos[[#This Row],[Semana]],6,2))</f>
        <v>24</v>
      </c>
      <c r="O236" t="s">
        <v>2805</v>
      </c>
      <c r="P236" t="s">
        <v>27</v>
      </c>
    </row>
    <row r="237" spans="1:16" hidden="1" x14ac:dyDescent="0.25">
      <c r="A237" s="3" t="s">
        <v>2804</v>
      </c>
      <c r="B237" t="s">
        <v>214</v>
      </c>
      <c r="C237" t="s">
        <v>224</v>
      </c>
      <c r="D237" t="s">
        <v>26</v>
      </c>
      <c r="E237" t="s">
        <v>62</v>
      </c>
      <c r="F237">
        <v>1</v>
      </c>
      <c r="G237" s="3" t="s">
        <v>32</v>
      </c>
      <c r="H237" s="46" t="s">
        <v>15</v>
      </c>
      <c r="I237" s="17">
        <v>32138.18</v>
      </c>
      <c r="J237" s="17">
        <f>IF(Gastos[[#This Row],[Divisa]]="$", I237*1, IF(Gastos[[#This Row],[Divisa]]="U$D", I237*$N$1, IF(Gastos[[#This Row],[Divisa]]="EUR", I237*$N$2, 0)))</f>
        <v>32138.18</v>
      </c>
      <c r="K237" s="54">
        <f>Gastos[[#This Row],[Importe AR$]]/$N$1</f>
        <v>20.601397435897436</v>
      </c>
      <c r="L237" t="s">
        <v>340</v>
      </c>
      <c r="M237" s="69"/>
      <c r="N237" s="43" t="str">
        <f>IF(Gastos[[#This Row],[Fecha_Cheque]]&gt;0,WEEKNUM(Gastos[[#This Row],[Fecha_Cheque]]),MID(Gastos[[#This Row],[Semana]],6,2))</f>
        <v>19</v>
      </c>
      <c r="O237" t="s">
        <v>2805</v>
      </c>
      <c r="P237" t="s">
        <v>27</v>
      </c>
    </row>
    <row r="238" spans="1:16" hidden="1" x14ac:dyDescent="0.25">
      <c r="A238" s="3" t="s">
        <v>2792</v>
      </c>
      <c r="B238" t="s">
        <v>214</v>
      </c>
      <c r="C238" t="s">
        <v>224</v>
      </c>
      <c r="D238" t="s">
        <v>26</v>
      </c>
      <c r="E238" t="s">
        <v>62</v>
      </c>
      <c r="F238">
        <v>1</v>
      </c>
      <c r="G238" s="3" t="s">
        <v>32</v>
      </c>
      <c r="H238" s="46" t="s">
        <v>15</v>
      </c>
      <c r="I238" s="17">
        <v>757000</v>
      </c>
      <c r="J238" s="17">
        <f>IF(Gastos[[#This Row],[Divisa]]="$", I238*1, IF(Gastos[[#This Row],[Divisa]]="U$D", I238*$N$1, IF(Gastos[[#This Row],[Divisa]]="EUR", I238*$N$2, 0)))</f>
        <v>757000</v>
      </c>
      <c r="K238" s="54">
        <f>Gastos[[#This Row],[Importe AR$]]/$N$1</f>
        <v>485.25641025641028</v>
      </c>
      <c r="M238" s="69">
        <v>46192</v>
      </c>
      <c r="N238" s="43">
        <f>IF(Gastos[[#This Row],[Fecha_Cheque]]&gt;0,WEEKNUM(Gastos[[#This Row],[Fecha_Cheque]]),MID(Gastos[[#This Row],[Semana]],6,2))</f>
        <v>25</v>
      </c>
      <c r="O238" t="s">
        <v>2840</v>
      </c>
      <c r="P238" t="s">
        <v>27</v>
      </c>
    </row>
    <row r="239" spans="1:16" hidden="1" x14ac:dyDescent="0.25">
      <c r="A239" s="3" t="s">
        <v>2792</v>
      </c>
      <c r="B239" t="s">
        <v>214</v>
      </c>
      <c r="C239" t="s">
        <v>224</v>
      </c>
      <c r="D239" t="s">
        <v>26</v>
      </c>
      <c r="E239" t="s">
        <v>62</v>
      </c>
      <c r="F239">
        <v>1</v>
      </c>
      <c r="G239" s="3" t="s">
        <v>32</v>
      </c>
      <c r="H239" s="46" t="s">
        <v>15</v>
      </c>
      <c r="I239" s="17">
        <v>757000</v>
      </c>
      <c r="J239" s="17">
        <f>IF(Gastos[[#This Row],[Divisa]]="$", I239*1, IF(Gastos[[#This Row],[Divisa]]="U$D", I239*$N$1, IF(Gastos[[#This Row],[Divisa]]="EUR", I239*$N$2, 0)))</f>
        <v>757000</v>
      </c>
      <c r="K239" s="54">
        <f>Gastos[[#This Row],[Importe AR$]]/$N$1</f>
        <v>485.25641025641028</v>
      </c>
      <c r="M239" s="69">
        <v>46202</v>
      </c>
      <c r="N239" s="43">
        <f>IF(Gastos[[#This Row],[Fecha_Cheque]]&gt;0,WEEKNUM(Gastos[[#This Row],[Fecha_Cheque]]),MID(Gastos[[#This Row],[Semana]],6,2))</f>
        <v>27</v>
      </c>
      <c r="O239" t="s">
        <v>2840</v>
      </c>
      <c r="P239" t="s">
        <v>27</v>
      </c>
    </row>
    <row r="240" spans="1:16" hidden="1" x14ac:dyDescent="0.25">
      <c r="A240" s="3" t="s">
        <v>2792</v>
      </c>
      <c r="B240" t="s">
        <v>214</v>
      </c>
      <c r="C240" t="s">
        <v>224</v>
      </c>
      <c r="D240" t="s">
        <v>26</v>
      </c>
      <c r="E240" t="s">
        <v>62</v>
      </c>
      <c r="F240">
        <v>1</v>
      </c>
      <c r="G240" s="3" t="s">
        <v>32</v>
      </c>
      <c r="H240" s="46" t="s">
        <v>15</v>
      </c>
      <c r="I240" s="17">
        <v>25556</v>
      </c>
      <c r="J240" s="17">
        <f>IF(Gastos[[#This Row],[Divisa]]="$", I240*1, IF(Gastos[[#This Row],[Divisa]]="U$D", I240*$N$1, IF(Gastos[[#This Row],[Divisa]]="EUR", I240*$N$2, 0)))</f>
        <v>25556</v>
      </c>
      <c r="K240" s="54">
        <f>Gastos[[#This Row],[Importe AR$]]/$N$1</f>
        <v>16.382051282051282</v>
      </c>
      <c r="L240" t="s">
        <v>340</v>
      </c>
      <c r="M240" s="69"/>
      <c r="N240" s="43" t="str">
        <f>IF(Gastos[[#This Row],[Fecha_Cheque]]&gt;0,WEEKNUM(Gastos[[#This Row],[Fecha_Cheque]]),MID(Gastos[[#This Row],[Semana]],6,2))</f>
        <v>21</v>
      </c>
      <c r="O240" t="s">
        <v>2840</v>
      </c>
      <c r="P240" t="s">
        <v>27</v>
      </c>
    </row>
    <row r="241" spans="1:16" hidden="1" x14ac:dyDescent="0.25">
      <c r="A241" s="3" t="s">
        <v>4322</v>
      </c>
      <c r="B241" t="s">
        <v>214</v>
      </c>
      <c r="C241" t="s">
        <v>224</v>
      </c>
      <c r="D241" t="s">
        <v>26</v>
      </c>
      <c r="E241" t="s">
        <v>62</v>
      </c>
      <c r="F241">
        <v>1</v>
      </c>
      <c r="G241" s="3" t="s">
        <v>32</v>
      </c>
      <c r="H241" s="46" t="s">
        <v>15</v>
      </c>
      <c r="I241" s="17">
        <v>9667839.4399999995</v>
      </c>
      <c r="J241" s="17">
        <f>IF(Gastos[[#This Row],[Divisa]]="$", I241*1, IF(Gastos[[#This Row],[Divisa]]="U$D", I241*$N$1, IF(Gastos[[#This Row],[Divisa]]="EUR", I241*$N$2, 0)))</f>
        <v>9667839.4399999995</v>
      </c>
      <c r="K241" s="54">
        <f>Gastos[[#This Row],[Importe AR$]]/$N$1</f>
        <v>6197.3329743589738</v>
      </c>
      <c r="M241" s="69">
        <v>46296</v>
      </c>
      <c r="N241" s="43">
        <f>IF(Gastos[[#This Row],[Fecha_Cheque]]&gt;0,WEEKNUM(Gastos[[#This Row],[Fecha_Cheque]]),MID(Gastos[[#This Row],[Semana]],6,2))</f>
        <v>40</v>
      </c>
      <c r="O241" t="s">
        <v>4355</v>
      </c>
      <c r="P241" t="s">
        <v>27</v>
      </c>
    </row>
    <row r="242" spans="1:16" hidden="1" x14ac:dyDescent="0.25">
      <c r="A242" s="3" t="s">
        <v>4322</v>
      </c>
      <c r="B242" t="s">
        <v>214</v>
      </c>
      <c r="C242" t="s">
        <v>224</v>
      </c>
      <c r="D242" t="s">
        <v>26</v>
      </c>
      <c r="E242" t="s">
        <v>62</v>
      </c>
      <c r="F242">
        <v>1</v>
      </c>
      <c r="G242" s="3" t="s">
        <v>32</v>
      </c>
      <c r="H242" s="46" t="s">
        <v>15</v>
      </c>
      <c r="I242" s="17">
        <v>188876.79</v>
      </c>
      <c r="J242" s="17">
        <f>IF(Gastos[[#This Row],[Divisa]]="$", I242*1, IF(Gastos[[#This Row],[Divisa]]="U$D", I242*$N$1, IF(Gastos[[#This Row],[Divisa]]="EUR", I242*$N$2, 0)))</f>
        <v>188876.79</v>
      </c>
      <c r="K242" s="54">
        <f>Gastos[[#This Row],[Importe AR$]]/$N$1</f>
        <v>121.07486538461539</v>
      </c>
      <c r="L242" t="s">
        <v>340</v>
      </c>
      <c r="M242" s="69"/>
      <c r="N242" s="43" t="str">
        <f>IF(Gastos[[#This Row],[Fecha_Cheque]]&gt;0,WEEKNUM(Gastos[[#This Row],[Fecha_Cheque]]),MID(Gastos[[#This Row],[Semana]],6,2))</f>
        <v>38</v>
      </c>
      <c r="O242" t="s">
        <v>4355</v>
      </c>
      <c r="P242" t="s">
        <v>27</v>
      </c>
    </row>
    <row r="243" spans="1:16" x14ac:dyDescent="0.25">
      <c r="A243" s="3" t="s">
        <v>4655</v>
      </c>
      <c r="B243" t="s">
        <v>207</v>
      </c>
      <c r="C243" t="s">
        <v>4599</v>
      </c>
      <c r="D243" t="s">
        <v>26</v>
      </c>
      <c r="E243" t="s">
        <v>31</v>
      </c>
      <c r="F243">
        <v>1</v>
      </c>
      <c r="G243" s="3" t="s">
        <v>4</v>
      </c>
      <c r="H243" s="44" t="s">
        <v>15</v>
      </c>
      <c r="I243" s="49">
        <v>579360.17000000004</v>
      </c>
      <c r="J243" s="17">
        <f>IF(Gastos[[#This Row],[Divisa]]="$", I243*1, IF(Gastos[[#This Row],[Divisa]]="U$D", I243*$N$1, IF(Gastos[[#This Row],[Divisa]]="EUR", I243*$N$2, 0)))</f>
        <v>579360.17000000004</v>
      </c>
      <c r="K243" s="54">
        <f>Gastos[[#This Row],[Importe AR$]]/$N$1</f>
        <v>371.38472435897438</v>
      </c>
      <c r="M243" s="69"/>
      <c r="N243" s="43" t="str">
        <f>IF(Gastos[[#This Row],[Fecha_Cheque]]&gt;0,WEEKNUM(Gastos[[#This Row],[Fecha_Cheque]]),MID(Gastos[[#This Row],[Semana]],6,2))</f>
        <v>44</v>
      </c>
      <c r="O243" t="s">
        <v>4667</v>
      </c>
      <c r="P243" t="s">
        <v>27</v>
      </c>
    </row>
    <row r="244" spans="1:16" hidden="1" x14ac:dyDescent="0.25">
      <c r="A244" s="3" t="s">
        <v>89</v>
      </c>
      <c r="B244" t="s">
        <v>230</v>
      </c>
      <c r="C244" t="s">
        <v>231</v>
      </c>
      <c r="D244" t="s">
        <v>26</v>
      </c>
      <c r="E244" t="s">
        <v>31</v>
      </c>
      <c r="F244">
        <v>1</v>
      </c>
      <c r="G244" s="3" t="s">
        <v>5</v>
      </c>
      <c r="H244" s="46" t="s">
        <v>15</v>
      </c>
      <c r="I244" s="17">
        <v>350000</v>
      </c>
      <c r="J244" s="17">
        <f>IF(Gastos[[#This Row],[Divisa]]="$", I244*1, IF(Gastos[[#This Row],[Divisa]]="U$D", I244*$N$1, IF(Gastos[[#This Row],[Divisa]]="EUR", I244*$N$2, 0)))</f>
        <v>350000</v>
      </c>
      <c r="K244" s="54">
        <f>Gastos[[#This Row],[Importe AR$]]/$N$1</f>
        <v>224.35897435897436</v>
      </c>
      <c r="M244" s="69"/>
      <c r="N244" s="43" t="str">
        <f>IF(Gastos[[#This Row],[Fecha_Cheque]]&gt;0,WEEKNUM(Gastos[[#This Row],[Fecha_Cheque]]),MID(Gastos[[#This Row],[Semana]],6,2))</f>
        <v>39</v>
      </c>
      <c r="O244" t="s">
        <v>123</v>
      </c>
      <c r="P244" t="s">
        <v>27</v>
      </c>
    </row>
    <row r="245" spans="1:16" hidden="1" x14ac:dyDescent="0.25">
      <c r="A245" s="3" t="s">
        <v>232</v>
      </c>
      <c r="B245" t="s">
        <v>233</v>
      </c>
      <c r="C245" t="s">
        <v>234</v>
      </c>
      <c r="D245" t="s">
        <v>26</v>
      </c>
      <c r="E245" t="s">
        <v>31</v>
      </c>
      <c r="F245">
        <v>1</v>
      </c>
      <c r="G245" s="3" t="s">
        <v>5</v>
      </c>
      <c r="H245" s="46" t="s">
        <v>15</v>
      </c>
      <c r="I245" s="17">
        <v>175000</v>
      </c>
      <c r="J245" s="17">
        <f>IF(Gastos[[#This Row],[Divisa]]="$", I245*1, IF(Gastos[[#This Row],[Divisa]]="U$D", I245*$N$1, IF(Gastos[[#This Row],[Divisa]]="EUR", I245*$N$2, 0)))</f>
        <v>175000</v>
      </c>
      <c r="K245" s="54">
        <f>Gastos[[#This Row],[Importe AR$]]/$N$1</f>
        <v>112.17948717948718</v>
      </c>
      <c r="M245" s="69"/>
      <c r="N245" s="43" t="str">
        <f>IF(Gastos[[#This Row],[Fecha_Cheque]]&gt;0,WEEKNUM(Gastos[[#This Row],[Fecha_Cheque]]),MID(Gastos[[#This Row],[Semana]],6,2))</f>
        <v>44</v>
      </c>
      <c r="O245" t="s">
        <v>235</v>
      </c>
      <c r="P245" t="s">
        <v>27</v>
      </c>
    </row>
    <row r="246" spans="1:16" hidden="1" x14ac:dyDescent="0.25">
      <c r="A246" s="3" t="s">
        <v>44</v>
      </c>
      <c r="B246" t="s">
        <v>230</v>
      </c>
      <c r="C246" t="s">
        <v>236</v>
      </c>
      <c r="D246" t="s">
        <v>26</v>
      </c>
      <c r="E246" t="s">
        <v>91</v>
      </c>
      <c r="F246">
        <v>1</v>
      </c>
      <c r="G246" s="3" t="s">
        <v>5</v>
      </c>
      <c r="H246" s="46" t="s">
        <v>15</v>
      </c>
      <c r="I246" s="17">
        <v>175000</v>
      </c>
      <c r="J246" s="17">
        <f>IF(Gastos[[#This Row],[Divisa]]="$", I246*1, IF(Gastos[[#This Row],[Divisa]]="U$D", I246*$N$1, IF(Gastos[[#This Row],[Divisa]]="EUR", I246*$N$2, 0)))</f>
        <v>175000</v>
      </c>
      <c r="K246" s="54">
        <f>Gastos[[#This Row],[Importe AR$]]/$N$1</f>
        <v>112.17948717948718</v>
      </c>
      <c r="M246" s="69"/>
      <c r="N246" s="43" t="str">
        <f>IF(Gastos[[#This Row],[Fecha_Cheque]]&gt;0,WEEKNUM(Gastos[[#This Row],[Fecha_Cheque]]),MID(Gastos[[#This Row],[Semana]],6,2))</f>
        <v>51</v>
      </c>
      <c r="O246" t="s">
        <v>237</v>
      </c>
      <c r="P246" t="s">
        <v>27</v>
      </c>
    </row>
    <row r="247" spans="1:16" x14ac:dyDescent="0.25">
      <c r="A247" s="3" t="s">
        <v>4655</v>
      </c>
      <c r="B247" t="s">
        <v>3742</v>
      </c>
      <c r="C247" t="s">
        <v>3863</v>
      </c>
      <c r="D247" t="s">
        <v>26</v>
      </c>
      <c r="E247" t="s">
        <v>62</v>
      </c>
      <c r="F247">
        <v>1</v>
      </c>
      <c r="G247" s="3" t="s">
        <v>5</v>
      </c>
      <c r="H247" s="44" t="s">
        <v>15</v>
      </c>
      <c r="I247" s="17">
        <v>605000</v>
      </c>
      <c r="J247" s="17">
        <f>IF(Gastos[[#This Row],[Divisa]]="$", I247*1, IF(Gastos[[#This Row],[Divisa]]="U$D", I247*$N$1, IF(Gastos[[#This Row],[Divisa]]="EUR", I247*$N$2, 0)))</f>
        <v>605000</v>
      </c>
      <c r="K247" s="54">
        <f>Gastos[[#This Row],[Importe AR$]]/$N$1</f>
        <v>387.82051282051282</v>
      </c>
      <c r="M247" s="69"/>
      <c r="N247" s="43" t="str">
        <f>IF(Gastos[[#This Row],[Fecha_Cheque]]&gt;0,WEEKNUM(Gastos[[#This Row],[Fecha_Cheque]]),MID(Gastos[[#This Row],[Semana]],6,2))</f>
        <v>44</v>
      </c>
      <c r="P247" t="s">
        <v>7</v>
      </c>
    </row>
    <row r="248" spans="1:16" hidden="1" x14ac:dyDescent="0.25">
      <c r="A248" s="3" t="s">
        <v>50</v>
      </c>
      <c r="B248" t="s">
        <v>238</v>
      </c>
      <c r="C248" t="s">
        <v>239</v>
      </c>
      <c r="D248" t="s">
        <v>26</v>
      </c>
      <c r="E248" t="s">
        <v>31</v>
      </c>
      <c r="F248">
        <v>1</v>
      </c>
      <c r="G248" s="3" t="s">
        <v>32</v>
      </c>
      <c r="H248" s="46" t="s">
        <v>15</v>
      </c>
      <c r="I248" s="17">
        <v>774089.82</v>
      </c>
      <c r="J248" s="17">
        <f>IF(Gastos[[#This Row],[Divisa]]="$", I248*1, IF(Gastos[[#This Row],[Divisa]]="U$D", I248*$N$1, IF(Gastos[[#This Row],[Divisa]]="EUR", I248*$N$2, 0)))</f>
        <v>774089.82</v>
      </c>
      <c r="K248" s="54">
        <f>Gastos[[#This Row],[Importe AR$]]/$N$1</f>
        <v>496.21142307692304</v>
      </c>
      <c r="L248" t="s">
        <v>215</v>
      </c>
      <c r="M248" s="69">
        <v>45849</v>
      </c>
      <c r="N248" s="43">
        <f>IF(Gastos[[#This Row],[Fecha_Cheque]]&gt;0,WEEKNUM(Gastos[[#This Row],[Fecha_Cheque]]),MID(Gastos[[#This Row],[Semana]],6,2))</f>
        <v>28</v>
      </c>
      <c r="O248" s="8" t="s">
        <v>240</v>
      </c>
      <c r="P248" s="8" t="s">
        <v>27</v>
      </c>
    </row>
    <row r="249" spans="1:16" hidden="1" x14ac:dyDescent="0.25">
      <c r="A249" s="3" t="s">
        <v>147</v>
      </c>
      <c r="B249" t="s">
        <v>238</v>
      </c>
      <c r="C249" t="s">
        <v>241</v>
      </c>
      <c r="D249" t="s">
        <v>26</v>
      </c>
      <c r="E249" t="s">
        <v>31</v>
      </c>
      <c r="F249">
        <v>1</v>
      </c>
      <c r="G249" s="3" t="s">
        <v>32</v>
      </c>
      <c r="H249" s="46" t="s">
        <v>15</v>
      </c>
      <c r="I249" s="17">
        <v>1283117.5</v>
      </c>
      <c r="J249" s="17">
        <f>IF(Gastos[[#This Row],[Divisa]]="$", I249*1, IF(Gastos[[#This Row],[Divisa]]="U$D", I249*$N$1, IF(Gastos[[#This Row],[Divisa]]="EUR", I249*$N$2, 0)))</f>
        <v>1283117.5</v>
      </c>
      <c r="K249" s="54">
        <f>Gastos[[#This Row],[Importe AR$]]/$N$1</f>
        <v>822.5112179487179</v>
      </c>
      <c r="L249" t="s">
        <v>242</v>
      </c>
      <c r="M249" s="69"/>
      <c r="N249" s="43" t="str">
        <f>IF(Gastos[[#This Row],[Fecha_Cheque]]&gt;0,WEEKNUM(Gastos[[#This Row],[Fecha_Cheque]]),MID(Gastos[[#This Row],[Semana]],6,2))</f>
        <v>17</v>
      </c>
      <c r="O249" t="s">
        <v>243</v>
      </c>
      <c r="P249" t="s">
        <v>27</v>
      </c>
    </row>
    <row r="250" spans="1:16" hidden="1" x14ac:dyDescent="0.25">
      <c r="A250" s="3" t="s">
        <v>147</v>
      </c>
      <c r="B250" t="s">
        <v>238</v>
      </c>
      <c r="C250" t="s">
        <v>244</v>
      </c>
      <c r="D250" t="s">
        <v>26</v>
      </c>
      <c r="E250" t="s">
        <v>31</v>
      </c>
      <c r="F250">
        <v>1</v>
      </c>
      <c r="G250" s="3" t="s">
        <v>32</v>
      </c>
      <c r="H250" s="46" t="s">
        <v>15</v>
      </c>
      <c r="I250" s="17">
        <v>237514</v>
      </c>
      <c r="J250" s="17">
        <f>IF(Gastos[[#This Row],[Divisa]]="$", I250*1, IF(Gastos[[#This Row],[Divisa]]="U$D", I250*$N$1, IF(Gastos[[#This Row],[Divisa]]="EUR", I250*$N$2, 0)))</f>
        <v>237514</v>
      </c>
      <c r="K250" s="54">
        <f>Gastos[[#This Row],[Importe AR$]]/$N$1</f>
        <v>152.25256410256409</v>
      </c>
      <c r="L250" t="s">
        <v>215</v>
      </c>
      <c r="M250" s="69"/>
      <c r="N250" s="43" t="str">
        <f>IF(Gastos[[#This Row],[Fecha_Cheque]]&gt;0,WEEKNUM(Gastos[[#This Row],[Fecha_Cheque]]),MID(Gastos[[#This Row],[Semana]],6,2))</f>
        <v>17</v>
      </c>
      <c r="O250" t="s">
        <v>245</v>
      </c>
      <c r="P250" t="s">
        <v>27</v>
      </c>
    </row>
    <row r="251" spans="1:16" hidden="1" x14ac:dyDescent="0.25">
      <c r="A251" s="3" t="s">
        <v>53</v>
      </c>
      <c r="B251" t="s">
        <v>238</v>
      </c>
      <c r="C251" t="s">
        <v>246</v>
      </c>
      <c r="D251" t="s">
        <v>26</v>
      </c>
      <c r="E251" t="s">
        <v>31</v>
      </c>
      <c r="F251">
        <v>1</v>
      </c>
      <c r="G251" s="3" t="s">
        <v>32</v>
      </c>
      <c r="H251" s="46" t="s">
        <v>15</v>
      </c>
      <c r="I251" s="17">
        <f>483.52*1240</f>
        <v>599564.79999999993</v>
      </c>
      <c r="J251" s="17">
        <f>IF(Gastos[[#This Row],[Divisa]]="$", I251*1, IF(Gastos[[#This Row],[Divisa]]="U$D", I251*$N$1, IF(Gastos[[#This Row],[Divisa]]="EUR", I251*$N$2, 0)))</f>
        <v>599564.79999999993</v>
      </c>
      <c r="K251" s="54">
        <f>Gastos[[#This Row],[Importe AR$]]/$N$1</f>
        <v>384.3364102564102</v>
      </c>
      <c r="L251" t="s">
        <v>215</v>
      </c>
      <c r="M251" s="69">
        <v>45897</v>
      </c>
      <c r="N251" s="43">
        <f>IF(Gastos[[#This Row],[Fecha_Cheque]]&gt;0,WEEKNUM(Gastos[[#This Row],[Fecha_Cheque]]),MID(Gastos[[#This Row],[Semana]],6,2))</f>
        <v>35</v>
      </c>
      <c r="O251" t="s">
        <v>247</v>
      </c>
      <c r="P251" t="s">
        <v>27</v>
      </c>
    </row>
    <row r="252" spans="1:16" hidden="1" x14ac:dyDescent="0.25">
      <c r="A252" s="3" t="s">
        <v>2711</v>
      </c>
      <c r="B252" t="s">
        <v>238</v>
      </c>
      <c r="C252" t="s">
        <v>2747</v>
      </c>
      <c r="D252" t="s">
        <v>26</v>
      </c>
      <c r="E252" t="s">
        <v>31</v>
      </c>
      <c r="F252">
        <v>1</v>
      </c>
      <c r="G252" s="3" t="s">
        <v>32</v>
      </c>
      <c r="H252" s="44" t="s">
        <v>15</v>
      </c>
      <c r="I252" s="17">
        <v>193671.44</v>
      </c>
      <c r="J252" s="17">
        <f>IF(Gastos[[#This Row],[Divisa]]="$", I252*1, IF(Gastos[[#This Row],[Divisa]]="U$D", I252*$N$1, IF(Gastos[[#This Row],[Divisa]]="EUR", I252*$N$2, 0)))</f>
        <v>193671.44</v>
      </c>
      <c r="K252" s="54">
        <f>Gastos[[#This Row],[Importe AR$]]/$N$1</f>
        <v>124.14835897435897</v>
      </c>
      <c r="M252" s="69">
        <v>46152</v>
      </c>
      <c r="N252" s="43">
        <f>IF(Gastos[[#This Row],[Fecha_Cheque]]&gt;0,WEEKNUM(Gastos[[#This Row],[Fecha_Cheque]]),MID(Gastos[[#This Row],[Semana]],6,2))</f>
        <v>20</v>
      </c>
      <c r="O252" t="s">
        <v>2748</v>
      </c>
      <c r="P252" t="s">
        <v>27</v>
      </c>
    </row>
    <row r="253" spans="1:16" hidden="1" x14ac:dyDescent="0.25">
      <c r="A253" s="3" t="s">
        <v>2841</v>
      </c>
      <c r="B253" t="s">
        <v>238</v>
      </c>
      <c r="C253" t="s">
        <v>2842</v>
      </c>
      <c r="D253" t="s">
        <v>26</v>
      </c>
      <c r="E253" t="s">
        <v>31</v>
      </c>
      <c r="F253">
        <v>1</v>
      </c>
      <c r="G253" s="3" t="s">
        <v>32</v>
      </c>
      <c r="H253" s="44" t="s">
        <v>15</v>
      </c>
      <c r="I253" s="17">
        <v>1090924.3999999999</v>
      </c>
      <c r="J253" s="17">
        <f>IF(Gastos[[#This Row],[Divisa]]="$", I253*1, IF(Gastos[[#This Row],[Divisa]]="U$D", I253*$N$1, IF(Gastos[[#This Row],[Divisa]]="EUR", I253*$N$2, 0)))</f>
        <v>1090924.3999999999</v>
      </c>
      <c r="K253" s="54">
        <f>Gastos[[#This Row],[Importe AR$]]/$N$1</f>
        <v>699.31051282051271</v>
      </c>
      <c r="M253" s="69">
        <v>46199</v>
      </c>
      <c r="N253" s="43">
        <f>IF(Gastos[[#This Row],[Fecha_Cheque]]&gt;0,WEEKNUM(Gastos[[#This Row],[Fecha_Cheque]]),MID(Gastos[[#This Row],[Semana]],6,2))</f>
        <v>26</v>
      </c>
      <c r="O253" t="s">
        <v>2843</v>
      </c>
      <c r="P253" t="s">
        <v>27</v>
      </c>
    </row>
    <row r="254" spans="1:16" hidden="1" x14ac:dyDescent="0.25">
      <c r="A254" s="3" t="s">
        <v>2841</v>
      </c>
      <c r="B254" t="s">
        <v>238</v>
      </c>
      <c r="C254" t="s">
        <v>2842</v>
      </c>
      <c r="D254" t="s">
        <v>26</v>
      </c>
      <c r="E254" t="s">
        <v>31</v>
      </c>
      <c r="F254">
        <v>1</v>
      </c>
      <c r="G254" s="3" t="s">
        <v>32</v>
      </c>
      <c r="H254" s="44" t="s">
        <v>15</v>
      </c>
      <c r="I254" s="17">
        <v>13779.52</v>
      </c>
      <c r="J254" s="17">
        <f>IF(Gastos[[#This Row],[Divisa]]="$", I254*1, IF(Gastos[[#This Row],[Divisa]]="U$D", I254*$N$1, IF(Gastos[[#This Row],[Divisa]]="EUR", I254*$N$2, 0)))</f>
        <v>13779.52</v>
      </c>
      <c r="K254" s="54">
        <f>Gastos[[#This Row],[Importe AR$]]/$N$1</f>
        <v>8.8330256410256407</v>
      </c>
      <c r="L254" t="s">
        <v>340</v>
      </c>
      <c r="M254" s="69"/>
      <c r="N254" s="43" t="str">
        <f>IF(Gastos[[#This Row],[Fecha_Cheque]]&gt;0,WEEKNUM(Gastos[[#This Row],[Fecha_Cheque]]),MID(Gastos[[#This Row],[Semana]],6,2))</f>
        <v>22</v>
      </c>
      <c r="O254" t="s">
        <v>2843</v>
      </c>
      <c r="P254" t="s">
        <v>27</v>
      </c>
    </row>
    <row r="255" spans="1:16" hidden="1" x14ac:dyDescent="0.25">
      <c r="A255" s="3" t="s">
        <v>2841</v>
      </c>
      <c r="B255" t="s">
        <v>238</v>
      </c>
      <c r="C255" t="s">
        <v>2842</v>
      </c>
      <c r="D255" t="s">
        <v>26</v>
      </c>
      <c r="E255" t="s">
        <v>31</v>
      </c>
      <c r="F255">
        <v>1</v>
      </c>
      <c r="G255" s="3" t="s">
        <v>32</v>
      </c>
      <c r="H255" s="44" t="s">
        <v>15</v>
      </c>
      <c r="I255" s="17">
        <v>911421.87</v>
      </c>
      <c r="J255" s="17">
        <f>IF(Gastos[[#This Row],[Divisa]]="$", I255*1, IF(Gastos[[#This Row],[Divisa]]="U$D", I255*$N$1, IF(Gastos[[#This Row],[Divisa]]="EUR", I255*$N$2, 0)))</f>
        <v>911421.87</v>
      </c>
      <c r="K255" s="54">
        <f>Gastos[[#This Row],[Importe AR$]]/$N$1</f>
        <v>584.24478846153841</v>
      </c>
      <c r="M255" s="69">
        <v>46199</v>
      </c>
      <c r="N255" s="43">
        <f>IF(Gastos[[#This Row],[Fecha_Cheque]]&gt;0,WEEKNUM(Gastos[[#This Row],[Fecha_Cheque]]),MID(Gastos[[#This Row],[Semana]],6,2))</f>
        <v>26</v>
      </c>
      <c r="O255" t="s">
        <v>2871</v>
      </c>
      <c r="P255" t="s">
        <v>27</v>
      </c>
    </row>
    <row r="256" spans="1:16" hidden="1" x14ac:dyDescent="0.25">
      <c r="A256" s="3" t="s">
        <v>2841</v>
      </c>
      <c r="B256" t="s">
        <v>238</v>
      </c>
      <c r="C256" t="s">
        <v>2842</v>
      </c>
      <c r="D256" t="s">
        <v>26</v>
      </c>
      <c r="E256" t="s">
        <v>31</v>
      </c>
      <c r="F256">
        <v>1</v>
      </c>
      <c r="G256" s="3" t="s">
        <v>32</v>
      </c>
      <c r="H256" s="44" t="s">
        <v>15</v>
      </c>
      <c r="I256" s="17">
        <v>15317.97</v>
      </c>
      <c r="J256" s="17">
        <f>IF(Gastos[[#This Row],[Divisa]]="$", I256*1, IF(Gastos[[#This Row],[Divisa]]="U$D", I256*$N$1, IF(Gastos[[#This Row],[Divisa]]="EUR", I256*$N$2, 0)))</f>
        <v>15317.97</v>
      </c>
      <c r="K256" s="54">
        <f>Gastos[[#This Row],[Importe AR$]]/$N$1</f>
        <v>9.8192115384615377</v>
      </c>
      <c r="L256" t="s">
        <v>340</v>
      </c>
      <c r="M256" s="69"/>
      <c r="N256" s="43" t="str">
        <f>IF(Gastos[[#This Row],[Fecha_Cheque]]&gt;0,WEEKNUM(Gastos[[#This Row],[Fecha_Cheque]]),MID(Gastos[[#This Row],[Semana]],6,2))</f>
        <v>22</v>
      </c>
      <c r="O256" t="s">
        <v>2871</v>
      </c>
      <c r="P256" t="s">
        <v>27</v>
      </c>
    </row>
    <row r="257" spans="1:16" hidden="1" x14ac:dyDescent="0.25">
      <c r="A257" s="3" t="s">
        <v>3617</v>
      </c>
      <c r="B257" t="s">
        <v>238</v>
      </c>
      <c r="C257" t="s">
        <v>3644</v>
      </c>
      <c r="D257" t="s">
        <v>26</v>
      </c>
      <c r="E257" t="s">
        <v>31</v>
      </c>
      <c r="F257">
        <v>1</v>
      </c>
      <c r="G257" s="3" t="s">
        <v>5</v>
      </c>
      <c r="H257" s="44" t="s">
        <v>15</v>
      </c>
      <c r="I257" s="17">
        <v>2002346.27</v>
      </c>
      <c r="J257" s="17">
        <f>IF(Gastos[[#This Row],[Divisa]]="$", I257*1, IF(Gastos[[#This Row],[Divisa]]="U$D", I257*$N$1, IF(Gastos[[#This Row],[Divisa]]="EUR", I257*$N$2, 0)))</f>
        <v>2002346.27</v>
      </c>
      <c r="K257" s="54">
        <f>Gastos[[#This Row],[Importe AR$]]/$N$1</f>
        <v>1283.5553012820512</v>
      </c>
      <c r="M257" s="69"/>
      <c r="N257" s="43" t="str">
        <f>IF(Gastos[[#This Row],[Fecha_Cheque]]&gt;0,WEEKNUM(Gastos[[#This Row],[Fecha_Cheque]]),MID(Gastos[[#This Row],[Semana]],6,2))</f>
        <v>27</v>
      </c>
      <c r="O257" t="s">
        <v>3649</v>
      </c>
      <c r="P257" t="s">
        <v>27</v>
      </c>
    </row>
    <row r="258" spans="1:16" hidden="1" x14ac:dyDescent="0.25">
      <c r="A258" s="3" t="s">
        <v>4211</v>
      </c>
      <c r="B258" t="s">
        <v>238</v>
      </c>
      <c r="C258" t="s">
        <v>4271</v>
      </c>
      <c r="D258" t="s">
        <v>26</v>
      </c>
      <c r="E258" t="s">
        <v>62</v>
      </c>
      <c r="F258">
        <v>1</v>
      </c>
      <c r="G258" s="3" t="s">
        <v>5</v>
      </c>
      <c r="H258" s="44" t="s">
        <v>15</v>
      </c>
      <c r="I258" s="17">
        <v>8703.15</v>
      </c>
      <c r="J258" s="17">
        <f>IF(Gastos[[#This Row],[Divisa]]="$", I258*1, IF(Gastos[[#This Row],[Divisa]]="U$D", I258*$N$1, IF(Gastos[[#This Row],[Divisa]]="EUR", I258*$N$2, 0)))</f>
        <v>8703.15</v>
      </c>
      <c r="K258" s="54">
        <f>Gastos[[#This Row],[Importe AR$]]/$N$1</f>
        <v>5.5789423076923077</v>
      </c>
      <c r="M258" s="69"/>
      <c r="N258" s="43" t="str">
        <f>IF(Gastos[[#This Row],[Fecha_Cheque]]&gt;0,WEEKNUM(Gastos[[#This Row],[Fecha_Cheque]]),MID(Gastos[[#This Row],[Semana]],6,2))</f>
        <v>37</v>
      </c>
      <c r="O258" t="s">
        <v>4272</v>
      </c>
      <c r="P258" t="s">
        <v>27</v>
      </c>
    </row>
    <row r="259" spans="1:16" hidden="1" x14ac:dyDescent="0.25">
      <c r="A259" s="3" t="s">
        <v>68</v>
      </c>
      <c r="B259" t="s">
        <v>248</v>
      </c>
      <c r="C259" t="s">
        <v>249</v>
      </c>
      <c r="D259" t="s">
        <v>26</v>
      </c>
      <c r="E259" t="s">
        <v>31</v>
      </c>
      <c r="F259">
        <v>1</v>
      </c>
      <c r="G259" s="3" t="s">
        <v>32</v>
      </c>
      <c r="H259" s="46" t="s">
        <v>15</v>
      </c>
      <c r="I259" s="17">
        <v>217800</v>
      </c>
      <c r="J259" s="17">
        <f>IF(Gastos[[#This Row],[Divisa]]="$", I259*1, IF(Gastos[[#This Row],[Divisa]]="U$D", I259*$N$1, IF(Gastos[[#This Row],[Divisa]]="EUR", I259*$N$2, 0)))</f>
        <v>217800</v>
      </c>
      <c r="K259" s="54">
        <f>Gastos[[#This Row],[Importe AR$]]/$N$1</f>
        <v>139.61538461538461</v>
      </c>
      <c r="M259" s="69">
        <v>46080</v>
      </c>
      <c r="N259" s="43">
        <f>IF(Gastos[[#This Row],[Fecha_Cheque]]&gt;0,WEEKNUM(Gastos[[#This Row],[Fecha_Cheque]]),MID(Gastos[[#This Row],[Semana]],6,2))</f>
        <v>9</v>
      </c>
      <c r="O259" t="s">
        <v>250</v>
      </c>
      <c r="P259" t="s">
        <v>27</v>
      </c>
    </row>
    <row r="260" spans="1:16" hidden="1" x14ac:dyDescent="0.25">
      <c r="A260" s="3" t="s">
        <v>139</v>
      </c>
      <c r="B260" t="s">
        <v>248</v>
      </c>
      <c r="C260" t="s">
        <v>251</v>
      </c>
      <c r="D260" t="s">
        <v>26</v>
      </c>
      <c r="E260" t="s">
        <v>31</v>
      </c>
      <c r="F260">
        <v>1</v>
      </c>
      <c r="G260" s="3" t="s">
        <v>32</v>
      </c>
      <c r="H260" s="46" t="s">
        <v>15</v>
      </c>
      <c r="I260" s="17">
        <v>211750</v>
      </c>
      <c r="J260" s="17">
        <f>IF(Gastos[[#This Row],[Divisa]]="$", I260*1, IF(Gastos[[#This Row],[Divisa]]="U$D", I260*$N$1, IF(Gastos[[#This Row],[Divisa]]="EUR", I260*$N$2, 0)))</f>
        <v>211750</v>
      </c>
      <c r="K260" s="54">
        <f>Gastos[[#This Row],[Importe AR$]]/$N$1</f>
        <v>135.73717948717947</v>
      </c>
      <c r="M260" s="69"/>
      <c r="N260" s="43" t="str">
        <f>IF(Gastos[[#This Row],[Fecha_Cheque]]&gt;0,WEEKNUM(Gastos[[#This Row],[Fecha_Cheque]]),MID(Gastos[[#This Row],[Semana]],6,2))</f>
        <v>08</v>
      </c>
      <c r="O260" t="s">
        <v>252</v>
      </c>
      <c r="P260" t="s">
        <v>27</v>
      </c>
    </row>
    <row r="261" spans="1:16" hidden="1" x14ac:dyDescent="0.25">
      <c r="A261" s="3" t="s">
        <v>180</v>
      </c>
      <c r="B261" t="s">
        <v>248</v>
      </c>
      <c r="C261" t="s">
        <v>347</v>
      </c>
      <c r="D261" t="s">
        <v>26</v>
      </c>
      <c r="E261" t="s">
        <v>31</v>
      </c>
      <c r="F261">
        <v>1</v>
      </c>
      <c r="G261" s="3" t="s">
        <v>32</v>
      </c>
      <c r="H261" s="46" t="s">
        <v>15</v>
      </c>
      <c r="I261" s="17">
        <v>479955</v>
      </c>
      <c r="J261" s="17">
        <f>IF(Gastos[[#This Row],[Divisa]]="$", I261*1, IF(Gastos[[#This Row],[Divisa]]="U$D", I261*$N$1, IF(Gastos[[#This Row],[Divisa]]="EUR", I261*$N$2, 0)))</f>
        <v>479955</v>
      </c>
      <c r="K261" s="54">
        <f>Gastos[[#This Row],[Importe AR$]]/$N$1</f>
        <v>307.66346153846155</v>
      </c>
      <c r="M261" s="69">
        <v>46108</v>
      </c>
      <c r="N261" s="43">
        <f>IF(Gastos[[#This Row],[Fecha_Cheque]]&gt;0,WEEKNUM(Gastos[[#This Row],[Fecha_Cheque]]),MID(Gastos[[#This Row],[Semana]],6,2))</f>
        <v>13</v>
      </c>
      <c r="O261" t="s">
        <v>348</v>
      </c>
      <c r="P261" t="s">
        <v>27</v>
      </c>
    </row>
    <row r="262" spans="1:16" hidden="1" x14ac:dyDescent="0.25">
      <c r="A262" s="3" t="s">
        <v>2841</v>
      </c>
      <c r="B262" t="s">
        <v>248</v>
      </c>
      <c r="C262" t="s">
        <v>2872</v>
      </c>
      <c r="D262" t="s">
        <v>26</v>
      </c>
      <c r="E262" t="s">
        <v>31</v>
      </c>
      <c r="F262">
        <v>1</v>
      </c>
      <c r="G262" s="3" t="s">
        <v>32</v>
      </c>
      <c r="H262" s="44" t="s">
        <v>15</v>
      </c>
      <c r="I262" s="17">
        <v>517370</v>
      </c>
      <c r="J262" s="17">
        <f>IF(Gastos[[#This Row],[Divisa]]="$", I262*1, IF(Gastos[[#This Row],[Divisa]]="U$D", I262*$N$1, IF(Gastos[[#This Row],[Divisa]]="EUR", I262*$N$2, 0)))</f>
        <v>517370</v>
      </c>
      <c r="K262" s="54">
        <f>Gastos[[#This Row],[Importe AR$]]/$N$1</f>
        <v>331.64743589743591</v>
      </c>
      <c r="M262" s="69">
        <v>46201</v>
      </c>
      <c r="N262" s="43">
        <f>IF(Gastos[[#This Row],[Fecha_Cheque]]&gt;0,WEEKNUM(Gastos[[#This Row],[Fecha_Cheque]]),MID(Gastos[[#This Row],[Semana]],6,2))</f>
        <v>27</v>
      </c>
      <c r="O262" t="s">
        <v>2873</v>
      </c>
      <c r="P262" t="s">
        <v>27</v>
      </c>
    </row>
    <row r="263" spans="1:16" hidden="1" x14ac:dyDescent="0.25">
      <c r="A263" s="3" t="s">
        <v>2841</v>
      </c>
      <c r="B263" t="s">
        <v>248</v>
      </c>
      <c r="C263" t="s">
        <v>2872</v>
      </c>
      <c r="D263" t="s">
        <v>26</v>
      </c>
      <c r="E263" t="s">
        <v>31</v>
      </c>
      <c r="F263">
        <v>1</v>
      </c>
      <c r="G263" s="3" t="s">
        <v>32</v>
      </c>
      <c r="H263" s="44" t="s">
        <v>15</v>
      </c>
      <c r="I263" s="17">
        <v>4140</v>
      </c>
      <c r="J263" s="17">
        <f>IF(Gastos[[#This Row],[Divisa]]="$", I263*1, IF(Gastos[[#This Row],[Divisa]]="U$D", I263*$N$1, IF(Gastos[[#This Row],[Divisa]]="EUR", I263*$N$2, 0)))</f>
        <v>4140</v>
      </c>
      <c r="K263" s="54">
        <f>Gastos[[#This Row],[Importe AR$]]/$N$1</f>
        <v>2.6538461538461537</v>
      </c>
      <c r="L263" t="s">
        <v>340</v>
      </c>
      <c r="M263" s="69"/>
      <c r="N263" s="43" t="str">
        <f>IF(Gastos[[#This Row],[Fecha_Cheque]]&gt;0,WEEKNUM(Gastos[[#This Row],[Fecha_Cheque]]),MID(Gastos[[#This Row],[Semana]],6,2))</f>
        <v>22</v>
      </c>
      <c r="O263" t="s">
        <v>2873</v>
      </c>
      <c r="P263" t="s">
        <v>27</v>
      </c>
    </row>
    <row r="264" spans="1:16" hidden="1" x14ac:dyDescent="0.25">
      <c r="A264" s="3" t="s">
        <v>2763</v>
      </c>
      <c r="B264" t="s">
        <v>248</v>
      </c>
      <c r="C264" t="s">
        <v>3007</v>
      </c>
      <c r="D264" t="s">
        <v>26</v>
      </c>
      <c r="E264" t="s">
        <v>31</v>
      </c>
      <c r="F264">
        <v>1</v>
      </c>
      <c r="G264" s="3" t="s">
        <v>32</v>
      </c>
      <c r="H264" s="44" t="s">
        <v>15</v>
      </c>
      <c r="I264" s="17">
        <v>470960</v>
      </c>
      <c r="J264" s="17">
        <f>IF(Gastos[[#This Row],[Divisa]]="$", I264*1, IF(Gastos[[#This Row],[Divisa]]="U$D", I264*$N$1, IF(Gastos[[#This Row],[Divisa]]="EUR", I264*$N$2, 0)))</f>
        <v>470960</v>
      </c>
      <c r="K264" s="54">
        <f>Gastos[[#This Row],[Importe AR$]]/$N$1</f>
        <v>301.89743589743591</v>
      </c>
      <c r="M264" s="69">
        <v>46208</v>
      </c>
      <c r="N264" s="43">
        <f>IF(Gastos[[#This Row],[Fecha_Cheque]]&gt;0,WEEKNUM(Gastos[[#This Row],[Fecha_Cheque]]),MID(Gastos[[#This Row],[Semana]],6,2))</f>
        <v>28</v>
      </c>
      <c r="O264" t="s">
        <v>3008</v>
      </c>
      <c r="P264" t="s">
        <v>27</v>
      </c>
    </row>
    <row r="265" spans="1:16" hidden="1" x14ac:dyDescent="0.25">
      <c r="A265" s="3" t="s">
        <v>2763</v>
      </c>
      <c r="B265" t="s">
        <v>248</v>
      </c>
      <c r="C265" t="s">
        <v>3007</v>
      </c>
      <c r="D265" t="s">
        <v>26</v>
      </c>
      <c r="E265" t="s">
        <v>31</v>
      </c>
      <c r="F265">
        <v>1</v>
      </c>
      <c r="G265" s="3" t="s">
        <v>32</v>
      </c>
      <c r="H265" s="44" t="s">
        <v>15</v>
      </c>
      <c r="I265" s="17">
        <v>3360</v>
      </c>
      <c r="J265" s="17">
        <f>IF(Gastos[[#This Row],[Divisa]]="$", I265*1, IF(Gastos[[#This Row],[Divisa]]="U$D", I265*$N$1, IF(Gastos[[#This Row],[Divisa]]="EUR", I265*$N$2, 0)))</f>
        <v>3360</v>
      </c>
      <c r="K265" s="54">
        <f>Gastos[[#This Row],[Importe AR$]]/$N$1</f>
        <v>2.1538461538461537</v>
      </c>
      <c r="L265" t="s">
        <v>340</v>
      </c>
      <c r="M265" s="69"/>
      <c r="N265" s="43" t="str">
        <f>IF(Gastos[[#This Row],[Fecha_Cheque]]&gt;0,WEEKNUM(Gastos[[#This Row],[Fecha_Cheque]]),MID(Gastos[[#This Row],[Semana]],6,2))</f>
        <v>23</v>
      </c>
      <c r="O265" t="s">
        <v>3008</v>
      </c>
      <c r="P265" t="s">
        <v>27</v>
      </c>
    </row>
    <row r="266" spans="1:16" hidden="1" x14ac:dyDescent="0.25">
      <c r="A266" s="3" t="s">
        <v>3617</v>
      </c>
      <c r="B266" t="s">
        <v>248</v>
      </c>
      <c r="C266" t="s">
        <v>3644</v>
      </c>
      <c r="D266" t="s">
        <v>26</v>
      </c>
      <c r="E266" t="s">
        <v>31</v>
      </c>
      <c r="F266">
        <v>1</v>
      </c>
      <c r="G266" s="3" t="s">
        <v>5</v>
      </c>
      <c r="H266" s="44" t="s">
        <v>15</v>
      </c>
      <c r="I266" s="17">
        <v>529954</v>
      </c>
      <c r="J266" s="17">
        <f>IF(Gastos[[#This Row],[Divisa]]="$", I266*1, IF(Gastos[[#This Row],[Divisa]]="U$D", I266*$N$1, IF(Gastos[[#This Row],[Divisa]]="EUR", I266*$N$2, 0)))</f>
        <v>529954</v>
      </c>
      <c r="K266" s="54">
        <f>Gastos[[#This Row],[Importe AR$]]/$N$1</f>
        <v>339.71410256410257</v>
      </c>
      <c r="M266" s="69"/>
      <c r="N266" s="43" t="str">
        <f>IF(Gastos[[#This Row],[Fecha_Cheque]]&gt;0,WEEKNUM(Gastos[[#This Row],[Fecha_Cheque]]),MID(Gastos[[#This Row],[Semana]],6,2))</f>
        <v>27</v>
      </c>
      <c r="O266" t="s">
        <v>3646</v>
      </c>
      <c r="P266" t="s">
        <v>27</v>
      </c>
    </row>
    <row r="267" spans="1:16" hidden="1" x14ac:dyDescent="0.25">
      <c r="A267" s="3" t="s">
        <v>4513</v>
      </c>
      <c r="B267" t="s">
        <v>248</v>
      </c>
      <c r="C267" t="s">
        <v>4497</v>
      </c>
      <c r="D267" t="s">
        <v>26</v>
      </c>
      <c r="E267" t="s">
        <v>62</v>
      </c>
      <c r="F267">
        <v>1</v>
      </c>
      <c r="G267" s="3" t="s">
        <v>32</v>
      </c>
      <c r="H267" s="44" t="s">
        <v>15</v>
      </c>
      <c r="I267" s="17">
        <v>1432171.27</v>
      </c>
      <c r="J267" s="17">
        <f>IF(Gastos[[#This Row],[Divisa]]="$", I267*1, IF(Gastos[[#This Row],[Divisa]]="U$D", I267*$N$1, IF(Gastos[[#This Row],[Divisa]]="EUR", I267*$N$2, 0)))</f>
        <v>1432171.27</v>
      </c>
      <c r="K267" s="54">
        <f>Gastos[[#This Row],[Importe AR$]]/$N$1</f>
        <v>918.05850641025643</v>
      </c>
      <c r="M267" s="69">
        <v>46331</v>
      </c>
      <c r="N267" s="43">
        <f>IF(Gastos[[#This Row],[Fecha_Cheque]]&gt;0,WEEKNUM(Gastos[[#This Row],[Fecha_Cheque]]),MID(Gastos[[#This Row],[Semana]],6,2))</f>
        <v>45</v>
      </c>
      <c r="O267" t="s">
        <v>4498</v>
      </c>
      <c r="P267" t="s">
        <v>27</v>
      </c>
    </row>
    <row r="268" spans="1:16" hidden="1" x14ac:dyDescent="0.25">
      <c r="A268" s="3" t="s">
        <v>4513</v>
      </c>
      <c r="B268" t="s">
        <v>248</v>
      </c>
      <c r="C268" t="s">
        <v>4497</v>
      </c>
      <c r="D268" t="s">
        <v>26</v>
      </c>
      <c r="E268" t="s">
        <v>62</v>
      </c>
      <c r="F268">
        <v>1</v>
      </c>
      <c r="G268" s="3" t="s">
        <v>32</v>
      </c>
      <c r="H268" s="44" t="s">
        <v>15</v>
      </c>
      <c r="I268" s="17">
        <v>190708.73</v>
      </c>
      <c r="J268" s="17">
        <f>IF(Gastos[[#This Row],[Divisa]]="$", I268*1, IF(Gastos[[#This Row],[Divisa]]="U$D", I268*$N$1, IF(Gastos[[#This Row],[Divisa]]="EUR", I268*$N$2, 0)))</f>
        <v>190708.73</v>
      </c>
      <c r="K268" s="54">
        <f>Gastos[[#This Row],[Importe AR$]]/$N$1</f>
        <v>122.24918589743591</v>
      </c>
      <c r="M268" s="69">
        <v>46335</v>
      </c>
      <c r="N268" s="43">
        <f>IF(Gastos[[#This Row],[Fecha_Cheque]]&gt;0,WEEKNUM(Gastos[[#This Row],[Fecha_Cheque]]),MID(Gastos[[#This Row],[Semana]],6,2))</f>
        <v>46</v>
      </c>
      <c r="O268" t="s">
        <v>4498</v>
      </c>
      <c r="P268" t="s">
        <v>27</v>
      </c>
    </row>
    <row r="269" spans="1:16" hidden="1" x14ac:dyDescent="0.25">
      <c r="A269" s="3" t="s">
        <v>4513</v>
      </c>
      <c r="B269" t="s">
        <v>248</v>
      </c>
      <c r="C269" t="s">
        <v>4497</v>
      </c>
      <c r="D269" t="s">
        <v>26</v>
      </c>
      <c r="E269" t="s">
        <v>62</v>
      </c>
      <c r="F269">
        <v>1</v>
      </c>
      <c r="G269" s="3" t="s">
        <v>32</v>
      </c>
      <c r="H269" s="44" t="s">
        <v>15</v>
      </c>
      <c r="I269" s="17">
        <v>22720</v>
      </c>
      <c r="J269" s="17">
        <f>IF(Gastos[[#This Row],[Divisa]]="$", I269*1, IF(Gastos[[#This Row],[Divisa]]="U$D", I269*$N$1, IF(Gastos[[#This Row],[Divisa]]="EUR", I269*$N$2, 0)))</f>
        <v>22720</v>
      </c>
      <c r="K269" s="54">
        <f>Gastos[[#This Row],[Importe AR$]]/$N$1</f>
        <v>14.564102564102564</v>
      </c>
      <c r="L269" t="s">
        <v>340</v>
      </c>
      <c r="M269" s="69"/>
      <c r="N269" s="43" t="str">
        <f>IF(Gastos[[#This Row],[Fecha_Cheque]]&gt;0,WEEKNUM(Gastos[[#This Row],[Fecha_Cheque]]),MID(Gastos[[#This Row],[Semana]],6,2))</f>
        <v>42</v>
      </c>
      <c r="O269" t="s">
        <v>4498</v>
      </c>
      <c r="P269" t="s">
        <v>27</v>
      </c>
    </row>
    <row r="270" spans="1:16" hidden="1" x14ac:dyDescent="0.25">
      <c r="A270" s="3" t="s">
        <v>828</v>
      </c>
      <c r="B270" t="s">
        <v>829</v>
      </c>
      <c r="C270" t="s">
        <v>830</v>
      </c>
      <c r="D270" t="s">
        <v>26</v>
      </c>
      <c r="E270" t="s">
        <v>91</v>
      </c>
      <c r="F270">
        <v>1</v>
      </c>
      <c r="G270" s="3" t="s">
        <v>32</v>
      </c>
      <c r="H270" s="44" t="s">
        <v>15</v>
      </c>
      <c r="I270" s="17">
        <v>1599870</v>
      </c>
      <c r="J270" s="17">
        <f>IF(Gastos[[#This Row],[Divisa]]="$", I270*1, IF(Gastos[[#This Row],[Divisa]]="U$D", I270*$N$1, IF(Gastos[[#This Row],[Divisa]]="EUR", I270*$N$2, 0)))</f>
        <v>1599870</v>
      </c>
      <c r="K270" s="54">
        <f>Gastos[[#This Row],[Importe AR$]]/$N$1</f>
        <v>1025.5576923076924</v>
      </c>
      <c r="M270" s="69">
        <v>46121</v>
      </c>
      <c r="N270" s="43">
        <f>IF(Gastos[[#This Row],[Fecha_Cheque]]&gt;0,WEEKNUM(Gastos[[#This Row],[Fecha_Cheque]]),MID(Gastos[[#This Row],[Semana]],6,2))</f>
        <v>15</v>
      </c>
      <c r="O270" t="s">
        <v>831</v>
      </c>
      <c r="P270" t="s">
        <v>27</v>
      </c>
    </row>
    <row r="271" spans="1:16" hidden="1" x14ac:dyDescent="0.25">
      <c r="A271" s="3" t="s">
        <v>828</v>
      </c>
      <c r="B271" t="s">
        <v>829</v>
      </c>
      <c r="C271" t="s">
        <v>830</v>
      </c>
      <c r="D271" t="s">
        <v>26</v>
      </c>
      <c r="E271" t="s">
        <v>91</v>
      </c>
      <c r="F271">
        <v>1</v>
      </c>
      <c r="G271" s="3" t="s">
        <v>4</v>
      </c>
      <c r="H271" s="44" t="s">
        <v>15</v>
      </c>
      <c r="I271" s="17">
        <v>25100.73</v>
      </c>
      <c r="J271" s="17">
        <f>IF(Gastos[[#This Row],[Divisa]]="$", I271*1, IF(Gastos[[#This Row],[Divisa]]="U$D", I271*$N$1, IF(Gastos[[#This Row],[Divisa]]="EUR", I271*$N$2, 0)))</f>
        <v>25100.73</v>
      </c>
      <c r="K271" s="54">
        <f>Gastos[[#This Row],[Importe AR$]]/$N$1</f>
        <v>16.090211538461539</v>
      </c>
      <c r="L271" t="s">
        <v>340</v>
      </c>
      <c r="M271" s="69"/>
      <c r="N271" s="43" t="str">
        <f>IF(Gastos[[#This Row],[Fecha_Cheque]]&gt;0,WEEKNUM(Gastos[[#This Row],[Fecha_Cheque]]),MID(Gastos[[#This Row],[Semana]],6,2))</f>
        <v>13</v>
      </c>
      <c r="O271" t="s">
        <v>831</v>
      </c>
      <c r="P271" t="s">
        <v>27</v>
      </c>
    </row>
    <row r="272" spans="1:16" hidden="1" x14ac:dyDescent="0.25">
      <c r="A272" s="3" t="s">
        <v>2792</v>
      </c>
      <c r="B272" t="s">
        <v>829</v>
      </c>
      <c r="C272" t="s">
        <v>137</v>
      </c>
      <c r="D272" t="s">
        <v>26</v>
      </c>
      <c r="E272" t="s">
        <v>91</v>
      </c>
      <c r="F272">
        <v>1</v>
      </c>
      <c r="G272" s="3" t="s">
        <v>32</v>
      </c>
      <c r="H272" s="44" t="s">
        <v>15</v>
      </c>
      <c r="I272" s="17">
        <v>233419.4</v>
      </c>
      <c r="J272" s="17">
        <f>IF(Gastos[[#This Row],[Divisa]]="$", I272*1, IF(Gastos[[#This Row],[Divisa]]="U$D", I272*$N$1, IF(Gastos[[#This Row],[Divisa]]="EUR", I272*$N$2, 0)))</f>
        <v>233419.4</v>
      </c>
      <c r="K272" s="54">
        <f>Gastos[[#This Row],[Importe AR$]]/$N$1</f>
        <v>149.62782051282051</v>
      </c>
      <c r="M272" s="69">
        <v>46175</v>
      </c>
      <c r="N272" s="43">
        <f>IF(Gastos[[#This Row],[Fecha_Cheque]]&gt;0,WEEKNUM(Gastos[[#This Row],[Fecha_Cheque]]),MID(Gastos[[#This Row],[Semana]],6,2))</f>
        <v>23</v>
      </c>
      <c r="O272" t="s">
        <v>2883</v>
      </c>
      <c r="P272" t="s">
        <v>27</v>
      </c>
    </row>
    <row r="273" spans="1:16" hidden="1" x14ac:dyDescent="0.25">
      <c r="A273" s="3" t="s">
        <v>2792</v>
      </c>
      <c r="B273" t="s">
        <v>829</v>
      </c>
      <c r="C273" t="s">
        <v>137</v>
      </c>
      <c r="D273" t="s">
        <v>26</v>
      </c>
      <c r="E273" t="s">
        <v>91</v>
      </c>
      <c r="F273">
        <v>1</v>
      </c>
      <c r="G273" s="3" t="s">
        <v>32</v>
      </c>
      <c r="H273" s="44" t="s">
        <v>15</v>
      </c>
      <c r="I273" s="17">
        <v>787200</v>
      </c>
      <c r="J273" s="17">
        <f>IF(Gastos[[#This Row],[Divisa]]="$", I273*1, IF(Gastos[[#This Row],[Divisa]]="U$D", I273*$N$1, IF(Gastos[[#This Row],[Divisa]]="EUR", I273*$N$2, 0)))</f>
        <v>787200</v>
      </c>
      <c r="K273" s="54">
        <f>Gastos[[#This Row],[Importe AR$]]/$N$1</f>
        <v>504.61538461538464</v>
      </c>
      <c r="M273" s="69">
        <v>46200</v>
      </c>
      <c r="N273" s="43">
        <f>IF(Gastos[[#This Row],[Fecha_Cheque]]&gt;0,WEEKNUM(Gastos[[#This Row],[Fecha_Cheque]]),MID(Gastos[[#This Row],[Semana]],6,2))</f>
        <v>26</v>
      </c>
      <c r="O273" t="s">
        <v>2883</v>
      </c>
      <c r="P273" t="s">
        <v>27</v>
      </c>
    </row>
    <row r="274" spans="1:16" hidden="1" x14ac:dyDescent="0.25">
      <c r="A274" s="3" t="s">
        <v>2792</v>
      </c>
      <c r="B274" t="s">
        <v>829</v>
      </c>
      <c r="C274" t="s">
        <v>137</v>
      </c>
      <c r="D274" t="s">
        <v>26</v>
      </c>
      <c r="E274" t="s">
        <v>91</v>
      </c>
      <c r="F274">
        <v>1</v>
      </c>
      <c r="G274" s="3" t="s">
        <v>32</v>
      </c>
      <c r="H274" s="44" t="s">
        <v>15</v>
      </c>
      <c r="I274" s="17">
        <v>15516.1</v>
      </c>
      <c r="J274" s="17">
        <f>IF(Gastos[[#This Row],[Divisa]]="$", I274*1, IF(Gastos[[#This Row],[Divisa]]="U$D", I274*$N$1, IF(Gastos[[#This Row],[Divisa]]="EUR", I274*$N$2, 0)))</f>
        <v>15516.1</v>
      </c>
      <c r="K274" s="54">
        <f>Gastos[[#This Row],[Importe AR$]]/$N$1</f>
        <v>9.9462179487179494</v>
      </c>
      <c r="L274" t="s">
        <v>340</v>
      </c>
      <c r="M274" s="69"/>
      <c r="N274" s="43" t="str">
        <f>IF(Gastos[[#This Row],[Fecha_Cheque]]&gt;0,WEEKNUM(Gastos[[#This Row],[Fecha_Cheque]]),MID(Gastos[[#This Row],[Semana]],6,2))</f>
        <v>21</v>
      </c>
      <c r="O274" t="s">
        <v>2883</v>
      </c>
      <c r="P274" t="s">
        <v>27</v>
      </c>
    </row>
    <row r="275" spans="1:16" hidden="1" x14ac:dyDescent="0.25">
      <c r="A275" s="3" t="s">
        <v>4005</v>
      </c>
      <c r="B275" t="s">
        <v>829</v>
      </c>
      <c r="C275" t="s">
        <v>137</v>
      </c>
      <c r="D275" t="s">
        <v>26</v>
      </c>
      <c r="E275" t="s">
        <v>91</v>
      </c>
      <c r="F275">
        <v>1</v>
      </c>
      <c r="G275" s="3" t="s">
        <v>5</v>
      </c>
      <c r="H275" s="44" t="s">
        <v>15</v>
      </c>
      <c r="I275" s="17">
        <v>1242115.3999999999</v>
      </c>
      <c r="J275" s="17">
        <f>IF(Gastos[[#This Row],[Divisa]]="$", I275*1, IF(Gastos[[#This Row],[Divisa]]="U$D", I275*$N$1, IF(Gastos[[#This Row],[Divisa]]="EUR", I275*$N$2, 0)))</f>
        <v>1242115.3999999999</v>
      </c>
      <c r="K275" s="54">
        <f>Gastos[[#This Row],[Importe AR$]]/$N$1</f>
        <v>796.22782051282047</v>
      </c>
      <c r="M275" s="69"/>
      <c r="N275" s="43" t="str">
        <f>IF(Gastos[[#This Row],[Fecha_Cheque]]&gt;0,WEEKNUM(Gastos[[#This Row],[Fecha_Cheque]]),MID(Gastos[[#This Row],[Semana]],6,2))</f>
        <v>33</v>
      </c>
      <c r="O275" t="s">
        <v>3965</v>
      </c>
      <c r="P275" t="s">
        <v>27</v>
      </c>
    </row>
    <row r="276" spans="1:16" hidden="1" x14ac:dyDescent="0.25">
      <c r="A276" s="3" t="s">
        <v>2763</v>
      </c>
      <c r="B276" t="s">
        <v>3058</v>
      </c>
      <c r="C276" t="s">
        <v>3059</v>
      </c>
      <c r="D276" t="s">
        <v>26</v>
      </c>
      <c r="E276" t="s">
        <v>91</v>
      </c>
      <c r="F276">
        <v>1</v>
      </c>
      <c r="G276" s="3" t="s">
        <v>5</v>
      </c>
      <c r="H276" s="44" t="s">
        <v>15</v>
      </c>
      <c r="I276" s="17">
        <v>659628.05000000005</v>
      </c>
      <c r="J276" s="17">
        <f>IF(Gastos[[#This Row],[Divisa]]="$", I276*1, IF(Gastos[[#This Row],[Divisa]]="U$D", I276*$N$1, IF(Gastos[[#This Row],[Divisa]]="EUR", I276*$N$2, 0)))</f>
        <v>659628.05000000005</v>
      </c>
      <c r="K276" s="54">
        <f>Gastos[[#This Row],[Importe AR$]]/$N$1</f>
        <v>422.83849358974362</v>
      </c>
      <c r="M276" s="69"/>
      <c r="N276" s="43" t="str">
        <f>IF(Gastos[[#This Row],[Fecha_Cheque]]&gt;0,WEEKNUM(Gastos[[#This Row],[Fecha_Cheque]]),MID(Gastos[[#This Row],[Semana]],6,2))</f>
        <v>23</v>
      </c>
      <c r="O276" t="s">
        <v>3060</v>
      </c>
      <c r="P276" t="s">
        <v>27</v>
      </c>
    </row>
    <row r="277" spans="1:16" hidden="1" x14ac:dyDescent="0.25">
      <c r="A277" s="3" t="s">
        <v>2763</v>
      </c>
      <c r="B277" t="s">
        <v>3058</v>
      </c>
      <c r="C277" t="s">
        <v>3059</v>
      </c>
      <c r="D277" t="s">
        <v>26</v>
      </c>
      <c r="E277" t="s">
        <v>91</v>
      </c>
      <c r="F277">
        <v>1</v>
      </c>
      <c r="G277" s="3" t="s">
        <v>32</v>
      </c>
      <c r="H277" s="44" t="s">
        <v>15</v>
      </c>
      <c r="I277" s="17">
        <v>659628.06000000006</v>
      </c>
      <c r="J277" s="17">
        <f>IF(Gastos[[#This Row],[Divisa]]="$", I277*1, IF(Gastos[[#This Row],[Divisa]]="U$D", I277*$N$1, IF(Gastos[[#This Row],[Divisa]]="EUR", I277*$N$2, 0)))</f>
        <v>659628.06000000006</v>
      </c>
      <c r="K277" s="54">
        <f>Gastos[[#This Row],[Importe AR$]]/$N$1</f>
        <v>422.83850000000001</v>
      </c>
      <c r="M277" s="69">
        <v>46204</v>
      </c>
      <c r="N277" s="43">
        <f>IF(Gastos[[#This Row],[Fecha_Cheque]]&gt;0,WEEKNUM(Gastos[[#This Row],[Fecha_Cheque]]),MID(Gastos[[#This Row],[Semana]],6,2))</f>
        <v>27</v>
      </c>
      <c r="O277" t="s">
        <v>3060</v>
      </c>
      <c r="P277" t="s">
        <v>27</v>
      </c>
    </row>
    <row r="278" spans="1:16" hidden="1" x14ac:dyDescent="0.25">
      <c r="A278" s="3" t="s">
        <v>2763</v>
      </c>
      <c r="B278" t="s">
        <v>3058</v>
      </c>
      <c r="C278" t="s">
        <v>3059</v>
      </c>
      <c r="D278" t="s">
        <v>26</v>
      </c>
      <c r="E278" t="s">
        <v>91</v>
      </c>
      <c r="F278">
        <v>1</v>
      </c>
      <c r="G278" s="3" t="s">
        <v>32</v>
      </c>
      <c r="H278" s="44" t="s">
        <v>15</v>
      </c>
      <c r="I278" s="17">
        <v>20806.39</v>
      </c>
      <c r="J278" s="17">
        <f>IF(Gastos[[#This Row],[Divisa]]="$", I278*1, IF(Gastos[[#This Row],[Divisa]]="U$D", I278*$N$1, IF(Gastos[[#This Row],[Divisa]]="EUR", I278*$N$2, 0)))</f>
        <v>20806.39</v>
      </c>
      <c r="K278" s="54">
        <f>Gastos[[#This Row],[Importe AR$]]/$N$1</f>
        <v>13.337429487179486</v>
      </c>
      <c r="L278" t="s">
        <v>340</v>
      </c>
      <c r="M278" s="69"/>
      <c r="N278" s="43" t="str">
        <f>IF(Gastos[[#This Row],[Fecha_Cheque]]&gt;0,WEEKNUM(Gastos[[#This Row],[Fecha_Cheque]]),MID(Gastos[[#This Row],[Semana]],6,2))</f>
        <v>23</v>
      </c>
      <c r="O278" t="s">
        <v>3060</v>
      </c>
      <c r="P278" t="s">
        <v>27</v>
      </c>
    </row>
    <row r="279" spans="1:16" hidden="1" x14ac:dyDescent="0.25">
      <c r="A279" s="3" t="s">
        <v>4074</v>
      </c>
      <c r="B279" t="s">
        <v>3058</v>
      </c>
      <c r="C279" t="s">
        <v>4094</v>
      </c>
      <c r="D279" t="s">
        <v>26</v>
      </c>
      <c r="E279" t="s">
        <v>91</v>
      </c>
      <c r="F279">
        <v>1</v>
      </c>
      <c r="G279" s="3" t="s">
        <v>32</v>
      </c>
      <c r="H279" s="44" t="s">
        <v>15</v>
      </c>
      <c r="I279" s="17">
        <v>718089.3</v>
      </c>
      <c r="J279" s="17">
        <f>IF(Gastos[[#This Row],[Divisa]]="$", I279*1, IF(Gastos[[#This Row],[Divisa]]="U$D", I279*$N$1, IF(Gastos[[#This Row],[Divisa]]="EUR", I279*$N$2, 0)))</f>
        <v>718089.3</v>
      </c>
      <c r="K279" s="54">
        <f>Gastos[[#This Row],[Importe AR$]]/$N$1</f>
        <v>460.3136538461539</v>
      </c>
      <c r="M279" s="69">
        <v>46283</v>
      </c>
      <c r="N279" s="43">
        <f>IF(Gastos[[#This Row],[Fecha_Cheque]]&gt;0,WEEKNUM(Gastos[[#This Row],[Fecha_Cheque]]),MID(Gastos[[#This Row],[Semana]],6,2))</f>
        <v>38</v>
      </c>
      <c r="O279" t="s">
        <v>4095</v>
      </c>
      <c r="P279" t="s">
        <v>27</v>
      </c>
    </row>
    <row r="280" spans="1:16" hidden="1" x14ac:dyDescent="0.25">
      <c r="A280" s="3" t="s">
        <v>4074</v>
      </c>
      <c r="B280" t="s">
        <v>3058</v>
      </c>
      <c r="C280" t="s">
        <v>4094</v>
      </c>
      <c r="D280" t="s">
        <v>26</v>
      </c>
      <c r="E280" t="s">
        <v>91</v>
      </c>
      <c r="F280">
        <v>1</v>
      </c>
      <c r="G280" s="3" t="s">
        <v>32</v>
      </c>
      <c r="H280" s="44" t="s">
        <v>15</v>
      </c>
      <c r="I280" s="17">
        <v>12147.56</v>
      </c>
      <c r="J280" s="17">
        <f>IF(Gastos[[#This Row],[Divisa]]="$", I280*1, IF(Gastos[[#This Row],[Divisa]]="U$D", I280*$N$1, IF(Gastos[[#This Row],[Divisa]]="EUR", I280*$N$2, 0)))</f>
        <v>12147.56</v>
      </c>
      <c r="K280" s="54">
        <f>Gastos[[#This Row],[Importe AR$]]/$N$1</f>
        <v>7.7868974358974352</v>
      </c>
      <c r="L280" t="s">
        <v>340</v>
      </c>
      <c r="M280" s="69"/>
      <c r="N280" s="43" t="str">
        <f>IF(Gastos[[#This Row],[Fecha_Cheque]]&gt;0,WEEKNUM(Gastos[[#This Row],[Fecha_Cheque]]),MID(Gastos[[#This Row],[Semana]],6,2))</f>
        <v>34</v>
      </c>
      <c r="O280" t="s">
        <v>4095</v>
      </c>
      <c r="P280" t="s">
        <v>27</v>
      </c>
    </row>
    <row r="281" spans="1:16" hidden="1" x14ac:dyDescent="0.25">
      <c r="A281" s="3" t="s">
        <v>4211</v>
      </c>
      <c r="B281" t="s">
        <v>3058</v>
      </c>
      <c r="C281" t="s">
        <v>4213</v>
      </c>
      <c r="D281" t="s">
        <v>26</v>
      </c>
      <c r="E281" t="s">
        <v>62</v>
      </c>
      <c r="F281">
        <v>1</v>
      </c>
      <c r="G281" s="3" t="s">
        <v>32</v>
      </c>
      <c r="H281" s="44" t="s">
        <v>15</v>
      </c>
      <c r="I281" s="17">
        <v>2296079.9</v>
      </c>
      <c r="J281" s="17">
        <f>IF(Gastos[[#This Row],[Divisa]]="$", I281*1, IF(Gastos[[#This Row],[Divisa]]="U$D", I281*$N$1, IF(Gastos[[#This Row],[Divisa]]="EUR", I281*$N$2, 0)))</f>
        <v>2296079.9</v>
      </c>
      <c r="K281" s="54">
        <f>Gastos[[#This Row],[Importe AR$]]/$N$1</f>
        <v>1471.8460897435896</v>
      </c>
      <c r="M281" s="69">
        <v>46304</v>
      </c>
      <c r="N281" s="43">
        <f>IF(Gastos[[#This Row],[Fecha_Cheque]]&gt;0,WEEKNUM(Gastos[[#This Row],[Fecha_Cheque]]),MID(Gastos[[#This Row],[Semana]],6,2))</f>
        <v>41</v>
      </c>
      <c r="O281" t="s">
        <v>4264</v>
      </c>
      <c r="P281" t="s">
        <v>27</v>
      </c>
    </row>
    <row r="282" spans="1:16" hidden="1" x14ac:dyDescent="0.25">
      <c r="A282" s="3" t="s">
        <v>4211</v>
      </c>
      <c r="B282" t="s">
        <v>3058</v>
      </c>
      <c r="C282" t="s">
        <v>4213</v>
      </c>
      <c r="D282" t="s">
        <v>26</v>
      </c>
      <c r="E282" t="s">
        <v>62</v>
      </c>
      <c r="F282">
        <v>1</v>
      </c>
      <c r="G282" s="3" t="s">
        <v>32</v>
      </c>
      <c r="H282" s="44" t="s">
        <v>15</v>
      </c>
      <c r="I282" s="17">
        <v>37223.599999999999</v>
      </c>
      <c r="J282" s="17">
        <f>IF(Gastos[[#This Row],[Divisa]]="$", I282*1, IF(Gastos[[#This Row],[Divisa]]="U$D", I282*$N$1, IF(Gastos[[#This Row],[Divisa]]="EUR", I282*$N$2, 0)))</f>
        <v>37223.599999999999</v>
      </c>
      <c r="K282" s="54">
        <f>Gastos[[#This Row],[Importe AR$]]/$N$1</f>
        <v>23.86128205128205</v>
      </c>
      <c r="L282" t="s">
        <v>340</v>
      </c>
      <c r="M282" s="69"/>
      <c r="N282" s="43" t="str">
        <f>IF(Gastos[[#This Row],[Fecha_Cheque]]&gt;0,WEEKNUM(Gastos[[#This Row],[Fecha_Cheque]]),MID(Gastos[[#This Row],[Semana]],6,2))</f>
        <v>37</v>
      </c>
      <c r="O282" t="s">
        <v>4264</v>
      </c>
      <c r="P282" t="s">
        <v>27</v>
      </c>
    </row>
    <row r="283" spans="1:16" hidden="1" x14ac:dyDescent="0.25">
      <c r="A283" s="3" t="s">
        <v>4409</v>
      </c>
      <c r="B283" t="s">
        <v>3058</v>
      </c>
      <c r="C283" t="s">
        <v>4430</v>
      </c>
      <c r="D283" t="s">
        <v>26</v>
      </c>
      <c r="E283" t="s">
        <v>31</v>
      </c>
      <c r="F283">
        <v>1</v>
      </c>
      <c r="G283" s="3" t="s">
        <v>5</v>
      </c>
      <c r="H283" s="44" t="s">
        <v>15</v>
      </c>
      <c r="I283" s="17">
        <v>52300</v>
      </c>
      <c r="J283" s="17">
        <f>IF(Gastos[[#This Row],[Divisa]]="$", I283*1, IF(Gastos[[#This Row],[Divisa]]="U$D", I283*$N$1, IF(Gastos[[#This Row],[Divisa]]="EUR", I283*$N$2, 0)))</f>
        <v>52300</v>
      </c>
      <c r="K283" s="54">
        <f>Gastos[[#This Row],[Importe AR$]]/$N$1</f>
        <v>33.525641025641029</v>
      </c>
      <c r="M283" s="69"/>
      <c r="N283" s="43" t="str">
        <f>IF(Gastos[[#This Row],[Fecha_Cheque]]&gt;0,WEEKNUM(Gastos[[#This Row],[Fecha_Cheque]]),MID(Gastos[[#This Row],[Semana]],6,2))</f>
        <v>40</v>
      </c>
      <c r="O283" t="s">
        <v>4431</v>
      </c>
      <c r="P283" t="s">
        <v>27</v>
      </c>
    </row>
    <row r="284" spans="1:16" hidden="1" x14ac:dyDescent="0.25">
      <c r="A284" s="3" t="s">
        <v>4409</v>
      </c>
      <c r="B284" t="s">
        <v>3058</v>
      </c>
      <c r="C284" t="s">
        <v>4430</v>
      </c>
      <c r="D284" t="s">
        <v>26</v>
      </c>
      <c r="E284" t="s">
        <v>31</v>
      </c>
      <c r="F284">
        <v>1</v>
      </c>
      <c r="G284" s="3" t="s">
        <v>32</v>
      </c>
      <c r="H284" s="44" t="s">
        <v>15</v>
      </c>
      <c r="I284" s="17">
        <v>150000</v>
      </c>
      <c r="J284" s="17">
        <f>IF(Gastos[[#This Row],[Divisa]]="$", I284*1, IF(Gastos[[#This Row],[Divisa]]="U$D", I284*$N$1, IF(Gastos[[#This Row],[Divisa]]="EUR", I284*$N$2, 0)))</f>
        <v>150000</v>
      </c>
      <c r="K284" s="54">
        <f>Gastos[[#This Row],[Importe AR$]]/$N$1</f>
        <v>96.15384615384616</v>
      </c>
      <c r="M284" s="69">
        <v>46312</v>
      </c>
      <c r="N284" s="43">
        <f>IF(Gastos[[#This Row],[Fecha_Cheque]]&gt;0,WEEKNUM(Gastos[[#This Row],[Fecha_Cheque]]),MID(Gastos[[#This Row],[Semana]],6,2))</f>
        <v>42</v>
      </c>
      <c r="O284" t="s">
        <v>4431</v>
      </c>
      <c r="P284" t="s">
        <v>27</v>
      </c>
    </row>
    <row r="285" spans="1:16" hidden="1" x14ac:dyDescent="0.25">
      <c r="A285" s="3" t="s">
        <v>4409</v>
      </c>
      <c r="B285" t="s">
        <v>3058</v>
      </c>
      <c r="C285" t="s">
        <v>4430</v>
      </c>
      <c r="D285" t="s">
        <v>26</v>
      </c>
      <c r="E285" t="s">
        <v>31</v>
      </c>
      <c r="F285">
        <v>1</v>
      </c>
      <c r="G285" s="3" t="s">
        <v>32</v>
      </c>
      <c r="H285" s="44" t="s">
        <v>15</v>
      </c>
      <c r="I285" s="17">
        <v>3400</v>
      </c>
      <c r="J285" s="17">
        <f>IF(Gastos[[#This Row],[Divisa]]="$", I285*1, IF(Gastos[[#This Row],[Divisa]]="U$D", I285*$N$1, IF(Gastos[[#This Row],[Divisa]]="EUR", I285*$N$2, 0)))</f>
        <v>3400</v>
      </c>
      <c r="K285" s="54">
        <f>Gastos[[#This Row],[Importe AR$]]/$N$1</f>
        <v>2.1794871794871793</v>
      </c>
      <c r="M285" s="69"/>
      <c r="N285" s="43" t="str">
        <f>IF(Gastos[[#This Row],[Fecha_Cheque]]&gt;0,WEEKNUM(Gastos[[#This Row],[Fecha_Cheque]]),MID(Gastos[[#This Row],[Semana]],6,2))</f>
        <v>40</v>
      </c>
      <c r="O285" t="s">
        <v>4431</v>
      </c>
      <c r="P285" t="s">
        <v>27</v>
      </c>
    </row>
    <row r="286" spans="1:16" hidden="1" x14ac:dyDescent="0.25">
      <c r="A286" s="3" t="s">
        <v>39</v>
      </c>
      <c r="B286" t="s">
        <v>136</v>
      </c>
      <c r="C286" t="s">
        <v>137</v>
      </c>
      <c r="D286" t="s">
        <v>26</v>
      </c>
      <c r="E286" t="s">
        <v>91</v>
      </c>
      <c r="F286">
        <v>1</v>
      </c>
      <c r="G286" s="3" t="s">
        <v>32</v>
      </c>
      <c r="H286" s="44" t="s">
        <v>15</v>
      </c>
      <c r="I286" s="17">
        <v>933614.7</v>
      </c>
      <c r="J286" s="17">
        <f>IF(Gastos[[#This Row],[Divisa]]="$", I286*1, IF(Gastos[[#This Row],[Divisa]]="U$D", I286*$N$1, IF(Gastos[[#This Row],[Divisa]]="EUR", I286*$N$2, 0)))</f>
        <v>933614.7</v>
      </c>
      <c r="K286" s="54">
        <f>Gastos[[#This Row],[Importe AR$]]/$N$1</f>
        <v>598.47096153846155</v>
      </c>
      <c r="M286" s="69">
        <v>46131</v>
      </c>
      <c r="N286" s="43">
        <f>IF(Gastos[[#This Row],[Fecha_Cheque]]&gt;0,WEEKNUM(Gastos[[#This Row],[Fecha_Cheque]]),MID(Gastos[[#This Row],[Semana]],6,2))</f>
        <v>17</v>
      </c>
      <c r="O286" t="s">
        <v>138</v>
      </c>
      <c r="P286" t="s">
        <v>27</v>
      </c>
    </row>
    <row r="287" spans="1:16" hidden="1" x14ac:dyDescent="0.25">
      <c r="A287" s="3" t="s">
        <v>39</v>
      </c>
      <c r="B287" t="s">
        <v>136</v>
      </c>
      <c r="C287" t="s">
        <v>137</v>
      </c>
      <c r="D287" t="s">
        <v>26</v>
      </c>
      <c r="E287" t="s">
        <v>91</v>
      </c>
      <c r="F287">
        <v>1</v>
      </c>
      <c r="G287" s="3" t="s">
        <v>32</v>
      </c>
      <c r="H287" s="44" t="s">
        <v>15</v>
      </c>
      <c r="I287" s="17">
        <v>933614.7</v>
      </c>
      <c r="J287" s="17">
        <f>IF(Gastos[[#This Row],[Divisa]]="$", I287*1, IF(Gastos[[#This Row],[Divisa]]="U$D", I287*$N$1, IF(Gastos[[#This Row],[Divisa]]="EUR", I287*$N$2, 0)))</f>
        <v>933614.7</v>
      </c>
      <c r="K287" s="54">
        <f>Gastos[[#This Row],[Importe AR$]]/$N$1</f>
        <v>598.47096153846155</v>
      </c>
      <c r="M287" s="69">
        <v>46142</v>
      </c>
      <c r="N287" s="43">
        <f>IF(Gastos[[#This Row],[Fecha_Cheque]]&gt;0,WEEKNUM(Gastos[[#This Row],[Fecha_Cheque]]),MID(Gastos[[#This Row],[Semana]],6,2))</f>
        <v>18</v>
      </c>
      <c r="O287" t="s">
        <v>138</v>
      </c>
      <c r="P287" t="s">
        <v>27</v>
      </c>
    </row>
    <row r="288" spans="1:16" hidden="1" x14ac:dyDescent="0.25">
      <c r="A288" s="3" t="s">
        <v>253</v>
      </c>
      <c r="B288" t="s">
        <v>136</v>
      </c>
      <c r="C288" t="s">
        <v>254</v>
      </c>
      <c r="D288" t="s">
        <v>26</v>
      </c>
      <c r="E288" t="s">
        <v>91</v>
      </c>
      <c r="F288">
        <v>1</v>
      </c>
      <c r="G288" s="3" t="s">
        <v>5</v>
      </c>
      <c r="H288" s="46" t="s">
        <v>15</v>
      </c>
      <c r="I288" s="17">
        <v>1061412</v>
      </c>
      <c r="J288" s="17">
        <f>IF(Gastos[[#This Row],[Divisa]]="$", I288*1, IF(Gastos[[#This Row],[Divisa]]="U$D", I288*$N$1, IF(Gastos[[#This Row],[Divisa]]="EUR", I288*$N$2, 0)))</f>
        <v>1061412</v>
      </c>
      <c r="K288" s="54">
        <f>Gastos[[#This Row],[Importe AR$]]/$N$1</f>
        <v>680.39230769230767</v>
      </c>
      <c r="M288" s="69"/>
      <c r="N288" s="43" t="str">
        <f>IF(Gastos[[#This Row],[Fecha_Cheque]]&gt;0,WEEKNUM(Gastos[[#This Row],[Fecha_Cheque]]),MID(Gastos[[#This Row],[Semana]],6,2))</f>
        <v>24</v>
      </c>
      <c r="O288" t="s">
        <v>255</v>
      </c>
      <c r="P288" t="s">
        <v>27</v>
      </c>
    </row>
    <row r="289" spans="1:16" hidden="1" x14ac:dyDescent="0.25">
      <c r="A289" s="3" t="s">
        <v>114</v>
      </c>
      <c r="B289" t="s">
        <v>136</v>
      </c>
      <c r="C289" t="s">
        <v>254</v>
      </c>
      <c r="D289" t="s">
        <v>26</v>
      </c>
      <c r="E289" t="s">
        <v>91</v>
      </c>
      <c r="F289">
        <v>1</v>
      </c>
      <c r="G289" s="3" t="s">
        <v>5</v>
      </c>
      <c r="H289" s="46" t="s">
        <v>15</v>
      </c>
      <c r="I289" s="17">
        <v>1061412</v>
      </c>
      <c r="J289" s="17">
        <f>IF(Gastos[[#This Row],[Divisa]]="$", I289*1, IF(Gastos[[#This Row],[Divisa]]="U$D", I289*$N$1, IF(Gastos[[#This Row],[Divisa]]="EUR", I289*$N$2, 0)))</f>
        <v>1061412</v>
      </c>
      <c r="K289" s="54">
        <f>Gastos[[#This Row],[Importe AR$]]/$N$1</f>
        <v>680.39230769230767</v>
      </c>
      <c r="M289" s="69"/>
      <c r="N289" s="43" t="str">
        <f>IF(Gastos[[#This Row],[Fecha_Cheque]]&gt;0,WEEKNUM(Gastos[[#This Row],[Fecha_Cheque]]),MID(Gastos[[#This Row],[Semana]],6,2))</f>
        <v>29</v>
      </c>
      <c r="O289" t="s">
        <v>256</v>
      </c>
      <c r="P289" t="s">
        <v>27</v>
      </c>
    </row>
    <row r="290" spans="1:16" hidden="1" x14ac:dyDescent="0.25">
      <c r="A290" s="3" t="s">
        <v>114</v>
      </c>
      <c r="B290" t="s">
        <v>136</v>
      </c>
      <c r="C290" t="s">
        <v>257</v>
      </c>
      <c r="D290" t="s">
        <v>26</v>
      </c>
      <c r="E290" t="s">
        <v>91</v>
      </c>
      <c r="F290">
        <v>1</v>
      </c>
      <c r="G290" s="3" t="s">
        <v>5</v>
      </c>
      <c r="H290" s="46" t="s">
        <v>15</v>
      </c>
      <c r="I290" s="17">
        <v>125840</v>
      </c>
      <c r="J290" s="17">
        <f>IF(Gastos[[#This Row],[Divisa]]="$", I290*1, IF(Gastos[[#This Row],[Divisa]]="U$D", I290*$N$1, IF(Gastos[[#This Row],[Divisa]]="EUR", I290*$N$2, 0)))</f>
        <v>125840</v>
      </c>
      <c r="K290" s="54">
        <f>Gastos[[#This Row],[Importe AR$]]/$N$1</f>
        <v>80.666666666666671</v>
      </c>
      <c r="M290" s="69"/>
      <c r="N290" s="43" t="str">
        <f>IF(Gastos[[#This Row],[Fecha_Cheque]]&gt;0,WEEKNUM(Gastos[[#This Row],[Fecha_Cheque]]),MID(Gastos[[#This Row],[Semana]],6,2))</f>
        <v>29</v>
      </c>
      <c r="O290" t="s">
        <v>256</v>
      </c>
      <c r="P290" t="s">
        <v>27</v>
      </c>
    </row>
    <row r="291" spans="1:16" hidden="1" x14ac:dyDescent="0.25">
      <c r="A291" s="3" t="s">
        <v>53</v>
      </c>
      <c r="B291" t="s">
        <v>136</v>
      </c>
      <c r="C291" t="s">
        <v>258</v>
      </c>
      <c r="D291" t="s">
        <v>26</v>
      </c>
      <c r="E291" t="s">
        <v>91</v>
      </c>
      <c r="F291">
        <v>1</v>
      </c>
      <c r="G291" s="3" t="s">
        <v>5</v>
      </c>
      <c r="H291" s="46" t="s">
        <v>15</v>
      </c>
      <c r="I291" s="17">
        <v>1939258.4</v>
      </c>
      <c r="J291" s="17">
        <f>IF(Gastos[[#This Row],[Divisa]]="$", I291*1, IF(Gastos[[#This Row],[Divisa]]="U$D", I291*$N$1, IF(Gastos[[#This Row],[Divisa]]="EUR", I291*$N$2, 0)))</f>
        <v>1939258.4</v>
      </c>
      <c r="K291" s="54">
        <f>Gastos[[#This Row],[Importe AR$]]/$N$1</f>
        <v>1243.114358974359</v>
      </c>
      <c r="M291" s="69"/>
      <c r="N291" s="43" t="str">
        <f>IF(Gastos[[#This Row],[Fecha_Cheque]]&gt;0,WEEKNUM(Gastos[[#This Row],[Fecha_Cheque]]),MID(Gastos[[#This Row],[Semana]],6,2))</f>
        <v>34</v>
      </c>
      <c r="O291" t="s">
        <v>259</v>
      </c>
      <c r="P291" t="s">
        <v>27</v>
      </c>
    </row>
    <row r="292" spans="1:16" hidden="1" x14ac:dyDescent="0.25">
      <c r="A292" s="3" t="s">
        <v>89</v>
      </c>
      <c r="B292" t="s">
        <v>136</v>
      </c>
      <c r="C292" t="s">
        <v>258</v>
      </c>
      <c r="D292" t="s">
        <v>26</v>
      </c>
      <c r="E292" t="s">
        <v>91</v>
      </c>
      <c r="F292">
        <v>1</v>
      </c>
      <c r="G292" s="3" t="s">
        <v>5</v>
      </c>
      <c r="H292" s="46" t="s">
        <v>15</v>
      </c>
      <c r="I292" s="17">
        <v>1152404</v>
      </c>
      <c r="J292" s="17">
        <f>IF(Gastos[[#This Row],[Divisa]]="$", I292*1, IF(Gastos[[#This Row],[Divisa]]="U$D", I292*$N$1, IF(Gastos[[#This Row],[Divisa]]="EUR", I292*$N$2, 0)))</f>
        <v>1152404</v>
      </c>
      <c r="K292" s="54">
        <f>Gastos[[#This Row],[Importe AR$]]/$N$1</f>
        <v>738.72051282051279</v>
      </c>
      <c r="M292" s="69"/>
      <c r="N292" s="43" t="str">
        <f>IF(Gastos[[#This Row],[Fecha_Cheque]]&gt;0,WEEKNUM(Gastos[[#This Row],[Fecha_Cheque]]),MID(Gastos[[#This Row],[Semana]],6,2))</f>
        <v>39</v>
      </c>
      <c r="O292" t="s">
        <v>123</v>
      </c>
      <c r="P292" t="s">
        <v>27</v>
      </c>
    </row>
    <row r="293" spans="1:16" hidden="1" x14ac:dyDescent="0.25">
      <c r="A293" s="3" t="s">
        <v>128</v>
      </c>
      <c r="B293" t="s">
        <v>136</v>
      </c>
      <c r="C293" t="s">
        <v>258</v>
      </c>
      <c r="D293" t="s">
        <v>26</v>
      </c>
      <c r="E293" t="s">
        <v>91</v>
      </c>
      <c r="F293">
        <v>1</v>
      </c>
      <c r="G293" s="3" t="s">
        <v>5</v>
      </c>
      <c r="H293" s="46" t="s">
        <v>15</v>
      </c>
      <c r="I293" s="17">
        <v>1152404</v>
      </c>
      <c r="J293" s="17">
        <f>IF(Gastos[[#This Row],[Divisa]]="$", I293*1, IF(Gastos[[#This Row],[Divisa]]="U$D", I293*$N$1, IF(Gastos[[#This Row],[Divisa]]="EUR", I293*$N$2, 0)))</f>
        <v>1152404</v>
      </c>
      <c r="K293" s="54">
        <f>Gastos[[#This Row],[Importe AR$]]/$N$1</f>
        <v>738.72051282051279</v>
      </c>
      <c r="M293" s="69"/>
      <c r="N293" s="43" t="str">
        <f>IF(Gastos[[#This Row],[Fecha_Cheque]]&gt;0,WEEKNUM(Gastos[[#This Row],[Fecha_Cheque]]),MID(Gastos[[#This Row],[Semana]],6,2))</f>
        <v>43</v>
      </c>
      <c r="O293" t="s">
        <v>260</v>
      </c>
      <c r="P293" t="s">
        <v>27</v>
      </c>
    </row>
    <row r="294" spans="1:16" hidden="1" x14ac:dyDescent="0.25">
      <c r="A294" s="3" t="s">
        <v>60</v>
      </c>
      <c r="B294" t="s">
        <v>136</v>
      </c>
      <c r="C294" t="s">
        <v>258</v>
      </c>
      <c r="D294" t="s">
        <v>26</v>
      </c>
      <c r="E294" t="s">
        <v>91</v>
      </c>
      <c r="F294">
        <v>1</v>
      </c>
      <c r="G294" s="3" t="s">
        <v>5</v>
      </c>
      <c r="H294" s="46" t="s">
        <v>15</v>
      </c>
      <c r="I294" s="17">
        <v>1132319.3999999999</v>
      </c>
      <c r="J294" s="17">
        <f>IF(Gastos[[#This Row],[Divisa]]="$", I294*1, IF(Gastos[[#This Row],[Divisa]]="U$D", I294*$N$1, IF(Gastos[[#This Row],[Divisa]]="EUR", I294*$N$2, 0)))</f>
        <v>1132319.3999999999</v>
      </c>
      <c r="K294" s="54">
        <f>Gastos[[#This Row],[Importe AR$]]/$N$1</f>
        <v>725.84576923076918</v>
      </c>
      <c r="M294" s="69"/>
      <c r="N294" s="43" t="str">
        <f>IF(Gastos[[#This Row],[Fecha_Cheque]]&gt;0,WEEKNUM(Gastos[[#This Row],[Fecha_Cheque]]),MID(Gastos[[#This Row],[Semana]],6,2))</f>
        <v>46</v>
      </c>
      <c r="O294" t="s">
        <v>261</v>
      </c>
      <c r="P294" t="s">
        <v>27</v>
      </c>
    </row>
    <row r="295" spans="1:16" hidden="1" x14ac:dyDescent="0.25">
      <c r="A295" s="3" t="s">
        <v>93</v>
      </c>
      <c r="B295" t="s">
        <v>136</v>
      </c>
      <c r="C295" t="s">
        <v>262</v>
      </c>
      <c r="D295" t="s">
        <v>26</v>
      </c>
      <c r="E295" t="s">
        <v>91</v>
      </c>
      <c r="F295">
        <v>1</v>
      </c>
      <c r="G295" s="3" t="s">
        <v>5</v>
      </c>
      <c r="H295" s="46" t="s">
        <v>15</v>
      </c>
      <c r="I295" s="17">
        <v>1210621.3999999999</v>
      </c>
      <c r="J295" s="17">
        <f>IF(Gastos[[#This Row],[Divisa]]="$", I295*1, IF(Gastos[[#This Row],[Divisa]]="U$D", I295*$N$1, IF(Gastos[[#This Row],[Divisa]]="EUR", I295*$N$2, 0)))</f>
        <v>1210621.3999999999</v>
      </c>
      <c r="K295" s="54">
        <f>Gastos[[#This Row],[Importe AR$]]/$N$1</f>
        <v>776.03935897435895</v>
      </c>
      <c r="M295" s="69"/>
      <c r="N295" s="43" t="str">
        <f>IF(Gastos[[#This Row],[Fecha_Cheque]]&gt;0,WEEKNUM(Gastos[[#This Row],[Fecha_Cheque]]),MID(Gastos[[#This Row],[Semana]],6,2))</f>
        <v>50</v>
      </c>
      <c r="O295" t="s">
        <v>263</v>
      </c>
      <c r="P295" t="s">
        <v>27</v>
      </c>
    </row>
    <row r="296" spans="1:16" hidden="1" x14ac:dyDescent="0.25">
      <c r="A296" s="3" t="s">
        <v>75</v>
      </c>
      <c r="B296" t="s">
        <v>136</v>
      </c>
      <c r="C296" t="s">
        <v>264</v>
      </c>
      <c r="D296" t="s">
        <v>26</v>
      </c>
      <c r="E296" t="s">
        <v>91</v>
      </c>
      <c r="F296">
        <v>1</v>
      </c>
      <c r="G296" s="3" t="s">
        <v>5</v>
      </c>
      <c r="H296" s="46" t="s">
        <v>15</v>
      </c>
      <c r="I296" s="17">
        <v>1197174</v>
      </c>
      <c r="J296" s="17">
        <f>IF(Gastos[[#This Row],[Divisa]]="$", I296*1, IF(Gastos[[#This Row],[Divisa]]="U$D", I296*$N$1, IF(Gastos[[#This Row],[Divisa]]="EUR", I296*$N$2, 0)))</f>
        <v>1197174</v>
      </c>
      <c r="K296" s="54">
        <f>Gastos[[#This Row],[Importe AR$]]/$N$1</f>
        <v>767.41923076923081</v>
      </c>
      <c r="M296" s="69"/>
      <c r="N296" s="43" t="str">
        <f>IF(Gastos[[#This Row],[Fecha_Cheque]]&gt;0,WEEKNUM(Gastos[[#This Row],[Fecha_Cheque]]),MID(Gastos[[#This Row],[Semana]],6,2))</f>
        <v>07</v>
      </c>
      <c r="O296" t="s">
        <v>265</v>
      </c>
      <c r="P296" t="s">
        <v>27</v>
      </c>
    </row>
    <row r="297" spans="1:16" hidden="1" x14ac:dyDescent="0.25">
      <c r="A297" s="3" t="s">
        <v>39</v>
      </c>
      <c r="B297" t="s">
        <v>136</v>
      </c>
      <c r="C297" t="s">
        <v>137</v>
      </c>
      <c r="D297" t="s">
        <v>26</v>
      </c>
      <c r="E297" t="s">
        <v>91</v>
      </c>
      <c r="F297">
        <v>1</v>
      </c>
      <c r="G297" s="3" t="s">
        <v>32</v>
      </c>
      <c r="H297" s="44" t="s">
        <v>15</v>
      </c>
      <c r="I297" s="17">
        <v>31803.87</v>
      </c>
      <c r="J297" s="17">
        <f>IF(Gastos[[#This Row],[Divisa]]="$", I297*1, IF(Gastos[[#This Row],[Divisa]]="U$D", I297*$N$1, IF(Gastos[[#This Row],[Divisa]]="EUR", I297*$N$2, 0)))</f>
        <v>31803.87</v>
      </c>
      <c r="K297" s="54">
        <f>Gastos[[#This Row],[Importe AR$]]/$N$1</f>
        <v>20.387096153846151</v>
      </c>
      <c r="L297" t="s">
        <v>340</v>
      </c>
      <c r="M297" s="69"/>
      <c r="N297" s="43" t="str">
        <f>IF(Gastos[[#This Row],[Fecha_Cheque]]&gt;0,WEEKNUM(Gastos[[#This Row],[Fecha_Cheque]]),MID(Gastos[[#This Row],[Semana]],6,2))</f>
        <v>14</v>
      </c>
      <c r="O297" t="s">
        <v>138</v>
      </c>
      <c r="P297" t="s">
        <v>27</v>
      </c>
    </row>
    <row r="298" spans="1:16" hidden="1" x14ac:dyDescent="0.25">
      <c r="A298" s="3" t="s">
        <v>4569</v>
      </c>
      <c r="B298" t="s">
        <v>136</v>
      </c>
      <c r="C298" t="s">
        <v>4636</v>
      </c>
      <c r="D298" t="s">
        <v>26</v>
      </c>
      <c r="E298" t="s">
        <v>62</v>
      </c>
      <c r="F298">
        <v>1</v>
      </c>
      <c r="G298" s="3" t="s">
        <v>5</v>
      </c>
      <c r="H298" s="44" t="s">
        <v>15</v>
      </c>
      <c r="I298" s="17">
        <v>1030916.45</v>
      </c>
      <c r="J298" s="17">
        <f>IF(Gastos[[#This Row],[Divisa]]="$", I298*1, IF(Gastos[[#This Row],[Divisa]]="U$D", I298*$N$1, IF(Gastos[[#This Row],[Divisa]]="EUR", I298*$N$2, 0)))</f>
        <v>1030916.45</v>
      </c>
      <c r="K298" s="54">
        <f>Gastos[[#This Row],[Importe AR$]]/$N$1</f>
        <v>660.84387820512814</v>
      </c>
      <c r="M298" s="69"/>
      <c r="N298" s="43" t="str">
        <f>IF(Gastos[[#This Row],[Fecha_Cheque]]&gt;0,WEEKNUM(Gastos[[#This Row],[Fecha_Cheque]]),MID(Gastos[[#This Row],[Semana]],6,2))</f>
        <v>43</v>
      </c>
      <c r="O298" t="s">
        <v>4637</v>
      </c>
      <c r="P298" t="s">
        <v>27</v>
      </c>
    </row>
    <row r="299" spans="1:16" hidden="1" x14ac:dyDescent="0.25">
      <c r="A299" s="3" t="s">
        <v>4569</v>
      </c>
      <c r="B299" t="s">
        <v>136</v>
      </c>
      <c r="C299" t="s">
        <v>4636</v>
      </c>
      <c r="D299" t="s">
        <v>26</v>
      </c>
      <c r="E299" t="s">
        <v>62</v>
      </c>
      <c r="F299">
        <v>1</v>
      </c>
      <c r="G299" s="3" t="s">
        <v>5</v>
      </c>
      <c r="H299" s="44" t="s">
        <v>15</v>
      </c>
      <c r="I299" s="17">
        <v>17643.55</v>
      </c>
      <c r="J299" s="17">
        <f>IF(Gastos[[#This Row],[Divisa]]="$", I299*1, IF(Gastos[[#This Row],[Divisa]]="U$D", I299*$N$1, IF(Gastos[[#This Row],[Divisa]]="EUR", I299*$N$2, 0)))</f>
        <v>17643.55</v>
      </c>
      <c r="K299" s="54">
        <f>Gastos[[#This Row],[Importe AR$]]/$N$1</f>
        <v>11.309967948717949</v>
      </c>
      <c r="L299" t="s">
        <v>340</v>
      </c>
      <c r="M299" s="69"/>
      <c r="N299" s="43" t="str">
        <f>IF(Gastos[[#This Row],[Fecha_Cheque]]&gt;0,WEEKNUM(Gastos[[#This Row],[Fecha_Cheque]]),MID(Gastos[[#This Row],[Semana]],6,2))</f>
        <v>43</v>
      </c>
      <c r="O299" t="s">
        <v>4637</v>
      </c>
      <c r="P299" t="s">
        <v>27</v>
      </c>
    </row>
    <row r="300" spans="1:16" hidden="1" x14ac:dyDescent="0.25">
      <c r="A300" s="3" t="s">
        <v>4447</v>
      </c>
      <c r="B300" t="s">
        <v>136</v>
      </c>
      <c r="C300" t="s">
        <v>254</v>
      </c>
      <c r="D300" t="s">
        <v>26</v>
      </c>
      <c r="E300" t="s">
        <v>62</v>
      </c>
      <c r="F300">
        <v>1</v>
      </c>
      <c r="G300" s="3" t="s">
        <v>32</v>
      </c>
      <c r="H300" s="44" t="s">
        <v>15</v>
      </c>
      <c r="I300" s="17">
        <v>75113.759999999995</v>
      </c>
      <c r="J300" s="17">
        <f>IF(Gastos[[#This Row],[Divisa]]="$", I300*1, IF(Gastos[[#This Row],[Divisa]]="U$D", I300*$N$1, IF(Gastos[[#This Row],[Divisa]]="EUR", I300*$N$2, 0)))</f>
        <v>75113.759999999995</v>
      </c>
      <c r="K300" s="54">
        <f>Gastos[[#This Row],[Importe AR$]]/$N$1</f>
        <v>48.149846153846148</v>
      </c>
      <c r="M300" s="69"/>
      <c r="N300" s="43" t="str">
        <f>IF(Gastos[[#This Row],[Fecha_Cheque]]&gt;0,WEEKNUM(Gastos[[#This Row],[Fecha_Cheque]]),MID(Gastos[[#This Row],[Semana]],6,2))</f>
        <v>41</v>
      </c>
      <c r="O300" t="s">
        <v>4520</v>
      </c>
      <c r="P300" t="s">
        <v>27</v>
      </c>
    </row>
    <row r="301" spans="1:16" hidden="1" x14ac:dyDescent="0.25">
      <c r="A301" s="3" t="s">
        <v>4447</v>
      </c>
      <c r="B301" t="s">
        <v>136</v>
      </c>
      <c r="C301" t="s">
        <v>254</v>
      </c>
      <c r="D301" t="s">
        <v>26</v>
      </c>
      <c r="E301" t="s">
        <v>62</v>
      </c>
      <c r="F301">
        <v>1</v>
      </c>
      <c r="G301" s="3" t="s">
        <v>32</v>
      </c>
      <c r="H301" s="44" t="s">
        <v>15</v>
      </c>
      <c r="I301" s="17">
        <v>744355.96</v>
      </c>
      <c r="J301" s="17">
        <f>IF(Gastos[[#This Row],[Divisa]]="$", I301*1, IF(Gastos[[#This Row],[Divisa]]="U$D", I301*$N$1, IF(Gastos[[#This Row],[Divisa]]="EUR", I301*$N$2, 0)))</f>
        <v>744355.96</v>
      </c>
      <c r="K301" s="54">
        <f>Gastos[[#This Row],[Importe AR$]]/$N$1</f>
        <v>477.15125641025639</v>
      </c>
      <c r="M301" s="69"/>
      <c r="N301" s="43" t="str">
        <f>IF(Gastos[[#This Row],[Fecha_Cheque]]&gt;0,WEEKNUM(Gastos[[#This Row],[Fecha_Cheque]]),MID(Gastos[[#This Row],[Semana]],6,2))</f>
        <v>41</v>
      </c>
      <c r="O301" t="s">
        <v>4520</v>
      </c>
      <c r="P301" t="s">
        <v>27</v>
      </c>
    </row>
    <row r="302" spans="1:16" hidden="1" x14ac:dyDescent="0.25">
      <c r="A302" s="3" t="s">
        <v>4447</v>
      </c>
      <c r="B302" t="s">
        <v>136</v>
      </c>
      <c r="C302" t="s">
        <v>254</v>
      </c>
      <c r="D302" t="s">
        <v>26</v>
      </c>
      <c r="E302" t="s">
        <v>62</v>
      </c>
      <c r="F302">
        <v>1</v>
      </c>
      <c r="G302" s="3" t="s">
        <v>32</v>
      </c>
      <c r="H302" s="44" t="s">
        <v>15</v>
      </c>
      <c r="I302" s="17">
        <v>403736.12</v>
      </c>
      <c r="J302" s="17">
        <f>IF(Gastos[[#This Row],[Divisa]]="$", I302*1, IF(Gastos[[#This Row],[Divisa]]="U$D", I302*$N$1, IF(Gastos[[#This Row],[Divisa]]="EUR", I302*$N$2, 0)))</f>
        <v>403736.12</v>
      </c>
      <c r="K302" s="54">
        <f>Gastos[[#This Row],[Importe AR$]]/$N$1</f>
        <v>258.8052051282051</v>
      </c>
      <c r="M302" s="69"/>
      <c r="N302" s="43" t="str">
        <f>IF(Gastos[[#This Row],[Fecha_Cheque]]&gt;0,WEEKNUM(Gastos[[#This Row],[Fecha_Cheque]]),MID(Gastos[[#This Row],[Semana]],6,2))</f>
        <v>41</v>
      </c>
      <c r="O302" t="s">
        <v>4520</v>
      </c>
      <c r="P302" t="s">
        <v>27</v>
      </c>
    </row>
    <row r="303" spans="1:16" hidden="1" x14ac:dyDescent="0.25">
      <c r="A303" s="3" t="s">
        <v>4447</v>
      </c>
      <c r="B303" t="s">
        <v>136</v>
      </c>
      <c r="C303" t="s">
        <v>254</v>
      </c>
      <c r="D303" t="s">
        <v>26</v>
      </c>
      <c r="E303" t="s">
        <v>62</v>
      </c>
      <c r="F303">
        <v>1</v>
      </c>
      <c r="G303" s="3" t="s">
        <v>32</v>
      </c>
      <c r="H303" s="44" t="s">
        <v>15</v>
      </c>
      <c r="I303" s="17">
        <v>18874.88</v>
      </c>
      <c r="J303" s="17">
        <f>IF(Gastos[[#This Row],[Divisa]]="$", I303*1, IF(Gastos[[#This Row],[Divisa]]="U$D", I303*$N$1, IF(Gastos[[#This Row],[Divisa]]="EUR", I303*$N$2, 0)))</f>
        <v>18874.88</v>
      </c>
      <c r="K303" s="54">
        <f>Gastos[[#This Row],[Importe AR$]]/$N$1</f>
        <v>12.099282051282051</v>
      </c>
      <c r="L303" t="s">
        <v>340</v>
      </c>
      <c r="M303" s="69"/>
      <c r="N303" s="43" t="str">
        <f>IF(Gastos[[#This Row],[Fecha_Cheque]]&gt;0,WEEKNUM(Gastos[[#This Row],[Fecha_Cheque]]),MID(Gastos[[#This Row],[Semana]],6,2))</f>
        <v>41</v>
      </c>
      <c r="O303" t="s">
        <v>4520</v>
      </c>
      <c r="P303" t="s">
        <v>27</v>
      </c>
    </row>
    <row r="304" spans="1:16" hidden="1" x14ac:dyDescent="0.25">
      <c r="A304" s="3" t="s">
        <v>39</v>
      </c>
      <c r="B304" t="s">
        <v>394</v>
      </c>
      <c r="C304" t="s">
        <v>395</v>
      </c>
      <c r="D304" t="s">
        <v>26</v>
      </c>
      <c r="E304" t="s">
        <v>42</v>
      </c>
      <c r="F304">
        <v>1</v>
      </c>
      <c r="G304" s="3" t="s">
        <v>4</v>
      </c>
      <c r="H304" s="46" t="s">
        <v>15</v>
      </c>
      <c r="I304" s="17">
        <v>600000</v>
      </c>
      <c r="J304" s="17">
        <f>IF(Gastos[[#This Row],[Divisa]]="$", I304*1, IF(Gastos[[#This Row],[Divisa]]="U$D", I304*$N$1, IF(Gastos[[#This Row],[Divisa]]="EUR", I304*$N$2, 0)))</f>
        <v>600000</v>
      </c>
      <c r="K304" s="54">
        <f>Gastos[[#This Row],[Importe AR$]]/$N$1</f>
        <v>384.61538461538464</v>
      </c>
      <c r="M304" s="69"/>
      <c r="N304" s="43" t="str">
        <f>IF(Gastos[[#This Row],[Fecha_Cheque]]&gt;0,WEEKNUM(Gastos[[#This Row],[Fecha_Cheque]]),MID(Gastos[[#This Row],[Semana]],6,2))</f>
        <v>14</v>
      </c>
      <c r="O304" t="s">
        <v>396</v>
      </c>
      <c r="P304" t="s">
        <v>27</v>
      </c>
    </row>
    <row r="305" spans="1:16" hidden="1" x14ac:dyDescent="0.25">
      <c r="A305" s="3" t="s">
        <v>828</v>
      </c>
      <c r="B305" t="s">
        <v>394</v>
      </c>
      <c r="C305" t="s">
        <v>395</v>
      </c>
      <c r="D305" t="s">
        <v>26</v>
      </c>
      <c r="E305" t="s">
        <v>42</v>
      </c>
      <c r="F305">
        <v>1</v>
      </c>
      <c r="G305" s="3" t="s">
        <v>4</v>
      </c>
      <c r="H305" s="46" t="s">
        <v>15</v>
      </c>
      <c r="I305" s="17">
        <v>500000</v>
      </c>
      <c r="J305" s="17">
        <f>IF(Gastos[[#This Row],[Divisa]]="$", I305*1, IF(Gastos[[#This Row],[Divisa]]="U$D", I305*$N$1, IF(Gastos[[#This Row],[Divisa]]="EUR", I305*$N$2, 0)))</f>
        <v>500000</v>
      </c>
      <c r="K305" s="54">
        <f>Gastos[[#This Row],[Importe AR$]]/$N$1</f>
        <v>320.5128205128205</v>
      </c>
      <c r="M305" s="69"/>
      <c r="N305" s="43" t="str">
        <f>IF(Gastos[[#This Row],[Fecha_Cheque]]&gt;0,WEEKNUM(Gastos[[#This Row],[Fecha_Cheque]]),MID(Gastos[[#This Row],[Semana]],6,2))</f>
        <v>13</v>
      </c>
      <c r="O305" t="s">
        <v>832</v>
      </c>
      <c r="P305" t="s">
        <v>27</v>
      </c>
    </row>
    <row r="306" spans="1:16" hidden="1" x14ac:dyDescent="0.25">
      <c r="A306" s="3" t="s">
        <v>3882</v>
      </c>
      <c r="B306" t="s">
        <v>3890</v>
      </c>
      <c r="C306" t="s">
        <v>3891</v>
      </c>
      <c r="D306" t="s">
        <v>26</v>
      </c>
      <c r="E306" t="s">
        <v>31</v>
      </c>
      <c r="F306">
        <v>1</v>
      </c>
      <c r="G306" s="3" t="s">
        <v>5</v>
      </c>
      <c r="H306" s="44" t="s">
        <v>15</v>
      </c>
      <c r="I306" s="17">
        <v>478310.42</v>
      </c>
      <c r="J306" s="17">
        <f>IF(Gastos[[#This Row],[Divisa]]="$", I306*1, IF(Gastos[[#This Row],[Divisa]]="U$D", I306*$N$1, IF(Gastos[[#This Row],[Divisa]]="EUR", I306*$N$2, 0)))</f>
        <v>478310.42</v>
      </c>
      <c r="K306" s="54">
        <f>Gastos[[#This Row],[Importe AR$]]/$N$1</f>
        <v>306.60924358974358</v>
      </c>
      <c r="M306" s="69"/>
      <c r="N306" s="43" t="str">
        <f>IF(Gastos[[#This Row],[Fecha_Cheque]]&gt;0,WEEKNUM(Gastos[[#This Row],[Fecha_Cheque]]),MID(Gastos[[#This Row],[Semana]],6,2))</f>
        <v>31</v>
      </c>
      <c r="O306" t="s">
        <v>3892</v>
      </c>
      <c r="P306" t="s">
        <v>27</v>
      </c>
    </row>
    <row r="307" spans="1:16" hidden="1" x14ac:dyDescent="0.25">
      <c r="A307" s="3" t="s">
        <v>3882</v>
      </c>
      <c r="B307" t="s">
        <v>3890</v>
      </c>
      <c r="C307" t="s">
        <v>3891</v>
      </c>
      <c r="D307" t="s">
        <v>26</v>
      </c>
      <c r="E307" t="s">
        <v>31</v>
      </c>
      <c r="F307">
        <v>1</v>
      </c>
      <c r="G307" s="3" t="s">
        <v>5</v>
      </c>
      <c r="H307" s="44" t="s">
        <v>15</v>
      </c>
      <c r="I307" s="17">
        <v>5190.01</v>
      </c>
      <c r="J307" s="17">
        <f>IF(Gastos[[#This Row],[Divisa]]="$", I307*1, IF(Gastos[[#This Row],[Divisa]]="U$D", I307*$N$1, IF(Gastos[[#This Row],[Divisa]]="EUR", I307*$N$2, 0)))</f>
        <v>5190.01</v>
      </c>
      <c r="K307" s="54">
        <f>Gastos[[#This Row],[Importe AR$]]/$N$1</f>
        <v>3.3269294871794872</v>
      </c>
      <c r="L307" t="s">
        <v>340</v>
      </c>
      <c r="M307" s="69"/>
      <c r="N307" s="43" t="str">
        <f>IF(Gastos[[#This Row],[Fecha_Cheque]]&gt;0,WEEKNUM(Gastos[[#This Row],[Fecha_Cheque]]),MID(Gastos[[#This Row],[Semana]],6,2))</f>
        <v>31</v>
      </c>
      <c r="O307" t="s">
        <v>3892</v>
      </c>
      <c r="P307" t="s">
        <v>27</v>
      </c>
    </row>
    <row r="308" spans="1:16" hidden="1" x14ac:dyDescent="0.25">
      <c r="A308" s="3" t="s">
        <v>64</v>
      </c>
      <c r="B308" t="s">
        <v>266</v>
      </c>
      <c r="C308" t="s">
        <v>267</v>
      </c>
      <c r="D308" t="s">
        <v>26</v>
      </c>
      <c r="E308" t="s">
        <v>31</v>
      </c>
      <c r="F308">
        <v>1</v>
      </c>
      <c r="G308" s="3" t="s">
        <v>32</v>
      </c>
      <c r="H308" s="46" t="s">
        <v>15</v>
      </c>
      <c r="I308" s="17">
        <v>84948.64</v>
      </c>
      <c r="J308" s="17">
        <f>IF(Gastos[[#This Row],[Divisa]]="$", I308*1, IF(Gastos[[#This Row],[Divisa]]="U$D", I308*$N$1, IF(Gastos[[#This Row],[Divisa]]="EUR", I308*$N$2, 0)))</f>
        <v>84948.64</v>
      </c>
      <c r="K308" s="54">
        <f>Gastos[[#This Row],[Importe AR$]]/$N$1</f>
        <v>54.454256410256413</v>
      </c>
      <c r="M308" s="69">
        <v>45912</v>
      </c>
      <c r="N308" s="43">
        <f>IF(Gastos[[#This Row],[Fecha_Cheque]]&gt;0,WEEKNUM(Gastos[[#This Row],[Fecha_Cheque]]),MID(Gastos[[#This Row],[Semana]],6,2))</f>
        <v>37</v>
      </c>
      <c r="O308" t="s">
        <v>268</v>
      </c>
      <c r="P308" t="s">
        <v>27</v>
      </c>
    </row>
    <row r="309" spans="1:16" hidden="1" x14ac:dyDescent="0.25">
      <c r="A309" s="3" t="s">
        <v>171</v>
      </c>
      <c r="B309" t="s">
        <v>266</v>
      </c>
      <c r="C309" t="s">
        <v>269</v>
      </c>
      <c r="D309" t="s">
        <v>26</v>
      </c>
      <c r="E309" t="s">
        <v>31</v>
      </c>
      <c r="F309">
        <v>1</v>
      </c>
      <c r="G309" s="3" t="s">
        <v>32</v>
      </c>
      <c r="H309" s="46" t="s">
        <v>15</v>
      </c>
      <c r="I309" s="17">
        <v>615773.99</v>
      </c>
      <c r="J309" s="17">
        <f>IF(Gastos[[#This Row],[Divisa]]="$", I309*1, IF(Gastos[[#This Row],[Divisa]]="U$D", I309*$N$1, IF(Gastos[[#This Row],[Divisa]]="EUR", I309*$N$2, 0)))</f>
        <v>615773.99</v>
      </c>
      <c r="K309" s="54">
        <f>Gastos[[#This Row],[Importe AR$]]/$N$1</f>
        <v>394.72691666666668</v>
      </c>
      <c r="M309" s="69">
        <v>45946</v>
      </c>
      <c r="N309" s="43">
        <f>IF(Gastos[[#This Row],[Fecha_Cheque]]&gt;0,WEEKNUM(Gastos[[#This Row],[Fecha_Cheque]]),MID(Gastos[[#This Row],[Semana]],6,2))</f>
        <v>42</v>
      </c>
      <c r="O309" t="s">
        <v>123</v>
      </c>
      <c r="P309" t="s">
        <v>27</v>
      </c>
    </row>
    <row r="310" spans="1:16" hidden="1" x14ac:dyDescent="0.25">
      <c r="A310" s="3" t="s">
        <v>171</v>
      </c>
      <c r="B310" t="s">
        <v>266</v>
      </c>
      <c r="C310" t="s">
        <v>270</v>
      </c>
      <c r="D310" t="s">
        <v>26</v>
      </c>
      <c r="E310" t="s">
        <v>31</v>
      </c>
      <c r="F310">
        <v>1</v>
      </c>
      <c r="G310" s="3" t="s">
        <v>32</v>
      </c>
      <c r="H310" s="46" t="s">
        <v>15</v>
      </c>
      <c r="I310" s="17">
        <v>615773.99</v>
      </c>
      <c r="J310" s="17">
        <f>IF(Gastos[[#This Row],[Divisa]]="$", I310*1, IF(Gastos[[#This Row],[Divisa]]="U$D", I310*$N$1, IF(Gastos[[#This Row],[Divisa]]="EUR", I310*$N$2, 0)))</f>
        <v>615773.99</v>
      </c>
      <c r="K310" s="54">
        <f>Gastos[[#This Row],[Importe AR$]]/$N$1</f>
        <v>394.72691666666668</v>
      </c>
      <c r="M310" s="69">
        <v>45960</v>
      </c>
      <c r="N310" s="43">
        <f>IF(Gastos[[#This Row],[Fecha_Cheque]]&gt;0,WEEKNUM(Gastos[[#This Row],[Fecha_Cheque]]),MID(Gastos[[#This Row],[Semana]],6,2))</f>
        <v>44</v>
      </c>
      <c r="O310" t="s">
        <v>123</v>
      </c>
      <c r="P310" t="s">
        <v>27</v>
      </c>
    </row>
    <row r="311" spans="1:16" hidden="1" x14ac:dyDescent="0.25">
      <c r="A311" s="3" t="s">
        <v>89</v>
      </c>
      <c r="B311" t="s">
        <v>266</v>
      </c>
      <c r="C311" t="s">
        <v>271</v>
      </c>
      <c r="D311" t="s">
        <v>26</v>
      </c>
      <c r="E311" t="s">
        <v>31</v>
      </c>
      <c r="F311">
        <v>1</v>
      </c>
      <c r="G311" s="3" t="s">
        <v>32</v>
      </c>
      <c r="H311" s="46" t="s">
        <v>15</v>
      </c>
      <c r="I311" s="17">
        <f>58033.56+29257.73</f>
        <v>87291.29</v>
      </c>
      <c r="J311" s="17">
        <f>IF(Gastos[[#This Row],[Divisa]]="$", I311*1, IF(Gastos[[#This Row],[Divisa]]="U$D", I311*$N$1, IF(Gastos[[#This Row],[Divisa]]="EUR", I311*$N$2, 0)))</f>
        <v>87291.29</v>
      </c>
      <c r="K311" s="54">
        <f>Gastos[[#This Row],[Importe AR$]]/$N$1</f>
        <v>55.955955128205126</v>
      </c>
      <c r="M311" s="69"/>
      <c r="N311" s="43" t="str">
        <f>IF(Gastos[[#This Row],[Fecha_Cheque]]&gt;0,WEEKNUM(Gastos[[#This Row],[Fecha_Cheque]]),MID(Gastos[[#This Row],[Semana]],6,2))</f>
        <v>39</v>
      </c>
      <c r="P311" t="s">
        <v>27</v>
      </c>
    </row>
    <row r="312" spans="1:16" hidden="1" x14ac:dyDescent="0.25">
      <c r="A312" s="3" t="s">
        <v>89</v>
      </c>
      <c r="B312" t="s">
        <v>266</v>
      </c>
      <c r="C312" t="s">
        <v>271</v>
      </c>
      <c r="D312" t="s">
        <v>26</v>
      </c>
      <c r="E312" t="s">
        <v>31</v>
      </c>
      <c r="F312">
        <v>1</v>
      </c>
      <c r="G312" s="3" t="s">
        <v>32</v>
      </c>
      <c r="H312" s="46" t="s">
        <v>15</v>
      </c>
      <c r="I312" s="17">
        <v>358857.3</v>
      </c>
      <c r="J312" s="17">
        <f>IF(Gastos[[#This Row],[Divisa]]="$", I312*1, IF(Gastos[[#This Row],[Divisa]]="U$D", I312*$N$1, IF(Gastos[[#This Row],[Divisa]]="EUR", I312*$N$2, 0)))</f>
        <v>358857.3</v>
      </c>
      <c r="K312" s="54">
        <f>Gastos[[#This Row],[Importe AR$]]/$N$1</f>
        <v>230.03673076923076</v>
      </c>
      <c r="M312" s="69"/>
      <c r="N312" s="43" t="str">
        <f>IF(Gastos[[#This Row],[Fecha_Cheque]]&gt;0,WEEKNUM(Gastos[[#This Row],[Fecha_Cheque]]),MID(Gastos[[#This Row],[Semana]],6,2))</f>
        <v>39</v>
      </c>
      <c r="O312" t="s">
        <v>123</v>
      </c>
      <c r="P312" t="s">
        <v>27</v>
      </c>
    </row>
    <row r="313" spans="1:16" hidden="1" x14ac:dyDescent="0.25">
      <c r="A313" s="3" t="s">
        <v>93</v>
      </c>
      <c r="B313" t="s">
        <v>266</v>
      </c>
      <c r="C313" t="s">
        <v>272</v>
      </c>
      <c r="D313" t="s">
        <v>26</v>
      </c>
      <c r="E313" t="s">
        <v>31</v>
      </c>
      <c r="F313">
        <v>1</v>
      </c>
      <c r="G313" s="3" t="s">
        <v>32</v>
      </c>
      <c r="H313" s="46" t="s">
        <v>15</v>
      </c>
      <c r="I313" s="17">
        <f>47720.81+1469650</f>
        <v>1517370.81</v>
      </c>
      <c r="J313" s="17">
        <f>IF(Gastos[[#This Row],[Divisa]]="$", I313*1, IF(Gastos[[#This Row],[Divisa]]="U$D", I313*$N$1, IF(Gastos[[#This Row],[Divisa]]="EUR", I313*$N$2, 0)))</f>
        <v>1517370.81</v>
      </c>
      <c r="K313" s="54">
        <f>Gastos[[#This Row],[Importe AR$]]/$N$1</f>
        <v>972.67359615384623</v>
      </c>
      <c r="M313" s="69">
        <v>46010</v>
      </c>
      <c r="N313" s="43">
        <f>IF(Gastos[[#This Row],[Fecha_Cheque]]&gt;0,WEEKNUM(Gastos[[#This Row],[Fecha_Cheque]]),MID(Gastos[[#This Row],[Semana]],6,2))</f>
        <v>51</v>
      </c>
      <c r="O313" t="s">
        <v>273</v>
      </c>
      <c r="P313" t="s">
        <v>27</v>
      </c>
    </row>
    <row r="314" spans="1:16" hidden="1" x14ac:dyDescent="0.25">
      <c r="A314" s="3" t="s">
        <v>93</v>
      </c>
      <c r="B314" t="s">
        <v>266</v>
      </c>
      <c r="C314" t="s">
        <v>274</v>
      </c>
      <c r="D314" t="s">
        <v>26</v>
      </c>
      <c r="E314" t="s">
        <v>31</v>
      </c>
      <c r="F314">
        <v>1</v>
      </c>
      <c r="G314" s="3" t="s">
        <v>32</v>
      </c>
      <c r="H314" s="46" t="s">
        <v>15</v>
      </c>
      <c r="I314" s="17">
        <f>225000*2</f>
        <v>450000</v>
      </c>
      <c r="J314" s="17">
        <f>IF(Gastos[[#This Row],[Divisa]]="$", I314*1, IF(Gastos[[#This Row],[Divisa]]="U$D", I314*$N$1, IF(Gastos[[#This Row],[Divisa]]="EUR", I314*$N$2, 0)))</f>
        <v>450000</v>
      </c>
      <c r="K314" s="54">
        <f>Gastos[[#This Row],[Importe AR$]]/$N$1</f>
        <v>288.46153846153845</v>
      </c>
      <c r="M314" s="69">
        <v>46010</v>
      </c>
      <c r="N314" s="43">
        <f>IF(Gastos[[#This Row],[Fecha_Cheque]]&gt;0,WEEKNUM(Gastos[[#This Row],[Fecha_Cheque]]),MID(Gastos[[#This Row],[Semana]],6,2))</f>
        <v>51</v>
      </c>
      <c r="O314" t="s">
        <v>273</v>
      </c>
      <c r="P314" t="s">
        <v>27</v>
      </c>
    </row>
    <row r="315" spans="1:16" hidden="1" x14ac:dyDescent="0.25">
      <c r="A315" s="3" t="s">
        <v>93</v>
      </c>
      <c r="B315" t="s">
        <v>266</v>
      </c>
      <c r="C315" t="s">
        <v>275</v>
      </c>
      <c r="D315" t="s">
        <v>26</v>
      </c>
      <c r="E315" t="s">
        <v>31</v>
      </c>
      <c r="F315">
        <v>1</v>
      </c>
      <c r="G315" s="3" t="s">
        <v>32</v>
      </c>
      <c r="H315" s="46" t="s">
        <v>15</v>
      </c>
      <c r="I315" s="17">
        <v>414401.89</v>
      </c>
      <c r="J315" s="17">
        <f>IF(Gastos[[#This Row],[Divisa]]="$", I315*1, IF(Gastos[[#This Row],[Divisa]]="U$D", I315*$N$1, IF(Gastos[[#This Row],[Divisa]]="EUR", I315*$N$2, 0)))</f>
        <v>414401.89</v>
      </c>
      <c r="K315" s="54">
        <f>Gastos[[#This Row],[Importe AR$]]/$N$1</f>
        <v>265.64223717948721</v>
      </c>
      <c r="M315" s="69">
        <v>46010</v>
      </c>
      <c r="N315" s="43">
        <f>IF(Gastos[[#This Row],[Fecha_Cheque]]&gt;0,WEEKNUM(Gastos[[#This Row],[Fecha_Cheque]]),MID(Gastos[[#This Row],[Semana]],6,2))</f>
        <v>51</v>
      </c>
      <c r="O315" t="s">
        <v>273</v>
      </c>
      <c r="P315" t="s">
        <v>27</v>
      </c>
    </row>
    <row r="316" spans="1:16" hidden="1" x14ac:dyDescent="0.25">
      <c r="A316" s="3" t="s">
        <v>206</v>
      </c>
      <c r="B316" t="s">
        <v>266</v>
      </c>
      <c r="C316" t="s">
        <v>276</v>
      </c>
      <c r="D316" t="s">
        <v>26</v>
      </c>
      <c r="E316" t="s">
        <v>31</v>
      </c>
      <c r="F316">
        <v>1</v>
      </c>
      <c r="G316" s="3" t="s">
        <v>32</v>
      </c>
      <c r="H316" s="46" t="s">
        <v>15</v>
      </c>
      <c r="I316" s="17">
        <f>107323.95+165700.95</f>
        <v>273024.90000000002</v>
      </c>
      <c r="J316" s="17">
        <f>IF(Gastos[[#This Row],[Divisa]]="$", I316*1, IF(Gastos[[#This Row],[Divisa]]="U$D", I316*$N$1, IF(Gastos[[#This Row],[Divisa]]="EUR", I316*$N$2, 0)))</f>
        <v>273024.90000000002</v>
      </c>
      <c r="K316" s="54">
        <f>Gastos[[#This Row],[Importe AR$]]/$N$1</f>
        <v>175.01596153846154</v>
      </c>
      <c r="L316" t="s">
        <v>277</v>
      </c>
      <c r="M316" s="69">
        <v>46088</v>
      </c>
      <c r="N316" s="43">
        <f>IF(Gastos[[#This Row],[Fecha_Cheque]]&gt;0,WEEKNUM(Gastos[[#This Row],[Fecha_Cheque]]),MID(Gastos[[#This Row],[Semana]],6,2))</f>
        <v>10</v>
      </c>
      <c r="O316" t="s">
        <v>278</v>
      </c>
      <c r="P316" t="s">
        <v>27</v>
      </c>
    </row>
    <row r="317" spans="1:16" hidden="1" x14ac:dyDescent="0.25">
      <c r="A317" s="3" t="s">
        <v>128</v>
      </c>
      <c r="B317" t="s">
        <v>266</v>
      </c>
      <c r="C317" t="s">
        <v>279</v>
      </c>
      <c r="D317" t="s">
        <v>26</v>
      </c>
      <c r="E317" t="s">
        <v>31</v>
      </c>
      <c r="F317">
        <v>1</v>
      </c>
      <c r="G317" s="3" t="s">
        <v>32</v>
      </c>
      <c r="H317" s="46" t="s">
        <v>15</v>
      </c>
      <c r="I317" s="17">
        <v>280498.21999999997</v>
      </c>
      <c r="J317" s="17">
        <f>IF(Gastos[[#This Row],[Divisa]]="$", I317*1, IF(Gastos[[#This Row],[Divisa]]="U$D", I317*$N$1, IF(Gastos[[#This Row],[Divisa]]="EUR", I317*$N$2, 0)))</f>
        <v>280498.21999999997</v>
      </c>
      <c r="K317" s="54">
        <f>Gastos[[#This Row],[Importe AR$]]/$N$1</f>
        <v>179.80655128205126</v>
      </c>
      <c r="M317" s="69"/>
      <c r="N317" s="43" t="str">
        <f>IF(Gastos[[#This Row],[Fecha_Cheque]]&gt;0,WEEKNUM(Gastos[[#This Row],[Fecha_Cheque]]),MID(Gastos[[#This Row],[Semana]],6,2))</f>
        <v>43</v>
      </c>
      <c r="O317" t="s">
        <v>280</v>
      </c>
      <c r="P317" t="s">
        <v>27</v>
      </c>
    </row>
    <row r="318" spans="1:16" hidden="1" x14ac:dyDescent="0.25">
      <c r="A318" s="3" t="s">
        <v>128</v>
      </c>
      <c r="B318" t="s">
        <v>266</v>
      </c>
      <c r="C318" t="s">
        <v>281</v>
      </c>
      <c r="D318" t="s">
        <v>26</v>
      </c>
      <c r="E318" t="s">
        <v>31</v>
      </c>
      <c r="F318">
        <v>1</v>
      </c>
      <c r="G318" s="3" t="s">
        <v>32</v>
      </c>
      <c r="H318" s="46" t="s">
        <v>15</v>
      </c>
      <c r="I318" s="17">
        <v>522975.81</v>
      </c>
      <c r="J318" s="17">
        <f>IF(Gastos[[#This Row],[Divisa]]="$", I318*1, IF(Gastos[[#This Row],[Divisa]]="U$D", I318*$N$1, IF(Gastos[[#This Row],[Divisa]]="EUR", I318*$N$2, 0)))</f>
        <v>522975.81</v>
      </c>
      <c r="K318" s="54">
        <f>Gastos[[#This Row],[Importe AR$]]/$N$1</f>
        <v>335.24090384615386</v>
      </c>
      <c r="M318" s="69"/>
      <c r="N318" s="43" t="str">
        <f>IF(Gastos[[#This Row],[Fecha_Cheque]]&gt;0,WEEKNUM(Gastos[[#This Row],[Fecha_Cheque]]),MID(Gastos[[#This Row],[Semana]],6,2))</f>
        <v>43</v>
      </c>
      <c r="O318" t="s">
        <v>280</v>
      </c>
      <c r="P318" t="s">
        <v>27</v>
      </c>
    </row>
    <row r="319" spans="1:16" hidden="1" x14ac:dyDescent="0.25">
      <c r="A319" s="3" t="s">
        <v>128</v>
      </c>
      <c r="B319" t="s">
        <v>266</v>
      </c>
      <c r="C319" t="s">
        <v>281</v>
      </c>
      <c r="D319" t="s">
        <v>26</v>
      </c>
      <c r="E319" t="s">
        <v>31</v>
      </c>
      <c r="F319">
        <v>1</v>
      </c>
      <c r="G319" s="3" t="s">
        <v>32</v>
      </c>
      <c r="H319" s="46" t="s">
        <v>15</v>
      </c>
      <c r="I319" s="17">
        <v>173368</v>
      </c>
      <c r="J319" s="17">
        <f>IF(Gastos[[#This Row],[Divisa]]="$", I319*1, IF(Gastos[[#This Row],[Divisa]]="U$D", I319*$N$1, IF(Gastos[[#This Row],[Divisa]]="EUR", I319*$N$2, 0)))</f>
        <v>173368</v>
      </c>
      <c r="K319" s="54">
        <f>Gastos[[#This Row],[Importe AR$]]/$N$1</f>
        <v>111.13333333333334</v>
      </c>
      <c r="M319" s="69"/>
      <c r="N319" s="43" t="str">
        <f>IF(Gastos[[#This Row],[Fecha_Cheque]]&gt;0,WEEKNUM(Gastos[[#This Row],[Fecha_Cheque]]),MID(Gastos[[#This Row],[Semana]],6,2))</f>
        <v>43</v>
      </c>
      <c r="O319" t="s">
        <v>280</v>
      </c>
      <c r="P319" t="s">
        <v>27</v>
      </c>
    </row>
    <row r="320" spans="1:16" hidden="1" x14ac:dyDescent="0.25">
      <c r="A320" s="3" t="s">
        <v>128</v>
      </c>
      <c r="B320" t="s">
        <v>266</v>
      </c>
      <c r="C320" t="s">
        <v>282</v>
      </c>
      <c r="D320" t="s">
        <v>26</v>
      </c>
      <c r="E320" t="s">
        <v>31</v>
      </c>
      <c r="F320">
        <v>1</v>
      </c>
      <c r="G320" s="3" t="s">
        <v>32</v>
      </c>
      <c r="H320" s="46" t="s">
        <v>15</v>
      </c>
      <c r="I320" s="17">
        <v>138229.96</v>
      </c>
      <c r="J320" s="17">
        <f>IF(Gastos[[#This Row],[Divisa]]="$", I320*1, IF(Gastos[[#This Row],[Divisa]]="U$D", I320*$N$1, IF(Gastos[[#This Row],[Divisa]]="EUR", I320*$N$2, 0)))</f>
        <v>138229.96</v>
      </c>
      <c r="K320" s="54">
        <f>Gastos[[#This Row],[Importe AR$]]/$N$1</f>
        <v>88.608948717948707</v>
      </c>
      <c r="M320" s="69"/>
      <c r="N320" s="43" t="str">
        <f>IF(Gastos[[#This Row],[Fecha_Cheque]]&gt;0,WEEKNUM(Gastos[[#This Row],[Fecha_Cheque]]),MID(Gastos[[#This Row],[Semana]],6,2))</f>
        <v>43</v>
      </c>
      <c r="O320" t="s">
        <v>280</v>
      </c>
      <c r="P320" t="s">
        <v>27</v>
      </c>
    </row>
    <row r="321" spans="1:16" hidden="1" x14ac:dyDescent="0.25">
      <c r="A321" s="3" t="s">
        <v>128</v>
      </c>
      <c r="B321" t="s">
        <v>266</v>
      </c>
      <c r="C321" t="s">
        <v>282</v>
      </c>
      <c r="D321" t="s">
        <v>26</v>
      </c>
      <c r="E321" t="s">
        <v>31</v>
      </c>
      <c r="F321">
        <v>1</v>
      </c>
      <c r="G321" s="3" t="s">
        <v>32</v>
      </c>
      <c r="H321" s="46" t="s">
        <v>15</v>
      </c>
      <c r="I321" s="17">
        <v>421743.13</v>
      </c>
      <c r="J321" s="17">
        <f>IF(Gastos[[#This Row],[Divisa]]="$", I321*1, IF(Gastos[[#This Row],[Divisa]]="U$D", I321*$N$1, IF(Gastos[[#This Row],[Divisa]]="EUR", I321*$N$2, 0)))</f>
        <v>421743.13</v>
      </c>
      <c r="K321" s="54">
        <f>Gastos[[#This Row],[Importe AR$]]/$N$1</f>
        <v>270.34816025641027</v>
      </c>
      <c r="M321" s="69"/>
      <c r="N321" s="43" t="str">
        <f>IF(Gastos[[#This Row],[Fecha_Cheque]]&gt;0,WEEKNUM(Gastos[[#This Row],[Fecha_Cheque]]),MID(Gastos[[#This Row],[Semana]],6,2))</f>
        <v>43</v>
      </c>
      <c r="O321" t="s">
        <v>280</v>
      </c>
      <c r="P321" t="s">
        <v>27</v>
      </c>
    </row>
    <row r="322" spans="1:16" hidden="1" x14ac:dyDescent="0.25">
      <c r="A322" s="3" t="s">
        <v>232</v>
      </c>
      <c r="B322" t="s">
        <v>266</v>
      </c>
      <c r="C322" t="s">
        <v>279</v>
      </c>
      <c r="D322" t="s">
        <v>26</v>
      </c>
      <c r="E322" t="s">
        <v>31</v>
      </c>
      <c r="F322">
        <v>1</v>
      </c>
      <c r="G322" s="3" t="s">
        <v>32</v>
      </c>
      <c r="H322" s="46" t="s">
        <v>15</v>
      </c>
      <c r="I322" s="17">
        <v>1142428.78</v>
      </c>
      <c r="J322" s="17">
        <f>IF(Gastos[[#This Row],[Divisa]]="$", I322*1, IF(Gastos[[#This Row],[Divisa]]="U$D", I322*$N$1, IF(Gastos[[#This Row],[Divisa]]="EUR", I322*$N$2, 0)))</f>
        <v>1142428.78</v>
      </c>
      <c r="K322" s="54">
        <f>Gastos[[#This Row],[Importe AR$]]/$N$1</f>
        <v>732.32614102564105</v>
      </c>
      <c r="M322" s="69"/>
      <c r="N322" s="43" t="str">
        <f>IF(Gastos[[#This Row],[Fecha_Cheque]]&gt;0,WEEKNUM(Gastos[[#This Row],[Fecha_Cheque]]),MID(Gastos[[#This Row],[Semana]],6,2))</f>
        <v>44</v>
      </c>
      <c r="O322" t="s">
        <v>283</v>
      </c>
      <c r="P322" t="s">
        <v>27</v>
      </c>
    </row>
    <row r="323" spans="1:16" hidden="1" x14ac:dyDescent="0.25">
      <c r="A323" s="3" t="s">
        <v>232</v>
      </c>
      <c r="B323" t="s">
        <v>266</v>
      </c>
      <c r="C323" t="s">
        <v>279</v>
      </c>
      <c r="D323" t="s">
        <v>26</v>
      </c>
      <c r="E323" t="s">
        <v>31</v>
      </c>
      <c r="F323">
        <v>1</v>
      </c>
      <c r="G323" s="3" t="s">
        <v>32</v>
      </c>
      <c r="H323" s="46" t="s">
        <v>15</v>
      </c>
      <c r="I323" s="17">
        <v>204461.25</v>
      </c>
      <c r="J323" s="17">
        <f>IF(Gastos[[#This Row],[Divisa]]="$", I323*1, IF(Gastos[[#This Row],[Divisa]]="U$D", I323*$N$1, IF(Gastos[[#This Row],[Divisa]]="EUR", I323*$N$2, 0)))</f>
        <v>204461.25</v>
      </c>
      <c r="K323" s="54">
        <f>Gastos[[#This Row],[Importe AR$]]/$N$1</f>
        <v>131.06490384615384</v>
      </c>
      <c r="M323" s="69"/>
      <c r="N323" s="43" t="str">
        <f>IF(Gastos[[#This Row],[Fecha_Cheque]]&gt;0,WEEKNUM(Gastos[[#This Row],[Fecha_Cheque]]),MID(Gastos[[#This Row],[Semana]],6,2))</f>
        <v>44</v>
      </c>
      <c r="O323" t="s">
        <v>283</v>
      </c>
      <c r="P323" t="s">
        <v>27</v>
      </c>
    </row>
    <row r="324" spans="1:16" hidden="1" x14ac:dyDescent="0.25">
      <c r="A324" s="3" t="s">
        <v>232</v>
      </c>
      <c r="B324" t="s">
        <v>266</v>
      </c>
      <c r="C324" t="s">
        <v>279</v>
      </c>
      <c r="D324" t="s">
        <v>26</v>
      </c>
      <c r="E324" t="s">
        <v>31</v>
      </c>
      <c r="F324">
        <v>1</v>
      </c>
      <c r="G324" s="3" t="s">
        <v>32</v>
      </c>
      <c r="H324" s="46" t="s">
        <v>15</v>
      </c>
      <c r="I324" s="17">
        <v>56826.35</v>
      </c>
      <c r="J324" s="17">
        <f>IF(Gastos[[#This Row],[Divisa]]="$", I324*1, IF(Gastos[[#This Row],[Divisa]]="U$D", I324*$N$1, IF(Gastos[[#This Row],[Divisa]]="EUR", I324*$N$2, 0)))</f>
        <v>56826.35</v>
      </c>
      <c r="K324" s="54">
        <f>Gastos[[#This Row],[Importe AR$]]/$N$1</f>
        <v>36.427147435897432</v>
      </c>
      <c r="M324" s="69"/>
      <c r="N324" s="43" t="str">
        <f>IF(Gastos[[#This Row],[Fecha_Cheque]]&gt;0,WEEKNUM(Gastos[[#This Row],[Fecha_Cheque]]),MID(Gastos[[#This Row],[Semana]],6,2))</f>
        <v>44</v>
      </c>
      <c r="O324" t="s">
        <v>283</v>
      </c>
      <c r="P324" t="s">
        <v>27</v>
      </c>
    </row>
    <row r="325" spans="1:16" hidden="1" x14ac:dyDescent="0.25">
      <c r="A325" s="3" t="s">
        <v>50</v>
      </c>
      <c r="B325" t="s">
        <v>266</v>
      </c>
      <c r="C325" t="s">
        <v>284</v>
      </c>
      <c r="D325" t="s">
        <v>26</v>
      </c>
      <c r="E325" t="s">
        <v>31</v>
      </c>
      <c r="F325">
        <v>1</v>
      </c>
      <c r="G325" s="3" t="s">
        <v>32</v>
      </c>
      <c r="H325" s="46" t="s">
        <v>15</v>
      </c>
      <c r="I325" s="17">
        <v>331676.40999999997</v>
      </c>
      <c r="J325" s="17">
        <f>IF(Gastos[[#This Row],[Divisa]]="$", I325*1, IF(Gastos[[#This Row],[Divisa]]="U$D", I325*$N$1, IF(Gastos[[#This Row],[Divisa]]="EUR", I325*$N$2, 0)))</f>
        <v>331676.40999999997</v>
      </c>
      <c r="K325" s="54">
        <f>Gastos[[#This Row],[Importe AR$]]/$N$1</f>
        <v>212.61308333333332</v>
      </c>
      <c r="L325" t="s">
        <v>285</v>
      </c>
      <c r="M325" s="69">
        <v>45856</v>
      </c>
      <c r="N325" s="43">
        <f>IF(Gastos[[#This Row],[Fecha_Cheque]]&gt;0,WEEKNUM(Gastos[[#This Row],[Fecha_Cheque]]),MID(Gastos[[#This Row],[Semana]],6,2))</f>
        <v>29</v>
      </c>
      <c r="O325" t="s">
        <v>286</v>
      </c>
      <c r="P325" t="s">
        <v>27</v>
      </c>
    </row>
    <row r="326" spans="1:16" hidden="1" x14ac:dyDescent="0.25">
      <c r="A326" s="3" t="s">
        <v>50</v>
      </c>
      <c r="B326" t="s">
        <v>266</v>
      </c>
      <c r="C326" t="s">
        <v>287</v>
      </c>
      <c r="D326" t="s">
        <v>26</v>
      </c>
      <c r="E326" t="s">
        <v>31</v>
      </c>
      <c r="F326">
        <v>1</v>
      </c>
      <c r="G326" s="3" t="s">
        <v>32</v>
      </c>
      <c r="H326" s="46" t="s">
        <v>15</v>
      </c>
      <c r="I326" s="17">
        <f>755709.5/2</f>
        <v>377854.75</v>
      </c>
      <c r="J326" s="17">
        <f>IF(Gastos[[#This Row],[Divisa]]="$", I326*1, IF(Gastos[[#This Row],[Divisa]]="U$D", I326*$N$1, IF(Gastos[[#This Row],[Divisa]]="EUR", I326*$N$2, 0)))</f>
        <v>377854.75</v>
      </c>
      <c r="K326" s="54">
        <f>Gastos[[#This Row],[Importe AR$]]/$N$1</f>
        <v>242.21458333333334</v>
      </c>
      <c r="L326" t="s">
        <v>215</v>
      </c>
      <c r="M326" s="69">
        <v>45857</v>
      </c>
      <c r="N326" s="43">
        <f>IF(Gastos[[#This Row],[Fecha_Cheque]]&gt;0,WEEKNUM(Gastos[[#This Row],[Fecha_Cheque]]),MID(Gastos[[#This Row],[Semana]],6,2))</f>
        <v>29</v>
      </c>
      <c r="O326" t="s">
        <v>288</v>
      </c>
      <c r="P326" t="s">
        <v>27</v>
      </c>
    </row>
    <row r="327" spans="1:16" hidden="1" x14ac:dyDescent="0.25">
      <c r="A327" s="3" t="s">
        <v>50</v>
      </c>
      <c r="B327" t="s">
        <v>266</v>
      </c>
      <c r="C327" t="s">
        <v>287</v>
      </c>
      <c r="D327" t="s">
        <v>26</v>
      </c>
      <c r="E327" t="s">
        <v>31</v>
      </c>
      <c r="F327">
        <v>1</v>
      </c>
      <c r="G327" s="3" t="s">
        <v>32</v>
      </c>
      <c r="H327" s="46" t="s">
        <v>15</v>
      </c>
      <c r="I327" s="17">
        <f>755709.5/2</f>
        <v>377854.75</v>
      </c>
      <c r="J327" s="17">
        <f>IF(Gastos[[#This Row],[Divisa]]="$", I327*1, IF(Gastos[[#This Row],[Divisa]]="U$D", I327*$N$1, IF(Gastos[[#This Row],[Divisa]]="EUR", I327*$N$2, 0)))</f>
        <v>377854.75</v>
      </c>
      <c r="K327" s="54">
        <f>Gastos[[#This Row],[Importe AR$]]/$N$1</f>
        <v>242.21458333333334</v>
      </c>
      <c r="L327" t="s">
        <v>289</v>
      </c>
      <c r="M327" s="69">
        <v>45872</v>
      </c>
      <c r="N327" s="43">
        <f>IF(Gastos[[#This Row],[Fecha_Cheque]]&gt;0,WEEKNUM(Gastos[[#This Row],[Fecha_Cheque]]),MID(Gastos[[#This Row],[Semana]],6,2))</f>
        <v>32</v>
      </c>
      <c r="O327" t="s">
        <v>288</v>
      </c>
      <c r="P327" t="s">
        <v>27</v>
      </c>
    </row>
    <row r="328" spans="1:16" hidden="1" x14ac:dyDescent="0.25">
      <c r="A328" s="3" t="s">
        <v>290</v>
      </c>
      <c r="B328" t="s">
        <v>266</v>
      </c>
      <c r="C328" t="s">
        <v>291</v>
      </c>
      <c r="D328" t="s">
        <v>26</v>
      </c>
      <c r="E328" t="s">
        <v>31</v>
      </c>
      <c r="F328">
        <v>1</v>
      </c>
      <c r="G328" s="3" t="s">
        <v>32</v>
      </c>
      <c r="H328" s="46" t="s">
        <v>15</v>
      </c>
      <c r="I328" s="17">
        <v>416392.94</v>
      </c>
      <c r="J328" s="17">
        <f>IF(Gastos[[#This Row],[Divisa]]="$", I328*1, IF(Gastos[[#This Row],[Divisa]]="U$D", I328*$N$1, IF(Gastos[[#This Row],[Divisa]]="EUR", I328*$N$2, 0)))</f>
        <v>416392.94</v>
      </c>
      <c r="K328" s="54">
        <f>Gastos[[#This Row],[Importe AR$]]/$N$1</f>
        <v>266.91855128205128</v>
      </c>
      <c r="L328" t="s">
        <v>215</v>
      </c>
      <c r="M328" s="69">
        <v>45859</v>
      </c>
      <c r="N328" s="43">
        <f>IF(Gastos[[#This Row],[Fecha_Cheque]]&gt;0,WEEKNUM(Gastos[[#This Row],[Fecha_Cheque]]),MID(Gastos[[#This Row],[Semana]],6,2))</f>
        <v>30</v>
      </c>
      <c r="O328" t="s">
        <v>292</v>
      </c>
      <c r="P328" t="s">
        <v>27</v>
      </c>
    </row>
    <row r="329" spans="1:16" hidden="1" x14ac:dyDescent="0.25">
      <c r="A329" s="3" t="s">
        <v>290</v>
      </c>
      <c r="B329" t="s">
        <v>266</v>
      </c>
      <c r="C329" t="s">
        <v>291</v>
      </c>
      <c r="D329" t="s">
        <v>26</v>
      </c>
      <c r="E329" t="s">
        <v>31</v>
      </c>
      <c r="F329">
        <v>1</v>
      </c>
      <c r="G329" s="3" t="s">
        <v>32</v>
      </c>
      <c r="H329" s="46" t="s">
        <v>15</v>
      </c>
      <c r="I329" s="17">
        <v>416392.93</v>
      </c>
      <c r="J329" s="17">
        <f>IF(Gastos[[#This Row],[Divisa]]="$", I329*1, IF(Gastos[[#This Row],[Divisa]]="U$D", I329*$N$1, IF(Gastos[[#This Row],[Divisa]]="EUR", I329*$N$2, 0)))</f>
        <v>416392.93</v>
      </c>
      <c r="K329" s="54">
        <f>Gastos[[#This Row],[Importe AR$]]/$N$1</f>
        <v>266.91854487179489</v>
      </c>
      <c r="L329" t="s">
        <v>289</v>
      </c>
      <c r="M329" s="69">
        <v>45844</v>
      </c>
      <c r="N329" s="43">
        <f>IF(Gastos[[#This Row],[Fecha_Cheque]]&gt;0,WEEKNUM(Gastos[[#This Row],[Fecha_Cheque]]),MID(Gastos[[#This Row],[Semana]],6,2))</f>
        <v>28</v>
      </c>
      <c r="O329" t="s">
        <v>292</v>
      </c>
      <c r="P329" t="s">
        <v>27</v>
      </c>
    </row>
    <row r="330" spans="1:16" hidden="1" x14ac:dyDescent="0.25">
      <c r="A330" s="3" t="s">
        <v>290</v>
      </c>
      <c r="B330" t="s">
        <v>266</v>
      </c>
      <c r="C330" t="s">
        <v>291</v>
      </c>
      <c r="D330" t="s">
        <v>26</v>
      </c>
      <c r="E330" t="s">
        <v>31</v>
      </c>
      <c r="F330">
        <v>1</v>
      </c>
      <c r="G330" s="3" t="s">
        <v>32</v>
      </c>
      <c r="H330" s="46" t="s">
        <v>15</v>
      </c>
      <c r="I330" s="17">
        <v>416392.93</v>
      </c>
      <c r="J330" s="17">
        <f>IF(Gastos[[#This Row],[Divisa]]="$", I330*1, IF(Gastos[[#This Row],[Divisa]]="U$D", I330*$N$1, IF(Gastos[[#This Row],[Divisa]]="EUR", I330*$N$2, 0)))</f>
        <v>416392.93</v>
      </c>
      <c r="K330" s="54">
        <f>Gastos[[#This Row],[Importe AR$]]/$N$1</f>
        <v>266.91854487179489</v>
      </c>
      <c r="L330" t="s">
        <v>289</v>
      </c>
      <c r="M330" s="69">
        <v>45844</v>
      </c>
      <c r="N330" s="43">
        <f>IF(Gastos[[#This Row],[Fecha_Cheque]]&gt;0,WEEKNUM(Gastos[[#This Row],[Fecha_Cheque]]),MID(Gastos[[#This Row],[Semana]],6,2))</f>
        <v>28</v>
      </c>
      <c r="O330" t="s">
        <v>292</v>
      </c>
      <c r="P330" t="s">
        <v>27</v>
      </c>
    </row>
    <row r="331" spans="1:16" hidden="1" x14ac:dyDescent="0.25">
      <c r="A331" s="3" t="s">
        <v>253</v>
      </c>
      <c r="B331" t="s">
        <v>266</v>
      </c>
      <c r="C331" t="s">
        <v>293</v>
      </c>
      <c r="D331" t="s">
        <v>26</v>
      </c>
      <c r="E331" t="s">
        <v>31</v>
      </c>
      <c r="F331">
        <v>1</v>
      </c>
      <c r="G331" s="3" t="s">
        <v>32</v>
      </c>
      <c r="H331" s="46" t="s">
        <v>15</v>
      </c>
      <c r="I331" s="17">
        <f>521706.66/2</f>
        <v>260853.33</v>
      </c>
      <c r="J331" s="17">
        <f>IF(Gastos[[#This Row],[Divisa]]="$", I331*1, IF(Gastos[[#This Row],[Divisa]]="U$D", I331*$N$1, IF(Gastos[[#This Row],[Divisa]]="EUR", I331*$N$2, 0)))</f>
        <v>260853.33</v>
      </c>
      <c r="K331" s="54">
        <f>Gastos[[#This Row],[Importe AR$]]/$N$1</f>
        <v>167.21367307692307</v>
      </c>
      <c r="L331" t="s">
        <v>215</v>
      </c>
      <c r="M331" s="69">
        <v>45851</v>
      </c>
      <c r="N331" s="43">
        <f>IF(Gastos[[#This Row],[Fecha_Cheque]]&gt;0,WEEKNUM(Gastos[[#This Row],[Fecha_Cheque]]),MID(Gastos[[#This Row],[Semana]],6,2))</f>
        <v>29</v>
      </c>
      <c r="O331" t="s">
        <v>294</v>
      </c>
      <c r="P331" t="s">
        <v>27</v>
      </c>
    </row>
    <row r="332" spans="1:16" hidden="1" x14ac:dyDescent="0.25">
      <c r="A332" s="3" t="s">
        <v>253</v>
      </c>
      <c r="B332" t="s">
        <v>266</v>
      </c>
      <c r="C332" t="s">
        <v>293</v>
      </c>
      <c r="D332" t="s">
        <v>26</v>
      </c>
      <c r="E332" t="s">
        <v>31</v>
      </c>
      <c r="F332">
        <v>1</v>
      </c>
      <c r="G332" s="3" t="s">
        <v>32</v>
      </c>
      <c r="H332" s="46" t="s">
        <v>15</v>
      </c>
      <c r="I332" s="17">
        <f>521706.66/2</f>
        <v>260853.33</v>
      </c>
      <c r="J332" s="17">
        <f>IF(Gastos[[#This Row],[Divisa]]="$", I332*1, IF(Gastos[[#This Row],[Divisa]]="U$D", I332*$N$1, IF(Gastos[[#This Row],[Divisa]]="EUR", I332*$N$2, 0)))</f>
        <v>260853.33</v>
      </c>
      <c r="K332" s="54">
        <f>Gastos[[#This Row],[Importe AR$]]/$N$1</f>
        <v>167.21367307692307</v>
      </c>
      <c r="L332" t="s">
        <v>289</v>
      </c>
      <c r="M332" s="69">
        <v>45868</v>
      </c>
      <c r="N332" s="43">
        <f>IF(Gastos[[#This Row],[Fecha_Cheque]]&gt;0,WEEKNUM(Gastos[[#This Row],[Fecha_Cheque]]),MID(Gastos[[#This Row],[Semana]],6,2))</f>
        <v>31</v>
      </c>
      <c r="O332" t="s">
        <v>294</v>
      </c>
      <c r="P332" t="s">
        <v>27</v>
      </c>
    </row>
    <row r="333" spans="1:16" hidden="1" x14ac:dyDescent="0.25">
      <c r="A333" s="3" t="s">
        <v>23</v>
      </c>
      <c r="B333" t="s">
        <v>266</v>
      </c>
      <c r="C333" t="s">
        <v>295</v>
      </c>
      <c r="D333" t="s">
        <v>61</v>
      </c>
      <c r="E333" t="s">
        <v>31</v>
      </c>
      <c r="F333">
        <v>1</v>
      </c>
      <c r="G333" s="3" t="s">
        <v>32</v>
      </c>
      <c r="H333" s="46" t="s">
        <v>15</v>
      </c>
      <c r="I333" s="17">
        <v>902861.69</v>
      </c>
      <c r="J333" s="17">
        <f>IF(Gastos[[#This Row],[Divisa]]="$", I333*1, IF(Gastos[[#This Row],[Divisa]]="U$D", I333*$N$1, IF(Gastos[[#This Row],[Divisa]]="EUR", I333*$N$2, 0)))</f>
        <v>902861.69</v>
      </c>
      <c r="K333" s="54">
        <f>Gastos[[#This Row],[Importe AR$]]/$N$1</f>
        <v>578.7574935897436</v>
      </c>
      <c r="L333" t="s">
        <v>215</v>
      </c>
      <c r="M333" s="69">
        <v>45841</v>
      </c>
      <c r="N333" s="43">
        <f>IF(Gastos[[#This Row],[Fecha_Cheque]]&gt;0,WEEKNUM(Gastos[[#This Row],[Fecha_Cheque]]),MID(Gastos[[#This Row],[Semana]],6,2))</f>
        <v>27</v>
      </c>
      <c r="O333" t="s">
        <v>296</v>
      </c>
      <c r="P333" t="s">
        <v>27</v>
      </c>
    </row>
    <row r="334" spans="1:16" hidden="1" x14ac:dyDescent="0.25">
      <c r="A334" s="3" t="s">
        <v>105</v>
      </c>
      <c r="B334" t="s">
        <v>266</v>
      </c>
      <c r="C334" t="s">
        <v>297</v>
      </c>
      <c r="D334" t="s">
        <v>26</v>
      </c>
      <c r="E334" t="s">
        <v>31</v>
      </c>
      <c r="F334">
        <v>1</v>
      </c>
      <c r="G334" s="3" t="s">
        <v>32</v>
      </c>
      <c r="H334" s="46" t="s">
        <v>15</v>
      </c>
      <c r="I334" s="17">
        <v>216495.52</v>
      </c>
      <c r="J334" s="17">
        <f>IF(Gastos[[#This Row],[Divisa]]="$", I334*1, IF(Gastos[[#This Row],[Divisa]]="U$D", I334*$N$1, IF(Gastos[[#This Row],[Divisa]]="EUR", I334*$N$2, 0)))</f>
        <v>216495.52</v>
      </c>
      <c r="K334" s="54">
        <f>Gastos[[#This Row],[Importe AR$]]/$N$1</f>
        <v>138.77917948717948</v>
      </c>
      <c r="L334" t="s">
        <v>215</v>
      </c>
      <c r="M334" s="69">
        <v>45874</v>
      </c>
      <c r="N334" s="43">
        <f>IF(Gastos[[#This Row],[Fecha_Cheque]]&gt;0,WEEKNUM(Gastos[[#This Row],[Fecha_Cheque]]),MID(Gastos[[#This Row],[Semana]],6,2))</f>
        <v>32</v>
      </c>
      <c r="O334" t="s">
        <v>298</v>
      </c>
      <c r="P334" t="s">
        <v>27</v>
      </c>
    </row>
    <row r="335" spans="1:16" hidden="1" x14ac:dyDescent="0.25">
      <c r="A335" s="3" t="s">
        <v>105</v>
      </c>
      <c r="B335" t="s">
        <v>266</v>
      </c>
      <c r="C335" t="s">
        <v>267</v>
      </c>
      <c r="D335" t="s">
        <v>26</v>
      </c>
      <c r="E335" t="s">
        <v>31</v>
      </c>
      <c r="F335">
        <v>1</v>
      </c>
      <c r="G335" s="3" t="s">
        <v>32</v>
      </c>
      <c r="H335" s="46" t="s">
        <v>15</v>
      </c>
      <c r="I335" s="17">
        <v>360145.99</v>
      </c>
      <c r="J335" s="17">
        <f>IF(Gastos[[#This Row],[Divisa]]="$", I335*1, IF(Gastos[[#This Row],[Divisa]]="U$D", I335*$N$1, IF(Gastos[[#This Row],[Divisa]]="EUR", I335*$N$2, 0)))</f>
        <v>360145.99</v>
      </c>
      <c r="K335" s="54">
        <f>Gastos[[#This Row],[Importe AR$]]/$N$1</f>
        <v>230.8628141025641</v>
      </c>
      <c r="L335" t="s">
        <v>299</v>
      </c>
      <c r="M335" s="69">
        <v>45868</v>
      </c>
      <c r="N335" s="43">
        <f>IF(Gastos[[#This Row],[Fecha_Cheque]]&gt;0,WEEKNUM(Gastos[[#This Row],[Fecha_Cheque]]),MID(Gastos[[#This Row],[Semana]],6,2))</f>
        <v>31</v>
      </c>
      <c r="O335" t="s">
        <v>300</v>
      </c>
      <c r="P335" t="s">
        <v>27</v>
      </c>
    </row>
    <row r="336" spans="1:16" hidden="1" x14ac:dyDescent="0.25">
      <c r="A336" s="3" t="s">
        <v>105</v>
      </c>
      <c r="B336" t="s">
        <v>266</v>
      </c>
      <c r="C336" t="s">
        <v>267</v>
      </c>
      <c r="D336" t="s">
        <v>26</v>
      </c>
      <c r="E336" t="s">
        <v>31</v>
      </c>
      <c r="F336">
        <v>1</v>
      </c>
      <c r="G336" s="3" t="s">
        <v>32</v>
      </c>
      <c r="H336" s="46" t="s">
        <v>15</v>
      </c>
      <c r="I336" s="17">
        <v>732397.73</v>
      </c>
      <c r="J336" s="17">
        <f>IF(Gastos[[#This Row],[Divisa]]="$", I336*1, IF(Gastos[[#This Row],[Divisa]]="U$D", I336*$N$1, IF(Gastos[[#This Row],[Divisa]]="EUR", I336*$N$2, 0)))</f>
        <v>732397.73</v>
      </c>
      <c r="K336" s="54">
        <f>Gastos[[#This Row],[Importe AR$]]/$N$1</f>
        <v>469.48572435897432</v>
      </c>
      <c r="L336" t="s">
        <v>289</v>
      </c>
      <c r="M336" s="69">
        <v>45883</v>
      </c>
      <c r="N336" s="43">
        <f>IF(Gastos[[#This Row],[Fecha_Cheque]]&gt;0,WEEKNUM(Gastos[[#This Row],[Fecha_Cheque]]),MID(Gastos[[#This Row],[Semana]],6,2))</f>
        <v>33</v>
      </c>
      <c r="O336" t="s">
        <v>300</v>
      </c>
      <c r="P336" t="s">
        <v>27</v>
      </c>
    </row>
    <row r="337" spans="1:16" hidden="1" x14ac:dyDescent="0.25">
      <c r="A337" s="3" t="s">
        <v>105</v>
      </c>
      <c r="B337" t="s">
        <v>266</v>
      </c>
      <c r="C337" t="s">
        <v>301</v>
      </c>
      <c r="D337" t="s">
        <v>26</v>
      </c>
      <c r="E337" t="s">
        <v>31</v>
      </c>
      <c r="F337">
        <v>1</v>
      </c>
      <c r="G337" s="3" t="s">
        <v>32</v>
      </c>
      <c r="H337" s="46" t="s">
        <v>15</v>
      </c>
      <c r="I337" s="17">
        <v>376526.67</v>
      </c>
      <c r="J337" s="17">
        <f>IF(Gastos[[#This Row],[Divisa]]="$", I337*1, IF(Gastos[[#This Row],[Divisa]]="U$D", I337*$N$1, IF(Gastos[[#This Row],[Divisa]]="EUR", I337*$N$2, 0)))</f>
        <v>376526.67</v>
      </c>
      <c r="K337" s="54">
        <f>Gastos[[#This Row],[Importe AR$]]/$N$1</f>
        <v>241.36324999999999</v>
      </c>
      <c r="L337" t="s">
        <v>215</v>
      </c>
      <c r="M337" s="69">
        <v>45871</v>
      </c>
      <c r="N337" s="43">
        <f>IF(Gastos[[#This Row],[Fecha_Cheque]]&gt;0,WEEKNUM(Gastos[[#This Row],[Fecha_Cheque]]),MID(Gastos[[#This Row],[Semana]],6,2))</f>
        <v>31</v>
      </c>
      <c r="O337" t="s">
        <v>302</v>
      </c>
      <c r="P337" t="s">
        <v>27</v>
      </c>
    </row>
    <row r="338" spans="1:16" hidden="1" x14ac:dyDescent="0.25">
      <c r="A338" s="3" t="s">
        <v>105</v>
      </c>
      <c r="B338" t="s">
        <v>266</v>
      </c>
      <c r="C338" t="s">
        <v>301</v>
      </c>
      <c r="D338" t="s">
        <v>26</v>
      </c>
      <c r="E338" t="s">
        <v>31</v>
      </c>
      <c r="F338">
        <v>1</v>
      </c>
      <c r="G338" s="3" t="s">
        <v>32</v>
      </c>
      <c r="H338" s="46" t="s">
        <v>15</v>
      </c>
      <c r="I338" s="17">
        <v>376526.68</v>
      </c>
      <c r="J338" s="17">
        <f>IF(Gastos[[#This Row],[Divisa]]="$", I338*1, IF(Gastos[[#This Row],[Divisa]]="U$D", I338*$N$1, IF(Gastos[[#This Row],[Divisa]]="EUR", I338*$N$2, 0)))</f>
        <v>376526.68</v>
      </c>
      <c r="K338" s="54">
        <f>Gastos[[#This Row],[Importe AR$]]/$N$1</f>
        <v>241.36325641025641</v>
      </c>
      <c r="L338" t="s">
        <v>289</v>
      </c>
      <c r="M338" s="69">
        <v>45885</v>
      </c>
      <c r="N338" s="43">
        <f>IF(Gastos[[#This Row],[Fecha_Cheque]]&gt;0,WEEKNUM(Gastos[[#This Row],[Fecha_Cheque]]),MID(Gastos[[#This Row],[Semana]],6,2))</f>
        <v>33</v>
      </c>
      <c r="O338" t="s">
        <v>302</v>
      </c>
      <c r="P338" t="s">
        <v>27</v>
      </c>
    </row>
    <row r="339" spans="1:16" hidden="1" x14ac:dyDescent="0.25">
      <c r="A339" s="3" t="s">
        <v>114</v>
      </c>
      <c r="B339" t="s">
        <v>266</v>
      </c>
      <c r="C339" t="s">
        <v>303</v>
      </c>
      <c r="D339" t="s">
        <v>26</v>
      </c>
      <c r="E339" t="s">
        <v>31</v>
      </c>
      <c r="F339">
        <v>1</v>
      </c>
      <c r="G339" s="3" t="s">
        <v>32</v>
      </c>
      <c r="H339" s="46" t="s">
        <v>15</v>
      </c>
      <c r="I339" s="17">
        <f>630316.61/2</f>
        <v>315158.30499999999</v>
      </c>
      <c r="J339" s="17">
        <f>IF(Gastos[[#This Row],[Divisa]]="$", I339*1, IF(Gastos[[#This Row],[Divisa]]="U$D", I339*$N$1, IF(Gastos[[#This Row],[Divisa]]="EUR", I339*$N$2, 0)))</f>
        <v>315158.30499999999</v>
      </c>
      <c r="K339" s="54">
        <f>Gastos[[#This Row],[Importe AR$]]/$N$1</f>
        <v>202.02455448717947</v>
      </c>
      <c r="L339" t="s">
        <v>215</v>
      </c>
      <c r="M339" s="69">
        <v>45883</v>
      </c>
      <c r="N339" s="43">
        <f>IF(Gastos[[#This Row],[Fecha_Cheque]]&gt;0,WEEKNUM(Gastos[[#This Row],[Fecha_Cheque]]),MID(Gastos[[#This Row],[Semana]],6,2))</f>
        <v>33</v>
      </c>
      <c r="O339" t="s">
        <v>304</v>
      </c>
      <c r="P339" t="s">
        <v>27</v>
      </c>
    </row>
    <row r="340" spans="1:16" hidden="1" x14ac:dyDescent="0.25">
      <c r="A340" s="3" t="s">
        <v>114</v>
      </c>
      <c r="B340" t="s">
        <v>266</v>
      </c>
      <c r="C340" t="s">
        <v>303</v>
      </c>
      <c r="D340" t="s">
        <v>26</v>
      </c>
      <c r="E340" t="s">
        <v>31</v>
      </c>
      <c r="F340">
        <v>1</v>
      </c>
      <c r="G340" s="3" t="s">
        <v>32</v>
      </c>
      <c r="H340" s="46" t="s">
        <v>15</v>
      </c>
      <c r="I340" s="17">
        <v>315158.30499999999</v>
      </c>
      <c r="J340" s="17">
        <f>IF(Gastos[[#This Row],[Divisa]]="$", I340*1, IF(Gastos[[#This Row],[Divisa]]="U$D", I340*$N$1, IF(Gastos[[#This Row],[Divisa]]="EUR", I340*$N$2, 0)))</f>
        <v>315158.30499999999</v>
      </c>
      <c r="K340" s="54">
        <f>Gastos[[#This Row],[Importe AR$]]/$N$1</f>
        <v>202.02455448717947</v>
      </c>
      <c r="L340" t="s">
        <v>289</v>
      </c>
      <c r="M340" s="69">
        <v>45899</v>
      </c>
      <c r="N340" s="43">
        <f>IF(Gastos[[#This Row],[Fecha_Cheque]]&gt;0,WEEKNUM(Gastos[[#This Row],[Fecha_Cheque]]),MID(Gastos[[#This Row],[Semana]],6,2))</f>
        <v>35</v>
      </c>
      <c r="O340" t="s">
        <v>304</v>
      </c>
      <c r="P340" t="s">
        <v>27</v>
      </c>
    </row>
    <row r="341" spans="1:16" hidden="1" x14ac:dyDescent="0.25">
      <c r="A341" s="3" t="s">
        <v>305</v>
      </c>
      <c r="B341" t="s">
        <v>266</v>
      </c>
      <c r="C341" t="s">
        <v>306</v>
      </c>
      <c r="D341" t="s">
        <v>26</v>
      </c>
      <c r="E341" t="s">
        <v>31</v>
      </c>
      <c r="F341">
        <v>1</v>
      </c>
      <c r="G341" s="3" t="s">
        <v>32</v>
      </c>
      <c r="H341" s="46" t="s">
        <v>15</v>
      </c>
      <c r="I341" s="17">
        <v>328422.77</v>
      </c>
      <c r="J341" s="17">
        <f>IF(Gastos[[#This Row],[Divisa]]="$", I341*1, IF(Gastos[[#This Row],[Divisa]]="U$D", I341*$N$1, IF(Gastos[[#This Row],[Divisa]]="EUR", I341*$N$2, 0)))</f>
        <v>328422.77</v>
      </c>
      <c r="K341" s="54">
        <f>Gastos[[#This Row],[Importe AR$]]/$N$1</f>
        <v>210.52741666666668</v>
      </c>
      <c r="M341" s="69">
        <v>45899</v>
      </c>
      <c r="N341" s="43">
        <f>IF(Gastos[[#This Row],[Fecha_Cheque]]&gt;0,WEEKNUM(Gastos[[#This Row],[Fecha_Cheque]]),MID(Gastos[[#This Row],[Semana]],6,2))</f>
        <v>35</v>
      </c>
      <c r="O341" t="s">
        <v>307</v>
      </c>
      <c r="P341" t="s">
        <v>27</v>
      </c>
    </row>
    <row r="342" spans="1:16" hidden="1" x14ac:dyDescent="0.25">
      <c r="A342" s="3" t="s">
        <v>117</v>
      </c>
      <c r="B342" t="s">
        <v>266</v>
      </c>
      <c r="C342" t="s">
        <v>308</v>
      </c>
      <c r="D342" t="s">
        <v>26</v>
      </c>
      <c r="E342" t="s">
        <v>31</v>
      </c>
      <c r="F342">
        <v>1</v>
      </c>
      <c r="G342" s="3" t="s">
        <v>32</v>
      </c>
      <c r="H342" s="46" t="s">
        <v>15</v>
      </c>
      <c r="I342" s="17">
        <v>318428.82</v>
      </c>
      <c r="J342" s="17">
        <f>IF(Gastos[[#This Row],[Divisa]]="$", I342*1, IF(Gastos[[#This Row],[Divisa]]="U$D", I342*$N$1, IF(Gastos[[#This Row],[Divisa]]="EUR", I342*$N$2, 0)))</f>
        <v>318428.82</v>
      </c>
      <c r="K342" s="54">
        <f>Gastos[[#This Row],[Importe AR$]]/$N$1</f>
        <v>204.12103846153846</v>
      </c>
      <c r="M342" s="69">
        <v>45926</v>
      </c>
      <c r="N342" s="43">
        <f>IF(Gastos[[#This Row],[Fecha_Cheque]]&gt;0,WEEKNUM(Gastos[[#This Row],[Fecha_Cheque]]),MID(Gastos[[#This Row],[Semana]],6,2))</f>
        <v>39</v>
      </c>
      <c r="O342" t="s">
        <v>309</v>
      </c>
      <c r="P342" t="s">
        <v>27</v>
      </c>
    </row>
    <row r="343" spans="1:16" hidden="1" x14ac:dyDescent="0.25">
      <c r="A343" s="3" t="s">
        <v>310</v>
      </c>
      <c r="B343" t="s">
        <v>266</v>
      </c>
      <c r="C343" t="s">
        <v>311</v>
      </c>
      <c r="D343" t="s">
        <v>26</v>
      </c>
      <c r="E343" t="s">
        <v>31</v>
      </c>
      <c r="F343">
        <v>1</v>
      </c>
      <c r="G343" s="3" t="s">
        <v>32</v>
      </c>
      <c r="H343" s="46" t="s">
        <v>15</v>
      </c>
      <c r="I343" s="17">
        <v>406313.31</v>
      </c>
      <c r="J343" s="17">
        <f>IF(Gastos[[#This Row],[Divisa]]="$", I343*1, IF(Gastos[[#This Row],[Divisa]]="U$D", I343*$N$1, IF(Gastos[[#This Row],[Divisa]]="EUR", I343*$N$2, 0)))</f>
        <v>406313.31</v>
      </c>
      <c r="K343" s="54">
        <f>Gastos[[#This Row],[Importe AR$]]/$N$1</f>
        <v>260.45724999999999</v>
      </c>
      <c r="M343" s="69">
        <v>45940</v>
      </c>
      <c r="N343" s="43">
        <f>IF(Gastos[[#This Row],[Fecha_Cheque]]&gt;0,WEEKNUM(Gastos[[#This Row],[Fecha_Cheque]]),MID(Gastos[[#This Row],[Semana]],6,2))</f>
        <v>41</v>
      </c>
      <c r="P343" t="s">
        <v>27</v>
      </c>
    </row>
    <row r="344" spans="1:16" hidden="1" x14ac:dyDescent="0.25">
      <c r="A344" s="3" t="s">
        <v>68</v>
      </c>
      <c r="B344" t="s">
        <v>266</v>
      </c>
      <c r="C344" t="s">
        <v>312</v>
      </c>
      <c r="D344" t="s">
        <v>26</v>
      </c>
      <c r="E344" t="s">
        <v>31</v>
      </c>
      <c r="F344">
        <v>1</v>
      </c>
      <c r="G344" s="3" t="s">
        <v>32</v>
      </c>
      <c r="H344" s="46" t="s">
        <v>15</v>
      </c>
      <c r="I344" s="17">
        <f>177705.96+64679.99+146290.89</f>
        <v>388676.83999999997</v>
      </c>
      <c r="J344" s="17">
        <f>IF(Gastos[[#This Row],[Divisa]]="$", I344*1, IF(Gastos[[#This Row],[Divisa]]="U$D", I344*$N$1, IF(Gastos[[#This Row],[Divisa]]="EUR", I344*$N$2, 0)))</f>
        <v>388676.83999999997</v>
      </c>
      <c r="K344" s="54">
        <f>Gastos[[#This Row],[Importe AR$]]/$N$1</f>
        <v>249.15182051282048</v>
      </c>
      <c r="M344" s="69">
        <v>46075</v>
      </c>
      <c r="N344" s="43">
        <f>IF(Gastos[[#This Row],[Fecha_Cheque]]&gt;0,WEEKNUM(Gastos[[#This Row],[Fecha_Cheque]]),MID(Gastos[[#This Row],[Semana]],6,2))</f>
        <v>9</v>
      </c>
      <c r="O344" t="s">
        <v>313</v>
      </c>
      <c r="P344" t="s">
        <v>27</v>
      </c>
    </row>
    <row r="345" spans="1:16" hidden="1" x14ac:dyDescent="0.25">
      <c r="A345" s="3" t="s">
        <v>180</v>
      </c>
      <c r="B345" t="s">
        <v>266</v>
      </c>
      <c r="C345" t="s">
        <v>403</v>
      </c>
      <c r="D345" t="s">
        <v>26</v>
      </c>
      <c r="E345" t="s">
        <v>31</v>
      </c>
      <c r="F345">
        <v>1</v>
      </c>
      <c r="G345" s="3" t="s">
        <v>32</v>
      </c>
      <c r="H345" s="46" t="s">
        <v>15</v>
      </c>
      <c r="I345" s="17">
        <v>221809.01</v>
      </c>
      <c r="J345" s="17">
        <f>IF(Gastos[[#This Row],[Divisa]]="$", I345*1, IF(Gastos[[#This Row],[Divisa]]="U$D", I345*$N$1, IF(Gastos[[#This Row],[Divisa]]="EUR", I345*$N$2, 0)))</f>
        <v>221809.01</v>
      </c>
      <c r="K345" s="54">
        <f>Gastos[[#This Row],[Importe AR$]]/$N$1</f>
        <v>142.18526282051283</v>
      </c>
      <c r="M345" s="69">
        <v>46095</v>
      </c>
      <c r="N345" s="43">
        <f>IF(Gastos[[#This Row],[Fecha_Cheque]]&gt;0,WEEKNUM(Gastos[[#This Row],[Fecha_Cheque]]),MID(Gastos[[#This Row],[Semana]],6,2))</f>
        <v>11</v>
      </c>
      <c r="O345" t="s">
        <v>404</v>
      </c>
      <c r="P345" t="s">
        <v>27</v>
      </c>
    </row>
    <row r="346" spans="1:16" hidden="1" x14ac:dyDescent="0.25">
      <c r="A346" s="3" t="s">
        <v>397</v>
      </c>
      <c r="B346" t="s">
        <v>266</v>
      </c>
      <c r="C346" t="s">
        <v>572</v>
      </c>
      <c r="D346" t="s">
        <v>26</v>
      </c>
      <c r="E346" t="s">
        <v>31</v>
      </c>
      <c r="F346">
        <v>1</v>
      </c>
      <c r="G346" s="3" t="s">
        <v>32</v>
      </c>
      <c r="H346" s="46" t="s">
        <v>15</v>
      </c>
      <c r="I346" s="17">
        <f>233000*7</f>
        <v>1631000</v>
      </c>
      <c r="J346" s="17">
        <f>IF(Gastos[[#This Row],[Divisa]]="$", I346*1, IF(Gastos[[#This Row],[Divisa]]="U$D", I346*$N$1, IF(Gastos[[#This Row],[Divisa]]="EUR", I346*$N$2, 0)))</f>
        <v>1631000</v>
      </c>
      <c r="K346" s="54">
        <f>Gastos[[#This Row],[Importe AR$]]/$N$1</f>
        <v>1045.5128205128206</v>
      </c>
      <c r="M346" s="69"/>
      <c r="N346" s="43" t="str">
        <f>IF(Gastos[[#This Row],[Fecha_Cheque]]&gt;0,WEEKNUM(Gastos[[#This Row],[Fecha_Cheque]]),MID(Gastos[[#This Row],[Semana]],6,2))</f>
        <v>11</v>
      </c>
      <c r="O346" t="s">
        <v>573</v>
      </c>
      <c r="P346" t="s">
        <v>27</v>
      </c>
    </row>
    <row r="347" spans="1:16" hidden="1" x14ac:dyDescent="0.25">
      <c r="A347" s="3" t="s">
        <v>828</v>
      </c>
      <c r="B347" t="s">
        <v>266</v>
      </c>
      <c r="C347" t="s">
        <v>833</v>
      </c>
      <c r="D347" t="s">
        <v>26</v>
      </c>
      <c r="E347" t="s">
        <v>31</v>
      </c>
      <c r="F347">
        <v>1</v>
      </c>
      <c r="G347" s="3" t="s">
        <v>5</v>
      </c>
      <c r="H347" s="44" t="s">
        <v>15</v>
      </c>
      <c r="I347" s="17">
        <v>1047191.48</v>
      </c>
      <c r="J347" s="17">
        <f>IF(Gastos[[#This Row],[Divisa]]="$", I347*1, IF(Gastos[[#This Row],[Divisa]]="U$D", I347*$N$1, IF(Gastos[[#This Row],[Divisa]]="EUR", I347*$N$2, 0)))</f>
        <v>1047191.48</v>
      </c>
      <c r="K347" s="54">
        <f>Gastos[[#This Row],[Importe AR$]]/$N$1</f>
        <v>671.27658974358974</v>
      </c>
      <c r="M347" s="69">
        <v>46139</v>
      </c>
      <c r="N347" s="43">
        <f>IF(Gastos[[#This Row],[Fecha_Cheque]]&gt;0,WEEKNUM(Gastos[[#This Row],[Fecha_Cheque]]),MID(Gastos[[#This Row],[Semana]],6,2))</f>
        <v>18</v>
      </c>
      <c r="O347" t="s">
        <v>834</v>
      </c>
      <c r="P347" t="s">
        <v>27</v>
      </c>
    </row>
    <row r="348" spans="1:16" hidden="1" x14ac:dyDescent="0.25">
      <c r="A348" s="3" t="s">
        <v>332</v>
      </c>
      <c r="B348" t="s">
        <v>266</v>
      </c>
      <c r="C348" t="s">
        <v>915</v>
      </c>
      <c r="D348" t="s">
        <v>26</v>
      </c>
      <c r="E348" t="s">
        <v>31</v>
      </c>
      <c r="F348">
        <v>1</v>
      </c>
      <c r="G348" s="3" t="s">
        <v>32</v>
      </c>
      <c r="H348" s="44" t="s">
        <v>15</v>
      </c>
      <c r="I348" s="17">
        <v>479487.77</v>
      </c>
      <c r="J348" s="17">
        <f>IF(Gastos[[#This Row],[Divisa]]="$", I348*1, IF(Gastos[[#This Row],[Divisa]]="U$D", I348*$N$1, IF(Gastos[[#This Row],[Divisa]]="EUR", I348*$N$2, 0)))</f>
        <v>479487.77</v>
      </c>
      <c r="K348" s="54">
        <f>Gastos[[#This Row],[Importe AR$]]/$N$1</f>
        <v>307.36395512820513</v>
      </c>
      <c r="M348" s="69">
        <v>46132</v>
      </c>
      <c r="N348" s="43">
        <f>IF(Gastos[[#This Row],[Fecha_Cheque]]&gt;0,WEEKNUM(Gastos[[#This Row],[Fecha_Cheque]]),MID(Gastos[[#This Row],[Semana]],6,2))</f>
        <v>17</v>
      </c>
      <c r="O348" t="s">
        <v>916</v>
      </c>
      <c r="P348" t="s">
        <v>27</v>
      </c>
    </row>
    <row r="349" spans="1:16" hidden="1" x14ac:dyDescent="0.25">
      <c r="A349" s="3" t="s">
        <v>332</v>
      </c>
      <c r="B349" t="s">
        <v>266</v>
      </c>
      <c r="C349" t="s">
        <v>915</v>
      </c>
      <c r="D349" t="s">
        <v>26</v>
      </c>
      <c r="E349" t="s">
        <v>31</v>
      </c>
      <c r="F349">
        <v>1</v>
      </c>
      <c r="G349" s="3" t="s">
        <v>32</v>
      </c>
      <c r="H349" s="44" t="s">
        <v>15</v>
      </c>
      <c r="I349" s="17">
        <v>8058.62</v>
      </c>
      <c r="J349" s="17">
        <f>IF(Gastos[[#This Row],[Divisa]]="$", I349*1, IF(Gastos[[#This Row],[Divisa]]="U$D", I349*$N$1, IF(Gastos[[#This Row],[Divisa]]="EUR", I349*$N$2, 0)))</f>
        <v>8058.62</v>
      </c>
      <c r="K349" s="54">
        <f>Gastos[[#This Row],[Importe AR$]]/$N$1</f>
        <v>5.1657820512820516</v>
      </c>
      <c r="M349" s="69"/>
      <c r="N349" s="43" t="str">
        <f>IF(Gastos[[#This Row],[Fecha_Cheque]]&gt;0,WEEKNUM(Gastos[[#This Row],[Fecha_Cheque]]),MID(Gastos[[#This Row],[Semana]],6,2))</f>
        <v>12</v>
      </c>
      <c r="O349" t="s">
        <v>916</v>
      </c>
      <c r="P349" t="s">
        <v>27</v>
      </c>
    </row>
    <row r="350" spans="1:16" hidden="1" x14ac:dyDescent="0.25">
      <c r="A350" s="3" t="s">
        <v>828</v>
      </c>
      <c r="B350" t="s">
        <v>266</v>
      </c>
      <c r="C350" t="s">
        <v>833</v>
      </c>
      <c r="D350" t="s">
        <v>26</v>
      </c>
      <c r="E350" t="s">
        <v>31</v>
      </c>
      <c r="F350">
        <v>1</v>
      </c>
      <c r="G350" s="3" t="s">
        <v>5</v>
      </c>
      <c r="H350" s="44" t="s">
        <v>15</v>
      </c>
      <c r="I350" s="17">
        <v>17599.86</v>
      </c>
      <c r="J350" s="17">
        <f>IF(Gastos[[#This Row],[Divisa]]="$", I350*1, IF(Gastos[[#This Row],[Divisa]]="U$D", I350*$N$1, IF(Gastos[[#This Row],[Divisa]]="EUR", I350*$N$2, 0)))</f>
        <v>17599.86</v>
      </c>
      <c r="K350" s="54">
        <f>Gastos[[#This Row],[Importe AR$]]/$N$1</f>
        <v>11.281961538461539</v>
      </c>
      <c r="L350" t="s">
        <v>340</v>
      </c>
      <c r="M350" s="69"/>
      <c r="N350" s="43" t="str">
        <f>IF(Gastos[[#This Row],[Fecha_Cheque]]&gt;0,WEEKNUM(Gastos[[#This Row],[Fecha_Cheque]]),MID(Gastos[[#This Row],[Semana]],6,2))</f>
        <v>13</v>
      </c>
      <c r="O350" t="s">
        <v>834</v>
      </c>
      <c r="P350" t="s">
        <v>27</v>
      </c>
    </row>
    <row r="351" spans="1:16" hidden="1" x14ac:dyDescent="0.25">
      <c r="A351" s="3" t="s">
        <v>2751</v>
      </c>
      <c r="B351" t="s">
        <v>266</v>
      </c>
      <c r="C351" t="s">
        <v>2811</v>
      </c>
      <c r="D351" t="s">
        <v>26</v>
      </c>
      <c r="E351" t="s">
        <v>31</v>
      </c>
      <c r="F351">
        <v>1</v>
      </c>
      <c r="G351" s="3" t="s">
        <v>32</v>
      </c>
      <c r="H351" s="44" t="s">
        <v>15</v>
      </c>
      <c r="I351" s="17">
        <f>211542.16+249987.58+286687.65</f>
        <v>748217.39</v>
      </c>
      <c r="J351" s="17">
        <f>IF(Gastos[[#This Row],[Divisa]]="$", I351*1, IF(Gastos[[#This Row],[Divisa]]="U$D", I351*$N$1, IF(Gastos[[#This Row],[Divisa]]="EUR", I351*$N$2, 0)))</f>
        <v>748217.39</v>
      </c>
      <c r="K351" s="54">
        <f>Gastos[[#This Row],[Importe AR$]]/$N$1</f>
        <v>479.62653205128208</v>
      </c>
      <c r="M351" s="69"/>
      <c r="N351" s="43" t="str">
        <f>IF(Gastos[[#This Row],[Fecha_Cheque]]&gt;0,WEEKNUM(Gastos[[#This Row],[Fecha_Cheque]]),MID(Gastos[[#This Row],[Semana]],6,2))</f>
        <v>18</v>
      </c>
      <c r="O351" t="s">
        <v>2812</v>
      </c>
      <c r="P351" t="s">
        <v>27</v>
      </c>
    </row>
    <row r="352" spans="1:16" hidden="1" x14ac:dyDescent="0.25">
      <c r="A352" s="3" t="s">
        <v>2841</v>
      </c>
      <c r="B352" t="s">
        <v>266</v>
      </c>
      <c r="C352" t="s">
        <v>2887</v>
      </c>
      <c r="D352" t="s">
        <v>26</v>
      </c>
      <c r="E352" t="s">
        <v>31</v>
      </c>
      <c r="F352">
        <v>1</v>
      </c>
      <c r="G352" s="3" t="s">
        <v>32</v>
      </c>
      <c r="H352" s="44" t="s">
        <v>15</v>
      </c>
      <c r="I352" s="17">
        <v>365468.31</v>
      </c>
      <c r="J352" s="17">
        <f>IF(Gastos[[#This Row],[Divisa]]="$", I352*1, IF(Gastos[[#This Row],[Divisa]]="U$D", I352*$N$1, IF(Gastos[[#This Row],[Divisa]]="EUR", I352*$N$2, 0)))</f>
        <v>365468.31</v>
      </c>
      <c r="K352" s="54">
        <f>Gastos[[#This Row],[Importe AR$]]/$N$1</f>
        <v>234.2745576923077</v>
      </c>
      <c r="M352" s="69">
        <v>46199</v>
      </c>
      <c r="N352" s="43">
        <f>IF(Gastos[[#This Row],[Fecha_Cheque]]&gt;0,WEEKNUM(Gastos[[#This Row],[Fecha_Cheque]]),MID(Gastos[[#This Row],[Semana]],6,2))</f>
        <v>26</v>
      </c>
      <c r="O352" t="s">
        <v>2888</v>
      </c>
      <c r="P352" t="s">
        <v>27</v>
      </c>
    </row>
    <row r="353" spans="1:16" hidden="1" x14ac:dyDescent="0.25">
      <c r="A353" s="3" t="s">
        <v>2841</v>
      </c>
      <c r="B353" t="s">
        <v>266</v>
      </c>
      <c r="C353" t="s">
        <v>2887</v>
      </c>
      <c r="D353" t="s">
        <v>26</v>
      </c>
      <c r="E353" t="s">
        <v>31</v>
      </c>
      <c r="F353">
        <v>1</v>
      </c>
      <c r="G353" s="3" t="s">
        <v>32</v>
      </c>
      <c r="H353" s="44" t="s">
        <v>15</v>
      </c>
      <c r="I353" s="17">
        <v>3142.32</v>
      </c>
      <c r="J353" s="17">
        <f>IF(Gastos[[#This Row],[Divisa]]="$", I353*1, IF(Gastos[[#This Row],[Divisa]]="U$D", I353*$N$1, IF(Gastos[[#This Row],[Divisa]]="EUR", I353*$N$2, 0)))</f>
        <v>3142.32</v>
      </c>
      <c r="K353" s="54">
        <f>Gastos[[#This Row],[Importe AR$]]/$N$1</f>
        <v>2.0143076923076926</v>
      </c>
      <c r="L353" t="s">
        <v>340</v>
      </c>
      <c r="M353" s="69"/>
      <c r="N353" s="43" t="str">
        <f>IF(Gastos[[#This Row],[Fecha_Cheque]]&gt;0,WEEKNUM(Gastos[[#This Row],[Fecha_Cheque]]),MID(Gastos[[#This Row],[Semana]],6,2))</f>
        <v>22</v>
      </c>
      <c r="O353" t="s">
        <v>2888</v>
      </c>
      <c r="P353" t="s">
        <v>27</v>
      </c>
    </row>
    <row r="354" spans="1:16" hidden="1" x14ac:dyDescent="0.25">
      <c r="A354" s="3" t="s">
        <v>2726</v>
      </c>
      <c r="B354" t="s">
        <v>266</v>
      </c>
      <c r="C354" t="s">
        <v>3075</v>
      </c>
      <c r="D354" t="s">
        <v>26</v>
      </c>
      <c r="E354" t="s">
        <v>31</v>
      </c>
      <c r="F354">
        <v>1</v>
      </c>
      <c r="G354" s="3" t="s">
        <v>32</v>
      </c>
      <c r="H354" s="44" t="s">
        <v>15</v>
      </c>
      <c r="I354" s="17">
        <v>263570.95</v>
      </c>
      <c r="J354" s="17">
        <f>IF(Gastos[[#This Row],[Divisa]]="$", I354*1, IF(Gastos[[#This Row],[Divisa]]="U$D", I354*$N$1, IF(Gastos[[#This Row],[Divisa]]="EUR", I354*$N$2, 0)))</f>
        <v>263570.95</v>
      </c>
      <c r="K354" s="54">
        <f>Gastos[[#This Row],[Importe AR$]]/$N$1</f>
        <v>168.95573717948719</v>
      </c>
      <c r="M354" s="69">
        <v>46212</v>
      </c>
      <c r="N354" s="43">
        <f>IF(Gastos[[#This Row],[Fecha_Cheque]]&gt;0,WEEKNUM(Gastos[[#This Row],[Fecha_Cheque]]),MID(Gastos[[#This Row],[Semana]],6,2))</f>
        <v>28</v>
      </c>
      <c r="O354" t="s">
        <v>3076</v>
      </c>
      <c r="P354" t="s">
        <v>27</v>
      </c>
    </row>
    <row r="355" spans="1:16" hidden="1" x14ac:dyDescent="0.25">
      <c r="A355" s="3" t="s">
        <v>2726</v>
      </c>
      <c r="B355" t="s">
        <v>266</v>
      </c>
      <c r="C355" t="s">
        <v>3075</v>
      </c>
      <c r="D355" t="s">
        <v>26</v>
      </c>
      <c r="E355" t="s">
        <v>31</v>
      </c>
      <c r="F355">
        <v>1</v>
      </c>
      <c r="G355" s="3" t="s">
        <v>32</v>
      </c>
      <c r="H355" s="44" t="s">
        <v>15</v>
      </c>
      <c r="I355" s="17">
        <v>4429.7700000000004</v>
      </c>
      <c r="J355" s="17">
        <f>IF(Gastos[[#This Row],[Divisa]]="$", I355*1, IF(Gastos[[#This Row],[Divisa]]="U$D", I355*$N$1, IF(Gastos[[#This Row],[Divisa]]="EUR", I355*$N$2, 0)))</f>
        <v>4429.7700000000004</v>
      </c>
      <c r="K355" s="54">
        <f>Gastos[[#This Row],[Importe AR$]]/$N$1</f>
        <v>2.8395961538461543</v>
      </c>
      <c r="L355" t="s">
        <v>340</v>
      </c>
      <c r="M355" s="69"/>
      <c r="N355" s="43" t="str">
        <f>IF(Gastos[[#This Row],[Fecha_Cheque]]&gt;0,WEEKNUM(Gastos[[#This Row],[Fecha_Cheque]]),MID(Gastos[[#This Row],[Semana]],6,2))</f>
        <v>24</v>
      </c>
      <c r="O355" t="s">
        <v>3076</v>
      </c>
      <c r="P355" t="s">
        <v>27</v>
      </c>
    </row>
    <row r="356" spans="1:16" hidden="1" x14ac:dyDescent="0.25">
      <c r="A356" s="3" t="s">
        <v>3439</v>
      </c>
      <c r="B356" t="s">
        <v>266</v>
      </c>
      <c r="C356" t="s">
        <v>3511</v>
      </c>
      <c r="D356" t="s">
        <v>26</v>
      </c>
      <c r="E356" t="s">
        <v>31</v>
      </c>
      <c r="F356">
        <v>1</v>
      </c>
      <c r="G356" s="3" t="s">
        <v>32</v>
      </c>
      <c r="H356" s="44" t="s">
        <v>15</v>
      </c>
      <c r="I356" s="17">
        <v>102496.76</v>
      </c>
      <c r="J356" s="17">
        <f>IF(Gastos[[#This Row],[Divisa]]="$", I356*1, IF(Gastos[[#This Row],[Divisa]]="U$D", I356*$N$1, IF(Gastos[[#This Row],[Divisa]]="EUR", I356*$N$2, 0)))</f>
        <v>102496.76</v>
      </c>
      <c r="K356" s="54">
        <f>Gastos[[#This Row],[Importe AR$]]/$N$1</f>
        <v>65.703051282051277</v>
      </c>
      <c r="M356" s="69">
        <v>46219</v>
      </c>
      <c r="N356" s="43">
        <f>IF(Gastos[[#This Row],[Fecha_Cheque]]&gt;0,WEEKNUM(Gastos[[#This Row],[Fecha_Cheque]]),MID(Gastos[[#This Row],[Semana]],6,2))</f>
        <v>29</v>
      </c>
      <c r="O356" t="s">
        <v>3512</v>
      </c>
      <c r="P356" t="s">
        <v>27</v>
      </c>
    </row>
    <row r="357" spans="1:16" hidden="1" x14ac:dyDescent="0.25">
      <c r="A357" s="3" t="s">
        <v>3439</v>
      </c>
      <c r="B357" t="s">
        <v>266</v>
      </c>
      <c r="C357" t="s">
        <v>3511</v>
      </c>
      <c r="D357" t="s">
        <v>26</v>
      </c>
      <c r="E357" t="s">
        <v>31</v>
      </c>
      <c r="F357">
        <v>1</v>
      </c>
      <c r="G357" s="3" t="s">
        <v>32</v>
      </c>
      <c r="H357" s="44" t="s">
        <v>15</v>
      </c>
      <c r="I357" s="17">
        <v>79031.45</v>
      </c>
      <c r="J357" s="17">
        <f>IF(Gastos[[#This Row],[Divisa]]="$", I357*1, IF(Gastos[[#This Row],[Divisa]]="U$D", I357*$N$1, IF(Gastos[[#This Row],[Divisa]]="EUR", I357*$N$2, 0)))</f>
        <v>79031.45</v>
      </c>
      <c r="K357" s="54">
        <f>Gastos[[#This Row],[Importe AR$]]/$N$1</f>
        <v>50.661185897435892</v>
      </c>
      <c r="M357" s="69">
        <v>46222</v>
      </c>
      <c r="N357" s="43">
        <f>IF(Gastos[[#This Row],[Fecha_Cheque]]&gt;0,WEEKNUM(Gastos[[#This Row],[Fecha_Cheque]]),MID(Gastos[[#This Row],[Semana]],6,2))</f>
        <v>30</v>
      </c>
      <c r="O357" t="s">
        <v>3548</v>
      </c>
      <c r="P357" t="s">
        <v>27</v>
      </c>
    </row>
    <row r="358" spans="1:16" hidden="1" x14ac:dyDescent="0.25">
      <c r="A358" s="3" t="s">
        <v>3617</v>
      </c>
      <c r="B358" t="s">
        <v>266</v>
      </c>
      <c r="C358" t="s">
        <v>3585</v>
      </c>
      <c r="D358" t="s">
        <v>26</v>
      </c>
      <c r="E358" t="s">
        <v>31</v>
      </c>
      <c r="F358">
        <v>1</v>
      </c>
      <c r="G358" s="3" t="s">
        <v>32</v>
      </c>
      <c r="H358" s="44" t="s">
        <v>15</v>
      </c>
      <c r="I358" s="17">
        <v>877699.16</v>
      </c>
      <c r="J358" s="17">
        <f>IF(Gastos[[#This Row],[Divisa]]="$", I358*1, IF(Gastos[[#This Row],[Divisa]]="U$D", I358*$N$1, IF(Gastos[[#This Row],[Divisa]]="EUR", I358*$N$2, 0)))</f>
        <v>877699.16</v>
      </c>
      <c r="K358" s="54">
        <f>Gastos[[#This Row],[Importe AR$]]/$N$1</f>
        <v>562.62766666666664</v>
      </c>
      <c r="M358" s="69">
        <v>46236</v>
      </c>
      <c r="N358" s="43">
        <f>IF(Gastos[[#This Row],[Fecha_Cheque]]&gt;0,WEEKNUM(Gastos[[#This Row],[Fecha_Cheque]]),MID(Gastos[[#This Row],[Semana]],6,2))</f>
        <v>32</v>
      </c>
      <c r="O358" t="s">
        <v>3673</v>
      </c>
      <c r="P358" t="s">
        <v>27</v>
      </c>
    </row>
    <row r="359" spans="1:16" hidden="1" x14ac:dyDescent="0.25">
      <c r="A359" s="3" t="s">
        <v>3617</v>
      </c>
      <c r="B359" t="s">
        <v>266</v>
      </c>
      <c r="C359" t="s">
        <v>3625</v>
      </c>
      <c r="D359" t="s">
        <v>26</v>
      </c>
      <c r="E359" t="s">
        <v>31</v>
      </c>
      <c r="F359">
        <v>1</v>
      </c>
      <c r="G359" s="3" t="s">
        <v>32</v>
      </c>
      <c r="H359" s="44" t="s">
        <v>15</v>
      </c>
      <c r="I359" s="17">
        <v>17653.12</v>
      </c>
      <c r="J359" s="17">
        <f>IF(Gastos[[#This Row],[Divisa]]="$", I359*1, IF(Gastos[[#This Row],[Divisa]]="U$D", I359*$N$1, IF(Gastos[[#This Row],[Divisa]]="EUR", I359*$N$2, 0)))</f>
        <v>17653.12</v>
      </c>
      <c r="K359" s="54">
        <f>Gastos[[#This Row],[Importe AR$]]/$N$1</f>
        <v>11.316102564102563</v>
      </c>
      <c r="L359" t="s">
        <v>340</v>
      </c>
      <c r="M359" s="69"/>
      <c r="N359" s="43" t="str">
        <f>IF(Gastos[[#This Row],[Fecha_Cheque]]&gt;0,WEEKNUM(Gastos[[#This Row],[Fecha_Cheque]]),MID(Gastos[[#This Row],[Semana]],6,2))</f>
        <v>27</v>
      </c>
      <c r="O359" t="s">
        <v>3673</v>
      </c>
      <c r="P359" t="s">
        <v>27</v>
      </c>
    </row>
    <row r="360" spans="1:16" hidden="1" x14ac:dyDescent="0.25">
      <c r="A360" s="3" t="s">
        <v>3617</v>
      </c>
      <c r="B360" t="s">
        <v>266</v>
      </c>
      <c r="C360" t="s">
        <v>3644</v>
      </c>
      <c r="D360" t="s">
        <v>26</v>
      </c>
      <c r="E360" t="s">
        <v>31</v>
      </c>
      <c r="F360">
        <v>1</v>
      </c>
      <c r="G360" s="3" t="s">
        <v>5</v>
      </c>
      <c r="H360" s="44" t="s">
        <v>15</v>
      </c>
      <c r="I360" s="17">
        <v>365468.31</v>
      </c>
      <c r="J360" s="17">
        <f>IF(Gastos[[#This Row],[Divisa]]="$", I360*1, IF(Gastos[[#This Row],[Divisa]]="U$D", I360*$N$1, IF(Gastos[[#This Row],[Divisa]]="EUR", I360*$N$2, 0)))</f>
        <v>365468.31</v>
      </c>
      <c r="K360" s="54">
        <f>Gastos[[#This Row],[Importe AR$]]/$N$1</f>
        <v>234.2745576923077</v>
      </c>
      <c r="M360" s="69"/>
      <c r="N360" s="43" t="str">
        <f>IF(Gastos[[#This Row],[Fecha_Cheque]]&gt;0,WEEKNUM(Gastos[[#This Row],[Fecha_Cheque]]),MID(Gastos[[#This Row],[Semana]],6,2))</f>
        <v>27</v>
      </c>
      <c r="O360" t="s">
        <v>3645</v>
      </c>
      <c r="P360" t="s">
        <v>27</v>
      </c>
    </row>
    <row r="361" spans="1:16" hidden="1" x14ac:dyDescent="0.25">
      <c r="A361" s="3" t="s">
        <v>2773</v>
      </c>
      <c r="B361" t="s">
        <v>266</v>
      </c>
      <c r="C361" t="s">
        <v>2869</v>
      </c>
      <c r="D361" t="s">
        <v>26</v>
      </c>
      <c r="E361" t="s">
        <v>31</v>
      </c>
      <c r="F361">
        <v>1</v>
      </c>
      <c r="G361" s="3" t="s">
        <v>32</v>
      </c>
      <c r="H361" s="44" t="s">
        <v>15</v>
      </c>
      <c r="I361" s="17">
        <v>469797.79</v>
      </c>
      <c r="J361" s="17">
        <f>IF(Gastos[[#This Row],[Divisa]]="$", I361*1, IF(Gastos[[#This Row],[Divisa]]="U$D", I361*$N$1, IF(Gastos[[#This Row],[Divisa]]="EUR", I361*$N$2, 0)))</f>
        <v>469797.79</v>
      </c>
      <c r="K361" s="54">
        <f>Gastos[[#This Row],[Importe AR$]]/$N$1</f>
        <v>301.15242948717946</v>
      </c>
      <c r="M361" s="69">
        <v>46188</v>
      </c>
      <c r="N361" s="43">
        <f>IF(Gastos[[#This Row],[Fecha_Cheque]]&gt;0,WEEKNUM(Gastos[[#This Row],[Fecha_Cheque]]),MID(Gastos[[#This Row],[Semana]],6,2))</f>
        <v>25</v>
      </c>
      <c r="O361" t="s">
        <v>3269</v>
      </c>
      <c r="P361" t="s">
        <v>27</v>
      </c>
    </row>
    <row r="362" spans="1:16" hidden="1" x14ac:dyDescent="0.25">
      <c r="A362" s="3" t="s">
        <v>2773</v>
      </c>
      <c r="B362" t="s">
        <v>266</v>
      </c>
      <c r="C362" t="s">
        <v>2869</v>
      </c>
      <c r="D362" t="s">
        <v>26</v>
      </c>
      <c r="E362" t="s">
        <v>31</v>
      </c>
      <c r="F362">
        <v>1</v>
      </c>
      <c r="G362" s="3" t="s">
        <v>32</v>
      </c>
      <c r="H362" s="44" t="s">
        <v>15</v>
      </c>
      <c r="I362" s="17">
        <v>3340.47</v>
      </c>
      <c r="J362" s="17">
        <f>IF(Gastos[[#This Row],[Divisa]]="$", I362*1, IF(Gastos[[#This Row],[Divisa]]="U$D", I362*$N$1, IF(Gastos[[#This Row],[Divisa]]="EUR", I362*$N$2, 0)))</f>
        <v>3340.47</v>
      </c>
      <c r="K362" s="54">
        <f>Gastos[[#This Row],[Importe AR$]]/$N$1</f>
        <v>2.1413269230769227</v>
      </c>
      <c r="L362" t="s">
        <v>340</v>
      </c>
      <c r="M362" s="69"/>
      <c r="N362" s="43" t="str">
        <f>IF(Gastos[[#This Row],[Fecha_Cheque]]&gt;0,WEEKNUM(Gastos[[#This Row],[Fecha_Cheque]]),MID(Gastos[[#This Row],[Semana]],6,2))</f>
        <v>20</v>
      </c>
      <c r="O362" t="s">
        <v>3269</v>
      </c>
      <c r="P362" t="s">
        <v>27</v>
      </c>
    </row>
    <row r="363" spans="1:16" hidden="1" x14ac:dyDescent="0.25">
      <c r="A363" s="3" t="s">
        <v>3817</v>
      </c>
      <c r="B363" t="s">
        <v>266</v>
      </c>
      <c r="C363" t="s">
        <v>3824</v>
      </c>
      <c r="D363" t="s">
        <v>26</v>
      </c>
      <c r="E363" t="s">
        <v>31</v>
      </c>
      <c r="F363">
        <v>1</v>
      </c>
      <c r="G363" s="3" t="s">
        <v>32</v>
      </c>
      <c r="H363" s="44" t="s">
        <v>15</v>
      </c>
      <c r="I363" s="17">
        <v>958175.99</v>
      </c>
      <c r="J363" s="17">
        <f>IF(Gastos[[#This Row],[Divisa]]="$", I363*1, IF(Gastos[[#This Row],[Divisa]]="U$D", I363*$N$1, IF(Gastos[[#This Row],[Divisa]]="EUR", I363*$N$2, 0)))</f>
        <v>958175.99</v>
      </c>
      <c r="K363" s="54">
        <f>Gastos[[#This Row],[Importe AR$]]/$N$1</f>
        <v>614.21537820512822</v>
      </c>
      <c r="M363" s="69">
        <v>46256</v>
      </c>
      <c r="N363" s="43">
        <f>IF(Gastos[[#This Row],[Fecha_Cheque]]&gt;0,WEEKNUM(Gastos[[#This Row],[Fecha_Cheque]]),MID(Gastos[[#This Row],[Semana]],6,2))</f>
        <v>34</v>
      </c>
      <c r="O363" t="s">
        <v>3852</v>
      </c>
      <c r="P363" t="s">
        <v>27</v>
      </c>
    </row>
    <row r="364" spans="1:16" hidden="1" x14ac:dyDescent="0.25">
      <c r="A364" s="3" t="s">
        <v>3817</v>
      </c>
      <c r="B364" t="s">
        <v>266</v>
      </c>
      <c r="C364" t="s">
        <v>3824</v>
      </c>
      <c r="D364" t="s">
        <v>26</v>
      </c>
      <c r="E364" t="s">
        <v>31</v>
      </c>
      <c r="F364">
        <v>1</v>
      </c>
      <c r="G364" s="3" t="s">
        <v>32</v>
      </c>
      <c r="H364" s="44" t="s">
        <v>15</v>
      </c>
      <c r="I364" s="17">
        <v>16103.8</v>
      </c>
      <c r="J364" s="17">
        <f>IF(Gastos[[#This Row],[Divisa]]="$", I364*1, IF(Gastos[[#This Row],[Divisa]]="U$D", I364*$N$1, IF(Gastos[[#This Row],[Divisa]]="EUR", I364*$N$2, 0)))</f>
        <v>16103.8</v>
      </c>
      <c r="K364" s="54">
        <f>Gastos[[#This Row],[Importe AR$]]/$N$1</f>
        <v>10.322948717948718</v>
      </c>
      <c r="L364" t="s">
        <v>340</v>
      </c>
      <c r="M364" s="69"/>
      <c r="N364" s="43" t="str">
        <f>IF(Gastos[[#This Row],[Fecha_Cheque]]&gt;0,WEEKNUM(Gastos[[#This Row],[Fecha_Cheque]]),MID(Gastos[[#This Row],[Semana]],6,2))</f>
        <v>30</v>
      </c>
      <c r="O364" t="s">
        <v>3852</v>
      </c>
      <c r="P364" t="s">
        <v>27</v>
      </c>
    </row>
    <row r="365" spans="1:16" hidden="1" x14ac:dyDescent="0.25">
      <c r="A365" s="3" t="s">
        <v>3963</v>
      </c>
      <c r="B365" t="s">
        <v>266</v>
      </c>
      <c r="C365" t="s">
        <v>3824</v>
      </c>
      <c r="D365" t="s">
        <v>26</v>
      </c>
      <c r="E365" t="s">
        <v>62</v>
      </c>
      <c r="F365">
        <v>1</v>
      </c>
      <c r="G365" s="3" t="s">
        <v>32</v>
      </c>
      <c r="H365" s="44" t="s">
        <v>15</v>
      </c>
      <c r="I365" s="17">
        <v>911706.48</v>
      </c>
      <c r="J365" s="17">
        <f>IF(Gastos[[#This Row],[Divisa]]="$", I365*1, IF(Gastos[[#This Row],[Divisa]]="U$D", I365*$N$1, IF(Gastos[[#This Row],[Divisa]]="EUR", I365*$N$2, 0)))</f>
        <v>911706.48</v>
      </c>
      <c r="K365" s="54">
        <f>Gastos[[#This Row],[Importe AR$]]/$N$1</f>
        <v>584.42723076923073</v>
      </c>
      <c r="M365" s="69">
        <v>46264</v>
      </c>
      <c r="N365" s="43">
        <f>IF(Gastos[[#This Row],[Fecha_Cheque]]&gt;0,WEEKNUM(Gastos[[#This Row],[Fecha_Cheque]]),MID(Gastos[[#This Row],[Semana]],6,2))</f>
        <v>36</v>
      </c>
      <c r="O365" t="s">
        <v>3965</v>
      </c>
      <c r="P365" t="s">
        <v>27</v>
      </c>
    </row>
    <row r="366" spans="1:16" hidden="1" x14ac:dyDescent="0.25">
      <c r="A366" s="3" t="s">
        <v>3963</v>
      </c>
      <c r="B366" t="s">
        <v>266</v>
      </c>
      <c r="C366" t="s">
        <v>3824</v>
      </c>
      <c r="D366" t="s">
        <v>26</v>
      </c>
      <c r="E366" t="s">
        <v>62</v>
      </c>
      <c r="F366">
        <v>1</v>
      </c>
      <c r="G366" s="3" t="s">
        <v>32</v>
      </c>
      <c r="H366" s="44" t="s">
        <v>15</v>
      </c>
      <c r="I366" s="17">
        <v>16495.68</v>
      </c>
      <c r="J366" s="17">
        <f>IF(Gastos[[#This Row],[Divisa]]="$", I366*1, IF(Gastos[[#This Row],[Divisa]]="U$D", I366*$N$1, IF(Gastos[[#This Row],[Divisa]]="EUR", I366*$N$2, 0)))</f>
        <v>16495.68</v>
      </c>
      <c r="K366" s="54">
        <f>Gastos[[#This Row],[Importe AR$]]/$N$1</f>
        <v>10.574153846153846</v>
      </c>
      <c r="L366" t="s">
        <v>340</v>
      </c>
      <c r="M366" s="69"/>
      <c r="N366" s="43" t="str">
        <f>IF(Gastos[[#This Row],[Fecha_Cheque]]&gt;0,WEEKNUM(Gastos[[#This Row],[Fecha_Cheque]]),MID(Gastos[[#This Row],[Semana]],6,2))</f>
        <v>32</v>
      </c>
      <c r="O366" t="s">
        <v>3965</v>
      </c>
      <c r="P366" t="s">
        <v>27</v>
      </c>
    </row>
    <row r="367" spans="1:16" hidden="1" x14ac:dyDescent="0.25">
      <c r="A367" s="3" t="s">
        <v>4005</v>
      </c>
      <c r="B367" t="s">
        <v>266</v>
      </c>
      <c r="C367" t="s">
        <v>3824</v>
      </c>
      <c r="D367" t="s">
        <v>26</v>
      </c>
      <c r="E367" t="s">
        <v>62</v>
      </c>
      <c r="F367">
        <v>1</v>
      </c>
      <c r="G367" s="3" t="s">
        <v>32</v>
      </c>
      <c r="H367" s="44" t="s">
        <v>15</v>
      </c>
      <c r="I367" s="17">
        <v>1905551.85</v>
      </c>
      <c r="J367" s="17">
        <f>IF(Gastos[[#This Row],[Divisa]]="$", I367*1, IF(Gastos[[#This Row],[Divisa]]="U$D", I367*$N$1, IF(Gastos[[#This Row],[Divisa]]="EUR", I367*$N$2, 0)))</f>
        <v>1905551.85</v>
      </c>
      <c r="K367" s="54">
        <f>Gastos[[#This Row],[Importe AR$]]/$N$1</f>
        <v>1221.5075961538462</v>
      </c>
      <c r="M367" s="69">
        <v>46276</v>
      </c>
      <c r="N367" s="43">
        <f>IF(Gastos[[#This Row],[Fecha_Cheque]]&gt;0,WEEKNUM(Gastos[[#This Row],[Fecha_Cheque]]),MID(Gastos[[#This Row],[Semana]],6,2))</f>
        <v>37</v>
      </c>
      <c r="O367" t="s">
        <v>4030</v>
      </c>
      <c r="P367" t="s">
        <v>27</v>
      </c>
    </row>
    <row r="368" spans="1:16" hidden="1" x14ac:dyDescent="0.25">
      <c r="A368" s="3" t="s">
        <v>4005</v>
      </c>
      <c r="B368" t="s">
        <v>266</v>
      </c>
      <c r="C368" t="s">
        <v>3824</v>
      </c>
      <c r="D368" t="s">
        <v>26</v>
      </c>
      <c r="E368" t="s">
        <v>62</v>
      </c>
      <c r="F368">
        <v>1</v>
      </c>
      <c r="G368" s="3" t="s">
        <v>32</v>
      </c>
      <c r="H368" s="44" t="s">
        <v>15</v>
      </c>
      <c r="I368" s="17">
        <v>27016.73</v>
      </c>
      <c r="J368" s="17">
        <f>IF(Gastos[[#This Row],[Divisa]]="$", I368*1, IF(Gastos[[#This Row],[Divisa]]="U$D", I368*$N$1, IF(Gastos[[#This Row],[Divisa]]="EUR", I368*$N$2, 0)))</f>
        <v>27016.73</v>
      </c>
      <c r="K368" s="54">
        <f>Gastos[[#This Row],[Importe AR$]]/$N$1</f>
        <v>17.318416666666668</v>
      </c>
      <c r="L368" t="s">
        <v>340</v>
      </c>
      <c r="M368" s="69"/>
      <c r="N368" s="43" t="str">
        <f>IF(Gastos[[#This Row],[Fecha_Cheque]]&gt;0,WEEKNUM(Gastos[[#This Row],[Fecha_Cheque]]),MID(Gastos[[#This Row],[Semana]],6,2))</f>
        <v>33</v>
      </c>
      <c r="O368" t="s">
        <v>4030</v>
      </c>
      <c r="P368" t="s">
        <v>27</v>
      </c>
    </row>
    <row r="369" spans="1:16" hidden="1" x14ac:dyDescent="0.25">
      <c r="A369" s="3" t="s">
        <v>4157</v>
      </c>
      <c r="B369" t="s">
        <v>266</v>
      </c>
      <c r="C369" t="s">
        <v>4110</v>
      </c>
      <c r="D369" t="s">
        <v>26</v>
      </c>
      <c r="E369" t="s">
        <v>62</v>
      </c>
      <c r="F369">
        <v>1</v>
      </c>
      <c r="G369" s="3" t="s">
        <v>5</v>
      </c>
      <c r="H369" s="44" t="s">
        <v>15</v>
      </c>
      <c r="I369" s="17">
        <v>877699.16</v>
      </c>
      <c r="J369" s="17">
        <f>IF(Gastos[[#This Row],[Divisa]]="$", I369*1, IF(Gastos[[#This Row],[Divisa]]="U$D", I369*$N$1, IF(Gastos[[#This Row],[Divisa]]="EUR", I369*$N$2, 0)))</f>
        <v>877699.16</v>
      </c>
      <c r="K369" s="54">
        <f>Gastos[[#This Row],[Importe AR$]]/$N$1</f>
        <v>562.62766666666664</v>
      </c>
      <c r="M369" s="69"/>
      <c r="N369" s="43" t="str">
        <f>IF(Gastos[[#This Row],[Fecha_Cheque]]&gt;0,WEEKNUM(Gastos[[#This Row],[Fecha_Cheque]]),MID(Gastos[[#This Row],[Semana]],6,2))</f>
        <v>36</v>
      </c>
      <c r="O369" t="s">
        <v>4177</v>
      </c>
      <c r="P369" t="s">
        <v>27</v>
      </c>
    </row>
    <row r="370" spans="1:16" hidden="1" x14ac:dyDescent="0.25">
      <c r="A370" s="3" t="s">
        <v>4157</v>
      </c>
      <c r="B370" t="s">
        <v>266</v>
      </c>
      <c r="C370" t="s">
        <v>4186</v>
      </c>
      <c r="D370" t="s">
        <v>26</v>
      </c>
      <c r="E370" t="s">
        <v>31</v>
      </c>
      <c r="F370">
        <v>1</v>
      </c>
      <c r="G370" s="3" t="s">
        <v>32</v>
      </c>
      <c r="H370" s="44" t="s">
        <v>15</v>
      </c>
      <c r="I370" s="17">
        <v>500000</v>
      </c>
      <c r="J370" s="17">
        <f>IF(Gastos[[#This Row],[Divisa]]="$", I370*1, IF(Gastos[[#This Row],[Divisa]]="U$D", I370*$N$1, IF(Gastos[[#This Row],[Divisa]]="EUR", I370*$N$2, 0)))</f>
        <v>500000</v>
      </c>
      <c r="K370" s="54">
        <f>Gastos[[#This Row],[Importe AR$]]/$N$1</f>
        <v>320.5128205128205</v>
      </c>
      <c r="M370" s="69">
        <v>46281</v>
      </c>
      <c r="N370" s="43">
        <f>IF(Gastos[[#This Row],[Fecha_Cheque]]&gt;0,WEEKNUM(Gastos[[#This Row],[Fecha_Cheque]]),MID(Gastos[[#This Row],[Semana]],6,2))</f>
        <v>38</v>
      </c>
      <c r="O370" t="s">
        <v>4187</v>
      </c>
      <c r="P370" t="s">
        <v>27</v>
      </c>
    </row>
    <row r="371" spans="1:16" hidden="1" x14ac:dyDescent="0.25">
      <c r="A371" s="3" t="s">
        <v>4157</v>
      </c>
      <c r="B371" t="s">
        <v>266</v>
      </c>
      <c r="C371" t="s">
        <v>4186</v>
      </c>
      <c r="D371" t="s">
        <v>26</v>
      </c>
      <c r="E371" t="s">
        <v>31</v>
      </c>
      <c r="F371">
        <v>1</v>
      </c>
      <c r="G371" s="3" t="s">
        <v>32</v>
      </c>
      <c r="H371" s="44" t="s">
        <v>15</v>
      </c>
      <c r="I371" s="17">
        <v>200000</v>
      </c>
      <c r="J371" s="17">
        <f>IF(Gastos[[#This Row],[Divisa]]="$", I371*1, IF(Gastos[[#This Row],[Divisa]]="U$D", I371*$N$1, IF(Gastos[[#This Row],[Divisa]]="EUR", I371*$N$2, 0)))</f>
        <v>200000</v>
      </c>
      <c r="K371" s="54">
        <f>Gastos[[#This Row],[Importe AR$]]/$N$1</f>
        <v>128.2051282051282</v>
      </c>
      <c r="M371" s="69">
        <v>46275</v>
      </c>
      <c r="N371" s="43">
        <f>IF(Gastos[[#This Row],[Fecha_Cheque]]&gt;0,WEEKNUM(Gastos[[#This Row],[Fecha_Cheque]]),MID(Gastos[[#This Row],[Semana]],6,2))</f>
        <v>37</v>
      </c>
      <c r="O371" t="s">
        <v>4187</v>
      </c>
      <c r="P371" t="s">
        <v>27</v>
      </c>
    </row>
    <row r="372" spans="1:16" hidden="1" x14ac:dyDescent="0.25">
      <c r="A372" s="3" t="s">
        <v>4157</v>
      </c>
      <c r="B372" t="s">
        <v>266</v>
      </c>
      <c r="C372" t="s">
        <v>4186</v>
      </c>
      <c r="D372" t="s">
        <v>26</v>
      </c>
      <c r="E372" t="s">
        <v>31</v>
      </c>
      <c r="F372">
        <v>1</v>
      </c>
      <c r="G372" s="3" t="s">
        <v>32</v>
      </c>
      <c r="H372" s="44" t="s">
        <v>15</v>
      </c>
      <c r="I372" s="17">
        <v>14000</v>
      </c>
      <c r="J372" s="17">
        <f>IF(Gastos[[#This Row],[Divisa]]="$", I372*1, IF(Gastos[[#This Row],[Divisa]]="U$D", I372*$N$1, IF(Gastos[[#This Row],[Divisa]]="EUR", I372*$N$2, 0)))</f>
        <v>14000</v>
      </c>
      <c r="K372" s="54">
        <f>Gastos[[#This Row],[Importe AR$]]/$N$1</f>
        <v>8.9743589743589745</v>
      </c>
      <c r="L372" t="s">
        <v>340</v>
      </c>
      <c r="M372" s="69"/>
      <c r="N372" s="43" t="str">
        <f>IF(Gastos[[#This Row],[Fecha_Cheque]]&gt;0,WEEKNUM(Gastos[[#This Row],[Fecha_Cheque]]),MID(Gastos[[#This Row],[Semana]],6,2))</f>
        <v>36</v>
      </c>
      <c r="O372" t="s">
        <v>4187</v>
      </c>
      <c r="P372" t="s">
        <v>27</v>
      </c>
    </row>
    <row r="373" spans="1:16" hidden="1" x14ac:dyDescent="0.25">
      <c r="A373" s="3" t="s">
        <v>4157</v>
      </c>
      <c r="B373" t="s">
        <v>266</v>
      </c>
      <c r="C373" t="s">
        <v>4193</v>
      </c>
      <c r="D373" t="s">
        <v>26</v>
      </c>
      <c r="E373" t="s">
        <v>31</v>
      </c>
      <c r="F373">
        <v>1</v>
      </c>
      <c r="G373" s="3" t="s">
        <v>32</v>
      </c>
      <c r="H373" s="44" t="s">
        <v>15</v>
      </c>
      <c r="I373" s="17">
        <v>911706.48</v>
      </c>
      <c r="J373" s="17">
        <f>IF(Gastos[[#This Row],[Divisa]]="$", I373*1, IF(Gastos[[#This Row],[Divisa]]="U$D", I373*$N$1, IF(Gastos[[#This Row],[Divisa]]="EUR", I373*$N$2, 0)))</f>
        <v>911706.48</v>
      </c>
      <c r="K373" s="54">
        <f>Gastos[[#This Row],[Importe AR$]]/$N$1</f>
        <v>584.42723076923073</v>
      </c>
      <c r="M373" s="69"/>
      <c r="N373" s="43" t="str">
        <f>IF(Gastos[[#This Row],[Fecha_Cheque]]&gt;0,WEEKNUM(Gastos[[#This Row],[Fecha_Cheque]]),MID(Gastos[[#This Row],[Semana]],6,2))</f>
        <v>36</v>
      </c>
      <c r="O373" t="s">
        <v>4192</v>
      </c>
      <c r="P373" t="s">
        <v>27</v>
      </c>
    </row>
    <row r="374" spans="1:16" hidden="1" x14ac:dyDescent="0.25">
      <c r="A374" s="3" t="s">
        <v>4211</v>
      </c>
      <c r="B374" t="s">
        <v>266</v>
      </c>
      <c r="C374" t="s">
        <v>4194</v>
      </c>
      <c r="D374" t="s">
        <v>26</v>
      </c>
      <c r="E374" t="s">
        <v>31</v>
      </c>
      <c r="F374">
        <v>1</v>
      </c>
      <c r="G374" s="3" t="s">
        <v>32</v>
      </c>
      <c r="H374" s="44" t="s">
        <v>15</v>
      </c>
      <c r="I374" s="17">
        <v>343801.97</v>
      </c>
      <c r="J374" s="17">
        <f>IF(Gastos[[#This Row],[Divisa]]="$", I374*1, IF(Gastos[[#This Row],[Divisa]]="U$D", I374*$N$1, IF(Gastos[[#This Row],[Divisa]]="EUR", I374*$N$2, 0)))</f>
        <v>343801.97</v>
      </c>
      <c r="K374" s="54">
        <f>Gastos[[#This Row],[Importe AR$]]/$N$1</f>
        <v>220.38587820512819</v>
      </c>
      <c r="M374" s="69"/>
      <c r="N374" s="43" t="str">
        <f>IF(Gastos[[#This Row],[Fecha_Cheque]]&gt;0,WEEKNUM(Gastos[[#This Row],[Fecha_Cheque]]),MID(Gastos[[#This Row],[Semana]],6,2))</f>
        <v>37</v>
      </c>
      <c r="O374" t="s">
        <v>4255</v>
      </c>
      <c r="P374" t="s">
        <v>27</v>
      </c>
    </row>
    <row r="375" spans="1:16" hidden="1" x14ac:dyDescent="0.25">
      <c r="A375" s="3" t="s">
        <v>4211</v>
      </c>
      <c r="B375" t="s">
        <v>266</v>
      </c>
      <c r="C375" t="s">
        <v>4243</v>
      </c>
      <c r="D375" t="s">
        <v>26</v>
      </c>
      <c r="E375" t="s">
        <v>62</v>
      </c>
      <c r="F375">
        <v>1</v>
      </c>
      <c r="G375" s="3" t="s">
        <v>5</v>
      </c>
      <c r="H375" s="44" t="s">
        <v>15</v>
      </c>
      <c r="I375" s="17">
        <v>958175.99</v>
      </c>
      <c r="J375" s="17">
        <f>IF(Gastos[[#This Row],[Divisa]]="$", I375*1, IF(Gastos[[#This Row],[Divisa]]="U$D", I375*$N$1, IF(Gastos[[#This Row],[Divisa]]="EUR", I375*$N$2, 0)))</f>
        <v>958175.99</v>
      </c>
      <c r="K375" s="54">
        <f>Gastos[[#This Row],[Importe AR$]]/$N$1</f>
        <v>614.21537820512822</v>
      </c>
      <c r="M375" s="69"/>
      <c r="N375" s="43" t="str">
        <f>IF(Gastos[[#This Row],[Fecha_Cheque]]&gt;0,WEEKNUM(Gastos[[#This Row],[Fecha_Cheque]]),MID(Gastos[[#This Row],[Semana]],6,2))</f>
        <v>37</v>
      </c>
      <c r="O375" t="s">
        <v>4244</v>
      </c>
      <c r="P375" t="s">
        <v>27</v>
      </c>
    </row>
    <row r="376" spans="1:16" hidden="1" x14ac:dyDescent="0.25">
      <c r="A376" s="3" t="s">
        <v>4374</v>
      </c>
      <c r="B376" t="s">
        <v>266</v>
      </c>
      <c r="C376" t="s">
        <v>4383</v>
      </c>
      <c r="D376" t="s">
        <v>26</v>
      </c>
      <c r="E376" t="s">
        <v>31</v>
      </c>
      <c r="F376">
        <v>1</v>
      </c>
      <c r="G376" s="3" t="s">
        <v>5</v>
      </c>
      <c r="H376" s="44" t="s">
        <v>15</v>
      </c>
      <c r="I376" s="17">
        <v>1901525.12</v>
      </c>
      <c r="J376" s="17">
        <f>IF(Gastos[[#This Row],[Divisa]]="$", I376*1, IF(Gastos[[#This Row],[Divisa]]="U$D", I376*$N$1, IF(Gastos[[#This Row],[Divisa]]="EUR", I376*$N$2, 0)))</f>
        <v>1901525.12</v>
      </c>
      <c r="K376" s="54">
        <f>Gastos[[#This Row],[Importe AR$]]/$N$1</f>
        <v>1218.9263589743591</v>
      </c>
      <c r="M376" s="69"/>
      <c r="N376" s="43" t="str">
        <f>IF(Gastos[[#This Row],[Fecha_Cheque]]&gt;0,WEEKNUM(Gastos[[#This Row],[Fecha_Cheque]]),MID(Gastos[[#This Row],[Semana]],6,2))</f>
        <v>39</v>
      </c>
      <c r="O376" t="s">
        <v>4384</v>
      </c>
      <c r="P376" t="s">
        <v>27</v>
      </c>
    </row>
    <row r="377" spans="1:16" hidden="1" x14ac:dyDescent="0.25">
      <c r="A377" s="3" t="s">
        <v>4513</v>
      </c>
      <c r="B377" t="s">
        <v>266</v>
      </c>
      <c r="C377" t="s">
        <v>1715</v>
      </c>
      <c r="D377" t="s">
        <v>26</v>
      </c>
      <c r="E377" t="s">
        <v>31</v>
      </c>
      <c r="F377">
        <v>1</v>
      </c>
      <c r="G377" s="3" t="s">
        <v>5</v>
      </c>
      <c r="H377" s="44" t="s">
        <v>15</v>
      </c>
      <c r="I377" s="17">
        <v>3655065.62</v>
      </c>
      <c r="J377" s="17">
        <f>IF(Gastos[[#This Row],[Divisa]]="$", I377*1, IF(Gastos[[#This Row],[Divisa]]="U$D", I377*$N$1, IF(Gastos[[#This Row],[Divisa]]="EUR", I377*$N$2, 0)))</f>
        <v>3655065.62</v>
      </c>
      <c r="K377" s="54">
        <f>Gastos[[#This Row],[Importe AR$]]/$N$1</f>
        <v>2342.9907820512822</v>
      </c>
      <c r="M377" s="69">
        <v>46324</v>
      </c>
      <c r="N377" s="43">
        <f>IF(Gastos[[#This Row],[Fecha_Cheque]]&gt;0,WEEKNUM(Gastos[[#This Row],[Fecha_Cheque]]),MID(Gastos[[#This Row],[Semana]],6,2))</f>
        <v>44</v>
      </c>
      <c r="O377" t="s">
        <v>4493</v>
      </c>
      <c r="P377" t="s">
        <v>27</v>
      </c>
    </row>
    <row r="378" spans="1:16" hidden="1" x14ac:dyDescent="0.25">
      <c r="A378" s="3" t="s">
        <v>4513</v>
      </c>
      <c r="B378" t="s">
        <v>266</v>
      </c>
      <c r="C378" t="s">
        <v>1715</v>
      </c>
      <c r="D378" t="s">
        <v>26</v>
      </c>
      <c r="E378" t="s">
        <v>31</v>
      </c>
      <c r="F378">
        <v>1</v>
      </c>
      <c r="G378" s="3" t="s">
        <v>32</v>
      </c>
      <c r="H378" s="44" t="s">
        <v>15</v>
      </c>
      <c r="I378" s="17">
        <v>73101.31</v>
      </c>
      <c r="J378" s="17">
        <f>IF(Gastos[[#This Row],[Divisa]]="$", I378*1, IF(Gastos[[#This Row],[Divisa]]="U$D", I378*$N$1, IF(Gastos[[#This Row],[Divisa]]="EUR", I378*$N$2, 0)))</f>
        <v>73101.31</v>
      </c>
      <c r="K378" s="54">
        <f>Gastos[[#This Row],[Importe AR$]]/$N$1</f>
        <v>46.859814102564101</v>
      </c>
      <c r="L378" t="s">
        <v>340</v>
      </c>
      <c r="M378" s="69"/>
      <c r="N378" s="43" t="str">
        <f>IF(Gastos[[#This Row],[Fecha_Cheque]]&gt;0,WEEKNUM(Gastos[[#This Row],[Fecha_Cheque]]),MID(Gastos[[#This Row],[Semana]],6,2))</f>
        <v>42</v>
      </c>
      <c r="O378" t="s">
        <v>4493</v>
      </c>
      <c r="P378" t="s">
        <v>27</v>
      </c>
    </row>
    <row r="379" spans="1:16" hidden="1" x14ac:dyDescent="0.25">
      <c r="A379" s="3" t="s">
        <v>619</v>
      </c>
      <c r="B379" t="s">
        <v>620</v>
      </c>
      <c r="C379" t="s">
        <v>621</v>
      </c>
      <c r="D379" t="s">
        <v>26</v>
      </c>
      <c r="E379" t="s">
        <v>31</v>
      </c>
      <c r="F379">
        <v>1</v>
      </c>
      <c r="G379" s="3" t="s">
        <v>32</v>
      </c>
      <c r="H379" s="46" t="s">
        <v>15</v>
      </c>
      <c r="I379" s="17">
        <v>1550476.66</v>
      </c>
      <c r="J379" s="17">
        <f>IF(Gastos[[#This Row],[Divisa]]="$", I379*1, IF(Gastos[[#This Row],[Divisa]]="U$D", I379*$N$1, IF(Gastos[[#This Row],[Divisa]]="EUR", I379*$N$2, 0)))</f>
        <v>1550476.66</v>
      </c>
      <c r="K379" s="54">
        <f>Gastos[[#This Row],[Importe AR$]]/$N$1</f>
        <v>993.89529487179482</v>
      </c>
      <c r="M379" s="69">
        <v>46173</v>
      </c>
      <c r="N379" s="43">
        <f>IF(Gastos[[#This Row],[Fecha_Cheque]]&gt;0,WEEKNUM(Gastos[[#This Row],[Fecha_Cheque]]),MID(Gastos[[#This Row],[Semana]],6,2))</f>
        <v>23</v>
      </c>
      <c r="O379" t="s">
        <v>622</v>
      </c>
      <c r="P379" t="s">
        <v>27</v>
      </c>
    </row>
    <row r="380" spans="1:16" hidden="1" x14ac:dyDescent="0.25">
      <c r="A380" s="3" t="s">
        <v>619</v>
      </c>
      <c r="B380" t="s">
        <v>620</v>
      </c>
      <c r="C380" t="s">
        <v>621</v>
      </c>
      <c r="D380" t="s">
        <v>26</v>
      </c>
      <c r="E380" t="s">
        <v>31</v>
      </c>
      <c r="F380">
        <v>1</v>
      </c>
      <c r="G380" s="3" t="s">
        <v>32</v>
      </c>
      <c r="H380" s="46" t="s">
        <v>15</v>
      </c>
      <c r="I380" s="17">
        <v>1550476.67</v>
      </c>
      <c r="J380" s="17">
        <f>IF(Gastos[[#This Row],[Divisa]]="$", I380*1, IF(Gastos[[#This Row],[Divisa]]="U$D", I380*$N$1, IF(Gastos[[#This Row],[Divisa]]="EUR", I380*$N$2, 0)))</f>
        <v>1550476.67</v>
      </c>
      <c r="K380" s="54">
        <f>Gastos[[#This Row],[Importe AR$]]/$N$1</f>
        <v>993.89530128205126</v>
      </c>
      <c r="M380" s="69">
        <v>46113</v>
      </c>
      <c r="N380" s="43">
        <f>IF(Gastos[[#This Row],[Fecha_Cheque]]&gt;0,WEEKNUM(Gastos[[#This Row],[Fecha_Cheque]]),MID(Gastos[[#This Row],[Semana]],6,2))</f>
        <v>14</v>
      </c>
      <c r="O380" t="s">
        <v>622</v>
      </c>
      <c r="P380" t="s">
        <v>27</v>
      </c>
    </row>
    <row r="381" spans="1:16" hidden="1" x14ac:dyDescent="0.25">
      <c r="A381" s="3" t="s">
        <v>619</v>
      </c>
      <c r="B381" t="s">
        <v>620</v>
      </c>
      <c r="C381" t="s">
        <v>621</v>
      </c>
      <c r="D381" t="s">
        <v>26</v>
      </c>
      <c r="E381" t="s">
        <v>31</v>
      </c>
      <c r="F381">
        <v>1</v>
      </c>
      <c r="G381" s="3" t="s">
        <v>32</v>
      </c>
      <c r="H381" s="46" t="s">
        <v>15</v>
      </c>
      <c r="I381" s="17">
        <v>1550476.67</v>
      </c>
      <c r="J381" s="17">
        <f>IF(Gastos[[#This Row],[Divisa]]="$", I381*1, IF(Gastos[[#This Row],[Divisa]]="U$D", I381*$N$1, IF(Gastos[[#This Row],[Divisa]]="EUR", I381*$N$2, 0)))</f>
        <v>1550476.67</v>
      </c>
      <c r="K381" s="54">
        <f>Gastos[[#This Row],[Importe AR$]]/$N$1</f>
        <v>993.89530128205126</v>
      </c>
      <c r="M381" s="69">
        <v>46143</v>
      </c>
      <c r="N381" s="43">
        <f>IF(Gastos[[#This Row],[Fecha_Cheque]]&gt;0,WEEKNUM(Gastos[[#This Row],[Fecha_Cheque]]),MID(Gastos[[#This Row],[Semana]],6,2))</f>
        <v>18</v>
      </c>
      <c r="O381" t="s">
        <v>622</v>
      </c>
      <c r="P381" t="s">
        <v>27</v>
      </c>
    </row>
    <row r="382" spans="1:16" hidden="1" x14ac:dyDescent="0.25">
      <c r="A382" s="3" t="s">
        <v>89</v>
      </c>
      <c r="B382" t="s">
        <v>317</v>
      </c>
      <c r="C382" t="s">
        <v>318</v>
      </c>
      <c r="D382" t="s">
        <v>26</v>
      </c>
      <c r="E382" t="s">
        <v>31</v>
      </c>
      <c r="F382">
        <v>1</v>
      </c>
      <c r="G382" s="3" t="s">
        <v>32</v>
      </c>
      <c r="H382" s="46" t="s">
        <v>15</v>
      </c>
      <c r="I382" s="17">
        <v>122766.6</v>
      </c>
      <c r="J382" s="17">
        <f>IF(Gastos[[#This Row],[Divisa]]="$", I382*1, IF(Gastos[[#This Row],[Divisa]]="U$D", I382*$N$1, IF(Gastos[[#This Row],[Divisa]]="EUR", I382*$N$2, 0)))</f>
        <v>122766.6</v>
      </c>
      <c r="K382" s="54">
        <f>Gastos[[#This Row],[Importe AR$]]/$N$1</f>
        <v>78.696538461538466</v>
      </c>
      <c r="M382" s="69">
        <v>45945</v>
      </c>
      <c r="N382" s="43">
        <f>IF(Gastos[[#This Row],[Fecha_Cheque]]&gt;0,WEEKNUM(Gastos[[#This Row],[Fecha_Cheque]]),MID(Gastos[[#This Row],[Semana]],6,2))</f>
        <v>42</v>
      </c>
      <c r="P382" t="s">
        <v>27</v>
      </c>
    </row>
    <row r="383" spans="1:16" hidden="1" x14ac:dyDescent="0.25">
      <c r="A383" s="3" t="s">
        <v>93</v>
      </c>
      <c r="B383" t="s">
        <v>319</v>
      </c>
      <c r="C383" t="s">
        <v>320</v>
      </c>
      <c r="D383" t="s">
        <v>26</v>
      </c>
      <c r="E383" t="s">
        <v>42</v>
      </c>
      <c r="F383">
        <v>1</v>
      </c>
      <c r="G383" s="3" t="s">
        <v>4</v>
      </c>
      <c r="H383" s="46" t="s">
        <v>15</v>
      </c>
      <c r="I383" s="17">
        <v>470000</v>
      </c>
      <c r="J383" s="17">
        <f>IF(Gastos[[#This Row],[Divisa]]="$", I383*1, IF(Gastos[[#This Row],[Divisa]]="U$D", I383*$N$1, IF(Gastos[[#This Row],[Divisa]]="EUR", I383*$N$2, 0)))</f>
        <v>470000</v>
      </c>
      <c r="K383" s="54">
        <f>Gastos[[#This Row],[Importe AR$]]/$N$1</f>
        <v>301.28205128205127</v>
      </c>
      <c r="M383" s="69"/>
      <c r="N383" s="43" t="str">
        <f>IF(Gastos[[#This Row],[Fecha_Cheque]]&gt;0,WEEKNUM(Gastos[[#This Row],[Fecha_Cheque]]),MID(Gastos[[#This Row],[Semana]],6,2))</f>
        <v>50</v>
      </c>
      <c r="O383" t="s">
        <v>321</v>
      </c>
      <c r="P383" t="s">
        <v>27</v>
      </c>
    </row>
    <row r="384" spans="1:16" hidden="1" x14ac:dyDescent="0.25">
      <c r="A384" s="3" t="s">
        <v>2763</v>
      </c>
      <c r="B384" t="s">
        <v>319</v>
      </c>
      <c r="C384" t="s">
        <v>3072</v>
      </c>
      <c r="D384" t="s">
        <v>26</v>
      </c>
      <c r="E384" t="s">
        <v>31</v>
      </c>
      <c r="F384">
        <v>1</v>
      </c>
      <c r="G384" s="3" t="s">
        <v>32</v>
      </c>
      <c r="H384" s="44" t="s">
        <v>15</v>
      </c>
      <c r="I384" s="17">
        <v>120000.01</v>
      </c>
      <c r="J384" s="17">
        <f>IF(Gastos[[#This Row],[Divisa]]="$", I384*1, IF(Gastos[[#This Row],[Divisa]]="U$D", I384*$N$1, IF(Gastos[[#This Row],[Divisa]]="EUR", I384*$N$2, 0)))</f>
        <v>120000.01</v>
      </c>
      <c r="K384" s="54">
        <f>Gastos[[#This Row],[Importe AR$]]/$N$1</f>
        <v>76.923083333333324</v>
      </c>
      <c r="M384" s="69">
        <v>46183</v>
      </c>
      <c r="N384" s="43">
        <f>IF(Gastos[[#This Row],[Fecha_Cheque]]&gt;0,WEEKNUM(Gastos[[#This Row],[Fecha_Cheque]]),MID(Gastos[[#This Row],[Semana]],6,2))</f>
        <v>24</v>
      </c>
      <c r="O384" t="s">
        <v>3073</v>
      </c>
      <c r="P384" t="s">
        <v>27</v>
      </c>
    </row>
    <row r="385" spans="1:16" hidden="1" x14ac:dyDescent="0.25">
      <c r="A385" s="3" t="s">
        <v>4211</v>
      </c>
      <c r="B385" t="s">
        <v>4252</v>
      </c>
      <c r="C385" t="s">
        <v>4253</v>
      </c>
      <c r="D385" t="s">
        <v>26</v>
      </c>
      <c r="E385" t="s">
        <v>31</v>
      </c>
      <c r="F385">
        <v>1</v>
      </c>
      <c r="G385" s="3" t="s">
        <v>5</v>
      </c>
      <c r="H385" s="44" t="s">
        <v>15</v>
      </c>
      <c r="I385" s="17">
        <v>118439.64</v>
      </c>
      <c r="J385" s="17">
        <f>IF(Gastos[[#This Row],[Divisa]]="$", I385*1, IF(Gastos[[#This Row],[Divisa]]="U$D", I385*$N$1, IF(Gastos[[#This Row],[Divisa]]="EUR", I385*$N$2, 0)))</f>
        <v>118439.64</v>
      </c>
      <c r="K385" s="54">
        <f>Gastos[[#This Row],[Importe AR$]]/$N$1</f>
        <v>75.922846153846152</v>
      </c>
      <c r="M385" s="69"/>
      <c r="N385" s="43" t="str">
        <f>IF(Gastos[[#This Row],[Fecha_Cheque]]&gt;0,WEEKNUM(Gastos[[#This Row],[Fecha_Cheque]]),MID(Gastos[[#This Row],[Semana]],6,2))</f>
        <v>37</v>
      </c>
      <c r="O385" t="s">
        <v>4254</v>
      </c>
      <c r="P385" t="s">
        <v>27</v>
      </c>
    </row>
    <row r="386" spans="1:16" hidden="1" x14ac:dyDescent="0.25">
      <c r="A386" s="3" t="s">
        <v>60</v>
      </c>
      <c r="B386" t="s">
        <v>322</v>
      </c>
      <c r="C386" t="s">
        <v>323</v>
      </c>
      <c r="D386" t="s">
        <v>26</v>
      </c>
      <c r="E386" t="s">
        <v>31</v>
      </c>
      <c r="F386">
        <v>2</v>
      </c>
      <c r="G386" s="3" t="s">
        <v>4</v>
      </c>
      <c r="H386" s="46" t="s">
        <v>15</v>
      </c>
      <c r="I386" s="17">
        <v>13660</v>
      </c>
      <c r="J386" s="17">
        <f>IF(Gastos[[#This Row],[Divisa]]="$", I386*1, IF(Gastos[[#This Row],[Divisa]]="U$D", I386*$N$1, IF(Gastos[[#This Row],[Divisa]]="EUR", I386*$N$2, 0)))</f>
        <v>13660</v>
      </c>
      <c r="K386" s="54">
        <f>Gastos[[#This Row],[Importe AR$]]/$N$1</f>
        <v>8.7564102564102573</v>
      </c>
      <c r="M386" s="69"/>
      <c r="N386" s="43" t="str">
        <f>IF(Gastos[[#This Row],[Fecha_Cheque]]&gt;0,WEEKNUM(Gastos[[#This Row],[Fecha_Cheque]]),MID(Gastos[[#This Row],[Semana]],6,2))</f>
        <v>46</v>
      </c>
      <c r="O386" t="s">
        <v>324</v>
      </c>
      <c r="P386" t="s">
        <v>27</v>
      </c>
    </row>
    <row r="387" spans="1:16" hidden="1" x14ac:dyDescent="0.25">
      <c r="A387" s="3" t="s">
        <v>60</v>
      </c>
      <c r="B387" t="s">
        <v>322</v>
      </c>
      <c r="C387" t="s">
        <v>323</v>
      </c>
      <c r="D387" t="s">
        <v>26</v>
      </c>
      <c r="E387" t="s">
        <v>31</v>
      </c>
      <c r="F387">
        <v>2</v>
      </c>
      <c r="G387" s="3" t="s">
        <v>32</v>
      </c>
      <c r="H387" s="46" t="s">
        <v>15</v>
      </c>
      <c r="I387" s="17">
        <v>181300</v>
      </c>
      <c r="J387" s="17">
        <f>IF(Gastos[[#This Row],[Divisa]]="$", I387*1, IF(Gastos[[#This Row],[Divisa]]="U$D", I387*$N$1, IF(Gastos[[#This Row],[Divisa]]="EUR", I387*$N$2, 0)))</f>
        <v>181300</v>
      </c>
      <c r="K387" s="54">
        <f>Gastos[[#This Row],[Importe AR$]]/$N$1</f>
        <v>116.21794871794872</v>
      </c>
      <c r="M387" s="69">
        <v>46004</v>
      </c>
      <c r="N387" s="43">
        <f>IF(Gastos[[#This Row],[Fecha_Cheque]]&gt;0,WEEKNUM(Gastos[[#This Row],[Fecha_Cheque]]),MID(Gastos[[#This Row],[Semana]],6,2))</f>
        <v>50</v>
      </c>
      <c r="O387" t="s">
        <v>324</v>
      </c>
      <c r="P387" t="s">
        <v>27</v>
      </c>
    </row>
    <row r="388" spans="1:16" hidden="1" x14ac:dyDescent="0.25">
      <c r="A388" s="3" t="s">
        <v>60</v>
      </c>
      <c r="B388" t="s">
        <v>322</v>
      </c>
      <c r="C388" t="s">
        <v>323</v>
      </c>
      <c r="D388" t="s">
        <v>26</v>
      </c>
      <c r="E388" t="s">
        <v>31</v>
      </c>
      <c r="F388">
        <v>2</v>
      </c>
      <c r="G388" s="3" t="s">
        <v>32</v>
      </c>
      <c r="H388" s="46" t="s">
        <v>15</v>
      </c>
      <c r="I388" s="17">
        <v>1700000</v>
      </c>
      <c r="J388" s="17">
        <f>IF(Gastos[[#This Row],[Divisa]]="$", I388*1, IF(Gastos[[#This Row],[Divisa]]="U$D", I388*$N$1, IF(Gastos[[#This Row],[Divisa]]="EUR", I388*$N$2, 0)))</f>
        <v>1700000</v>
      </c>
      <c r="K388" s="54">
        <f>Gastos[[#This Row],[Importe AR$]]/$N$1</f>
        <v>1089.7435897435898</v>
      </c>
      <c r="M388" s="69">
        <v>46010</v>
      </c>
      <c r="N388" s="43">
        <f>IF(Gastos[[#This Row],[Fecha_Cheque]]&gt;0,WEEKNUM(Gastos[[#This Row],[Fecha_Cheque]]),MID(Gastos[[#This Row],[Semana]],6,2))</f>
        <v>51</v>
      </c>
      <c r="O388" t="s">
        <v>324</v>
      </c>
      <c r="P388" t="s">
        <v>27</v>
      </c>
    </row>
    <row r="389" spans="1:16" hidden="1" x14ac:dyDescent="0.25">
      <c r="A389" s="3" t="s">
        <v>60</v>
      </c>
      <c r="B389" t="s">
        <v>322</v>
      </c>
      <c r="C389" t="s">
        <v>323</v>
      </c>
      <c r="D389" t="s">
        <v>26</v>
      </c>
      <c r="E389" t="s">
        <v>31</v>
      </c>
      <c r="F389">
        <v>2</v>
      </c>
      <c r="G389" s="3" t="s">
        <v>32</v>
      </c>
      <c r="H389" s="46" t="s">
        <v>15</v>
      </c>
      <c r="I389" s="17">
        <v>880000</v>
      </c>
      <c r="J389" s="17">
        <f>IF(Gastos[[#This Row],[Divisa]]="$", I389*1, IF(Gastos[[#This Row],[Divisa]]="U$D", I389*$N$1, IF(Gastos[[#This Row],[Divisa]]="EUR", I389*$N$2, 0)))</f>
        <v>880000</v>
      </c>
      <c r="K389" s="54">
        <f>Gastos[[#This Row],[Importe AR$]]/$N$1</f>
        <v>564.10256410256409</v>
      </c>
      <c r="M389" s="69">
        <v>46007</v>
      </c>
      <c r="N389" s="43">
        <f>IF(Gastos[[#This Row],[Fecha_Cheque]]&gt;0,WEEKNUM(Gastos[[#This Row],[Fecha_Cheque]]),MID(Gastos[[#This Row],[Semana]],6,2))</f>
        <v>51</v>
      </c>
      <c r="O389" t="s">
        <v>324</v>
      </c>
      <c r="P389" t="s">
        <v>27</v>
      </c>
    </row>
    <row r="390" spans="1:16" hidden="1" x14ac:dyDescent="0.25">
      <c r="A390" s="3" t="s">
        <v>68</v>
      </c>
      <c r="B390" t="s">
        <v>322</v>
      </c>
      <c r="C390" t="s">
        <v>325</v>
      </c>
      <c r="D390" t="s">
        <v>26</v>
      </c>
      <c r="E390" t="s">
        <v>31</v>
      </c>
      <c r="F390">
        <v>2</v>
      </c>
      <c r="G390" s="3" t="s">
        <v>32</v>
      </c>
      <c r="H390" s="46" t="s">
        <v>15</v>
      </c>
      <c r="I390" s="17">
        <v>5000000</v>
      </c>
      <c r="J390" s="17">
        <f>IF(Gastos[[#This Row],[Divisa]]="$", I390*1, IF(Gastos[[#This Row],[Divisa]]="U$D", I390*$N$1, IF(Gastos[[#This Row],[Divisa]]="EUR", I390*$N$2, 0)))</f>
        <v>5000000</v>
      </c>
      <c r="K390" s="54">
        <f>Gastos[[#This Row],[Importe AR$]]/$N$1</f>
        <v>3205.1282051282051</v>
      </c>
      <c r="M390" s="69">
        <v>46104</v>
      </c>
      <c r="N390" s="43">
        <f>IF(Gastos[[#This Row],[Fecha_Cheque]]&gt;0,WEEKNUM(Gastos[[#This Row],[Fecha_Cheque]]),MID(Gastos[[#This Row],[Semana]],6,2))</f>
        <v>13</v>
      </c>
      <c r="O390" t="s">
        <v>326</v>
      </c>
      <c r="P390" t="s">
        <v>27</v>
      </c>
    </row>
    <row r="391" spans="1:16" hidden="1" x14ac:dyDescent="0.25">
      <c r="A391" s="3" t="s">
        <v>68</v>
      </c>
      <c r="B391" t="s">
        <v>322</v>
      </c>
      <c r="C391" t="s">
        <v>325</v>
      </c>
      <c r="D391" t="s">
        <v>26</v>
      </c>
      <c r="E391" t="s">
        <v>31</v>
      </c>
      <c r="F391">
        <v>2</v>
      </c>
      <c r="G391" s="3" t="s">
        <v>32</v>
      </c>
      <c r="H391" s="46" t="s">
        <v>15</v>
      </c>
      <c r="I391" s="17">
        <v>5000000</v>
      </c>
      <c r="J391" s="17">
        <f>IF(Gastos[[#This Row],[Divisa]]="$", I391*1, IF(Gastos[[#This Row],[Divisa]]="U$D", I391*$N$1, IF(Gastos[[#This Row],[Divisa]]="EUR", I391*$N$2, 0)))</f>
        <v>5000000</v>
      </c>
      <c r="K391" s="54">
        <f>Gastos[[#This Row],[Importe AR$]]/$N$1</f>
        <v>3205.1282051282051</v>
      </c>
      <c r="M391" s="69">
        <v>46111</v>
      </c>
      <c r="N391" s="43">
        <f>IF(Gastos[[#This Row],[Fecha_Cheque]]&gt;0,WEEKNUM(Gastos[[#This Row],[Fecha_Cheque]]),MID(Gastos[[#This Row],[Semana]],6,2))</f>
        <v>14</v>
      </c>
      <c r="O391" t="s">
        <v>326</v>
      </c>
      <c r="P391" t="s">
        <v>27</v>
      </c>
    </row>
    <row r="392" spans="1:16" hidden="1" x14ac:dyDescent="0.25">
      <c r="A392" s="3" t="s">
        <v>68</v>
      </c>
      <c r="B392" t="s">
        <v>322</v>
      </c>
      <c r="C392" t="s">
        <v>325</v>
      </c>
      <c r="D392" t="s">
        <v>26</v>
      </c>
      <c r="E392" t="s">
        <v>31</v>
      </c>
      <c r="F392">
        <v>2</v>
      </c>
      <c r="G392" s="3" t="s">
        <v>32</v>
      </c>
      <c r="H392" s="46" t="s">
        <v>15</v>
      </c>
      <c r="I392" s="17">
        <v>5000000</v>
      </c>
      <c r="J392" s="17">
        <f>IF(Gastos[[#This Row],[Divisa]]="$", I392*1, IF(Gastos[[#This Row],[Divisa]]="U$D", I392*$N$1, IF(Gastos[[#This Row],[Divisa]]="EUR", I392*$N$2, 0)))</f>
        <v>5000000</v>
      </c>
      <c r="K392" s="54">
        <f>Gastos[[#This Row],[Importe AR$]]/$N$1</f>
        <v>3205.1282051282051</v>
      </c>
      <c r="M392" s="69">
        <v>46112</v>
      </c>
      <c r="N392" s="43">
        <f>IF(Gastos[[#This Row],[Fecha_Cheque]]&gt;0,WEEKNUM(Gastos[[#This Row],[Fecha_Cheque]]),MID(Gastos[[#This Row],[Semana]],6,2))</f>
        <v>14</v>
      </c>
      <c r="O392" t="s">
        <v>326</v>
      </c>
      <c r="P392" t="s">
        <v>27</v>
      </c>
    </row>
    <row r="393" spans="1:16" hidden="1" x14ac:dyDescent="0.25">
      <c r="A393" s="3" t="s">
        <v>2763</v>
      </c>
      <c r="B393" t="s">
        <v>322</v>
      </c>
      <c r="C393" t="s">
        <v>125</v>
      </c>
      <c r="D393" t="s">
        <v>26</v>
      </c>
      <c r="E393" t="s">
        <v>31</v>
      </c>
      <c r="F393">
        <v>1</v>
      </c>
      <c r="G393" s="3" t="s">
        <v>5</v>
      </c>
      <c r="H393" s="44" t="s">
        <v>15</v>
      </c>
      <c r="I393" s="17">
        <v>5000000</v>
      </c>
      <c r="J393" s="17">
        <f>IF(Gastos[[#This Row],[Divisa]]="$", I393*1, IF(Gastos[[#This Row],[Divisa]]="U$D", I393*$N$1, IF(Gastos[[#This Row],[Divisa]]="EUR", I393*$N$2, 0)))</f>
        <v>5000000</v>
      </c>
      <c r="K393" s="54">
        <f>Gastos[[#This Row],[Importe AR$]]/$N$1</f>
        <v>3205.1282051282051</v>
      </c>
      <c r="M393" s="69"/>
      <c r="N393" s="43" t="str">
        <f>IF(Gastos[[#This Row],[Fecha_Cheque]]&gt;0,WEEKNUM(Gastos[[#This Row],[Fecha_Cheque]]),MID(Gastos[[#This Row],[Semana]],6,2))</f>
        <v>23</v>
      </c>
      <c r="O393" t="s">
        <v>3074</v>
      </c>
      <c r="P393" t="s">
        <v>27</v>
      </c>
    </row>
    <row r="394" spans="1:16" hidden="1" x14ac:dyDescent="0.25">
      <c r="A394" s="3" t="s">
        <v>4005</v>
      </c>
      <c r="B394" t="s">
        <v>322</v>
      </c>
      <c r="C394" t="s">
        <v>3595</v>
      </c>
      <c r="D394" t="s">
        <v>26</v>
      </c>
      <c r="E394" t="s">
        <v>62</v>
      </c>
      <c r="F394">
        <v>1</v>
      </c>
      <c r="G394" s="3" t="s">
        <v>32</v>
      </c>
      <c r="H394" s="46" t="s">
        <v>15</v>
      </c>
      <c r="I394" s="17">
        <v>340150</v>
      </c>
      <c r="J394" s="17">
        <f>IF(Gastos[[#This Row],[Divisa]]="$", I394*1, IF(Gastos[[#This Row],[Divisa]]="U$D", I394*$N$1, IF(Gastos[[#This Row],[Divisa]]="EUR", I394*$N$2, 0)))</f>
        <v>340150</v>
      </c>
      <c r="K394" s="54">
        <f>Gastos[[#This Row],[Importe AR$]]/$N$1</f>
        <v>218.0448717948718</v>
      </c>
      <c r="M394" s="69">
        <v>46239</v>
      </c>
      <c r="N394" s="43">
        <f>IF(Gastos[[#This Row],[Fecha_Cheque]]&gt;0,WEEKNUM(Gastos[[#This Row],[Fecha_Cheque]]),MID(Gastos[[#This Row],[Semana]],6,2))</f>
        <v>32</v>
      </c>
      <c r="O394" t="s">
        <v>4038</v>
      </c>
      <c r="P394" t="s">
        <v>27</v>
      </c>
    </row>
    <row r="395" spans="1:16" hidden="1" x14ac:dyDescent="0.25">
      <c r="A395" s="3" t="s">
        <v>4005</v>
      </c>
      <c r="B395" t="s">
        <v>322</v>
      </c>
      <c r="C395" t="s">
        <v>3595</v>
      </c>
      <c r="D395" t="s">
        <v>26</v>
      </c>
      <c r="E395" t="s">
        <v>62</v>
      </c>
      <c r="F395">
        <v>1</v>
      </c>
      <c r="G395" s="3" t="s">
        <v>32</v>
      </c>
      <c r="H395" s="46" t="s">
        <v>15</v>
      </c>
      <c r="I395" s="17">
        <v>480914</v>
      </c>
      <c r="J395" s="17">
        <f>IF(Gastos[[#This Row],[Divisa]]="$", I395*1, IF(Gastos[[#This Row],[Divisa]]="U$D", I395*$N$1, IF(Gastos[[#This Row],[Divisa]]="EUR", I395*$N$2, 0)))</f>
        <v>480914</v>
      </c>
      <c r="K395" s="54">
        <f>Gastos[[#This Row],[Importe AR$]]/$N$1</f>
        <v>308.27820512820512</v>
      </c>
      <c r="M395" s="69">
        <v>46255</v>
      </c>
      <c r="N395" s="43">
        <f>IF(Gastos[[#This Row],[Fecha_Cheque]]&gt;0,WEEKNUM(Gastos[[#This Row],[Fecha_Cheque]]),MID(Gastos[[#This Row],[Semana]],6,2))</f>
        <v>34</v>
      </c>
      <c r="O395" t="s">
        <v>4038</v>
      </c>
      <c r="P395" t="s">
        <v>27</v>
      </c>
    </row>
    <row r="396" spans="1:16" hidden="1" x14ac:dyDescent="0.25">
      <c r="A396" s="3" t="s">
        <v>4005</v>
      </c>
      <c r="B396" t="s">
        <v>322</v>
      </c>
      <c r="C396" t="s">
        <v>3595</v>
      </c>
      <c r="D396" t="s">
        <v>26</v>
      </c>
      <c r="E396" t="s">
        <v>62</v>
      </c>
      <c r="F396">
        <v>1</v>
      </c>
      <c r="G396" s="3" t="s">
        <v>32</v>
      </c>
      <c r="H396" s="46" t="s">
        <v>15</v>
      </c>
      <c r="I396" s="17">
        <v>1080000</v>
      </c>
      <c r="J396" s="17">
        <f>IF(Gastos[[#This Row],[Divisa]]="$", I396*1, IF(Gastos[[#This Row],[Divisa]]="U$D", I396*$N$1, IF(Gastos[[#This Row],[Divisa]]="EUR", I396*$N$2, 0)))</f>
        <v>1080000</v>
      </c>
      <c r="K396" s="54">
        <f>Gastos[[#This Row],[Importe AR$]]/$N$1</f>
        <v>692.30769230769226</v>
      </c>
      <c r="M396" s="69">
        <v>46266</v>
      </c>
      <c r="N396" s="43">
        <f>IF(Gastos[[#This Row],[Fecha_Cheque]]&gt;0,WEEKNUM(Gastos[[#This Row],[Fecha_Cheque]]),MID(Gastos[[#This Row],[Semana]],6,2))</f>
        <v>36</v>
      </c>
      <c r="O396" t="s">
        <v>4038</v>
      </c>
      <c r="P396" t="s">
        <v>27</v>
      </c>
    </row>
    <row r="397" spans="1:16" hidden="1" x14ac:dyDescent="0.25">
      <c r="A397" s="3" t="s">
        <v>4005</v>
      </c>
      <c r="B397" t="s">
        <v>322</v>
      </c>
      <c r="C397" t="s">
        <v>3595</v>
      </c>
      <c r="D397" t="s">
        <v>26</v>
      </c>
      <c r="E397" t="s">
        <v>42</v>
      </c>
      <c r="F397">
        <v>1</v>
      </c>
      <c r="G397" s="3" t="s">
        <v>4</v>
      </c>
      <c r="H397" s="46" t="s">
        <v>15</v>
      </c>
      <c r="I397" s="17">
        <v>466936</v>
      </c>
      <c r="J397" s="17">
        <f>IF(Gastos[[#This Row],[Divisa]]="$", I397*1, IF(Gastos[[#This Row],[Divisa]]="U$D", I397*$N$1, IF(Gastos[[#This Row],[Divisa]]="EUR", I397*$N$2, 0)))</f>
        <v>466936</v>
      </c>
      <c r="K397" s="54">
        <f>Gastos[[#This Row],[Importe AR$]]/$N$1</f>
        <v>299.3179487179487</v>
      </c>
      <c r="M397" s="69"/>
      <c r="N397" s="43" t="str">
        <f>IF(Gastos[[#This Row],[Fecha_Cheque]]&gt;0,WEEKNUM(Gastos[[#This Row],[Fecha_Cheque]]),MID(Gastos[[#This Row],[Semana]],6,2))</f>
        <v>33</v>
      </c>
      <c r="O397" t="s">
        <v>4038</v>
      </c>
      <c r="P397" t="s">
        <v>27</v>
      </c>
    </row>
    <row r="398" spans="1:16" x14ac:dyDescent="0.25">
      <c r="A398" s="3" t="s">
        <v>4655</v>
      </c>
      <c r="B398" t="s">
        <v>214</v>
      </c>
      <c r="C398" t="s">
        <v>118</v>
      </c>
      <c r="D398" t="s">
        <v>26</v>
      </c>
      <c r="E398" t="s">
        <v>3929</v>
      </c>
      <c r="F398">
        <v>1</v>
      </c>
      <c r="G398" s="3" t="s">
        <v>32</v>
      </c>
      <c r="H398" s="44" t="s">
        <v>2</v>
      </c>
      <c r="I398" s="17">
        <v>4766</v>
      </c>
      <c r="J398" s="17">
        <f>IF(Gastos[[#This Row],[Divisa]]="$", I398*1, IF(Gastos[[#This Row],[Divisa]]="U$D", I398*$N$1, IF(Gastos[[#This Row],[Divisa]]="EUR", I398*$N$2, 0)))</f>
        <v>7434960</v>
      </c>
      <c r="K398" s="54">
        <f>Gastos[[#This Row],[Importe AR$]]/$N$1</f>
        <v>4766</v>
      </c>
      <c r="M398" s="69"/>
      <c r="N398" s="43" t="str">
        <f>IF(Gastos[[#This Row],[Fecha_Cheque]]&gt;0,WEEKNUM(Gastos[[#This Row],[Fecha_Cheque]]),MID(Gastos[[#This Row],[Semana]],6,2))</f>
        <v>44</v>
      </c>
    </row>
    <row r="399" spans="1:16" hidden="1" x14ac:dyDescent="0.25">
      <c r="A399" s="3" t="s">
        <v>75</v>
      </c>
      <c r="B399" t="s">
        <v>327</v>
      </c>
      <c r="C399" t="s">
        <v>224</v>
      </c>
      <c r="D399" t="s">
        <v>26</v>
      </c>
      <c r="E399" t="s">
        <v>225</v>
      </c>
      <c r="F399">
        <v>1</v>
      </c>
      <c r="G399" s="3" t="s">
        <v>5</v>
      </c>
      <c r="H399" s="46" t="s">
        <v>15</v>
      </c>
      <c r="I399" s="17">
        <v>513800</v>
      </c>
      <c r="J399" s="17">
        <f>IF(Gastos[[#This Row],[Divisa]]="$", I399*1, IF(Gastos[[#This Row],[Divisa]]="U$D", I399*$N$1, IF(Gastos[[#This Row],[Divisa]]="EUR", I399*$N$2, 0)))</f>
        <v>513800</v>
      </c>
      <c r="K399" s="54">
        <f>Gastos[[#This Row],[Importe AR$]]/$N$1</f>
        <v>329.35897435897436</v>
      </c>
      <c r="M399" s="69"/>
      <c r="N399" s="43" t="str">
        <f>IF(Gastos[[#This Row],[Fecha_Cheque]]&gt;0,WEEKNUM(Gastos[[#This Row],[Fecha_Cheque]]),MID(Gastos[[#This Row],[Semana]],6,2))</f>
        <v>07</v>
      </c>
      <c r="O399" t="s">
        <v>328</v>
      </c>
      <c r="P399" t="s">
        <v>27</v>
      </c>
    </row>
    <row r="400" spans="1:16" hidden="1" x14ac:dyDescent="0.25">
      <c r="A400" s="3" t="s">
        <v>117</v>
      </c>
      <c r="B400" t="s">
        <v>327</v>
      </c>
      <c r="C400" t="s">
        <v>329</v>
      </c>
      <c r="D400" t="s">
        <v>26</v>
      </c>
      <c r="E400" t="s">
        <v>31</v>
      </c>
      <c r="F400">
        <v>1</v>
      </c>
      <c r="G400" s="3" t="s">
        <v>5</v>
      </c>
      <c r="H400" s="46" t="s">
        <v>15</v>
      </c>
      <c r="I400" s="17">
        <v>553896.12</v>
      </c>
      <c r="J400" s="17">
        <f>IF(Gastos[[#This Row],[Divisa]]="$", I400*1, IF(Gastos[[#This Row],[Divisa]]="U$D", I400*$N$1, IF(Gastos[[#This Row],[Divisa]]="EUR", I400*$N$2, 0)))</f>
        <v>553896.12</v>
      </c>
      <c r="K400" s="54">
        <f>Gastos[[#This Row],[Importe AR$]]/$N$1</f>
        <v>355.06161538461538</v>
      </c>
      <c r="M400" s="69"/>
      <c r="N400" s="43" t="str">
        <f>IF(Gastos[[#This Row],[Fecha_Cheque]]&gt;0,WEEKNUM(Gastos[[#This Row],[Fecha_Cheque]]),MID(Gastos[[#This Row],[Semana]],6,2))</f>
        <v>35</v>
      </c>
      <c r="O400" t="s">
        <v>330</v>
      </c>
      <c r="P400" t="s">
        <v>27</v>
      </c>
    </row>
    <row r="401" spans="1:16" hidden="1" x14ac:dyDescent="0.25">
      <c r="A401" s="3" t="s">
        <v>75</v>
      </c>
      <c r="B401" t="s">
        <v>327</v>
      </c>
      <c r="C401" t="s">
        <v>331</v>
      </c>
      <c r="D401" t="s">
        <v>26</v>
      </c>
      <c r="E401" t="s">
        <v>225</v>
      </c>
      <c r="F401">
        <v>1</v>
      </c>
      <c r="G401" s="3" t="s">
        <v>5</v>
      </c>
      <c r="H401" s="46" t="s">
        <v>15</v>
      </c>
      <c r="I401" s="17">
        <v>513800</v>
      </c>
      <c r="J401" s="17">
        <f>IF(Gastos[[#This Row],[Divisa]]="$", I401*1, IF(Gastos[[#This Row],[Divisa]]="U$D", I401*$N$1, IF(Gastos[[#This Row],[Divisa]]="EUR", I401*$N$2, 0)))</f>
        <v>513800</v>
      </c>
      <c r="K401" s="54">
        <f>Gastos[[#This Row],[Importe AR$]]/$N$1</f>
        <v>329.35897435897436</v>
      </c>
      <c r="M401" s="69"/>
      <c r="N401" s="43" t="str">
        <f>IF(Gastos[[#This Row],[Fecha_Cheque]]&gt;0,WEEKNUM(Gastos[[#This Row],[Fecha_Cheque]]),MID(Gastos[[#This Row],[Semana]],6,2))</f>
        <v>07</v>
      </c>
      <c r="O401" t="s">
        <v>328</v>
      </c>
      <c r="P401" t="s">
        <v>27</v>
      </c>
    </row>
    <row r="402" spans="1:16" hidden="1" x14ac:dyDescent="0.25">
      <c r="A402" s="3" t="s">
        <v>39</v>
      </c>
      <c r="B402" t="s">
        <v>327</v>
      </c>
      <c r="C402" t="s">
        <v>446</v>
      </c>
      <c r="D402" t="s">
        <v>26</v>
      </c>
      <c r="E402" t="s">
        <v>225</v>
      </c>
      <c r="F402">
        <v>1</v>
      </c>
      <c r="G402" s="3" t="s">
        <v>5</v>
      </c>
      <c r="H402" s="44" t="s">
        <v>15</v>
      </c>
      <c r="I402" s="17">
        <v>363840.33</v>
      </c>
      <c r="J402" s="17">
        <f>IF(Gastos[[#This Row],[Divisa]]="$", I402*1, IF(Gastos[[#This Row],[Divisa]]="U$D", I402*$N$1, IF(Gastos[[#This Row],[Divisa]]="EUR", I402*$N$2, 0)))</f>
        <v>363840.33</v>
      </c>
      <c r="K402" s="54">
        <f>Gastos[[#This Row],[Importe AR$]]/$N$1</f>
        <v>233.23098076923077</v>
      </c>
      <c r="M402" s="69"/>
      <c r="N402" s="43" t="str">
        <f>IF(Gastos[[#This Row],[Fecha_Cheque]]&gt;0,WEEKNUM(Gastos[[#This Row],[Fecha_Cheque]]),MID(Gastos[[#This Row],[Semana]],6,2))</f>
        <v>14</v>
      </c>
      <c r="O402" t="s">
        <v>447</v>
      </c>
      <c r="P402" t="s">
        <v>27</v>
      </c>
    </row>
    <row r="403" spans="1:16" hidden="1" x14ac:dyDescent="0.25">
      <c r="A403" s="3" t="s">
        <v>39</v>
      </c>
      <c r="B403" t="s">
        <v>327</v>
      </c>
      <c r="C403" t="s">
        <v>448</v>
      </c>
      <c r="D403" t="s">
        <v>26</v>
      </c>
      <c r="E403" t="s">
        <v>225</v>
      </c>
      <c r="F403">
        <v>1</v>
      </c>
      <c r="G403" s="3" t="s">
        <v>5</v>
      </c>
      <c r="H403" s="46" t="s">
        <v>15</v>
      </c>
      <c r="I403" s="17">
        <v>1559.67</v>
      </c>
      <c r="J403" s="17">
        <f>IF(Gastos[[#This Row],[Divisa]]="$", I403*1, IF(Gastos[[#This Row],[Divisa]]="U$D", I403*$N$1, IF(Gastos[[#This Row],[Divisa]]="EUR", I403*$N$2, 0)))</f>
        <v>1559.67</v>
      </c>
      <c r="K403" s="54">
        <f>Gastos[[#This Row],[Importe AR$]]/$N$1</f>
        <v>0.99978846153846157</v>
      </c>
      <c r="L403" t="s">
        <v>340</v>
      </c>
      <c r="M403" s="69"/>
      <c r="N403" s="43" t="str">
        <f>IF(Gastos[[#This Row],[Fecha_Cheque]]&gt;0,WEEKNUM(Gastos[[#This Row],[Fecha_Cheque]]),MID(Gastos[[#This Row],[Semana]],6,2))</f>
        <v>14</v>
      </c>
      <c r="O403" t="s">
        <v>447</v>
      </c>
      <c r="P403" t="s">
        <v>27</v>
      </c>
    </row>
    <row r="404" spans="1:16" hidden="1" x14ac:dyDescent="0.25">
      <c r="A404" s="3" t="s">
        <v>2711</v>
      </c>
      <c r="B404" t="s">
        <v>327</v>
      </c>
      <c r="C404" t="s">
        <v>2750</v>
      </c>
      <c r="D404" t="s">
        <v>26</v>
      </c>
      <c r="E404" t="s">
        <v>225</v>
      </c>
      <c r="F404">
        <v>1</v>
      </c>
      <c r="G404" s="3" t="s">
        <v>5</v>
      </c>
      <c r="H404" s="44" t="s">
        <v>15</v>
      </c>
      <c r="I404" s="17">
        <v>504127.27</v>
      </c>
      <c r="J404" s="17">
        <f>IF(Gastos[[#This Row],[Divisa]]="$", I404*1, IF(Gastos[[#This Row],[Divisa]]="U$D", I404*$N$1, IF(Gastos[[#This Row],[Divisa]]="EUR", I404*$N$2, 0)))</f>
        <v>504127.27</v>
      </c>
      <c r="K404" s="54">
        <f>Gastos[[#This Row],[Importe AR$]]/$N$1</f>
        <v>323.15850641025645</v>
      </c>
      <c r="M404" s="69"/>
      <c r="N404" s="43" t="str">
        <f>IF(Gastos[[#This Row],[Fecha_Cheque]]&gt;0,WEEKNUM(Gastos[[#This Row],[Fecha_Cheque]]),MID(Gastos[[#This Row],[Semana]],6,2))</f>
        <v>15</v>
      </c>
      <c r="O404" t="s">
        <v>2718</v>
      </c>
      <c r="P404" t="s">
        <v>27</v>
      </c>
    </row>
    <row r="405" spans="1:16" hidden="1" x14ac:dyDescent="0.25">
      <c r="A405" s="3" t="s">
        <v>2711</v>
      </c>
      <c r="B405" t="s">
        <v>327</v>
      </c>
      <c r="C405" t="s">
        <v>2750</v>
      </c>
      <c r="D405" t="s">
        <v>26</v>
      </c>
      <c r="E405" t="s">
        <v>225</v>
      </c>
      <c r="F405">
        <v>1</v>
      </c>
      <c r="G405" s="3" t="s">
        <v>5</v>
      </c>
      <c r="H405" s="44" t="s">
        <v>15</v>
      </c>
      <c r="I405" s="17">
        <v>8472.73</v>
      </c>
      <c r="J405" s="17">
        <f>IF(Gastos[[#This Row],[Divisa]]="$", I405*1, IF(Gastos[[#This Row],[Divisa]]="U$D", I405*$N$1, IF(Gastos[[#This Row],[Divisa]]="EUR", I405*$N$2, 0)))</f>
        <v>8472.73</v>
      </c>
      <c r="K405" s="54">
        <f>Gastos[[#This Row],[Importe AR$]]/$N$1</f>
        <v>5.4312371794871792</v>
      </c>
      <c r="L405" t="s">
        <v>340</v>
      </c>
      <c r="M405" s="69"/>
      <c r="N405" s="43" t="str">
        <f>IF(Gastos[[#This Row],[Fecha_Cheque]]&gt;0,WEEKNUM(Gastos[[#This Row],[Fecha_Cheque]]),MID(Gastos[[#This Row],[Semana]],6,2))</f>
        <v>15</v>
      </c>
      <c r="O405" t="s">
        <v>2718</v>
      </c>
      <c r="P405" t="s">
        <v>27</v>
      </c>
    </row>
    <row r="406" spans="1:16" hidden="1" x14ac:dyDescent="0.25">
      <c r="A406" s="3" t="s">
        <v>2751</v>
      </c>
      <c r="B406" t="s">
        <v>327</v>
      </c>
      <c r="C406" t="s">
        <v>2834</v>
      </c>
      <c r="D406" t="s">
        <v>26</v>
      </c>
      <c r="E406" t="s">
        <v>42</v>
      </c>
      <c r="F406">
        <v>1</v>
      </c>
      <c r="G406" s="3" t="s">
        <v>4</v>
      </c>
      <c r="H406" s="44" t="s">
        <v>15</v>
      </c>
      <c r="I406" s="17">
        <v>16500</v>
      </c>
      <c r="J406" s="17">
        <f>IF(Gastos[[#This Row],[Divisa]]="$", I406*1, IF(Gastos[[#This Row],[Divisa]]="U$D", I406*$N$1, IF(Gastos[[#This Row],[Divisa]]="EUR", I406*$N$2, 0)))</f>
        <v>16500</v>
      </c>
      <c r="K406" s="54">
        <f>Gastos[[#This Row],[Importe AR$]]/$N$1</f>
        <v>10.576923076923077</v>
      </c>
      <c r="M406" s="69"/>
      <c r="N406" s="43" t="str">
        <f>IF(Gastos[[#This Row],[Fecha_Cheque]]&gt;0,WEEKNUM(Gastos[[#This Row],[Fecha_Cheque]]),MID(Gastos[[#This Row],[Semana]],6,2))</f>
        <v>18</v>
      </c>
      <c r="O406" t="s">
        <v>2835</v>
      </c>
      <c r="P406" t="s">
        <v>27</v>
      </c>
    </row>
    <row r="407" spans="1:16" hidden="1" x14ac:dyDescent="0.25">
      <c r="A407" s="3" t="s">
        <v>2763</v>
      </c>
      <c r="B407" t="s">
        <v>327</v>
      </c>
      <c r="C407" t="s">
        <v>3086</v>
      </c>
      <c r="D407" t="s">
        <v>26</v>
      </c>
      <c r="E407" t="s">
        <v>225</v>
      </c>
      <c r="F407">
        <v>1</v>
      </c>
      <c r="G407" s="3" t="s">
        <v>5</v>
      </c>
      <c r="H407" s="44" t="s">
        <v>15</v>
      </c>
      <c r="I407" s="17">
        <v>453600</v>
      </c>
      <c r="J407" s="17">
        <f>IF(Gastos[[#This Row],[Divisa]]="$", I407*1, IF(Gastos[[#This Row],[Divisa]]="U$D", I407*$N$1, IF(Gastos[[#This Row],[Divisa]]="EUR", I407*$N$2, 0)))</f>
        <v>453600</v>
      </c>
      <c r="K407" s="54">
        <f>Gastos[[#This Row],[Importe AR$]]/$N$1</f>
        <v>290.76923076923077</v>
      </c>
      <c r="M407" s="69"/>
      <c r="N407" s="43" t="str">
        <f>IF(Gastos[[#This Row],[Fecha_Cheque]]&gt;0,WEEKNUM(Gastos[[#This Row],[Fecha_Cheque]]),MID(Gastos[[#This Row],[Semana]],6,2))</f>
        <v>23</v>
      </c>
      <c r="O407" t="s">
        <v>3087</v>
      </c>
      <c r="P407" t="s">
        <v>27</v>
      </c>
    </row>
    <row r="408" spans="1:16" hidden="1" x14ac:dyDescent="0.25">
      <c r="A408" s="3" t="s">
        <v>4211</v>
      </c>
      <c r="B408" t="s">
        <v>327</v>
      </c>
      <c r="C408" t="s">
        <v>331</v>
      </c>
      <c r="D408" t="s">
        <v>26</v>
      </c>
      <c r="E408" t="s">
        <v>62</v>
      </c>
      <c r="F408">
        <v>1</v>
      </c>
      <c r="G408" s="3" t="s">
        <v>5</v>
      </c>
      <c r="H408" s="44" t="s">
        <v>15</v>
      </c>
      <c r="I408" s="17">
        <v>1234920.33</v>
      </c>
      <c r="J408" s="17">
        <f>IF(Gastos[[#This Row],[Divisa]]="$", I408*1, IF(Gastos[[#This Row],[Divisa]]="U$D", I408*$N$1, IF(Gastos[[#This Row],[Divisa]]="EUR", I408*$N$2, 0)))</f>
        <v>1234920.33</v>
      </c>
      <c r="K408" s="54">
        <f>Gastos[[#This Row],[Importe AR$]]/$N$1</f>
        <v>791.61559615384624</v>
      </c>
      <c r="M408" s="69"/>
      <c r="N408" s="43" t="str">
        <f>IF(Gastos[[#This Row],[Fecha_Cheque]]&gt;0,WEEKNUM(Gastos[[#This Row],[Fecha_Cheque]]),MID(Gastos[[#This Row],[Semana]],6,2))</f>
        <v>37</v>
      </c>
      <c r="O408" t="s">
        <v>4242</v>
      </c>
      <c r="P408" t="s">
        <v>27</v>
      </c>
    </row>
    <row r="409" spans="1:16" hidden="1" x14ac:dyDescent="0.25">
      <c r="A409" s="3" t="s">
        <v>4211</v>
      </c>
      <c r="B409" t="s">
        <v>327</v>
      </c>
      <c r="C409" t="s">
        <v>331</v>
      </c>
      <c r="D409" t="s">
        <v>26</v>
      </c>
      <c r="E409" t="s">
        <v>62</v>
      </c>
      <c r="F409">
        <v>1</v>
      </c>
      <c r="G409" s="3" t="s">
        <v>5</v>
      </c>
      <c r="H409" s="44" t="s">
        <v>15</v>
      </c>
      <c r="I409" s="17">
        <v>16199.67</v>
      </c>
      <c r="J409" s="17">
        <f>IF(Gastos[[#This Row],[Divisa]]="$", I409*1, IF(Gastos[[#This Row],[Divisa]]="U$D", I409*$N$1, IF(Gastos[[#This Row],[Divisa]]="EUR", I409*$N$2, 0)))</f>
        <v>16199.67</v>
      </c>
      <c r="K409" s="54">
        <f>Gastos[[#This Row],[Importe AR$]]/$N$1</f>
        <v>10.384403846153846</v>
      </c>
      <c r="L409" t="s">
        <v>340</v>
      </c>
      <c r="M409" s="69"/>
      <c r="N409" s="43" t="str">
        <f>IF(Gastos[[#This Row],[Fecha_Cheque]]&gt;0,WEEKNUM(Gastos[[#This Row],[Fecha_Cheque]]),MID(Gastos[[#This Row],[Semana]],6,2))</f>
        <v>37</v>
      </c>
      <c r="O409" t="s">
        <v>4242</v>
      </c>
      <c r="P409" t="s">
        <v>27</v>
      </c>
    </row>
    <row r="410" spans="1:16" x14ac:dyDescent="0.25">
      <c r="A410" s="3" t="s">
        <v>4655</v>
      </c>
      <c r="B410" t="s">
        <v>230</v>
      </c>
      <c r="C410" t="s">
        <v>4450</v>
      </c>
      <c r="D410" t="s">
        <v>26</v>
      </c>
      <c r="E410" t="s">
        <v>31</v>
      </c>
      <c r="F410">
        <v>1</v>
      </c>
      <c r="G410" s="3" t="s">
        <v>5</v>
      </c>
      <c r="H410" s="44" t="s">
        <v>15</v>
      </c>
      <c r="I410" s="17"/>
      <c r="J410" s="17">
        <f>IF(Gastos[[#This Row],[Divisa]]="$", I410*1, IF(Gastos[[#This Row],[Divisa]]="U$D", I410*$N$1, IF(Gastos[[#This Row],[Divisa]]="EUR", I410*$N$2, 0)))</f>
        <v>0</v>
      </c>
      <c r="K410" s="54">
        <f>Gastos[[#This Row],[Importe AR$]]/$N$1</f>
        <v>0</v>
      </c>
      <c r="M410" s="69"/>
      <c r="N410" s="43" t="str">
        <f>IF(Gastos[[#This Row],[Fecha_Cheque]]&gt;0,WEEKNUM(Gastos[[#This Row],[Fecha_Cheque]]),MID(Gastos[[#This Row],[Semana]],6,2))</f>
        <v>44</v>
      </c>
    </row>
    <row r="411" spans="1:16" hidden="1" x14ac:dyDescent="0.25">
      <c r="A411" s="3" t="s">
        <v>4569</v>
      </c>
      <c r="B411" t="s">
        <v>327</v>
      </c>
      <c r="C411" t="s">
        <v>4634</v>
      </c>
      <c r="D411" t="s">
        <v>26</v>
      </c>
      <c r="E411" t="s">
        <v>62</v>
      </c>
      <c r="F411">
        <v>1</v>
      </c>
      <c r="G411" s="3" t="s">
        <v>5</v>
      </c>
      <c r="H411" s="44" t="s">
        <v>15</v>
      </c>
      <c r="I411" s="17">
        <v>547120.98</v>
      </c>
      <c r="J411" s="17">
        <f>IF(Gastos[[#This Row],[Divisa]]="$", I411*1, IF(Gastos[[#This Row],[Divisa]]="U$D", I411*$N$1, IF(Gastos[[#This Row],[Divisa]]="EUR", I411*$N$2, 0)))</f>
        <v>547120.98</v>
      </c>
      <c r="K411" s="54">
        <f>Gastos[[#This Row],[Importe AR$]]/$N$1</f>
        <v>350.71857692307691</v>
      </c>
      <c r="M411" s="69"/>
      <c r="N411" s="43" t="str">
        <f>IF(Gastos[[#This Row],[Fecha_Cheque]]&gt;0,WEEKNUM(Gastos[[#This Row],[Fecha_Cheque]]),MID(Gastos[[#This Row],[Semana]],6,2))</f>
        <v>43</v>
      </c>
      <c r="O411" t="s">
        <v>4635</v>
      </c>
      <c r="P411" t="s">
        <v>27</v>
      </c>
    </row>
    <row r="412" spans="1:16" hidden="1" x14ac:dyDescent="0.25">
      <c r="A412" s="3" t="s">
        <v>4569</v>
      </c>
      <c r="B412" t="s">
        <v>327</v>
      </c>
      <c r="C412" t="s">
        <v>4634</v>
      </c>
      <c r="D412" t="s">
        <v>26</v>
      </c>
      <c r="E412" t="s">
        <v>62</v>
      </c>
      <c r="F412">
        <v>1</v>
      </c>
      <c r="G412" s="3" t="s">
        <v>5</v>
      </c>
      <c r="H412" s="44" t="s">
        <v>15</v>
      </c>
      <c r="I412" s="17">
        <v>4640.0200000000004</v>
      </c>
      <c r="J412" s="17">
        <f>IF(Gastos[[#This Row],[Divisa]]="$", I412*1, IF(Gastos[[#This Row],[Divisa]]="U$D", I412*$N$1, IF(Gastos[[#This Row],[Divisa]]="EUR", I412*$N$2, 0)))</f>
        <v>4640.0200000000004</v>
      </c>
      <c r="K412" s="54">
        <f>Gastos[[#This Row],[Importe AR$]]/$N$1</f>
        <v>2.9743717948717951</v>
      </c>
      <c r="L412" t="s">
        <v>340</v>
      </c>
      <c r="M412" s="69"/>
      <c r="N412" s="43" t="str">
        <f>IF(Gastos[[#This Row],[Fecha_Cheque]]&gt;0,WEEKNUM(Gastos[[#This Row],[Fecha_Cheque]]),MID(Gastos[[#This Row],[Semana]],6,2))</f>
        <v>43</v>
      </c>
      <c r="O412" t="s">
        <v>4635</v>
      </c>
      <c r="P412" t="s">
        <v>27</v>
      </c>
    </row>
    <row r="413" spans="1:16" hidden="1" x14ac:dyDescent="0.25">
      <c r="A413" s="3" t="s">
        <v>99</v>
      </c>
      <c r="B413" t="s">
        <v>334</v>
      </c>
      <c r="C413" t="s">
        <v>335</v>
      </c>
      <c r="D413" t="s">
        <v>26</v>
      </c>
      <c r="E413" t="s">
        <v>31</v>
      </c>
      <c r="F413">
        <v>1</v>
      </c>
      <c r="G413" s="3" t="s">
        <v>32</v>
      </c>
      <c r="H413" s="46" t="s">
        <v>15</v>
      </c>
      <c r="I413" s="17">
        <v>1191202.6499999999</v>
      </c>
      <c r="J413" s="17">
        <f>IF(Gastos[[#This Row],[Divisa]]="$", I413*1, IF(Gastos[[#This Row],[Divisa]]="U$D", I413*$N$1, IF(Gastos[[#This Row],[Divisa]]="EUR", I413*$N$2, 0)))</f>
        <v>1191202.6499999999</v>
      </c>
      <c r="K413" s="54">
        <f>Gastos[[#This Row],[Importe AR$]]/$N$1</f>
        <v>763.5914423076922</v>
      </c>
      <c r="M413" s="69">
        <v>45867</v>
      </c>
      <c r="N413" s="43">
        <f>IF(Gastos[[#This Row],[Fecha_Cheque]]&gt;0,WEEKNUM(Gastos[[#This Row],[Fecha_Cheque]]),MID(Gastos[[#This Row],[Semana]],6,2))</f>
        <v>31</v>
      </c>
      <c r="O413" t="s">
        <v>336</v>
      </c>
      <c r="P413" t="s">
        <v>27</v>
      </c>
    </row>
    <row r="414" spans="1:16" hidden="1" x14ac:dyDescent="0.25">
      <c r="A414" s="3" t="s">
        <v>99</v>
      </c>
      <c r="B414" t="s">
        <v>334</v>
      </c>
      <c r="C414" t="s">
        <v>335</v>
      </c>
      <c r="D414" t="s">
        <v>26</v>
      </c>
      <c r="E414" t="s">
        <v>31</v>
      </c>
      <c r="F414">
        <v>1</v>
      </c>
      <c r="G414" s="3" t="s">
        <v>32</v>
      </c>
      <c r="H414" s="46" t="s">
        <v>15</v>
      </c>
      <c r="I414" s="17">
        <v>440000</v>
      </c>
      <c r="J414" s="17">
        <f>IF(Gastos[[#This Row],[Divisa]]="$", I414*1, IF(Gastos[[#This Row],[Divisa]]="U$D", I414*$N$1, IF(Gastos[[#This Row],[Divisa]]="EUR", I414*$N$2, 0)))</f>
        <v>440000</v>
      </c>
      <c r="K414" s="54">
        <f>Gastos[[#This Row],[Importe AR$]]/$N$1</f>
        <v>282.05128205128204</v>
      </c>
      <c r="M414" s="69">
        <v>45863</v>
      </c>
      <c r="N414" s="43">
        <f>IF(Gastos[[#This Row],[Fecha_Cheque]]&gt;0,WEEKNUM(Gastos[[#This Row],[Fecha_Cheque]]),MID(Gastos[[#This Row],[Semana]],6,2))</f>
        <v>30</v>
      </c>
      <c r="O414" t="s">
        <v>336</v>
      </c>
      <c r="P414" t="s">
        <v>27</v>
      </c>
    </row>
    <row r="415" spans="1:16" hidden="1" x14ac:dyDescent="0.25">
      <c r="A415" s="3" t="s">
        <v>34</v>
      </c>
      <c r="B415" t="s">
        <v>334</v>
      </c>
      <c r="C415" t="s">
        <v>335</v>
      </c>
      <c r="D415" t="s">
        <v>26</v>
      </c>
      <c r="E415" t="s">
        <v>31</v>
      </c>
      <c r="F415">
        <v>1</v>
      </c>
      <c r="G415" s="3" t="s">
        <v>32</v>
      </c>
      <c r="H415" s="46" t="s">
        <v>15</v>
      </c>
      <c r="I415" s="17">
        <v>1600000</v>
      </c>
      <c r="J415" s="17">
        <f>IF(Gastos[[#This Row],[Divisa]]="$", I415*1, IF(Gastos[[#This Row],[Divisa]]="U$D", I415*$N$1, IF(Gastos[[#This Row],[Divisa]]="EUR", I415*$N$2, 0)))</f>
        <v>1600000</v>
      </c>
      <c r="K415" s="54">
        <f>Gastos[[#This Row],[Importe AR$]]/$N$1</f>
        <v>1025.6410256410256</v>
      </c>
      <c r="M415" s="69"/>
      <c r="N415" s="43" t="str">
        <f>IF(Gastos[[#This Row],[Fecha_Cheque]]&gt;0,WEEKNUM(Gastos[[#This Row],[Fecha_Cheque]]),MID(Gastos[[#This Row],[Semana]],6,2))</f>
        <v>32</v>
      </c>
      <c r="O415" t="s">
        <v>337</v>
      </c>
      <c r="P415" t="s">
        <v>27</v>
      </c>
    </row>
    <row r="416" spans="1:16" hidden="1" x14ac:dyDescent="0.25">
      <c r="A416" s="3" t="s">
        <v>34</v>
      </c>
      <c r="B416" t="s">
        <v>334</v>
      </c>
      <c r="C416" t="s">
        <v>335</v>
      </c>
      <c r="D416" t="s">
        <v>26</v>
      </c>
      <c r="E416" t="s">
        <v>31</v>
      </c>
      <c r="F416">
        <v>1</v>
      </c>
      <c r="G416" s="3" t="s">
        <v>32</v>
      </c>
      <c r="H416" s="46" t="s">
        <v>15</v>
      </c>
      <c r="I416" s="17">
        <v>110128.95</v>
      </c>
      <c r="J416" s="17">
        <f>IF(Gastos[[#This Row],[Divisa]]="$", I416*1, IF(Gastos[[#This Row],[Divisa]]="U$D", I416*$N$1, IF(Gastos[[#This Row],[Divisa]]="EUR", I416*$N$2, 0)))</f>
        <v>110128.95</v>
      </c>
      <c r="K416" s="54">
        <f>Gastos[[#This Row],[Importe AR$]]/$N$1</f>
        <v>70.595480769230761</v>
      </c>
      <c r="M416" s="69"/>
      <c r="N416" s="43" t="str">
        <f>IF(Gastos[[#This Row],[Fecha_Cheque]]&gt;0,WEEKNUM(Gastos[[#This Row],[Fecha_Cheque]]),MID(Gastos[[#This Row],[Semana]],6,2))</f>
        <v>32</v>
      </c>
      <c r="O416" t="s">
        <v>337</v>
      </c>
      <c r="P416" t="s">
        <v>27</v>
      </c>
    </row>
    <row r="417" spans="1:16" hidden="1" x14ac:dyDescent="0.25">
      <c r="A417" s="3" t="s">
        <v>117</v>
      </c>
      <c r="B417" t="s">
        <v>334</v>
      </c>
      <c r="C417" t="s">
        <v>338</v>
      </c>
      <c r="D417" t="s">
        <v>26</v>
      </c>
      <c r="E417" t="s">
        <v>31</v>
      </c>
      <c r="F417">
        <v>1</v>
      </c>
      <c r="G417" s="3" t="s">
        <v>32</v>
      </c>
      <c r="H417" s="46" t="s">
        <v>15</v>
      </c>
      <c r="I417" s="17">
        <v>235000</v>
      </c>
      <c r="J417" s="17">
        <f>IF(Gastos[[#This Row],[Divisa]]="$", I417*1, IF(Gastos[[#This Row],[Divisa]]="U$D", I417*$N$1, IF(Gastos[[#This Row],[Divisa]]="EUR", I417*$N$2, 0)))</f>
        <v>235000</v>
      </c>
      <c r="K417" s="54">
        <f>Gastos[[#This Row],[Importe AR$]]/$N$1</f>
        <v>150.64102564102564</v>
      </c>
      <c r="M417" s="69">
        <v>45914</v>
      </c>
      <c r="N417" s="43">
        <f>IF(Gastos[[#This Row],[Fecha_Cheque]]&gt;0,WEEKNUM(Gastos[[#This Row],[Fecha_Cheque]]),MID(Gastos[[#This Row],[Semana]],6,2))</f>
        <v>38</v>
      </c>
      <c r="P417" t="s">
        <v>27</v>
      </c>
    </row>
    <row r="418" spans="1:16" hidden="1" x14ac:dyDescent="0.25">
      <c r="A418" s="3" t="s">
        <v>117</v>
      </c>
      <c r="B418" t="s">
        <v>334</v>
      </c>
      <c r="C418" t="s">
        <v>338</v>
      </c>
      <c r="D418" t="s">
        <v>26</v>
      </c>
      <c r="E418" t="s">
        <v>31</v>
      </c>
      <c r="F418">
        <v>1</v>
      </c>
      <c r="G418" s="3" t="s">
        <v>32</v>
      </c>
      <c r="H418" s="46" t="s">
        <v>15</v>
      </c>
      <c r="I418" s="17">
        <v>280000</v>
      </c>
      <c r="J418" s="17">
        <f>IF(Gastos[[#This Row],[Divisa]]="$", I418*1, IF(Gastos[[#This Row],[Divisa]]="U$D", I418*$N$1, IF(Gastos[[#This Row],[Divisa]]="EUR", I418*$N$2, 0)))</f>
        <v>280000</v>
      </c>
      <c r="K418" s="54">
        <f>Gastos[[#This Row],[Importe AR$]]/$N$1</f>
        <v>179.48717948717947</v>
      </c>
      <c r="M418" s="69">
        <v>45922</v>
      </c>
      <c r="N418" s="43">
        <f>IF(Gastos[[#This Row],[Fecha_Cheque]]&gt;0,WEEKNUM(Gastos[[#This Row],[Fecha_Cheque]]),MID(Gastos[[#This Row],[Semana]],6,2))</f>
        <v>39</v>
      </c>
      <c r="O418" t="s">
        <v>123</v>
      </c>
      <c r="P418" t="s">
        <v>27</v>
      </c>
    </row>
    <row r="419" spans="1:16" hidden="1" x14ac:dyDescent="0.25">
      <c r="A419" s="3" t="s">
        <v>117</v>
      </c>
      <c r="B419" t="s">
        <v>334</v>
      </c>
      <c r="C419" t="s">
        <v>338</v>
      </c>
      <c r="D419" t="s">
        <v>26</v>
      </c>
      <c r="E419" t="s">
        <v>31</v>
      </c>
      <c r="F419">
        <v>1</v>
      </c>
      <c r="G419" s="3" t="s">
        <v>32</v>
      </c>
      <c r="H419" s="46" t="s">
        <v>15</v>
      </c>
      <c r="I419" s="17">
        <v>635000</v>
      </c>
      <c r="J419" s="17">
        <f>IF(Gastos[[#This Row],[Divisa]]="$", I419*1, IF(Gastos[[#This Row],[Divisa]]="U$D", I419*$N$1, IF(Gastos[[#This Row],[Divisa]]="EUR", I419*$N$2, 0)))</f>
        <v>635000</v>
      </c>
      <c r="K419" s="54">
        <f>Gastos[[#This Row],[Importe AR$]]/$N$1</f>
        <v>407.05128205128204</v>
      </c>
      <c r="M419" s="69">
        <v>45910</v>
      </c>
      <c r="N419" s="43">
        <f>IF(Gastos[[#This Row],[Fecha_Cheque]]&gt;0,WEEKNUM(Gastos[[#This Row],[Fecha_Cheque]]),MID(Gastos[[#This Row],[Semana]],6,2))</f>
        <v>37</v>
      </c>
      <c r="P419" t="s">
        <v>27</v>
      </c>
    </row>
    <row r="420" spans="1:16" hidden="1" x14ac:dyDescent="0.25">
      <c r="A420" s="3" t="s">
        <v>89</v>
      </c>
      <c r="B420" t="s">
        <v>334</v>
      </c>
      <c r="C420" t="s">
        <v>339</v>
      </c>
      <c r="D420" t="s">
        <v>26</v>
      </c>
      <c r="E420" t="s">
        <v>31</v>
      </c>
      <c r="F420">
        <v>1</v>
      </c>
      <c r="G420" s="3" t="s">
        <v>5</v>
      </c>
      <c r="H420" s="46" t="s">
        <v>15</v>
      </c>
      <c r="I420" s="17">
        <v>1600000</v>
      </c>
      <c r="J420" s="17">
        <f>IF(Gastos[[#This Row],[Divisa]]="$", I420*1, IF(Gastos[[#This Row],[Divisa]]="U$D", I420*$N$1, IF(Gastos[[#This Row],[Divisa]]="EUR", I420*$N$2, 0)))</f>
        <v>1600000</v>
      </c>
      <c r="K420" s="54">
        <f>Gastos[[#This Row],[Importe AR$]]/$N$1</f>
        <v>1025.6410256410256</v>
      </c>
      <c r="M420" s="69"/>
      <c r="N420" s="43" t="str">
        <f>IF(Gastos[[#This Row],[Fecha_Cheque]]&gt;0,WEEKNUM(Gastos[[#This Row],[Fecha_Cheque]]),MID(Gastos[[#This Row],[Semana]],6,2))</f>
        <v>39</v>
      </c>
      <c r="O420" t="s">
        <v>123</v>
      </c>
      <c r="P420" t="s">
        <v>27</v>
      </c>
    </row>
    <row r="421" spans="1:16" hidden="1" x14ac:dyDescent="0.25">
      <c r="A421" s="3" t="s">
        <v>139</v>
      </c>
      <c r="B421" t="s">
        <v>334</v>
      </c>
      <c r="D421" t="s">
        <v>26</v>
      </c>
      <c r="E421" t="s">
        <v>31</v>
      </c>
      <c r="F421">
        <v>1</v>
      </c>
      <c r="G421" s="3" t="s">
        <v>32</v>
      </c>
      <c r="H421" s="46" t="s">
        <v>15</v>
      </c>
      <c r="I421" s="17">
        <v>946036</v>
      </c>
      <c r="J421" s="17">
        <f>IF(Gastos[[#This Row],[Divisa]]="$", I421*1, IF(Gastos[[#This Row],[Divisa]]="U$D", I421*$N$1, IF(Gastos[[#This Row],[Divisa]]="EUR", I421*$N$2, 0)))</f>
        <v>946036</v>
      </c>
      <c r="K421" s="54">
        <f>Gastos[[#This Row],[Importe AR$]]/$N$1</f>
        <v>606.43333333333328</v>
      </c>
      <c r="M421" s="69">
        <v>46117</v>
      </c>
      <c r="N421" s="43">
        <f>IF(Gastos[[#This Row],[Fecha_Cheque]]&gt;0,WEEKNUM(Gastos[[#This Row],[Fecha_Cheque]]),MID(Gastos[[#This Row],[Semana]],6,2))</f>
        <v>15</v>
      </c>
      <c r="O421" t="s">
        <v>341</v>
      </c>
      <c r="P421" t="s">
        <v>27</v>
      </c>
    </row>
    <row r="422" spans="1:16" hidden="1" x14ac:dyDescent="0.25">
      <c r="A422" s="3" t="s">
        <v>139</v>
      </c>
      <c r="B422" t="s">
        <v>334</v>
      </c>
      <c r="D422" t="s">
        <v>26</v>
      </c>
      <c r="E422" t="s">
        <v>31</v>
      </c>
      <c r="F422">
        <v>1</v>
      </c>
      <c r="G422" s="3" t="s">
        <v>32</v>
      </c>
      <c r="H422" s="46" t="s">
        <v>15</v>
      </c>
      <c r="I422" s="17">
        <v>1366328.37</v>
      </c>
      <c r="J422" s="17">
        <f>IF(Gastos[[#This Row],[Divisa]]="$", I422*1, IF(Gastos[[#This Row],[Divisa]]="U$D", I422*$N$1, IF(Gastos[[#This Row],[Divisa]]="EUR", I422*$N$2, 0)))</f>
        <v>1366328.37</v>
      </c>
      <c r="K422" s="54">
        <f>Gastos[[#This Row],[Importe AR$]]/$N$1</f>
        <v>875.85151923076933</v>
      </c>
      <c r="M422" s="69">
        <v>46091</v>
      </c>
      <c r="N422" s="43">
        <f>IF(Gastos[[#This Row],[Fecha_Cheque]]&gt;0,WEEKNUM(Gastos[[#This Row],[Fecha_Cheque]]),MID(Gastos[[#This Row],[Semana]],6,2))</f>
        <v>11</v>
      </c>
      <c r="O422" t="s">
        <v>341</v>
      </c>
      <c r="P422" t="s">
        <v>27</v>
      </c>
    </row>
    <row r="423" spans="1:16" hidden="1" x14ac:dyDescent="0.25">
      <c r="A423" s="3" t="s">
        <v>2751</v>
      </c>
      <c r="B423" t="s">
        <v>334</v>
      </c>
      <c r="C423" t="s">
        <v>2836</v>
      </c>
      <c r="D423" t="s">
        <v>26</v>
      </c>
      <c r="E423" t="s">
        <v>62</v>
      </c>
      <c r="F423">
        <v>1</v>
      </c>
      <c r="G423" s="3" t="s">
        <v>32</v>
      </c>
      <c r="H423" s="46" t="s">
        <v>15</v>
      </c>
      <c r="I423" s="17">
        <v>300000</v>
      </c>
      <c r="J423" s="17">
        <f>IF(Gastos[[#This Row],[Divisa]]="$", I423*1, IF(Gastos[[#This Row],[Divisa]]="U$D", I423*$N$1, IF(Gastos[[#This Row],[Divisa]]="EUR", I423*$N$2, 0)))</f>
        <v>300000</v>
      </c>
      <c r="K423" s="54">
        <f>Gastos[[#This Row],[Importe AR$]]/$N$1</f>
        <v>192.30769230769232</v>
      </c>
      <c r="M423" s="69">
        <v>46157</v>
      </c>
      <c r="N423" s="43">
        <f>IF(Gastos[[#This Row],[Fecha_Cheque]]&gt;0,WEEKNUM(Gastos[[#This Row],[Fecha_Cheque]]),MID(Gastos[[#This Row],[Semana]],6,2))</f>
        <v>20</v>
      </c>
      <c r="O423" t="s">
        <v>2837</v>
      </c>
      <c r="P423" t="s">
        <v>27</v>
      </c>
    </row>
    <row r="424" spans="1:16" hidden="1" x14ac:dyDescent="0.25">
      <c r="A424" s="3" t="s">
        <v>2751</v>
      </c>
      <c r="B424" t="s">
        <v>334</v>
      </c>
      <c r="C424" t="s">
        <v>2836</v>
      </c>
      <c r="D424" t="s">
        <v>26</v>
      </c>
      <c r="E424" t="s">
        <v>62</v>
      </c>
      <c r="F424">
        <v>1</v>
      </c>
      <c r="G424" s="3" t="s">
        <v>32</v>
      </c>
      <c r="H424" s="46" t="s">
        <v>15</v>
      </c>
      <c r="I424" s="17">
        <v>478.68</v>
      </c>
      <c r="J424" s="17">
        <f>IF(Gastos[[#This Row],[Divisa]]="$", I424*1, IF(Gastos[[#This Row],[Divisa]]="U$D", I424*$N$1, IF(Gastos[[#This Row],[Divisa]]="EUR", I424*$N$2, 0)))</f>
        <v>478.68</v>
      </c>
      <c r="K424" s="54">
        <f>Gastos[[#This Row],[Importe AR$]]/$N$1</f>
        <v>0.30684615384615382</v>
      </c>
      <c r="L424" t="s">
        <v>340</v>
      </c>
      <c r="M424" s="69"/>
      <c r="N424" s="43" t="str">
        <f>IF(Gastos[[#This Row],[Fecha_Cheque]]&gt;0,WEEKNUM(Gastos[[#This Row],[Fecha_Cheque]]),MID(Gastos[[#This Row],[Semana]],6,2))</f>
        <v>18</v>
      </c>
      <c r="O424" t="s">
        <v>2837</v>
      </c>
      <c r="P424" t="s">
        <v>27</v>
      </c>
    </row>
    <row r="425" spans="1:16" hidden="1" x14ac:dyDescent="0.25">
      <c r="A425" s="3" t="s">
        <v>2763</v>
      </c>
      <c r="B425" t="s">
        <v>334</v>
      </c>
      <c r="C425" t="s">
        <v>2836</v>
      </c>
      <c r="D425" t="s">
        <v>26</v>
      </c>
      <c r="E425" t="s">
        <v>62</v>
      </c>
      <c r="F425">
        <v>1</v>
      </c>
      <c r="G425" s="3" t="s">
        <v>32</v>
      </c>
      <c r="H425" s="46" t="s">
        <v>15</v>
      </c>
      <c r="I425" s="17">
        <v>200000</v>
      </c>
      <c r="J425" s="17">
        <f>IF(Gastos[[#This Row],[Divisa]]="$", I425*1, IF(Gastos[[#This Row],[Divisa]]="U$D", I425*$N$1, IF(Gastos[[#This Row],[Divisa]]="EUR", I425*$N$2, 0)))</f>
        <v>200000</v>
      </c>
      <c r="K425" s="54">
        <f>Gastos[[#This Row],[Importe AR$]]/$N$1</f>
        <v>128.2051282051282</v>
      </c>
      <c r="M425" s="69"/>
      <c r="N425" s="43" t="str">
        <f>IF(Gastos[[#This Row],[Fecha_Cheque]]&gt;0,WEEKNUM(Gastos[[#This Row],[Fecha_Cheque]]),MID(Gastos[[#This Row],[Semana]],6,2))</f>
        <v>23</v>
      </c>
      <c r="O425" t="s">
        <v>3088</v>
      </c>
      <c r="P425" t="s">
        <v>27</v>
      </c>
    </row>
    <row r="426" spans="1:16" hidden="1" x14ac:dyDescent="0.25">
      <c r="A426" s="3" t="s">
        <v>3693</v>
      </c>
      <c r="B426" t="s">
        <v>334</v>
      </c>
      <c r="C426" t="s">
        <v>2836</v>
      </c>
      <c r="D426" t="s">
        <v>26</v>
      </c>
      <c r="E426" t="s">
        <v>42</v>
      </c>
      <c r="F426">
        <v>1</v>
      </c>
      <c r="G426" s="3" t="s">
        <v>4</v>
      </c>
      <c r="H426" s="46" t="s">
        <v>15</v>
      </c>
      <c r="I426" s="17">
        <v>426745.29</v>
      </c>
      <c r="J426" s="17">
        <f>IF(Gastos[[#This Row],[Divisa]]="$", I426*1, IF(Gastos[[#This Row],[Divisa]]="U$D", I426*$N$1, IF(Gastos[[#This Row],[Divisa]]="EUR", I426*$N$2, 0)))</f>
        <v>426745.29</v>
      </c>
      <c r="K426" s="54">
        <f>Gastos[[#This Row],[Importe AR$]]/$N$1</f>
        <v>273.55467307692305</v>
      </c>
      <c r="M426" s="69"/>
      <c r="N426" s="43" t="str">
        <f>IF(Gastos[[#This Row],[Fecha_Cheque]]&gt;0,WEEKNUM(Gastos[[#This Row],[Fecha_Cheque]]),MID(Gastos[[#This Row],[Semana]],6,2))</f>
        <v>28</v>
      </c>
      <c r="O426" t="s">
        <v>3750</v>
      </c>
      <c r="P426" t="s">
        <v>27</v>
      </c>
    </row>
    <row r="427" spans="1:16" hidden="1" x14ac:dyDescent="0.25">
      <c r="A427" s="3" t="s">
        <v>3693</v>
      </c>
      <c r="B427" t="s">
        <v>334</v>
      </c>
      <c r="C427" t="s">
        <v>2836</v>
      </c>
      <c r="D427" t="s">
        <v>26</v>
      </c>
      <c r="E427" t="s">
        <v>42</v>
      </c>
      <c r="F427">
        <v>1</v>
      </c>
      <c r="G427" s="3" t="s">
        <v>4</v>
      </c>
      <c r="H427" s="46" t="s">
        <v>15</v>
      </c>
      <c r="I427" s="17">
        <v>2616.9</v>
      </c>
      <c r="J427" s="17">
        <f>IF(Gastos[[#This Row],[Divisa]]="$", I427*1, IF(Gastos[[#This Row],[Divisa]]="U$D", I427*$N$1, IF(Gastos[[#This Row],[Divisa]]="EUR", I427*$N$2, 0)))</f>
        <v>2616.9</v>
      </c>
      <c r="K427" s="54">
        <f>Gastos[[#This Row],[Importe AR$]]/$N$1</f>
        <v>1.6775</v>
      </c>
      <c r="L427" t="s">
        <v>340</v>
      </c>
      <c r="M427" s="69"/>
      <c r="N427" s="43" t="str">
        <f>IF(Gastos[[#This Row],[Fecha_Cheque]]&gt;0,WEEKNUM(Gastos[[#This Row],[Fecha_Cheque]]),MID(Gastos[[#This Row],[Semana]],6,2))</f>
        <v>28</v>
      </c>
      <c r="O427" t="s">
        <v>3750</v>
      </c>
      <c r="P427" t="s">
        <v>27</v>
      </c>
    </row>
    <row r="428" spans="1:16" hidden="1" x14ac:dyDescent="0.25">
      <c r="A428" s="3" t="s">
        <v>3693</v>
      </c>
      <c r="B428" t="s">
        <v>334</v>
      </c>
      <c r="C428" t="s">
        <v>2836</v>
      </c>
      <c r="D428" t="s">
        <v>26</v>
      </c>
      <c r="E428" t="s">
        <v>42</v>
      </c>
      <c r="F428">
        <v>2</v>
      </c>
      <c r="G428" s="3" t="s">
        <v>4</v>
      </c>
      <c r="H428" s="46" t="s">
        <v>15</v>
      </c>
      <c r="I428" s="17">
        <v>375000</v>
      </c>
      <c r="J428" s="17">
        <f>IF(Gastos[[#This Row],[Divisa]]="$", I428*1, IF(Gastos[[#This Row],[Divisa]]="U$D", I428*$N$1, IF(Gastos[[#This Row],[Divisa]]="EUR", I428*$N$2, 0)))</f>
        <v>375000</v>
      </c>
      <c r="K428" s="54">
        <f>Gastos[[#This Row],[Importe AR$]]/$N$1</f>
        <v>240.38461538461539</v>
      </c>
      <c r="M428" s="69"/>
      <c r="N428" s="43" t="str">
        <f>IF(Gastos[[#This Row],[Fecha_Cheque]]&gt;0,WEEKNUM(Gastos[[#This Row],[Fecha_Cheque]]),MID(Gastos[[#This Row],[Semana]],6,2))</f>
        <v>28</v>
      </c>
      <c r="O428" t="s">
        <v>3749</v>
      </c>
      <c r="P428" t="s">
        <v>27</v>
      </c>
    </row>
    <row r="429" spans="1:16" hidden="1" x14ac:dyDescent="0.25">
      <c r="A429" s="3" t="s">
        <v>4005</v>
      </c>
      <c r="B429" t="s">
        <v>334</v>
      </c>
      <c r="C429" t="s">
        <v>4037</v>
      </c>
      <c r="D429" t="s">
        <v>26</v>
      </c>
      <c r="E429" t="s">
        <v>42</v>
      </c>
      <c r="F429">
        <v>2</v>
      </c>
      <c r="G429" s="3" t="s">
        <v>4</v>
      </c>
      <c r="H429" s="44" t="s">
        <v>15</v>
      </c>
      <c r="I429" s="17">
        <v>220000</v>
      </c>
      <c r="J429" s="17">
        <f>IF(Gastos[[#This Row],[Divisa]]="$", I429*1, IF(Gastos[[#This Row],[Divisa]]="U$D", I429*$N$1, IF(Gastos[[#This Row],[Divisa]]="EUR", I429*$N$2, 0)))</f>
        <v>220000</v>
      </c>
      <c r="K429" s="54">
        <f>Gastos[[#This Row],[Importe AR$]]/$N$1</f>
        <v>141.02564102564102</v>
      </c>
      <c r="M429" s="69"/>
      <c r="N429" s="43" t="str">
        <f>IF(Gastos[[#This Row],[Fecha_Cheque]]&gt;0,WEEKNUM(Gastos[[#This Row],[Fecha_Cheque]]),MID(Gastos[[#This Row],[Semana]],6,2))</f>
        <v>33</v>
      </c>
      <c r="O429" t="s">
        <v>4070</v>
      </c>
      <c r="P429" t="s">
        <v>27</v>
      </c>
    </row>
    <row r="430" spans="1:16" hidden="1" x14ac:dyDescent="0.25">
      <c r="A430" s="3" t="s">
        <v>117</v>
      </c>
      <c r="B430" t="s">
        <v>342</v>
      </c>
      <c r="C430" t="s">
        <v>343</v>
      </c>
      <c r="D430" t="s">
        <v>26</v>
      </c>
      <c r="E430" t="s">
        <v>42</v>
      </c>
      <c r="F430">
        <v>1</v>
      </c>
      <c r="G430" s="3" t="s">
        <v>4</v>
      </c>
      <c r="H430" s="46" t="s">
        <v>15</v>
      </c>
      <c r="I430" s="17">
        <v>120000</v>
      </c>
      <c r="J430" s="17">
        <f>IF(Gastos[[#This Row],[Divisa]]="$", I430*1, IF(Gastos[[#This Row],[Divisa]]="U$D", I430*$N$1, IF(Gastos[[#This Row],[Divisa]]="EUR", I430*$N$2, 0)))</f>
        <v>120000</v>
      </c>
      <c r="K430" s="54">
        <f>Gastos[[#This Row],[Importe AR$]]/$N$1</f>
        <v>76.92307692307692</v>
      </c>
      <c r="M430" s="69"/>
      <c r="N430" s="43" t="str">
        <f>IF(Gastos[[#This Row],[Fecha_Cheque]]&gt;0,WEEKNUM(Gastos[[#This Row],[Fecha_Cheque]]),MID(Gastos[[#This Row],[Semana]],6,2))</f>
        <v>35</v>
      </c>
      <c r="P430" t="s">
        <v>27</v>
      </c>
    </row>
    <row r="431" spans="1:16" hidden="1" x14ac:dyDescent="0.25">
      <c r="A431" s="3" t="s">
        <v>3617</v>
      </c>
      <c r="B431" t="s">
        <v>3634</v>
      </c>
      <c r="C431" t="s">
        <v>3633</v>
      </c>
      <c r="D431" t="s">
        <v>26</v>
      </c>
      <c r="E431" t="s">
        <v>31</v>
      </c>
      <c r="F431">
        <v>1</v>
      </c>
      <c r="G431" s="3" t="s">
        <v>5</v>
      </c>
      <c r="H431" s="44" t="s">
        <v>15</v>
      </c>
      <c r="I431" s="17">
        <v>223000</v>
      </c>
      <c r="J431" s="17">
        <f>IF(Gastos[[#This Row],[Divisa]]="$", I431*1, IF(Gastos[[#This Row],[Divisa]]="U$D", I431*$N$1, IF(Gastos[[#This Row],[Divisa]]="EUR", I431*$N$2, 0)))</f>
        <v>223000</v>
      </c>
      <c r="K431" s="54">
        <f>Gastos[[#This Row],[Importe AR$]]/$N$1</f>
        <v>142.94871794871796</v>
      </c>
      <c r="M431" s="69"/>
      <c r="N431" s="43" t="str">
        <f>IF(Gastos[[#This Row],[Fecha_Cheque]]&gt;0,WEEKNUM(Gastos[[#This Row],[Fecha_Cheque]]),MID(Gastos[[#This Row],[Semana]],6,2))</f>
        <v>27</v>
      </c>
      <c r="O431" t="s">
        <v>3635</v>
      </c>
      <c r="P431" t="s">
        <v>27</v>
      </c>
    </row>
    <row r="432" spans="1:16" hidden="1" x14ac:dyDescent="0.25">
      <c r="A432" s="3" t="s">
        <v>2711</v>
      </c>
      <c r="B432" t="s">
        <v>2757</v>
      </c>
      <c r="C432" t="s">
        <v>2758</v>
      </c>
      <c r="D432" t="s">
        <v>26</v>
      </c>
      <c r="E432" t="s">
        <v>31</v>
      </c>
      <c r="F432">
        <v>1</v>
      </c>
      <c r="G432" s="3" t="s">
        <v>5</v>
      </c>
      <c r="H432" s="44" t="s">
        <v>15</v>
      </c>
      <c r="I432" s="17">
        <v>90750</v>
      </c>
      <c r="J432" s="17">
        <f>IF(Gastos[[#This Row],[Divisa]]="$", I432*1, IF(Gastos[[#This Row],[Divisa]]="U$D", I432*$N$1, IF(Gastos[[#This Row],[Divisa]]="EUR", I432*$N$2, 0)))</f>
        <v>90750</v>
      </c>
      <c r="K432" s="54">
        <f>Gastos[[#This Row],[Importe AR$]]/$N$1</f>
        <v>58.17307692307692</v>
      </c>
      <c r="M432" s="69"/>
      <c r="N432" s="43" t="str">
        <f>IF(Gastos[[#This Row],[Fecha_Cheque]]&gt;0,WEEKNUM(Gastos[[#This Row],[Fecha_Cheque]]),MID(Gastos[[#This Row],[Semana]],6,2))</f>
        <v>15</v>
      </c>
      <c r="O432" t="s">
        <v>2759</v>
      </c>
      <c r="P432" t="s">
        <v>27</v>
      </c>
    </row>
    <row r="433" spans="1:16" hidden="1" x14ac:dyDescent="0.25">
      <c r="A433" s="3" t="s">
        <v>2763</v>
      </c>
      <c r="B433" t="s">
        <v>2757</v>
      </c>
      <c r="C433" t="s">
        <v>3089</v>
      </c>
      <c r="D433" t="s">
        <v>26</v>
      </c>
      <c r="E433" t="s">
        <v>31</v>
      </c>
      <c r="F433">
        <v>1</v>
      </c>
      <c r="G433" s="3" t="s">
        <v>5</v>
      </c>
      <c r="H433" s="44" t="s">
        <v>15</v>
      </c>
      <c r="I433" s="17">
        <v>344063.4</v>
      </c>
      <c r="J433" s="17">
        <f>IF(Gastos[[#This Row],[Divisa]]="$", I433*1, IF(Gastos[[#This Row],[Divisa]]="U$D", I433*$N$1, IF(Gastos[[#This Row],[Divisa]]="EUR", I433*$N$2, 0)))</f>
        <v>344063.4</v>
      </c>
      <c r="K433" s="54">
        <f>Gastos[[#This Row],[Importe AR$]]/$N$1</f>
        <v>220.55346153846156</v>
      </c>
      <c r="M433" s="69"/>
      <c r="N433" s="43" t="str">
        <f>IF(Gastos[[#This Row],[Fecha_Cheque]]&gt;0,WEEKNUM(Gastos[[#This Row],[Fecha_Cheque]]),MID(Gastos[[#This Row],[Semana]],6,2))</f>
        <v>23</v>
      </c>
      <c r="O433" t="s">
        <v>3090</v>
      </c>
      <c r="P433" t="s">
        <v>27</v>
      </c>
    </row>
    <row r="434" spans="1:16" hidden="1" x14ac:dyDescent="0.25">
      <c r="A434" s="3" t="s">
        <v>2763</v>
      </c>
      <c r="B434" t="s">
        <v>2757</v>
      </c>
      <c r="C434" t="s">
        <v>3089</v>
      </c>
      <c r="D434" t="s">
        <v>26</v>
      </c>
      <c r="E434" t="s">
        <v>31</v>
      </c>
      <c r="F434">
        <v>1</v>
      </c>
      <c r="G434" s="3" t="s">
        <v>5</v>
      </c>
      <c r="H434" s="44" t="s">
        <v>15</v>
      </c>
      <c r="I434" s="17">
        <v>4416.6000000000004</v>
      </c>
      <c r="J434" s="17">
        <f>IF(Gastos[[#This Row],[Divisa]]="$", I434*1, IF(Gastos[[#This Row],[Divisa]]="U$D", I434*$N$1, IF(Gastos[[#This Row],[Divisa]]="EUR", I434*$N$2, 0)))</f>
        <v>4416.6000000000004</v>
      </c>
      <c r="K434" s="54">
        <f>Gastos[[#This Row],[Importe AR$]]/$N$1</f>
        <v>2.8311538461538466</v>
      </c>
      <c r="L434" t="s">
        <v>340</v>
      </c>
      <c r="M434" s="69"/>
      <c r="N434" s="43" t="str">
        <f>IF(Gastos[[#This Row],[Fecha_Cheque]]&gt;0,WEEKNUM(Gastos[[#This Row],[Fecha_Cheque]]),MID(Gastos[[#This Row],[Semana]],6,2))</f>
        <v>23</v>
      </c>
      <c r="O434" t="s">
        <v>3090</v>
      </c>
      <c r="P434" t="s">
        <v>27</v>
      </c>
    </row>
    <row r="435" spans="1:16" hidden="1" x14ac:dyDescent="0.25">
      <c r="A435" s="3" t="s">
        <v>75</v>
      </c>
      <c r="B435" t="s">
        <v>344</v>
      </c>
      <c r="C435" t="s">
        <v>345</v>
      </c>
      <c r="D435" t="s">
        <v>26</v>
      </c>
      <c r="E435" t="s">
        <v>31</v>
      </c>
      <c r="F435">
        <v>1</v>
      </c>
      <c r="G435" s="3" t="s">
        <v>5</v>
      </c>
      <c r="H435" s="46" t="s">
        <v>15</v>
      </c>
      <c r="I435" s="17">
        <v>159200</v>
      </c>
      <c r="J435" s="17">
        <f>IF(Gastos[[#This Row],[Divisa]]="$", I435*1, IF(Gastos[[#This Row],[Divisa]]="U$D", I435*$N$1, IF(Gastos[[#This Row],[Divisa]]="EUR", I435*$N$2, 0)))</f>
        <v>159200</v>
      </c>
      <c r="K435" s="54">
        <f>Gastos[[#This Row],[Importe AR$]]/$N$1</f>
        <v>102.05128205128206</v>
      </c>
      <c r="M435" s="69"/>
      <c r="N435" s="43" t="str">
        <f>IF(Gastos[[#This Row],[Fecha_Cheque]]&gt;0,WEEKNUM(Gastos[[#This Row],[Fecha_Cheque]]),MID(Gastos[[#This Row],[Semana]],6,2))</f>
        <v>07</v>
      </c>
      <c r="O435" t="s">
        <v>346</v>
      </c>
      <c r="P435" t="s">
        <v>27</v>
      </c>
    </row>
    <row r="436" spans="1:16" hidden="1" x14ac:dyDescent="0.25">
      <c r="A436" s="3" t="s">
        <v>180</v>
      </c>
      <c r="B436" t="s">
        <v>344</v>
      </c>
      <c r="C436" t="s">
        <v>489</v>
      </c>
      <c r="D436" t="s">
        <v>26</v>
      </c>
      <c r="E436" t="s">
        <v>31</v>
      </c>
      <c r="F436">
        <v>1</v>
      </c>
      <c r="G436" s="3" t="s">
        <v>5</v>
      </c>
      <c r="H436" s="46" t="s">
        <v>15</v>
      </c>
      <c r="I436" s="17">
        <v>349400</v>
      </c>
      <c r="J436" s="17">
        <f>IF(Gastos[[#This Row],[Divisa]]="$", I436*1, IF(Gastos[[#This Row],[Divisa]]="U$D", I436*$N$1, IF(Gastos[[#This Row],[Divisa]]="EUR", I436*$N$2, 0)))</f>
        <v>349400</v>
      </c>
      <c r="K436" s="54">
        <f>Gastos[[#This Row],[Importe AR$]]/$N$1</f>
        <v>223.97435897435898</v>
      </c>
      <c r="M436" s="69"/>
      <c r="N436" s="43" t="str">
        <f>IF(Gastos[[#This Row],[Fecha_Cheque]]&gt;0,WEEKNUM(Gastos[[#This Row],[Fecha_Cheque]]),MID(Gastos[[#This Row],[Semana]],6,2))</f>
        <v>09</v>
      </c>
      <c r="O436" t="s">
        <v>490</v>
      </c>
      <c r="P436" t="s">
        <v>27</v>
      </c>
    </row>
    <row r="437" spans="1:16" hidden="1" x14ac:dyDescent="0.25">
      <c r="A437" s="3" t="s">
        <v>397</v>
      </c>
      <c r="B437" t="s">
        <v>344</v>
      </c>
      <c r="C437" t="s">
        <v>919</v>
      </c>
      <c r="D437" t="s">
        <v>26</v>
      </c>
      <c r="E437" t="s">
        <v>31</v>
      </c>
      <c r="F437">
        <v>1</v>
      </c>
      <c r="G437" s="3" t="s">
        <v>5</v>
      </c>
      <c r="H437" s="46" t="s">
        <v>15</v>
      </c>
      <c r="I437" s="17">
        <v>148500</v>
      </c>
      <c r="J437" s="17">
        <f>IF(Gastos[[#This Row],[Divisa]]="$", I437*1, IF(Gastos[[#This Row],[Divisa]]="U$D", I437*$N$1, IF(Gastos[[#This Row],[Divisa]]="EUR", I437*$N$2, 0)))</f>
        <v>148500</v>
      </c>
      <c r="K437" s="54">
        <f>Gastos[[#This Row],[Importe AR$]]/$N$1</f>
        <v>95.192307692307693</v>
      </c>
      <c r="M437" s="69"/>
      <c r="N437" s="43" t="str">
        <f>IF(Gastos[[#This Row],[Fecha_Cheque]]&gt;0,WEEKNUM(Gastos[[#This Row],[Fecha_Cheque]]),MID(Gastos[[#This Row],[Semana]],6,2))</f>
        <v>11</v>
      </c>
      <c r="O437" t="s">
        <v>920</v>
      </c>
      <c r="P437" t="s">
        <v>27</v>
      </c>
    </row>
    <row r="438" spans="1:16" hidden="1" x14ac:dyDescent="0.25">
      <c r="A438" s="3" t="s">
        <v>2711</v>
      </c>
      <c r="B438" t="s">
        <v>344</v>
      </c>
      <c r="C438" t="s">
        <v>2760</v>
      </c>
      <c r="D438" t="s">
        <v>26</v>
      </c>
      <c r="E438" t="s">
        <v>31</v>
      </c>
      <c r="F438">
        <v>1</v>
      </c>
      <c r="G438" s="3" t="s">
        <v>5</v>
      </c>
      <c r="H438" s="44" t="s">
        <v>15</v>
      </c>
      <c r="I438" s="17">
        <v>149100</v>
      </c>
      <c r="J438" s="17">
        <f>IF(Gastos[[#This Row],[Divisa]]="$", I438*1, IF(Gastos[[#This Row],[Divisa]]="U$D", I438*$N$1, IF(Gastos[[#This Row],[Divisa]]="EUR", I438*$N$2, 0)))</f>
        <v>149100</v>
      </c>
      <c r="K438" s="54">
        <f>Gastos[[#This Row],[Importe AR$]]/$N$1</f>
        <v>95.57692307692308</v>
      </c>
      <c r="M438" s="69"/>
      <c r="N438" s="43" t="str">
        <f>IF(Gastos[[#This Row],[Fecha_Cheque]]&gt;0,WEEKNUM(Gastos[[#This Row],[Fecha_Cheque]]),MID(Gastos[[#This Row],[Semana]],6,2))</f>
        <v>15</v>
      </c>
      <c r="O438" t="s">
        <v>2761</v>
      </c>
      <c r="P438" t="s">
        <v>27</v>
      </c>
    </row>
    <row r="439" spans="1:16" hidden="1" x14ac:dyDescent="0.25">
      <c r="A439" s="3" t="s">
        <v>2804</v>
      </c>
      <c r="B439" t="s">
        <v>344</v>
      </c>
      <c r="C439" t="s">
        <v>2852</v>
      </c>
      <c r="D439" t="s">
        <v>26</v>
      </c>
      <c r="E439" t="s">
        <v>31</v>
      </c>
      <c r="F439">
        <v>1</v>
      </c>
      <c r="G439" s="3" t="s">
        <v>32</v>
      </c>
      <c r="H439" s="44" t="s">
        <v>15</v>
      </c>
      <c r="I439" s="17">
        <v>597562.23</v>
      </c>
      <c r="J439" s="17">
        <f>IF(Gastos[[#This Row],[Divisa]]="$", I439*1, IF(Gastos[[#This Row],[Divisa]]="U$D", I439*$N$1, IF(Gastos[[#This Row],[Divisa]]="EUR", I439*$N$2, 0)))</f>
        <v>597562.23</v>
      </c>
      <c r="K439" s="54">
        <f>Gastos[[#This Row],[Importe AR$]]/$N$1</f>
        <v>383.05271153846155</v>
      </c>
      <c r="M439" s="69"/>
      <c r="N439" s="43" t="str">
        <f>IF(Gastos[[#This Row],[Fecha_Cheque]]&gt;0,WEEKNUM(Gastos[[#This Row],[Fecha_Cheque]]),MID(Gastos[[#This Row],[Semana]],6,2))</f>
        <v>19</v>
      </c>
      <c r="O439" t="s">
        <v>2853</v>
      </c>
      <c r="P439" t="s">
        <v>27</v>
      </c>
    </row>
    <row r="440" spans="1:16" hidden="1" x14ac:dyDescent="0.25">
      <c r="A440" s="3" t="s">
        <v>2804</v>
      </c>
      <c r="B440" t="s">
        <v>344</v>
      </c>
      <c r="C440" t="s">
        <v>2852</v>
      </c>
      <c r="D440" t="s">
        <v>26</v>
      </c>
      <c r="E440" t="s">
        <v>31</v>
      </c>
      <c r="F440">
        <v>1</v>
      </c>
      <c r="G440" s="3" t="s">
        <v>32</v>
      </c>
      <c r="H440" s="44" t="s">
        <v>15</v>
      </c>
      <c r="I440" s="17">
        <v>5487.77</v>
      </c>
      <c r="J440" s="17">
        <f>IF(Gastos[[#This Row],[Divisa]]="$", I440*1, IF(Gastos[[#This Row],[Divisa]]="U$D", I440*$N$1, IF(Gastos[[#This Row],[Divisa]]="EUR", I440*$N$2, 0)))</f>
        <v>5487.77</v>
      </c>
      <c r="K440" s="54">
        <f>Gastos[[#This Row],[Importe AR$]]/$N$1</f>
        <v>3.5178012820512823</v>
      </c>
      <c r="L440" t="s">
        <v>340</v>
      </c>
      <c r="M440" s="69"/>
      <c r="N440" s="43" t="str">
        <f>IF(Gastos[[#This Row],[Fecha_Cheque]]&gt;0,WEEKNUM(Gastos[[#This Row],[Fecha_Cheque]]),MID(Gastos[[#This Row],[Semana]],6,2))</f>
        <v>19</v>
      </c>
      <c r="O440" t="s">
        <v>2853</v>
      </c>
      <c r="P440" t="s">
        <v>27</v>
      </c>
    </row>
    <row r="441" spans="1:16" hidden="1" x14ac:dyDescent="0.25">
      <c r="A441" s="3" t="s">
        <v>2726</v>
      </c>
      <c r="B441" t="s">
        <v>344</v>
      </c>
      <c r="C441" t="s">
        <v>3126</v>
      </c>
      <c r="D441" t="s">
        <v>26</v>
      </c>
      <c r="E441" t="s">
        <v>42</v>
      </c>
      <c r="F441">
        <v>1</v>
      </c>
      <c r="G441" s="3" t="s">
        <v>32</v>
      </c>
      <c r="H441" s="44" t="s">
        <v>15</v>
      </c>
      <c r="I441" s="17">
        <v>458548.59</v>
      </c>
      <c r="J441" s="17">
        <f>IF(Gastos[[#This Row],[Divisa]]="$", I441*1, IF(Gastos[[#This Row],[Divisa]]="U$D", I441*$N$1, IF(Gastos[[#This Row],[Divisa]]="EUR", I441*$N$2, 0)))</f>
        <v>458548.59</v>
      </c>
      <c r="K441" s="54">
        <f>Gastos[[#This Row],[Importe AR$]]/$N$1</f>
        <v>293.94140384615389</v>
      </c>
      <c r="M441" s="69">
        <v>46206</v>
      </c>
      <c r="N441" s="43">
        <f>IF(Gastos[[#This Row],[Fecha_Cheque]]&gt;0,WEEKNUM(Gastos[[#This Row],[Fecha_Cheque]]),MID(Gastos[[#This Row],[Semana]],6,2))</f>
        <v>27</v>
      </c>
      <c r="O441" t="s">
        <v>3127</v>
      </c>
      <c r="P441" t="s">
        <v>27</v>
      </c>
    </row>
    <row r="442" spans="1:16" hidden="1" x14ac:dyDescent="0.25">
      <c r="A442" s="3" t="s">
        <v>2726</v>
      </c>
      <c r="B442" t="s">
        <v>344</v>
      </c>
      <c r="C442" t="s">
        <v>3126</v>
      </c>
      <c r="D442" t="s">
        <v>26</v>
      </c>
      <c r="E442" t="s">
        <v>42</v>
      </c>
      <c r="F442">
        <v>1</v>
      </c>
      <c r="G442" s="3" t="s">
        <v>32</v>
      </c>
      <c r="H442" s="44" t="s">
        <v>15</v>
      </c>
      <c r="I442" s="17">
        <v>3151.41</v>
      </c>
      <c r="J442" s="17">
        <f>IF(Gastos[[#This Row],[Divisa]]="$", I442*1, IF(Gastos[[#This Row],[Divisa]]="U$D", I442*$N$1, IF(Gastos[[#This Row],[Divisa]]="EUR", I442*$N$2, 0)))</f>
        <v>3151.41</v>
      </c>
      <c r="K442" s="54">
        <f>Gastos[[#This Row],[Importe AR$]]/$N$1</f>
        <v>2.0201346153846154</v>
      </c>
      <c r="L442" t="s">
        <v>340</v>
      </c>
      <c r="M442" s="69"/>
      <c r="N442" s="43" t="str">
        <f>IF(Gastos[[#This Row],[Fecha_Cheque]]&gt;0,WEEKNUM(Gastos[[#This Row],[Fecha_Cheque]]),MID(Gastos[[#This Row],[Semana]],6,2))</f>
        <v>24</v>
      </c>
      <c r="O442" t="s">
        <v>3127</v>
      </c>
      <c r="P442" t="s">
        <v>27</v>
      </c>
    </row>
    <row r="443" spans="1:16" hidden="1" x14ac:dyDescent="0.25">
      <c r="A443" s="3" t="s">
        <v>3693</v>
      </c>
      <c r="B443" t="s">
        <v>344</v>
      </c>
      <c r="C443" t="s">
        <v>3682</v>
      </c>
      <c r="D443" t="s">
        <v>26</v>
      </c>
      <c r="E443" t="s">
        <v>31</v>
      </c>
      <c r="F443">
        <v>1</v>
      </c>
      <c r="G443" s="3" t="s">
        <v>32</v>
      </c>
      <c r="H443" s="44" t="s">
        <v>15</v>
      </c>
      <c r="I443" s="17">
        <v>463121.74</v>
      </c>
      <c r="J443" s="17">
        <f>IF(Gastos[[#This Row],[Divisa]]="$", I443*1, IF(Gastos[[#This Row],[Divisa]]="U$D", I443*$N$1, IF(Gastos[[#This Row],[Divisa]]="EUR", I443*$N$2, 0)))</f>
        <v>463121.74</v>
      </c>
      <c r="K443" s="54">
        <f>Gastos[[#This Row],[Importe AR$]]/$N$1</f>
        <v>296.87291025641025</v>
      </c>
      <c r="M443" s="69">
        <v>46235</v>
      </c>
      <c r="N443" s="43">
        <f>IF(Gastos[[#This Row],[Fecha_Cheque]]&gt;0,WEEKNUM(Gastos[[#This Row],[Fecha_Cheque]]),MID(Gastos[[#This Row],[Semana]],6,2))</f>
        <v>31</v>
      </c>
      <c r="O443" t="s">
        <v>3683</v>
      </c>
      <c r="P443" t="s">
        <v>27</v>
      </c>
    </row>
    <row r="444" spans="1:16" hidden="1" x14ac:dyDescent="0.25">
      <c r="A444" s="3" t="s">
        <v>3693</v>
      </c>
      <c r="B444" t="s">
        <v>344</v>
      </c>
      <c r="C444" t="s">
        <v>3682</v>
      </c>
      <c r="D444" t="s">
        <v>26</v>
      </c>
      <c r="E444" t="s">
        <v>31</v>
      </c>
      <c r="F444">
        <v>1</v>
      </c>
      <c r="G444" s="3" t="s">
        <v>32</v>
      </c>
      <c r="H444" s="44" t="s">
        <v>15</v>
      </c>
      <c r="I444" s="17">
        <v>3228.26</v>
      </c>
      <c r="J444" s="17">
        <f>IF(Gastos[[#This Row],[Divisa]]="$", I444*1, IF(Gastos[[#This Row],[Divisa]]="U$D", I444*$N$1, IF(Gastos[[#This Row],[Divisa]]="EUR", I444*$N$2, 0)))</f>
        <v>3228.26</v>
      </c>
      <c r="K444" s="54">
        <f>Gastos[[#This Row],[Importe AR$]]/$N$1</f>
        <v>2.0693974358974359</v>
      </c>
      <c r="L444" t="s">
        <v>340</v>
      </c>
      <c r="M444" s="69"/>
      <c r="N444" s="43" t="str">
        <f>IF(Gastos[[#This Row],[Fecha_Cheque]]&gt;0,WEEKNUM(Gastos[[#This Row],[Fecha_Cheque]]),MID(Gastos[[#This Row],[Semana]],6,2))</f>
        <v>28</v>
      </c>
      <c r="O444" t="s">
        <v>3683</v>
      </c>
      <c r="P444" t="s">
        <v>27</v>
      </c>
    </row>
    <row r="445" spans="1:16" hidden="1" x14ac:dyDescent="0.25">
      <c r="A445" s="3" t="s">
        <v>4005</v>
      </c>
      <c r="B445" t="s">
        <v>344</v>
      </c>
      <c r="C445" t="s">
        <v>4044</v>
      </c>
      <c r="D445" t="s">
        <v>26</v>
      </c>
      <c r="E445" t="s">
        <v>31</v>
      </c>
      <c r="F445">
        <v>1</v>
      </c>
      <c r="G445" s="3" t="s">
        <v>32</v>
      </c>
      <c r="H445" s="44" t="s">
        <v>15</v>
      </c>
      <c r="I445" s="17">
        <v>120000</v>
      </c>
      <c r="J445" s="17">
        <f>IF(Gastos[[#This Row],[Divisa]]="$", I445*1, IF(Gastos[[#This Row],[Divisa]]="U$D", I445*$N$1, IF(Gastos[[#This Row],[Divisa]]="EUR", I445*$N$2, 0)))</f>
        <v>120000</v>
      </c>
      <c r="K445" s="54">
        <f>Gastos[[#This Row],[Importe AR$]]/$N$1</f>
        <v>76.92307692307692</v>
      </c>
      <c r="M445" s="69">
        <v>46291</v>
      </c>
      <c r="N445" s="43">
        <f>IF(Gastos[[#This Row],[Fecha_Cheque]]&gt;0,WEEKNUM(Gastos[[#This Row],[Fecha_Cheque]]),MID(Gastos[[#This Row],[Semana]],6,2))</f>
        <v>39</v>
      </c>
      <c r="O445" t="s">
        <v>4045</v>
      </c>
      <c r="P445" t="s">
        <v>27</v>
      </c>
    </row>
    <row r="446" spans="1:16" hidden="1" x14ac:dyDescent="0.25">
      <c r="A446" s="3" t="s">
        <v>4005</v>
      </c>
      <c r="B446" t="s">
        <v>344</v>
      </c>
      <c r="C446" t="s">
        <v>4044</v>
      </c>
      <c r="D446" t="s">
        <v>26</v>
      </c>
      <c r="E446" t="s">
        <v>31</v>
      </c>
      <c r="F446">
        <v>1</v>
      </c>
      <c r="G446" s="3" t="s">
        <v>32</v>
      </c>
      <c r="H446" s="44" t="s">
        <v>15</v>
      </c>
      <c r="I446" s="17">
        <v>200000</v>
      </c>
      <c r="J446" s="17">
        <f>IF(Gastos[[#This Row],[Divisa]]="$", I446*1, IF(Gastos[[#This Row],[Divisa]]="U$D", I446*$N$1, IF(Gastos[[#This Row],[Divisa]]="EUR", I446*$N$2, 0)))</f>
        <v>200000</v>
      </c>
      <c r="K446" s="54">
        <f>Gastos[[#This Row],[Importe AR$]]/$N$1</f>
        <v>128.2051282051282</v>
      </c>
      <c r="M446" s="69">
        <v>46234</v>
      </c>
      <c r="N446" s="43">
        <f>IF(Gastos[[#This Row],[Fecha_Cheque]]&gt;0,WEEKNUM(Gastos[[#This Row],[Fecha_Cheque]]),MID(Gastos[[#This Row],[Semana]],6,2))</f>
        <v>31</v>
      </c>
      <c r="O446" t="s">
        <v>4045</v>
      </c>
      <c r="P446" t="s">
        <v>27</v>
      </c>
    </row>
    <row r="447" spans="1:16" hidden="1" x14ac:dyDescent="0.25">
      <c r="A447" s="3" t="s">
        <v>4005</v>
      </c>
      <c r="B447" t="s">
        <v>344</v>
      </c>
      <c r="C447" t="s">
        <v>4044</v>
      </c>
      <c r="D447" t="s">
        <v>26</v>
      </c>
      <c r="E447" t="s">
        <v>42</v>
      </c>
      <c r="F447">
        <v>1</v>
      </c>
      <c r="G447" s="3" t="s">
        <v>4</v>
      </c>
      <c r="H447" s="44" t="s">
        <v>15</v>
      </c>
      <c r="I447" s="17">
        <v>13451.06</v>
      </c>
      <c r="J447" s="17">
        <f>IF(Gastos[[#This Row],[Divisa]]="$", I447*1, IF(Gastos[[#This Row],[Divisa]]="U$D", I447*$N$1, IF(Gastos[[#This Row],[Divisa]]="EUR", I447*$N$2, 0)))</f>
        <v>13451.06</v>
      </c>
      <c r="K447" s="54">
        <f>Gastos[[#This Row],[Importe AR$]]/$N$1</f>
        <v>8.6224743589743582</v>
      </c>
      <c r="M447" s="69"/>
      <c r="N447" s="43" t="str">
        <f>IF(Gastos[[#This Row],[Fecha_Cheque]]&gt;0,WEEKNUM(Gastos[[#This Row],[Fecha_Cheque]]),MID(Gastos[[#This Row],[Semana]],6,2))</f>
        <v>33</v>
      </c>
      <c r="O447" t="s">
        <v>4045</v>
      </c>
      <c r="P447" t="s">
        <v>27</v>
      </c>
    </row>
    <row r="448" spans="1:16" hidden="1" x14ac:dyDescent="0.25">
      <c r="A448" s="3" t="s">
        <v>4005</v>
      </c>
      <c r="B448" t="s">
        <v>344</v>
      </c>
      <c r="C448" t="s">
        <v>4044</v>
      </c>
      <c r="D448" t="s">
        <v>26</v>
      </c>
      <c r="E448" t="s">
        <v>31</v>
      </c>
      <c r="F448">
        <v>1</v>
      </c>
      <c r="G448" s="3" t="s">
        <v>32</v>
      </c>
      <c r="H448" s="44" t="s">
        <v>15</v>
      </c>
      <c r="I448" s="17">
        <v>1048.93</v>
      </c>
      <c r="J448" s="17">
        <f>IF(Gastos[[#This Row],[Divisa]]="$", I448*1, IF(Gastos[[#This Row],[Divisa]]="U$D", I448*$N$1, IF(Gastos[[#This Row],[Divisa]]="EUR", I448*$N$2, 0)))</f>
        <v>1048.93</v>
      </c>
      <c r="K448" s="54">
        <f>Gastos[[#This Row],[Importe AR$]]/$N$1</f>
        <v>0.67239102564102571</v>
      </c>
      <c r="L448" t="s">
        <v>340</v>
      </c>
      <c r="M448" s="69"/>
      <c r="N448" s="43" t="str">
        <f>IF(Gastos[[#This Row],[Fecha_Cheque]]&gt;0,WEEKNUM(Gastos[[#This Row],[Fecha_Cheque]]),MID(Gastos[[#This Row],[Semana]],6,2))</f>
        <v>33</v>
      </c>
      <c r="O448" t="s">
        <v>4045</v>
      </c>
      <c r="P448" t="s">
        <v>27</v>
      </c>
    </row>
    <row r="449" spans="1:16" hidden="1" x14ac:dyDescent="0.25">
      <c r="A449" s="3" t="s">
        <v>4211</v>
      </c>
      <c r="B449" t="s">
        <v>344</v>
      </c>
      <c r="C449" t="s">
        <v>4238</v>
      </c>
      <c r="D449" t="s">
        <v>26</v>
      </c>
      <c r="E449" t="s">
        <v>62</v>
      </c>
      <c r="F449">
        <v>1</v>
      </c>
      <c r="G449" s="3" t="s">
        <v>5</v>
      </c>
      <c r="H449" s="44" t="s">
        <v>15</v>
      </c>
      <c r="I449" s="17">
        <v>463121.74</v>
      </c>
      <c r="J449" s="17">
        <f>IF(Gastos[[#This Row],[Divisa]]="$", I449*1, IF(Gastos[[#This Row],[Divisa]]="U$D", I449*$N$1, IF(Gastos[[#This Row],[Divisa]]="EUR", I449*$N$2, 0)))</f>
        <v>463121.74</v>
      </c>
      <c r="K449" s="54">
        <f>Gastos[[#This Row],[Importe AR$]]/$N$1</f>
        <v>296.87291025641025</v>
      </c>
      <c r="M449" s="69"/>
      <c r="N449" s="43" t="str">
        <f>IF(Gastos[[#This Row],[Fecha_Cheque]]&gt;0,WEEKNUM(Gastos[[#This Row],[Fecha_Cheque]]),MID(Gastos[[#This Row],[Semana]],6,2))</f>
        <v>37</v>
      </c>
      <c r="O449" t="s">
        <v>4240</v>
      </c>
      <c r="P449" t="s">
        <v>27</v>
      </c>
    </row>
    <row r="450" spans="1:16" hidden="1" x14ac:dyDescent="0.25">
      <c r="A450" s="3" t="s">
        <v>4211</v>
      </c>
      <c r="B450" t="s">
        <v>344</v>
      </c>
      <c r="C450" t="s">
        <v>4239</v>
      </c>
      <c r="D450" t="s">
        <v>26</v>
      </c>
      <c r="E450" t="s">
        <v>62</v>
      </c>
      <c r="F450">
        <v>1</v>
      </c>
      <c r="G450" s="3" t="s">
        <v>5</v>
      </c>
      <c r="H450" s="44" t="s">
        <v>15</v>
      </c>
      <c r="I450" s="17">
        <v>153000</v>
      </c>
      <c r="J450" s="17">
        <f>IF(Gastos[[#This Row],[Divisa]]="$", I450*1, IF(Gastos[[#This Row],[Divisa]]="U$D", I450*$N$1, IF(Gastos[[#This Row],[Divisa]]="EUR", I450*$N$2, 0)))</f>
        <v>153000</v>
      </c>
      <c r="K450" s="54">
        <f>Gastos[[#This Row],[Importe AR$]]/$N$1</f>
        <v>98.07692307692308</v>
      </c>
      <c r="M450" s="69"/>
      <c r="N450" s="43" t="str">
        <f>IF(Gastos[[#This Row],[Fecha_Cheque]]&gt;0,WEEKNUM(Gastos[[#This Row],[Fecha_Cheque]]),MID(Gastos[[#This Row],[Semana]],6,2))</f>
        <v>37</v>
      </c>
      <c r="O450" t="s">
        <v>4241</v>
      </c>
      <c r="P450" t="s">
        <v>27</v>
      </c>
    </row>
    <row r="451" spans="1:16" hidden="1" x14ac:dyDescent="0.25">
      <c r="A451" s="3" t="s">
        <v>3817</v>
      </c>
      <c r="B451" t="s">
        <v>344</v>
      </c>
      <c r="C451" t="s">
        <v>3855</v>
      </c>
      <c r="D451" t="s">
        <v>26</v>
      </c>
      <c r="E451" t="s">
        <v>31</v>
      </c>
      <c r="F451">
        <v>1</v>
      </c>
      <c r="G451" s="3" t="s">
        <v>32</v>
      </c>
      <c r="H451" s="44" t="s">
        <v>15</v>
      </c>
      <c r="I451" s="17">
        <v>153000</v>
      </c>
      <c r="J451" s="17">
        <f>IF(Gastos[[#This Row],[Divisa]]="$", I451*1, IF(Gastos[[#This Row],[Divisa]]="U$D", I451*$N$1, IF(Gastos[[#This Row],[Divisa]]="EUR", I451*$N$2, 0)))</f>
        <v>153000</v>
      </c>
      <c r="K451" s="54">
        <f>Gastos[[#This Row],[Importe AR$]]/$N$1</f>
        <v>98.07692307692308</v>
      </c>
      <c r="M451" s="69"/>
      <c r="N451" s="43" t="str">
        <f>IF(Gastos[[#This Row],[Fecha_Cheque]]&gt;0,WEEKNUM(Gastos[[#This Row],[Fecha_Cheque]]),MID(Gastos[[#This Row],[Semana]],6,2))</f>
        <v>30</v>
      </c>
      <c r="O451" t="s">
        <v>3856</v>
      </c>
      <c r="P451" t="s">
        <v>27</v>
      </c>
    </row>
    <row r="452" spans="1:16" hidden="1" x14ac:dyDescent="0.25">
      <c r="A452" s="3" t="s">
        <v>4569</v>
      </c>
      <c r="B452" t="s">
        <v>344</v>
      </c>
      <c r="C452" t="s">
        <v>4586</v>
      </c>
      <c r="D452" t="s">
        <v>26</v>
      </c>
      <c r="E452" t="s">
        <v>31</v>
      </c>
      <c r="F452">
        <v>1</v>
      </c>
      <c r="G452" s="3" t="s">
        <v>5</v>
      </c>
      <c r="H452" s="44" t="s">
        <v>15</v>
      </c>
      <c r="I452" s="17">
        <v>331179.26</v>
      </c>
      <c r="J452" s="17">
        <f>IF(Gastos[[#This Row],[Divisa]]="$", I452*1, IF(Gastos[[#This Row],[Divisa]]="U$D", I452*$N$1, IF(Gastos[[#This Row],[Divisa]]="EUR", I452*$N$2, 0)))</f>
        <v>331179.26</v>
      </c>
      <c r="K452" s="54">
        <f>Gastos[[#This Row],[Importe AR$]]/$N$1</f>
        <v>212.29439743589745</v>
      </c>
      <c r="M452" s="69">
        <v>46315</v>
      </c>
      <c r="N452" s="43">
        <f>IF(Gastos[[#This Row],[Fecha_Cheque]]&gt;0,WEEKNUM(Gastos[[#This Row],[Fecha_Cheque]]),MID(Gastos[[#This Row],[Semana]],6,2))</f>
        <v>43</v>
      </c>
      <c r="O452" t="s">
        <v>4587</v>
      </c>
      <c r="P452" t="s">
        <v>27</v>
      </c>
    </row>
    <row r="453" spans="1:16" hidden="1" x14ac:dyDescent="0.25">
      <c r="A453" s="3" t="s">
        <v>4569</v>
      </c>
      <c r="B453" t="s">
        <v>344</v>
      </c>
      <c r="C453" t="s">
        <v>4586</v>
      </c>
      <c r="D453" t="s">
        <v>26</v>
      </c>
      <c r="E453" t="s">
        <v>31</v>
      </c>
      <c r="F453">
        <v>1</v>
      </c>
      <c r="G453" s="3" t="s">
        <v>5</v>
      </c>
      <c r="H453" s="44" t="s">
        <v>15</v>
      </c>
      <c r="I453" s="17">
        <v>1010.74</v>
      </c>
      <c r="J453" s="17">
        <f>IF(Gastos[[#This Row],[Divisa]]="$", I453*1, IF(Gastos[[#This Row],[Divisa]]="U$D", I453*$N$1, IF(Gastos[[#This Row],[Divisa]]="EUR", I453*$N$2, 0)))</f>
        <v>1010.74</v>
      </c>
      <c r="K453" s="54">
        <f>Gastos[[#This Row],[Importe AR$]]/$N$1</f>
        <v>0.64791025641025646</v>
      </c>
      <c r="M453" s="69"/>
      <c r="N453" s="43" t="str">
        <f>IF(Gastos[[#This Row],[Fecha_Cheque]]&gt;0,WEEKNUM(Gastos[[#This Row],[Fecha_Cheque]]),MID(Gastos[[#This Row],[Semana]],6,2))</f>
        <v>43</v>
      </c>
      <c r="O453" t="s">
        <v>4587</v>
      </c>
      <c r="P453" t="s">
        <v>27</v>
      </c>
    </row>
    <row r="454" spans="1:16" hidden="1" x14ac:dyDescent="0.25">
      <c r="A454" s="3" t="s">
        <v>130</v>
      </c>
      <c r="B454" t="s">
        <v>349</v>
      </c>
      <c r="C454" t="s">
        <v>350</v>
      </c>
      <c r="D454" t="s">
        <v>26</v>
      </c>
      <c r="E454" t="s">
        <v>42</v>
      </c>
      <c r="F454">
        <v>1</v>
      </c>
      <c r="G454" s="3" t="s">
        <v>4</v>
      </c>
      <c r="H454" s="46" t="s">
        <v>15</v>
      </c>
      <c r="I454" s="17">
        <v>41399</v>
      </c>
      <c r="J454" s="17">
        <f>IF(Gastos[[#This Row],[Divisa]]="$", I454*1, IF(Gastos[[#This Row],[Divisa]]="U$D", I454*$N$1, IF(Gastos[[#This Row],[Divisa]]="EUR", I454*$N$2, 0)))</f>
        <v>41399</v>
      </c>
      <c r="K454" s="54">
        <f>Gastos[[#This Row],[Importe AR$]]/$N$1</f>
        <v>26.537820512820513</v>
      </c>
      <c r="M454" s="69"/>
      <c r="N454" s="43" t="str">
        <f>IF(Gastos[[#This Row],[Fecha_Cheque]]&gt;0,WEEKNUM(Gastos[[#This Row],[Fecha_Cheque]]),MID(Gastos[[#This Row],[Semana]],6,2))</f>
        <v>45</v>
      </c>
      <c r="O454" t="s">
        <v>351</v>
      </c>
      <c r="P454" t="s">
        <v>27</v>
      </c>
    </row>
    <row r="455" spans="1:16" hidden="1" x14ac:dyDescent="0.25">
      <c r="A455" s="3" t="s">
        <v>130</v>
      </c>
      <c r="B455" t="s">
        <v>349</v>
      </c>
      <c r="C455" t="s">
        <v>352</v>
      </c>
      <c r="D455" t="s">
        <v>26</v>
      </c>
      <c r="E455" t="s">
        <v>31</v>
      </c>
      <c r="F455">
        <v>1</v>
      </c>
      <c r="G455" s="3" t="s">
        <v>5</v>
      </c>
      <c r="H455" s="46" t="s">
        <v>15</v>
      </c>
      <c r="I455" s="17">
        <v>594561.66</v>
      </c>
      <c r="J455" s="17">
        <f>IF(Gastos[[#This Row],[Divisa]]="$", I455*1, IF(Gastos[[#This Row],[Divisa]]="U$D", I455*$N$1, IF(Gastos[[#This Row],[Divisa]]="EUR", I455*$N$2, 0)))</f>
        <v>594561.66</v>
      </c>
      <c r="K455" s="54">
        <f>Gastos[[#This Row],[Importe AR$]]/$N$1</f>
        <v>381.12926923076924</v>
      </c>
      <c r="M455" s="69"/>
      <c r="N455" s="43" t="str">
        <f>IF(Gastos[[#This Row],[Fecha_Cheque]]&gt;0,WEEKNUM(Gastos[[#This Row],[Fecha_Cheque]]),MID(Gastos[[#This Row],[Semana]],6,2))</f>
        <v>45</v>
      </c>
      <c r="O455" t="s">
        <v>353</v>
      </c>
      <c r="P455" t="s">
        <v>27</v>
      </c>
    </row>
    <row r="456" spans="1:16" hidden="1" x14ac:dyDescent="0.25">
      <c r="A456" s="3" t="s">
        <v>2804</v>
      </c>
      <c r="B456" t="s">
        <v>2857</v>
      </c>
      <c r="C456" t="s">
        <v>2858</v>
      </c>
      <c r="D456" t="s">
        <v>26</v>
      </c>
      <c r="E456" t="s">
        <v>31</v>
      </c>
      <c r="F456">
        <v>1</v>
      </c>
      <c r="G456" s="3" t="s">
        <v>32</v>
      </c>
      <c r="H456" s="44" t="s">
        <v>15</v>
      </c>
      <c r="I456" s="17">
        <v>484260.77</v>
      </c>
      <c r="J456" s="17">
        <f>IF(Gastos[[#This Row],[Divisa]]="$", I456*1, IF(Gastos[[#This Row],[Divisa]]="U$D", I456*$N$1, IF(Gastos[[#This Row],[Divisa]]="EUR", I456*$N$2, 0)))</f>
        <v>484260.77</v>
      </c>
      <c r="K456" s="54">
        <f>Gastos[[#This Row],[Importe AR$]]/$N$1</f>
        <v>310.4235705128205</v>
      </c>
      <c r="M456" s="69">
        <v>46183</v>
      </c>
      <c r="N456" s="43">
        <f>IF(Gastos[[#This Row],[Fecha_Cheque]]&gt;0,WEEKNUM(Gastos[[#This Row],[Fecha_Cheque]]),MID(Gastos[[#This Row],[Semana]],6,2))</f>
        <v>24</v>
      </c>
      <c r="O456" t="s">
        <v>2859</v>
      </c>
      <c r="P456" t="s">
        <v>27</v>
      </c>
    </row>
    <row r="457" spans="1:16" hidden="1" x14ac:dyDescent="0.25">
      <c r="A457" s="3" t="s">
        <v>2804</v>
      </c>
      <c r="B457" t="s">
        <v>2857</v>
      </c>
      <c r="C457" t="s">
        <v>2858</v>
      </c>
      <c r="D457" t="s">
        <v>26</v>
      </c>
      <c r="E457" t="s">
        <v>31</v>
      </c>
      <c r="F457">
        <v>1</v>
      </c>
      <c r="G457" s="3" t="s">
        <v>32</v>
      </c>
      <c r="H457" s="44" t="s">
        <v>15</v>
      </c>
      <c r="I457" s="17">
        <v>1441190.5</v>
      </c>
      <c r="J457" s="17">
        <f>IF(Gastos[[#This Row],[Divisa]]="$", I457*1, IF(Gastos[[#This Row],[Divisa]]="U$D", I457*$N$1, IF(Gastos[[#This Row],[Divisa]]="EUR", I457*$N$2, 0)))</f>
        <v>1441190.5</v>
      </c>
      <c r="K457" s="54">
        <f>Gastos[[#This Row],[Importe AR$]]/$N$1</f>
        <v>923.84006410256416</v>
      </c>
      <c r="M457" s="69">
        <v>46183</v>
      </c>
      <c r="N457" s="43">
        <f>IF(Gastos[[#This Row],[Fecha_Cheque]]&gt;0,WEEKNUM(Gastos[[#This Row],[Fecha_Cheque]]),MID(Gastos[[#This Row],[Semana]],6,2))</f>
        <v>24</v>
      </c>
      <c r="O457" t="s">
        <v>2859</v>
      </c>
      <c r="P457" t="s">
        <v>27</v>
      </c>
    </row>
    <row r="458" spans="1:16" hidden="1" x14ac:dyDescent="0.25">
      <c r="A458" s="3" t="s">
        <v>2804</v>
      </c>
      <c r="B458" t="s">
        <v>2857</v>
      </c>
      <c r="C458" t="s">
        <v>2858</v>
      </c>
      <c r="D458" t="s">
        <v>26</v>
      </c>
      <c r="E458" t="s">
        <v>31</v>
      </c>
      <c r="F458">
        <v>1</v>
      </c>
      <c r="G458" s="3" t="s">
        <v>32</v>
      </c>
      <c r="H458" s="44" t="s">
        <v>15</v>
      </c>
      <c r="I458" s="17">
        <v>27345.64</v>
      </c>
      <c r="J458" s="17">
        <f>IF(Gastos[[#This Row],[Divisa]]="$", I458*1, IF(Gastos[[#This Row],[Divisa]]="U$D", I458*$N$1, IF(Gastos[[#This Row],[Divisa]]="EUR", I458*$N$2, 0)))</f>
        <v>27345.64</v>
      </c>
      <c r="K458" s="54">
        <f>Gastos[[#This Row],[Importe AR$]]/$N$1</f>
        <v>17.529256410256409</v>
      </c>
      <c r="L458" t="s">
        <v>340</v>
      </c>
      <c r="M458" s="69"/>
      <c r="N458" s="43" t="str">
        <f>IF(Gastos[[#This Row],[Fecha_Cheque]]&gt;0,WEEKNUM(Gastos[[#This Row],[Fecha_Cheque]]),MID(Gastos[[#This Row],[Semana]],6,2))</f>
        <v>19</v>
      </c>
      <c r="O458" t="s">
        <v>2859</v>
      </c>
      <c r="P458" t="s">
        <v>27</v>
      </c>
    </row>
    <row r="459" spans="1:16" hidden="1" x14ac:dyDescent="0.25">
      <c r="A459" s="3" t="s">
        <v>2773</v>
      </c>
      <c r="B459" t="s">
        <v>2857</v>
      </c>
      <c r="D459" t="s">
        <v>26</v>
      </c>
      <c r="E459" t="s">
        <v>31</v>
      </c>
      <c r="F459">
        <v>1</v>
      </c>
      <c r="G459" s="3" t="s">
        <v>32</v>
      </c>
      <c r="H459" s="44" t="s">
        <v>15</v>
      </c>
      <c r="I459" s="17">
        <v>484260.77</v>
      </c>
      <c r="J459" s="17">
        <f>IF(Gastos[[#This Row],[Divisa]]="$", I459*1, IF(Gastos[[#This Row],[Divisa]]="U$D", I459*$N$1, IF(Gastos[[#This Row],[Divisa]]="EUR", I459*$N$2, 0)))</f>
        <v>484260.77</v>
      </c>
      <c r="K459" s="54">
        <f>Gastos[[#This Row],[Importe AR$]]/$N$1</f>
        <v>310.4235705128205</v>
      </c>
      <c r="M459" s="69">
        <v>46183</v>
      </c>
      <c r="N459" s="43">
        <f>IF(Gastos[[#This Row],[Fecha_Cheque]]&gt;0,WEEKNUM(Gastos[[#This Row],[Fecha_Cheque]]),MID(Gastos[[#This Row],[Semana]],6,2))</f>
        <v>24</v>
      </c>
      <c r="O459" t="s">
        <v>2859</v>
      </c>
      <c r="P459" t="s">
        <v>27</v>
      </c>
    </row>
    <row r="460" spans="1:16" hidden="1" x14ac:dyDescent="0.25">
      <c r="A460" s="3" t="s">
        <v>2773</v>
      </c>
      <c r="B460" t="s">
        <v>2857</v>
      </c>
      <c r="D460" t="s">
        <v>26</v>
      </c>
      <c r="E460" t="s">
        <v>31</v>
      </c>
      <c r="F460">
        <v>1</v>
      </c>
      <c r="G460" s="3" t="s">
        <v>32</v>
      </c>
      <c r="H460" s="44" t="s">
        <v>15</v>
      </c>
      <c r="I460" s="17">
        <v>1441191.5</v>
      </c>
      <c r="J460" s="17">
        <f>IF(Gastos[[#This Row],[Divisa]]="$", I460*1, IF(Gastos[[#This Row],[Divisa]]="U$D", I460*$N$1, IF(Gastos[[#This Row],[Divisa]]="EUR", I460*$N$2, 0)))</f>
        <v>1441191.5</v>
      </c>
      <c r="K460" s="54">
        <f>Gastos[[#This Row],[Importe AR$]]/$N$1</f>
        <v>923.84070512820517</v>
      </c>
      <c r="M460" s="69">
        <v>46183</v>
      </c>
      <c r="N460" s="43">
        <f>IF(Gastos[[#This Row],[Fecha_Cheque]]&gt;0,WEEKNUM(Gastos[[#This Row],[Fecha_Cheque]]),MID(Gastos[[#This Row],[Semana]],6,2))</f>
        <v>24</v>
      </c>
      <c r="O460" t="s">
        <v>2859</v>
      </c>
      <c r="P460" t="s">
        <v>27</v>
      </c>
    </row>
    <row r="461" spans="1:16" hidden="1" x14ac:dyDescent="0.25">
      <c r="A461" s="3" t="s">
        <v>2773</v>
      </c>
      <c r="B461" t="s">
        <v>2857</v>
      </c>
      <c r="D461" t="s">
        <v>26</v>
      </c>
      <c r="E461" t="s">
        <v>31</v>
      </c>
      <c r="F461">
        <v>1</v>
      </c>
      <c r="G461" s="3" t="s">
        <v>32</v>
      </c>
      <c r="H461" s="44" t="s">
        <v>15</v>
      </c>
      <c r="I461" s="17">
        <v>27345.64</v>
      </c>
      <c r="J461" s="17">
        <f>IF(Gastos[[#This Row],[Divisa]]="$", I461*1, IF(Gastos[[#This Row],[Divisa]]="U$D", I461*$N$1, IF(Gastos[[#This Row],[Divisa]]="EUR", I461*$N$2, 0)))</f>
        <v>27345.64</v>
      </c>
      <c r="K461" s="54">
        <f>Gastos[[#This Row],[Importe AR$]]/$N$1</f>
        <v>17.529256410256409</v>
      </c>
      <c r="L461" t="s">
        <v>340</v>
      </c>
      <c r="M461" s="69"/>
      <c r="N461" s="43" t="str">
        <f>IF(Gastos[[#This Row],[Fecha_Cheque]]&gt;0,WEEKNUM(Gastos[[#This Row],[Fecha_Cheque]]),MID(Gastos[[#This Row],[Semana]],6,2))</f>
        <v>20</v>
      </c>
      <c r="O461" t="s">
        <v>2859</v>
      </c>
      <c r="P461" t="s">
        <v>27</v>
      </c>
    </row>
    <row r="462" spans="1:16" hidden="1" x14ac:dyDescent="0.25">
      <c r="A462" s="3" t="s">
        <v>3617</v>
      </c>
      <c r="B462" t="s">
        <v>2857</v>
      </c>
      <c r="C462" t="s">
        <v>3644</v>
      </c>
      <c r="D462" t="s">
        <v>26</v>
      </c>
      <c r="E462" t="s">
        <v>31</v>
      </c>
      <c r="F462">
        <v>1</v>
      </c>
      <c r="G462" s="3" t="s">
        <v>5</v>
      </c>
      <c r="H462" s="44" t="s">
        <v>15</v>
      </c>
      <c r="I462" s="17">
        <v>1290848.79</v>
      </c>
      <c r="J462" s="17">
        <f>IF(Gastos[[#This Row],[Divisa]]="$", I462*1, IF(Gastos[[#This Row],[Divisa]]="U$D", I462*$N$1, IF(Gastos[[#This Row],[Divisa]]="EUR", I462*$N$2, 0)))</f>
        <v>1290848.79</v>
      </c>
      <c r="K462" s="54">
        <f>Gastos[[#This Row],[Importe AR$]]/$N$1</f>
        <v>827.46717307692313</v>
      </c>
      <c r="M462" s="69"/>
      <c r="N462" s="43" t="str">
        <f>IF(Gastos[[#This Row],[Fecha_Cheque]]&gt;0,WEEKNUM(Gastos[[#This Row],[Fecha_Cheque]]),MID(Gastos[[#This Row],[Semana]],6,2))</f>
        <v>27</v>
      </c>
      <c r="O462" t="s">
        <v>3651</v>
      </c>
      <c r="P462" t="s">
        <v>27</v>
      </c>
    </row>
    <row r="463" spans="1:16" hidden="1" x14ac:dyDescent="0.25">
      <c r="A463" s="3" t="s">
        <v>4005</v>
      </c>
      <c r="B463" t="s">
        <v>2857</v>
      </c>
      <c r="C463" t="s">
        <v>4058</v>
      </c>
      <c r="D463" t="s">
        <v>26</v>
      </c>
      <c r="E463" t="s">
        <v>31</v>
      </c>
      <c r="F463">
        <v>1</v>
      </c>
      <c r="G463" s="3" t="s">
        <v>32</v>
      </c>
      <c r="H463" s="44" t="s">
        <v>15</v>
      </c>
      <c r="I463" s="17">
        <v>6000000</v>
      </c>
      <c r="J463" s="17">
        <f>IF(Gastos[[#This Row],[Divisa]]="$", I463*1, IF(Gastos[[#This Row],[Divisa]]="U$D", I463*$N$1, IF(Gastos[[#This Row],[Divisa]]="EUR", I463*$N$2, 0)))</f>
        <v>6000000</v>
      </c>
      <c r="K463" s="54">
        <f>Gastos[[#This Row],[Importe AR$]]/$N$1</f>
        <v>3846.1538461538462</v>
      </c>
      <c r="M463" s="69">
        <v>46311</v>
      </c>
      <c r="N463" s="43">
        <f>IF(Gastos[[#This Row],[Fecha_Cheque]]&gt;0,WEEKNUM(Gastos[[#This Row],[Fecha_Cheque]]),MID(Gastos[[#This Row],[Semana]],6,2))</f>
        <v>42</v>
      </c>
      <c r="O463" t="s">
        <v>4059</v>
      </c>
      <c r="P463" t="s">
        <v>27</v>
      </c>
    </row>
    <row r="464" spans="1:16" hidden="1" x14ac:dyDescent="0.25">
      <c r="A464" s="3" t="s">
        <v>4005</v>
      </c>
      <c r="B464" t="s">
        <v>2857</v>
      </c>
      <c r="C464" t="s">
        <v>4058</v>
      </c>
      <c r="D464" t="s">
        <v>26</v>
      </c>
      <c r="E464" t="s">
        <v>31</v>
      </c>
      <c r="F464">
        <v>1</v>
      </c>
      <c r="G464" s="3" t="s">
        <v>32</v>
      </c>
      <c r="H464" s="44" t="s">
        <v>15</v>
      </c>
      <c r="I464" s="17">
        <v>6145423.3200000003</v>
      </c>
      <c r="J464" s="17">
        <f>IF(Gastos[[#This Row],[Divisa]]="$", I464*1, IF(Gastos[[#This Row],[Divisa]]="U$D", I464*$N$1, IF(Gastos[[#This Row],[Divisa]]="EUR", I464*$N$2, 0)))</f>
        <v>6145423.3200000003</v>
      </c>
      <c r="K464" s="54">
        <f>Gastos[[#This Row],[Importe AR$]]/$N$1</f>
        <v>3939.3739230769233</v>
      </c>
      <c r="M464" s="69">
        <v>46318</v>
      </c>
      <c r="N464" s="43">
        <f>IF(Gastos[[#This Row],[Fecha_Cheque]]&gt;0,WEEKNUM(Gastos[[#This Row],[Fecha_Cheque]]),MID(Gastos[[#This Row],[Semana]],6,2))</f>
        <v>43</v>
      </c>
      <c r="O464" t="s">
        <v>4059</v>
      </c>
      <c r="P464" t="s">
        <v>27</v>
      </c>
    </row>
    <row r="465" spans="1:16" hidden="1" x14ac:dyDescent="0.25">
      <c r="A465" s="3" t="s">
        <v>4005</v>
      </c>
      <c r="B465" t="s">
        <v>2857</v>
      </c>
      <c r="C465" t="s">
        <v>4058</v>
      </c>
      <c r="D465" t="s">
        <v>26</v>
      </c>
      <c r="E465" t="s">
        <v>31</v>
      </c>
      <c r="F465">
        <v>1</v>
      </c>
      <c r="G465" s="3" t="s">
        <v>32</v>
      </c>
      <c r="H465" s="44" t="s">
        <v>15</v>
      </c>
      <c r="I465" s="17">
        <v>199569.47</v>
      </c>
      <c r="J465" s="17">
        <f>IF(Gastos[[#This Row],[Divisa]]="$", I465*1, IF(Gastos[[#This Row],[Divisa]]="U$D", I465*$N$1, IF(Gastos[[#This Row],[Divisa]]="EUR", I465*$N$2, 0)))</f>
        <v>199569.47</v>
      </c>
      <c r="K465" s="54">
        <f>Gastos[[#This Row],[Importe AR$]]/$N$1</f>
        <v>127.92914743589743</v>
      </c>
      <c r="L465" t="s">
        <v>340</v>
      </c>
      <c r="M465" s="69"/>
      <c r="N465" s="43" t="str">
        <f>IF(Gastos[[#This Row],[Fecha_Cheque]]&gt;0,WEEKNUM(Gastos[[#This Row],[Fecha_Cheque]]),MID(Gastos[[#This Row],[Semana]],6,2))</f>
        <v>33</v>
      </c>
      <c r="O465" t="s">
        <v>4059</v>
      </c>
      <c r="P465" t="s">
        <v>27</v>
      </c>
    </row>
    <row r="466" spans="1:16" hidden="1" x14ac:dyDescent="0.25">
      <c r="A466" s="3" t="s">
        <v>53</v>
      </c>
      <c r="B466" t="s">
        <v>354</v>
      </c>
      <c r="C466" t="s">
        <v>355</v>
      </c>
      <c r="D466" t="s">
        <v>26</v>
      </c>
      <c r="E466" t="s">
        <v>31</v>
      </c>
      <c r="F466">
        <v>1</v>
      </c>
      <c r="G466" s="3" t="s">
        <v>32</v>
      </c>
      <c r="H466" s="46" t="s">
        <v>15</v>
      </c>
      <c r="I466" s="17">
        <v>157300</v>
      </c>
      <c r="J466" s="17">
        <f>IF(Gastos[[#This Row],[Divisa]]="$", I466*1, IF(Gastos[[#This Row],[Divisa]]="U$D", I466*$N$1, IF(Gastos[[#This Row],[Divisa]]="EUR", I466*$N$2, 0)))</f>
        <v>157300</v>
      </c>
      <c r="K466" s="54">
        <f>Gastos[[#This Row],[Importe AR$]]/$N$1</f>
        <v>100.83333333333333</v>
      </c>
      <c r="M466" s="69"/>
      <c r="N466" s="43" t="str">
        <f>IF(Gastos[[#This Row],[Fecha_Cheque]]&gt;0,WEEKNUM(Gastos[[#This Row],[Fecha_Cheque]]),MID(Gastos[[#This Row],[Semana]],6,2))</f>
        <v>34</v>
      </c>
      <c r="O466" t="s">
        <v>356</v>
      </c>
      <c r="P466" t="s">
        <v>27</v>
      </c>
    </row>
    <row r="467" spans="1:16" hidden="1" x14ac:dyDescent="0.25">
      <c r="A467" s="3" t="s">
        <v>44</v>
      </c>
      <c r="B467" t="s">
        <v>354</v>
      </c>
      <c r="C467" t="s">
        <v>357</v>
      </c>
      <c r="D467" t="s">
        <v>26</v>
      </c>
      <c r="E467" t="s">
        <v>62</v>
      </c>
      <c r="F467">
        <v>1</v>
      </c>
      <c r="G467" s="3" t="s">
        <v>32</v>
      </c>
      <c r="H467" s="46" t="s">
        <v>15</v>
      </c>
      <c r="I467" s="17">
        <v>266200</v>
      </c>
      <c r="J467" s="17">
        <f>IF(Gastos[[#This Row],[Divisa]]="$", I467*1, IF(Gastos[[#This Row],[Divisa]]="U$D", I467*$N$1, IF(Gastos[[#This Row],[Divisa]]="EUR", I467*$N$2, 0)))</f>
        <v>266200</v>
      </c>
      <c r="K467" s="54">
        <f>Gastos[[#This Row],[Importe AR$]]/$N$1</f>
        <v>170.64102564102564</v>
      </c>
      <c r="M467" s="69"/>
      <c r="N467" s="43" t="str">
        <f>IF(Gastos[[#This Row],[Fecha_Cheque]]&gt;0,WEEKNUM(Gastos[[#This Row],[Fecha_Cheque]]),MID(Gastos[[#This Row],[Semana]],6,2))</f>
        <v>51</v>
      </c>
      <c r="O467" t="s">
        <v>358</v>
      </c>
      <c r="P467" t="s">
        <v>27</v>
      </c>
    </row>
    <row r="468" spans="1:16" hidden="1" x14ac:dyDescent="0.25">
      <c r="A468" s="3" t="s">
        <v>188</v>
      </c>
      <c r="B468" t="s">
        <v>359</v>
      </c>
      <c r="C468" t="s">
        <v>360</v>
      </c>
      <c r="D468" t="s">
        <v>26</v>
      </c>
      <c r="E468" t="s">
        <v>31</v>
      </c>
      <c r="F468">
        <v>1</v>
      </c>
      <c r="G468" s="3" t="s">
        <v>32</v>
      </c>
      <c r="H468" s="46" t="s">
        <v>15</v>
      </c>
      <c r="I468" s="17">
        <v>4673797.9000000004</v>
      </c>
      <c r="J468" s="17">
        <f>IF(Gastos[[#This Row],[Divisa]]="$", I468*1, IF(Gastos[[#This Row],[Divisa]]="U$D", I468*$N$1, IF(Gastos[[#This Row],[Divisa]]="EUR", I468*$N$2, 0)))</f>
        <v>4673797.9000000004</v>
      </c>
      <c r="K468" s="54">
        <f>Gastos[[#This Row],[Importe AR$]]/$N$1</f>
        <v>2996.0242948717951</v>
      </c>
      <c r="L468" t="s">
        <v>361</v>
      </c>
      <c r="M468" s="69"/>
      <c r="N468" s="43" t="str">
        <f>IF(Gastos[[#This Row],[Fecha_Cheque]]&gt;0,WEEKNUM(Gastos[[#This Row],[Fecha_Cheque]]),MID(Gastos[[#This Row],[Semana]],6,2))</f>
        <v>19</v>
      </c>
      <c r="O468" t="s">
        <v>362</v>
      </c>
      <c r="P468" t="s">
        <v>27</v>
      </c>
    </row>
    <row r="469" spans="1:16" hidden="1" x14ac:dyDescent="0.25">
      <c r="A469" s="3" t="s">
        <v>128</v>
      </c>
      <c r="B469" t="s">
        <v>363</v>
      </c>
      <c r="C469" t="s">
        <v>364</v>
      </c>
      <c r="D469" t="s">
        <v>26</v>
      </c>
      <c r="E469" t="s">
        <v>31</v>
      </c>
      <c r="F469">
        <v>1</v>
      </c>
      <c r="G469" s="3" t="s">
        <v>5</v>
      </c>
      <c r="H469" s="46" t="s">
        <v>15</v>
      </c>
      <c r="I469" s="17">
        <v>145200</v>
      </c>
      <c r="J469" s="17">
        <f>IF(Gastos[[#This Row],[Divisa]]="$", I469*1, IF(Gastos[[#This Row],[Divisa]]="U$D", I469*$N$1, IF(Gastos[[#This Row],[Divisa]]="EUR", I469*$N$2, 0)))</f>
        <v>145200</v>
      </c>
      <c r="K469" s="54">
        <f>Gastos[[#This Row],[Importe AR$]]/$N$1</f>
        <v>93.07692307692308</v>
      </c>
      <c r="M469" s="69"/>
      <c r="N469" s="43" t="str">
        <f>IF(Gastos[[#This Row],[Fecha_Cheque]]&gt;0,WEEKNUM(Gastos[[#This Row],[Fecha_Cheque]]),MID(Gastos[[#This Row],[Semana]],6,2))</f>
        <v>43</v>
      </c>
      <c r="O469" t="s">
        <v>365</v>
      </c>
      <c r="P469" t="s">
        <v>27</v>
      </c>
    </row>
    <row r="470" spans="1:16" hidden="1" x14ac:dyDescent="0.25">
      <c r="A470" s="3" t="s">
        <v>310</v>
      </c>
      <c r="B470" t="s">
        <v>366</v>
      </c>
      <c r="C470" t="s">
        <v>367</v>
      </c>
      <c r="D470" t="s">
        <v>26</v>
      </c>
      <c r="E470" t="s">
        <v>31</v>
      </c>
      <c r="F470">
        <v>1</v>
      </c>
      <c r="G470" s="3" t="s">
        <v>5</v>
      </c>
      <c r="H470" s="46" t="s">
        <v>15</v>
      </c>
      <c r="I470" s="17">
        <v>120000</v>
      </c>
      <c r="J470" s="17">
        <f>IF(Gastos[[#This Row],[Divisa]]="$", I470*1, IF(Gastos[[#This Row],[Divisa]]="U$D", I470*$N$1, IF(Gastos[[#This Row],[Divisa]]="EUR", I470*$N$2, 0)))</f>
        <v>120000</v>
      </c>
      <c r="K470" s="54">
        <f>Gastos[[#This Row],[Importe AR$]]/$N$1</f>
        <v>76.92307692307692</v>
      </c>
      <c r="M470" s="69"/>
      <c r="N470" s="43" t="str">
        <f>IF(Gastos[[#This Row],[Fecha_Cheque]]&gt;0,WEEKNUM(Gastos[[#This Row],[Fecha_Cheque]]),MID(Gastos[[#This Row],[Semana]],6,2))</f>
        <v>36</v>
      </c>
      <c r="O470" t="s">
        <v>123</v>
      </c>
      <c r="P470" t="s">
        <v>27</v>
      </c>
    </row>
    <row r="471" spans="1:16" hidden="1" x14ac:dyDescent="0.25">
      <c r="A471" s="3" t="s">
        <v>53</v>
      </c>
      <c r="B471" t="s">
        <v>366</v>
      </c>
      <c r="C471" t="s">
        <v>368</v>
      </c>
      <c r="D471" t="s">
        <v>26</v>
      </c>
      <c r="E471" t="s">
        <v>31</v>
      </c>
      <c r="F471">
        <v>1</v>
      </c>
      <c r="G471" s="3" t="s">
        <v>5</v>
      </c>
      <c r="H471" s="46" t="s">
        <v>15</v>
      </c>
      <c r="I471" s="17">
        <v>100000</v>
      </c>
      <c r="J471" s="17">
        <f>IF(Gastos[[#This Row],[Divisa]]="$", I471*1, IF(Gastos[[#This Row],[Divisa]]="U$D", I471*$N$1, IF(Gastos[[#This Row],[Divisa]]="EUR", I471*$N$2, 0)))</f>
        <v>100000</v>
      </c>
      <c r="K471" s="54">
        <f>Gastos[[#This Row],[Importe AR$]]/$N$1</f>
        <v>64.102564102564102</v>
      </c>
      <c r="M471" s="69"/>
      <c r="N471" s="43" t="str">
        <f>IF(Gastos[[#This Row],[Fecha_Cheque]]&gt;0,WEEKNUM(Gastos[[#This Row],[Fecha_Cheque]]),MID(Gastos[[#This Row],[Semana]],6,2))</f>
        <v>34</v>
      </c>
      <c r="O471" t="s">
        <v>369</v>
      </c>
      <c r="P471" t="s">
        <v>27</v>
      </c>
    </row>
    <row r="472" spans="1:16" hidden="1" x14ac:dyDescent="0.25">
      <c r="A472" s="3" t="s">
        <v>332</v>
      </c>
      <c r="B472" t="s">
        <v>366</v>
      </c>
      <c r="C472" t="s">
        <v>951</v>
      </c>
      <c r="D472" t="s">
        <v>26</v>
      </c>
      <c r="E472" t="s">
        <v>42</v>
      </c>
      <c r="F472">
        <v>1</v>
      </c>
      <c r="G472" s="3" t="s">
        <v>4</v>
      </c>
      <c r="H472" s="44" t="s">
        <v>15</v>
      </c>
      <c r="I472" s="17">
        <v>260000</v>
      </c>
      <c r="J472" s="17">
        <f>IF(Gastos[[#This Row],[Divisa]]="$", I472*1, IF(Gastos[[#This Row],[Divisa]]="U$D", I472*$N$1, IF(Gastos[[#This Row],[Divisa]]="EUR", I472*$N$2, 0)))</f>
        <v>260000</v>
      </c>
      <c r="K472" s="54">
        <f>Gastos[[#This Row],[Importe AR$]]/$N$1</f>
        <v>166.66666666666666</v>
      </c>
      <c r="M472" s="69"/>
      <c r="N472" s="43" t="str">
        <f>IF(Gastos[[#This Row],[Fecha_Cheque]]&gt;0,WEEKNUM(Gastos[[#This Row],[Fecha_Cheque]]),MID(Gastos[[#This Row],[Semana]],6,2))</f>
        <v>12</v>
      </c>
      <c r="O472" t="s">
        <v>952</v>
      </c>
      <c r="P472" t="s">
        <v>27</v>
      </c>
    </row>
    <row r="473" spans="1:16" hidden="1" x14ac:dyDescent="0.25">
      <c r="A473" s="3" t="s">
        <v>3754</v>
      </c>
      <c r="B473" t="s">
        <v>366</v>
      </c>
      <c r="C473" t="s">
        <v>3781</v>
      </c>
      <c r="D473" t="s">
        <v>26</v>
      </c>
      <c r="E473" t="s">
        <v>42</v>
      </c>
      <c r="F473">
        <v>1</v>
      </c>
      <c r="G473" s="3" t="s">
        <v>4</v>
      </c>
      <c r="H473" s="44" t="s">
        <v>15</v>
      </c>
      <c r="I473" s="17">
        <v>80000</v>
      </c>
      <c r="J473" s="17">
        <f>IF(Gastos[[#This Row],[Divisa]]="$", I473*1, IF(Gastos[[#This Row],[Divisa]]="U$D", I473*$N$1, IF(Gastos[[#This Row],[Divisa]]="EUR", I473*$N$2, 0)))</f>
        <v>80000</v>
      </c>
      <c r="K473" s="54">
        <f>Gastos[[#This Row],[Importe AR$]]/$N$1</f>
        <v>51.282051282051285</v>
      </c>
      <c r="M473" s="69"/>
      <c r="N473" s="43" t="str">
        <f>IF(Gastos[[#This Row],[Fecha_Cheque]]&gt;0,WEEKNUM(Gastos[[#This Row],[Fecha_Cheque]]),MID(Gastos[[#This Row],[Semana]],6,2))</f>
        <v>29</v>
      </c>
      <c r="O473" t="s">
        <v>3782</v>
      </c>
      <c r="P473" t="s">
        <v>27</v>
      </c>
    </row>
    <row r="474" spans="1:16" hidden="1" x14ac:dyDescent="0.25">
      <c r="A474" s="3" t="s">
        <v>828</v>
      </c>
      <c r="B474" t="s">
        <v>969</v>
      </c>
      <c r="C474" t="s">
        <v>970</v>
      </c>
      <c r="D474" t="s">
        <v>26</v>
      </c>
      <c r="E474" t="s">
        <v>31</v>
      </c>
      <c r="F474">
        <v>1</v>
      </c>
      <c r="G474" s="3" t="s">
        <v>32</v>
      </c>
      <c r="H474" s="44" t="s">
        <v>15</v>
      </c>
      <c r="I474" s="17">
        <v>1077596.6499999999</v>
      </c>
      <c r="J474" s="17">
        <f>IF(Gastos[[#This Row],[Divisa]]="$", I474*1, IF(Gastos[[#This Row],[Divisa]]="U$D", I474*$N$1, IF(Gastos[[#This Row],[Divisa]]="EUR", I474*$N$2, 0)))</f>
        <v>1077596.6499999999</v>
      </c>
      <c r="K474" s="54">
        <f>Gastos[[#This Row],[Importe AR$]]/$N$1</f>
        <v>690.76708333333329</v>
      </c>
      <c r="M474" s="69">
        <v>46119</v>
      </c>
      <c r="N474" s="43">
        <f>IF(Gastos[[#This Row],[Fecha_Cheque]]&gt;0,WEEKNUM(Gastos[[#This Row],[Fecha_Cheque]]),MID(Gastos[[#This Row],[Semana]],6,2))</f>
        <v>15</v>
      </c>
      <c r="O474" t="s">
        <v>971</v>
      </c>
      <c r="P474" t="s">
        <v>27</v>
      </c>
    </row>
    <row r="475" spans="1:16" hidden="1" x14ac:dyDescent="0.25">
      <c r="A475" s="3" t="s">
        <v>828</v>
      </c>
      <c r="B475" t="s">
        <v>969</v>
      </c>
      <c r="C475" t="s">
        <v>970</v>
      </c>
      <c r="D475" t="s">
        <v>26</v>
      </c>
      <c r="E475" t="s">
        <v>31</v>
      </c>
      <c r="F475">
        <v>1</v>
      </c>
      <c r="G475" s="3" t="s">
        <v>32</v>
      </c>
      <c r="H475" s="44" t="s">
        <v>15</v>
      </c>
      <c r="I475" s="17">
        <v>1077596.6499999999</v>
      </c>
      <c r="J475" s="17">
        <f>IF(Gastos[[#This Row],[Divisa]]="$", I475*1, IF(Gastos[[#This Row],[Divisa]]="U$D", I475*$N$1, IF(Gastos[[#This Row],[Divisa]]="EUR", I475*$N$2, 0)))</f>
        <v>1077596.6499999999</v>
      </c>
      <c r="K475" s="54">
        <f>Gastos[[#This Row],[Importe AR$]]/$N$1</f>
        <v>690.76708333333329</v>
      </c>
      <c r="M475" s="69">
        <v>46134</v>
      </c>
      <c r="N475" s="43">
        <f>IF(Gastos[[#This Row],[Fecha_Cheque]]&gt;0,WEEKNUM(Gastos[[#This Row],[Fecha_Cheque]]),MID(Gastos[[#This Row],[Semana]],6,2))</f>
        <v>17</v>
      </c>
      <c r="O475" t="s">
        <v>971</v>
      </c>
      <c r="P475" t="s">
        <v>27</v>
      </c>
    </row>
    <row r="476" spans="1:16" hidden="1" x14ac:dyDescent="0.25">
      <c r="A476" s="3" t="s">
        <v>828</v>
      </c>
      <c r="B476" t="s">
        <v>969</v>
      </c>
      <c r="C476" t="s">
        <v>970</v>
      </c>
      <c r="D476" t="s">
        <v>26</v>
      </c>
      <c r="E476" t="s">
        <v>31</v>
      </c>
      <c r="F476">
        <v>1</v>
      </c>
      <c r="G476" s="3" t="s">
        <v>32</v>
      </c>
      <c r="H476" s="44" t="s">
        <v>15</v>
      </c>
      <c r="I476" s="17">
        <v>1077596.6499999999</v>
      </c>
      <c r="J476" s="17">
        <f>IF(Gastos[[#This Row],[Divisa]]="$", I476*1, IF(Gastos[[#This Row],[Divisa]]="U$D", I476*$N$1, IF(Gastos[[#This Row],[Divisa]]="EUR", I476*$N$2, 0)))</f>
        <v>1077596.6499999999</v>
      </c>
      <c r="K476" s="54">
        <f>Gastos[[#This Row],[Importe AR$]]/$N$1</f>
        <v>690.76708333333329</v>
      </c>
      <c r="M476" s="69">
        <v>46143</v>
      </c>
      <c r="N476" s="43">
        <f>IF(Gastos[[#This Row],[Fecha_Cheque]]&gt;0,WEEKNUM(Gastos[[#This Row],[Fecha_Cheque]]),MID(Gastos[[#This Row],[Semana]],6,2))</f>
        <v>18</v>
      </c>
      <c r="O476" t="s">
        <v>971</v>
      </c>
      <c r="P476" t="s">
        <v>27</v>
      </c>
    </row>
    <row r="477" spans="1:16" hidden="1" x14ac:dyDescent="0.25">
      <c r="A477" s="3" t="s">
        <v>828</v>
      </c>
      <c r="B477" t="s">
        <v>969</v>
      </c>
      <c r="C477" t="s">
        <v>970</v>
      </c>
      <c r="D477" t="s">
        <v>26</v>
      </c>
      <c r="E477" t="s">
        <v>31</v>
      </c>
      <c r="F477">
        <v>1</v>
      </c>
      <c r="G477" s="3" t="s">
        <v>32</v>
      </c>
      <c r="H477" s="44" t="s">
        <v>15</v>
      </c>
      <c r="I477" s="17">
        <v>49777.31</v>
      </c>
      <c r="J477" s="17">
        <f>IF(Gastos[[#This Row],[Divisa]]="$", I477*1, IF(Gastos[[#This Row],[Divisa]]="U$D", I477*$N$1, IF(Gastos[[#This Row],[Divisa]]="EUR", I477*$N$2, 0)))</f>
        <v>49777.31</v>
      </c>
      <c r="K477" s="54">
        <f>Gastos[[#This Row],[Importe AR$]]/$N$1</f>
        <v>31.908532051282048</v>
      </c>
      <c r="L477" t="s">
        <v>340</v>
      </c>
      <c r="M477" s="69"/>
      <c r="N477" s="43" t="str">
        <f>IF(Gastos[[#This Row],[Fecha_Cheque]]&gt;0,WEEKNUM(Gastos[[#This Row],[Fecha_Cheque]]),MID(Gastos[[#This Row],[Semana]],6,2))</f>
        <v>13</v>
      </c>
      <c r="O477" t="s">
        <v>971</v>
      </c>
      <c r="P477" t="s">
        <v>27</v>
      </c>
    </row>
    <row r="478" spans="1:16" hidden="1" x14ac:dyDescent="0.25">
      <c r="A478" s="3" t="s">
        <v>122</v>
      </c>
      <c r="B478" t="s">
        <v>370</v>
      </c>
      <c r="C478" t="s">
        <v>371</v>
      </c>
      <c r="D478" t="s">
        <v>26</v>
      </c>
      <c r="E478" t="s">
        <v>42</v>
      </c>
      <c r="F478">
        <v>2</v>
      </c>
      <c r="G478" s="3" t="s">
        <v>4</v>
      </c>
      <c r="H478" s="46" t="s">
        <v>15</v>
      </c>
      <c r="I478" s="17">
        <f>200*3500</f>
        <v>700000</v>
      </c>
      <c r="J478" s="17">
        <f>IF(Gastos[[#This Row],[Divisa]]="$", I478*1, IF(Gastos[[#This Row],[Divisa]]="U$D", I478*$N$1, IF(Gastos[[#This Row],[Divisa]]="EUR", I478*$N$2, 0)))</f>
        <v>700000</v>
      </c>
      <c r="K478" s="54">
        <f>Gastos[[#This Row],[Importe AR$]]/$N$1</f>
        <v>448.71794871794873</v>
      </c>
      <c r="M478" s="69"/>
      <c r="N478" s="43" t="str">
        <f>IF(Gastos[[#This Row],[Fecha_Cheque]]&gt;0,WEEKNUM(Gastos[[#This Row],[Fecha_Cheque]]),MID(Gastos[[#This Row],[Semana]],6,2))</f>
        <v>40</v>
      </c>
      <c r="O478" t="s">
        <v>372</v>
      </c>
      <c r="P478" t="s">
        <v>27</v>
      </c>
    </row>
    <row r="479" spans="1:16" hidden="1" x14ac:dyDescent="0.25">
      <c r="A479" s="3" t="s">
        <v>72</v>
      </c>
      <c r="B479" t="s">
        <v>373</v>
      </c>
      <c r="C479" t="s">
        <v>374</v>
      </c>
      <c r="D479" t="s">
        <v>26</v>
      </c>
      <c r="E479" t="s">
        <v>31</v>
      </c>
      <c r="F479">
        <v>2</v>
      </c>
      <c r="G479" s="3" t="s">
        <v>4</v>
      </c>
      <c r="H479" s="46" t="s">
        <v>15</v>
      </c>
      <c r="I479" s="17">
        <v>480000</v>
      </c>
      <c r="J479" s="17">
        <f>IF(Gastos[[#This Row],[Divisa]]="$", I479*1, IF(Gastos[[#This Row],[Divisa]]="U$D", I479*$N$1, IF(Gastos[[#This Row],[Divisa]]="EUR", I479*$N$2, 0)))</f>
        <v>480000</v>
      </c>
      <c r="K479" s="54">
        <f>Gastos[[#This Row],[Importe AR$]]/$N$1</f>
        <v>307.69230769230768</v>
      </c>
      <c r="M479" s="69"/>
      <c r="N479" s="43" t="str">
        <f>IF(Gastos[[#This Row],[Fecha_Cheque]]&gt;0,WEEKNUM(Gastos[[#This Row],[Fecha_Cheque]]),MID(Gastos[[#This Row],[Semana]],6,2))</f>
        <v>48</v>
      </c>
      <c r="O479" t="s">
        <v>375</v>
      </c>
      <c r="P479" t="s">
        <v>27</v>
      </c>
    </row>
    <row r="480" spans="1:16" hidden="1" x14ac:dyDescent="0.25">
      <c r="A480" s="3" t="s">
        <v>81</v>
      </c>
      <c r="B480" t="s">
        <v>373</v>
      </c>
      <c r="C480" t="s">
        <v>376</v>
      </c>
      <c r="D480" t="s">
        <v>26</v>
      </c>
      <c r="E480" t="s">
        <v>31</v>
      </c>
      <c r="F480">
        <v>2</v>
      </c>
      <c r="G480" s="3" t="s">
        <v>4</v>
      </c>
      <c r="H480" s="46" t="s">
        <v>15</v>
      </c>
      <c r="I480" s="17">
        <f>80*8500</f>
        <v>680000</v>
      </c>
      <c r="J480" s="17">
        <f>IF(Gastos[[#This Row],[Divisa]]="$", I480*1, IF(Gastos[[#This Row],[Divisa]]="U$D", I480*$N$1, IF(Gastos[[#This Row],[Divisa]]="EUR", I480*$N$2, 0)))</f>
        <v>680000</v>
      </c>
      <c r="K480" s="54">
        <f>Gastos[[#This Row],[Importe AR$]]/$N$1</f>
        <v>435.89743589743591</v>
      </c>
      <c r="M480" s="69"/>
      <c r="N480" s="43" t="str">
        <f>IF(Gastos[[#This Row],[Fecha_Cheque]]&gt;0,WEEKNUM(Gastos[[#This Row],[Fecha_Cheque]]),MID(Gastos[[#This Row],[Semana]],6,2))</f>
        <v>49</v>
      </c>
      <c r="O480" t="s">
        <v>377</v>
      </c>
      <c r="P480" t="s">
        <v>27</v>
      </c>
    </row>
    <row r="481" spans="1:16" hidden="1" x14ac:dyDescent="0.25">
      <c r="A481" s="3" t="s">
        <v>378</v>
      </c>
      <c r="B481" t="s">
        <v>373</v>
      </c>
      <c r="C481" t="s">
        <v>379</v>
      </c>
      <c r="D481" t="s">
        <v>26</v>
      </c>
      <c r="E481" t="s">
        <v>31</v>
      </c>
      <c r="F481">
        <v>2</v>
      </c>
      <c r="G481" s="3" t="s">
        <v>4</v>
      </c>
      <c r="H481" s="46" t="s">
        <v>15</v>
      </c>
      <c r="I481" s="17">
        <v>2750000</v>
      </c>
      <c r="J481" s="17">
        <f>IF(Gastos[[#This Row],[Divisa]]="$", I481*1, IF(Gastos[[#This Row],[Divisa]]="U$D", I481*$N$1, IF(Gastos[[#This Row],[Divisa]]="EUR", I481*$N$2, 0)))</f>
        <v>2750000</v>
      </c>
      <c r="K481" s="54">
        <f>Gastos[[#This Row],[Importe AR$]]/$N$1</f>
        <v>1762.8205128205129</v>
      </c>
      <c r="M481" s="69"/>
      <c r="N481" s="43" t="str">
        <f>IF(Gastos[[#This Row],[Fecha_Cheque]]&gt;0,WEEKNUM(Gastos[[#This Row],[Fecha_Cheque]]),MID(Gastos[[#This Row],[Semana]],6,2))</f>
        <v>03</v>
      </c>
      <c r="O481" t="s">
        <v>380</v>
      </c>
      <c r="P481" t="s">
        <v>27</v>
      </c>
    </row>
    <row r="482" spans="1:16" hidden="1" x14ac:dyDescent="0.25">
      <c r="A482" s="3" t="s">
        <v>210</v>
      </c>
      <c r="B482" t="s">
        <v>381</v>
      </c>
      <c r="C482" t="s">
        <v>269</v>
      </c>
      <c r="D482" t="s">
        <v>26</v>
      </c>
      <c r="E482" t="s">
        <v>31</v>
      </c>
      <c r="F482">
        <v>1</v>
      </c>
      <c r="G482" s="3" t="s">
        <v>32</v>
      </c>
      <c r="H482" s="46" t="s">
        <v>15</v>
      </c>
      <c r="I482" s="17">
        <v>536598.69999999995</v>
      </c>
      <c r="J482" s="17">
        <f>IF(Gastos[[#This Row],[Divisa]]="$", I482*1, IF(Gastos[[#This Row],[Divisa]]="U$D", I482*$N$1, IF(Gastos[[#This Row],[Divisa]]="EUR", I482*$N$2, 0)))</f>
        <v>536598.69999999995</v>
      </c>
      <c r="K482" s="54">
        <f>Gastos[[#This Row],[Importe AR$]]/$N$1</f>
        <v>343.97352564102562</v>
      </c>
      <c r="M482" s="69">
        <v>45941</v>
      </c>
      <c r="N482" s="43">
        <f>IF(Gastos[[#This Row],[Fecha_Cheque]]&gt;0,WEEKNUM(Gastos[[#This Row],[Fecha_Cheque]]),MID(Gastos[[#This Row],[Semana]],6,2))</f>
        <v>41</v>
      </c>
      <c r="O482" t="s">
        <v>123</v>
      </c>
      <c r="P482" t="s">
        <v>27</v>
      </c>
    </row>
    <row r="483" spans="1:16" hidden="1" x14ac:dyDescent="0.25">
      <c r="A483" s="3" t="s">
        <v>3617</v>
      </c>
      <c r="B483" t="s">
        <v>3686</v>
      </c>
      <c r="C483" t="s">
        <v>3687</v>
      </c>
      <c r="D483" t="s">
        <v>26</v>
      </c>
      <c r="E483" t="s">
        <v>31</v>
      </c>
      <c r="F483">
        <v>1</v>
      </c>
      <c r="G483" s="3" t="s">
        <v>5</v>
      </c>
      <c r="H483" s="44" t="s">
        <v>15</v>
      </c>
      <c r="I483" s="17">
        <v>180000</v>
      </c>
      <c r="J483" s="17">
        <f>IF(Gastos[[#This Row],[Divisa]]="$", I483*1, IF(Gastos[[#This Row],[Divisa]]="U$D", I483*$N$1, IF(Gastos[[#This Row],[Divisa]]="EUR", I483*$N$2, 0)))</f>
        <v>180000</v>
      </c>
      <c r="K483" s="54">
        <f>Gastos[[#This Row],[Importe AR$]]/$N$1</f>
        <v>115.38461538461539</v>
      </c>
      <c r="M483" s="69"/>
      <c r="N483" s="43" t="str">
        <f>IF(Gastos[[#This Row],[Fecha_Cheque]]&gt;0,WEEKNUM(Gastos[[#This Row],[Fecha_Cheque]]),MID(Gastos[[#This Row],[Semana]],6,2))</f>
        <v>27</v>
      </c>
      <c r="O483" t="s">
        <v>3688</v>
      </c>
      <c r="P483" t="s">
        <v>27</v>
      </c>
    </row>
    <row r="484" spans="1:16" hidden="1" x14ac:dyDescent="0.25">
      <c r="A484" s="3" t="s">
        <v>2731</v>
      </c>
      <c r="B484" t="s">
        <v>2806</v>
      </c>
      <c r="C484" t="s">
        <v>2807</v>
      </c>
      <c r="D484" t="s">
        <v>26</v>
      </c>
      <c r="E484" t="s">
        <v>42</v>
      </c>
      <c r="F484">
        <v>1</v>
      </c>
      <c r="G484" s="3" t="s">
        <v>4</v>
      </c>
      <c r="H484" s="44" t="s">
        <v>15</v>
      </c>
      <c r="I484" s="17">
        <v>38100</v>
      </c>
      <c r="J484" s="17">
        <f>IF(Gastos[[#This Row],[Divisa]]="$", I484*1, IF(Gastos[[#This Row],[Divisa]]="U$D", I484*$N$1, IF(Gastos[[#This Row],[Divisa]]="EUR", I484*$N$2, 0)))</f>
        <v>38100</v>
      </c>
      <c r="K484" s="54">
        <f>Gastos[[#This Row],[Importe AR$]]/$N$1</f>
        <v>24.423076923076923</v>
      </c>
      <c r="M484" s="69"/>
      <c r="N484" s="43" t="str">
        <f>IF(Gastos[[#This Row],[Fecha_Cheque]]&gt;0,WEEKNUM(Gastos[[#This Row],[Fecha_Cheque]]),MID(Gastos[[#This Row],[Semana]],6,2))</f>
        <v>17</v>
      </c>
      <c r="O484" t="s">
        <v>2808</v>
      </c>
      <c r="P484" t="s">
        <v>27</v>
      </c>
    </row>
    <row r="485" spans="1:16" hidden="1" x14ac:dyDescent="0.25">
      <c r="A485" s="3" t="s">
        <v>2740</v>
      </c>
      <c r="B485" t="s">
        <v>2788</v>
      </c>
      <c r="C485" t="s">
        <v>2789</v>
      </c>
      <c r="D485" t="s">
        <v>26</v>
      </c>
      <c r="E485" t="s">
        <v>42</v>
      </c>
      <c r="F485">
        <v>1</v>
      </c>
      <c r="G485" s="3" t="s">
        <v>4</v>
      </c>
      <c r="H485" s="44" t="s">
        <v>15</v>
      </c>
      <c r="I485" s="17">
        <v>22500</v>
      </c>
      <c r="J485" s="17">
        <f>IF(Gastos[[#This Row],[Divisa]]="$", I485*1, IF(Gastos[[#This Row],[Divisa]]="U$D", I485*$N$1, IF(Gastos[[#This Row],[Divisa]]="EUR", I485*$N$2, 0)))</f>
        <v>22500</v>
      </c>
      <c r="K485" s="54">
        <f>Gastos[[#This Row],[Importe AR$]]/$N$1</f>
        <v>14.423076923076923</v>
      </c>
      <c r="M485" s="69"/>
      <c r="N485" s="43" t="str">
        <f>IF(Gastos[[#This Row],[Fecha_Cheque]]&gt;0,WEEKNUM(Gastos[[#This Row],[Fecha_Cheque]]),MID(Gastos[[#This Row],[Semana]],6,2))</f>
        <v>16</v>
      </c>
      <c r="O485" t="s">
        <v>2790</v>
      </c>
      <c r="P485" t="s">
        <v>27</v>
      </c>
    </row>
    <row r="486" spans="1:16" hidden="1" x14ac:dyDescent="0.25">
      <c r="A486" s="3" t="s">
        <v>2763</v>
      </c>
      <c r="B486" t="s">
        <v>2788</v>
      </c>
      <c r="C486" t="s">
        <v>3116</v>
      </c>
      <c r="D486" t="s">
        <v>26</v>
      </c>
      <c r="E486" t="s">
        <v>42</v>
      </c>
      <c r="F486">
        <v>1</v>
      </c>
      <c r="G486" s="3" t="s">
        <v>4</v>
      </c>
      <c r="H486" s="44" t="s">
        <v>15</v>
      </c>
      <c r="I486" s="17">
        <v>41950</v>
      </c>
      <c r="J486" s="17">
        <f>IF(Gastos[[#This Row],[Divisa]]="$", I486*1, IF(Gastos[[#This Row],[Divisa]]="U$D", I486*$N$1, IF(Gastos[[#This Row],[Divisa]]="EUR", I486*$N$2, 0)))</f>
        <v>41950</v>
      </c>
      <c r="K486" s="54">
        <f>Gastos[[#This Row],[Importe AR$]]/$N$1</f>
        <v>26.891025641025642</v>
      </c>
      <c r="M486" s="69"/>
      <c r="N486" s="43" t="str">
        <f>IF(Gastos[[#This Row],[Fecha_Cheque]]&gt;0,WEEKNUM(Gastos[[#This Row],[Fecha_Cheque]]),MID(Gastos[[#This Row],[Semana]],6,2))</f>
        <v>23</v>
      </c>
      <c r="O486" t="s">
        <v>3117</v>
      </c>
      <c r="P486" t="s">
        <v>27</v>
      </c>
    </row>
    <row r="487" spans="1:16" hidden="1" x14ac:dyDescent="0.25">
      <c r="A487" s="3" t="s">
        <v>64</v>
      </c>
      <c r="B487" t="s">
        <v>382</v>
      </c>
      <c r="C487" t="s">
        <v>383</v>
      </c>
      <c r="D487" t="s">
        <v>26</v>
      </c>
      <c r="E487" t="s">
        <v>91</v>
      </c>
      <c r="F487">
        <v>1</v>
      </c>
      <c r="G487" s="3" t="s">
        <v>5</v>
      </c>
      <c r="H487" s="46" t="s">
        <v>15</v>
      </c>
      <c r="I487" s="17">
        <v>144000</v>
      </c>
      <c r="J487" s="17">
        <f>IF(Gastos[[#This Row],[Divisa]]="$", I487*1, IF(Gastos[[#This Row],[Divisa]]="U$D", I487*$N$1, IF(Gastos[[#This Row],[Divisa]]="EUR", I487*$N$2, 0)))</f>
        <v>144000</v>
      </c>
      <c r="K487" s="54">
        <f>Gastos[[#This Row],[Importe AR$]]/$N$1</f>
        <v>92.307692307692307</v>
      </c>
      <c r="M487" s="69"/>
      <c r="N487" s="43" t="str">
        <f>IF(Gastos[[#This Row],[Fecha_Cheque]]&gt;0,WEEKNUM(Gastos[[#This Row],[Fecha_Cheque]]),MID(Gastos[[#This Row],[Semana]],6,2))</f>
        <v>33</v>
      </c>
      <c r="O487" t="s">
        <v>384</v>
      </c>
      <c r="P487" t="s">
        <v>27</v>
      </c>
    </row>
    <row r="488" spans="1:16" hidden="1" x14ac:dyDescent="0.25">
      <c r="A488" s="3" t="s">
        <v>2726</v>
      </c>
      <c r="B488" t="s">
        <v>3462</v>
      </c>
      <c r="C488" t="s">
        <v>3463</v>
      </c>
      <c r="D488" t="s">
        <v>26</v>
      </c>
      <c r="E488" t="s">
        <v>31</v>
      </c>
      <c r="F488">
        <v>1</v>
      </c>
      <c r="G488" s="3" t="s">
        <v>5</v>
      </c>
      <c r="H488" s="44" t="s">
        <v>15</v>
      </c>
      <c r="I488" s="17">
        <v>48414.91</v>
      </c>
      <c r="J488" s="17">
        <f>IF(Gastos[[#This Row],[Divisa]]="$", I488*1, IF(Gastos[[#This Row],[Divisa]]="U$D", I488*$N$1, IF(Gastos[[#This Row],[Divisa]]="EUR", I488*$N$2, 0)))</f>
        <v>48414.91</v>
      </c>
      <c r="K488" s="54">
        <f>Gastos[[#This Row],[Importe AR$]]/$N$1</f>
        <v>31.03519871794872</v>
      </c>
      <c r="M488" s="69"/>
      <c r="N488" s="43" t="str">
        <f>IF(Gastos[[#This Row],[Fecha_Cheque]]&gt;0,WEEKNUM(Gastos[[#This Row],[Fecha_Cheque]]),MID(Gastos[[#This Row],[Semana]],6,2))</f>
        <v>24</v>
      </c>
      <c r="O488" t="s">
        <v>3464</v>
      </c>
      <c r="P488" t="s">
        <v>27</v>
      </c>
    </row>
    <row r="489" spans="1:16" hidden="1" x14ac:dyDescent="0.25">
      <c r="A489" s="3" t="s">
        <v>232</v>
      </c>
      <c r="B489" t="s">
        <v>385</v>
      </c>
      <c r="C489" t="s">
        <v>386</v>
      </c>
      <c r="D489" t="s">
        <v>26</v>
      </c>
      <c r="E489" t="s">
        <v>31</v>
      </c>
      <c r="F489">
        <v>1</v>
      </c>
      <c r="G489" s="3" t="s">
        <v>5</v>
      </c>
      <c r="H489" s="46" t="s">
        <v>15</v>
      </c>
      <c r="I489" s="17">
        <v>473630.25</v>
      </c>
      <c r="J489" s="17">
        <f>IF(Gastos[[#This Row],[Divisa]]="$", I489*1, IF(Gastos[[#This Row],[Divisa]]="U$D", I489*$N$1, IF(Gastos[[#This Row],[Divisa]]="EUR", I489*$N$2, 0)))</f>
        <v>473630.25</v>
      </c>
      <c r="K489" s="54">
        <f>Gastos[[#This Row],[Importe AR$]]/$N$1</f>
        <v>303.60913461538462</v>
      </c>
      <c r="M489" s="69"/>
      <c r="N489" s="43" t="str">
        <f>IF(Gastos[[#This Row],[Fecha_Cheque]]&gt;0,WEEKNUM(Gastos[[#This Row],[Fecha_Cheque]]),MID(Gastos[[#This Row],[Semana]],6,2))</f>
        <v>44</v>
      </c>
      <c r="O489" t="s">
        <v>387</v>
      </c>
      <c r="P489" t="s">
        <v>27</v>
      </c>
    </row>
    <row r="490" spans="1:16" hidden="1" x14ac:dyDescent="0.25">
      <c r="A490" s="3" t="s">
        <v>72</v>
      </c>
      <c r="B490" t="s">
        <v>385</v>
      </c>
      <c r="C490" t="s">
        <v>388</v>
      </c>
      <c r="D490" t="s">
        <v>26</v>
      </c>
      <c r="E490" t="s">
        <v>31</v>
      </c>
      <c r="F490">
        <v>1</v>
      </c>
      <c r="G490" s="3" t="s">
        <v>32</v>
      </c>
      <c r="H490" s="46" t="s">
        <v>15</v>
      </c>
      <c r="I490" s="17">
        <v>131475.6</v>
      </c>
      <c r="J490" s="17">
        <f>IF(Gastos[[#This Row],[Divisa]]="$", I490*1, IF(Gastos[[#This Row],[Divisa]]="U$D", I490*$N$1, IF(Gastos[[#This Row],[Divisa]]="EUR", I490*$N$2, 0)))</f>
        <v>131475.6</v>
      </c>
      <c r="K490" s="54">
        <f>Gastos[[#This Row],[Importe AR$]]/$N$1</f>
        <v>84.279230769230779</v>
      </c>
      <c r="M490" s="69">
        <v>46018</v>
      </c>
      <c r="N490" s="43">
        <f>IF(Gastos[[#This Row],[Fecha_Cheque]]&gt;0,WEEKNUM(Gastos[[#This Row],[Fecha_Cheque]]),MID(Gastos[[#This Row],[Semana]],6,2))</f>
        <v>52</v>
      </c>
      <c r="O490" t="s">
        <v>389</v>
      </c>
      <c r="P490" t="s">
        <v>27</v>
      </c>
    </row>
    <row r="491" spans="1:16" hidden="1" x14ac:dyDescent="0.25">
      <c r="A491" s="3" t="s">
        <v>56</v>
      </c>
      <c r="B491" t="s">
        <v>390</v>
      </c>
      <c r="C491" t="s">
        <v>391</v>
      </c>
      <c r="D491" t="s">
        <v>26</v>
      </c>
      <c r="E491" t="s">
        <v>31</v>
      </c>
      <c r="F491">
        <v>1</v>
      </c>
      <c r="G491" s="3" t="s">
        <v>32</v>
      </c>
      <c r="H491" s="46" t="s">
        <v>15</v>
      </c>
      <c r="I491" s="17">
        <v>2056690</v>
      </c>
      <c r="J491" s="17">
        <f>IF(Gastos[[#This Row],[Divisa]]="$", I491*1, IF(Gastos[[#This Row],[Divisa]]="U$D", I491*$N$1, IF(Gastos[[#This Row],[Divisa]]="EUR", I491*$N$2, 0)))</f>
        <v>2056690</v>
      </c>
      <c r="K491" s="54">
        <f>Gastos[[#This Row],[Importe AR$]]/$N$1</f>
        <v>1318.3910256410256</v>
      </c>
      <c r="M491" s="69">
        <v>45995</v>
      </c>
      <c r="N491" s="43">
        <f>IF(Gastos[[#This Row],[Fecha_Cheque]]&gt;0,WEEKNUM(Gastos[[#This Row],[Fecha_Cheque]]),MID(Gastos[[#This Row],[Semana]],6,2))</f>
        <v>49</v>
      </c>
      <c r="O491" t="s">
        <v>392</v>
      </c>
      <c r="P491" t="s">
        <v>27</v>
      </c>
    </row>
    <row r="492" spans="1:16" hidden="1" x14ac:dyDescent="0.25">
      <c r="A492" s="3" t="s">
        <v>72</v>
      </c>
      <c r="B492" t="s">
        <v>390</v>
      </c>
      <c r="C492" t="s">
        <v>391</v>
      </c>
      <c r="D492" t="s">
        <v>61</v>
      </c>
      <c r="E492" t="s">
        <v>62</v>
      </c>
      <c r="F492">
        <v>1</v>
      </c>
      <c r="G492" s="3" t="s">
        <v>32</v>
      </c>
      <c r="H492" s="46" t="s">
        <v>15</v>
      </c>
      <c r="I492" s="17">
        <v>1950000</v>
      </c>
      <c r="J492" s="17">
        <f>IF(Gastos[[#This Row],[Divisa]]="$", I492*1, IF(Gastos[[#This Row],[Divisa]]="U$D", I492*$N$1, IF(Gastos[[#This Row],[Divisa]]="EUR", I492*$N$2, 0)))</f>
        <v>1950000</v>
      </c>
      <c r="K492" s="54">
        <f>Gastos[[#This Row],[Importe AR$]]/$N$1</f>
        <v>1250</v>
      </c>
      <c r="M492" s="69">
        <v>46038</v>
      </c>
      <c r="N492" s="43">
        <f>IF(Gastos[[#This Row],[Fecha_Cheque]]&gt;0,WEEKNUM(Gastos[[#This Row],[Fecha_Cheque]]),MID(Gastos[[#This Row],[Semana]],6,2))</f>
        <v>3</v>
      </c>
      <c r="O492" t="s">
        <v>393</v>
      </c>
      <c r="P492" t="s">
        <v>27</v>
      </c>
    </row>
    <row r="493" spans="1:16" hidden="1" x14ac:dyDescent="0.25">
      <c r="A493" s="3" t="s">
        <v>72</v>
      </c>
      <c r="B493" t="s">
        <v>390</v>
      </c>
      <c r="C493" t="s">
        <v>391</v>
      </c>
      <c r="D493" t="s">
        <v>61</v>
      </c>
      <c r="E493" t="s">
        <v>62</v>
      </c>
      <c r="F493">
        <v>1</v>
      </c>
      <c r="G493" s="3" t="s">
        <v>32</v>
      </c>
      <c r="H493" s="46" t="s">
        <v>15</v>
      </c>
      <c r="I493" s="17">
        <v>1950000</v>
      </c>
      <c r="J493" s="17">
        <f>IF(Gastos[[#This Row],[Divisa]]="$", I493*1, IF(Gastos[[#This Row],[Divisa]]="U$D", I493*$N$1, IF(Gastos[[#This Row],[Divisa]]="EUR", I493*$N$2, 0)))</f>
        <v>1950000</v>
      </c>
      <c r="K493" s="54">
        <f>Gastos[[#This Row],[Importe AR$]]/$N$1</f>
        <v>1250</v>
      </c>
      <c r="M493" s="69">
        <v>46041</v>
      </c>
      <c r="N493" s="43">
        <f>IF(Gastos[[#This Row],[Fecha_Cheque]]&gt;0,WEEKNUM(Gastos[[#This Row],[Fecha_Cheque]]),MID(Gastos[[#This Row],[Semana]],6,2))</f>
        <v>4</v>
      </c>
      <c r="O493" t="s">
        <v>393</v>
      </c>
      <c r="P493" t="s">
        <v>27</v>
      </c>
    </row>
    <row r="494" spans="1:16" hidden="1" x14ac:dyDescent="0.25">
      <c r="A494" s="3" t="s">
        <v>72</v>
      </c>
      <c r="B494" t="s">
        <v>390</v>
      </c>
      <c r="C494" t="s">
        <v>391</v>
      </c>
      <c r="D494" t="s">
        <v>61</v>
      </c>
      <c r="E494" t="s">
        <v>62</v>
      </c>
      <c r="F494">
        <v>1</v>
      </c>
      <c r="G494" s="3" t="s">
        <v>32</v>
      </c>
      <c r="H494" s="46" t="s">
        <v>15</v>
      </c>
      <c r="I494" s="17">
        <v>1950000</v>
      </c>
      <c r="J494" s="17">
        <f>IF(Gastos[[#This Row],[Divisa]]="$", I494*1, IF(Gastos[[#This Row],[Divisa]]="U$D", I494*$N$1, IF(Gastos[[#This Row],[Divisa]]="EUR", I494*$N$2, 0)))</f>
        <v>1950000</v>
      </c>
      <c r="K494" s="54">
        <f>Gastos[[#This Row],[Importe AR$]]/$N$1</f>
        <v>1250</v>
      </c>
      <c r="M494" s="69">
        <v>46027</v>
      </c>
      <c r="N494" s="43">
        <f>IF(Gastos[[#This Row],[Fecha_Cheque]]&gt;0,WEEKNUM(Gastos[[#This Row],[Fecha_Cheque]]),MID(Gastos[[#This Row],[Semana]],6,2))</f>
        <v>2</v>
      </c>
      <c r="O494" t="s">
        <v>393</v>
      </c>
      <c r="P494" t="s">
        <v>27</v>
      </c>
    </row>
    <row r="495" spans="1:16" hidden="1" x14ac:dyDescent="0.25">
      <c r="A495" s="3" t="s">
        <v>72</v>
      </c>
      <c r="B495" t="s">
        <v>390</v>
      </c>
      <c r="C495" t="s">
        <v>391</v>
      </c>
      <c r="D495" t="s">
        <v>61</v>
      </c>
      <c r="E495" t="s">
        <v>62</v>
      </c>
      <c r="F495">
        <v>1</v>
      </c>
      <c r="G495" s="3" t="s">
        <v>32</v>
      </c>
      <c r="H495" s="46" t="s">
        <v>15</v>
      </c>
      <c r="I495" s="17">
        <v>1950000</v>
      </c>
      <c r="J495" s="17">
        <f>IF(Gastos[[#This Row],[Divisa]]="$", I495*1, IF(Gastos[[#This Row],[Divisa]]="U$D", I495*$N$1, IF(Gastos[[#This Row],[Divisa]]="EUR", I495*$N$2, 0)))</f>
        <v>1950000</v>
      </c>
      <c r="K495" s="54">
        <f>Gastos[[#This Row],[Importe AR$]]/$N$1</f>
        <v>1250</v>
      </c>
      <c r="M495" s="69">
        <v>46043</v>
      </c>
      <c r="N495" s="43">
        <f>IF(Gastos[[#This Row],[Fecha_Cheque]]&gt;0,WEEKNUM(Gastos[[#This Row],[Fecha_Cheque]]),MID(Gastos[[#This Row],[Semana]],6,2))</f>
        <v>4</v>
      </c>
      <c r="O495" t="s">
        <v>393</v>
      </c>
      <c r="P495" t="s">
        <v>27</v>
      </c>
    </row>
    <row r="496" spans="1:16" x14ac:dyDescent="0.25">
      <c r="A496" s="3" t="s">
        <v>4655</v>
      </c>
      <c r="B496" t="s">
        <v>322</v>
      </c>
      <c r="C496" t="s">
        <v>3118</v>
      </c>
      <c r="D496" t="s">
        <v>26</v>
      </c>
      <c r="E496" t="s">
        <v>62</v>
      </c>
      <c r="F496">
        <v>1</v>
      </c>
      <c r="G496" s="3" t="s">
        <v>32</v>
      </c>
      <c r="H496" s="46" t="s">
        <v>15</v>
      </c>
      <c r="I496" s="17">
        <v>1323000</v>
      </c>
      <c r="J496" s="17">
        <f>IF(Gastos[[#This Row],[Divisa]]="$", I496*1, IF(Gastos[[#This Row],[Divisa]]="U$D", I496*$N$1, IF(Gastos[[#This Row],[Divisa]]="EUR", I496*$N$2, 0)))</f>
        <v>1323000</v>
      </c>
      <c r="K496" s="54">
        <f>Gastos[[#This Row],[Importe AR$]]/$N$1</f>
        <v>848.07692307692309</v>
      </c>
      <c r="M496" s="69"/>
      <c r="N496" s="43" t="str">
        <f>IF(Gastos[[#This Row],[Fecha_Cheque]]&gt;0,WEEKNUM(Gastos[[#This Row],[Fecha_Cheque]]),MID(Gastos[[#This Row],[Semana]],6,2))</f>
        <v>44</v>
      </c>
    </row>
    <row r="497" spans="1:16" hidden="1" x14ac:dyDescent="0.25">
      <c r="A497" s="3" t="s">
        <v>206</v>
      </c>
      <c r="B497" t="s">
        <v>400</v>
      </c>
      <c r="C497" t="s">
        <v>401</v>
      </c>
      <c r="D497" t="s">
        <v>26</v>
      </c>
      <c r="E497" t="s">
        <v>31</v>
      </c>
      <c r="F497">
        <v>1</v>
      </c>
      <c r="G497" s="3" t="s">
        <v>5</v>
      </c>
      <c r="H497" s="46" t="s">
        <v>15</v>
      </c>
      <c r="I497" s="17">
        <v>100000</v>
      </c>
      <c r="J497" s="17">
        <f>IF(Gastos[[#This Row],[Divisa]]="$", I497*1, IF(Gastos[[#This Row],[Divisa]]="U$D", I497*$N$1, IF(Gastos[[#This Row],[Divisa]]="EUR", I497*$N$2, 0)))</f>
        <v>100000</v>
      </c>
      <c r="K497" s="54">
        <f>Gastos[[#This Row],[Importe AR$]]/$N$1</f>
        <v>64.102564102564102</v>
      </c>
      <c r="M497" s="69"/>
      <c r="N497" s="43" t="str">
        <f>IF(Gastos[[#This Row],[Fecha_Cheque]]&gt;0,WEEKNUM(Gastos[[#This Row],[Fecha_Cheque]]),MID(Gastos[[#This Row],[Semana]],6,2))</f>
        <v>06</v>
      </c>
      <c r="O497" t="s">
        <v>402</v>
      </c>
      <c r="P497" t="s">
        <v>27</v>
      </c>
    </row>
    <row r="498" spans="1:16" hidden="1" x14ac:dyDescent="0.25">
      <c r="A498" s="3" t="s">
        <v>290</v>
      </c>
      <c r="B498" t="s">
        <v>400</v>
      </c>
      <c r="C498" t="s">
        <v>405</v>
      </c>
      <c r="D498" t="s">
        <v>26</v>
      </c>
      <c r="E498" t="s">
        <v>91</v>
      </c>
      <c r="F498">
        <v>1</v>
      </c>
      <c r="G498" s="3" t="s">
        <v>5</v>
      </c>
      <c r="H498" s="46" t="s">
        <v>15</v>
      </c>
      <c r="I498" s="17">
        <v>550000</v>
      </c>
      <c r="J498" s="17">
        <f>IF(Gastos[[#This Row],[Divisa]]="$", I498*1, IF(Gastos[[#This Row],[Divisa]]="U$D", I498*$N$1, IF(Gastos[[#This Row],[Divisa]]="EUR", I498*$N$2, 0)))</f>
        <v>550000</v>
      </c>
      <c r="K498" s="54">
        <f>Gastos[[#This Row],[Importe AR$]]/$N$1</f>
        <v>352.56410256410254</v>
      </c>
      <c r="M498" s="69"/>
      <c r="N498" s="43" t="str">
        <f>IF(Gastos[[#This Row],[Fecha_Cheque]]&gt;0,WEEKNUM(Gastos[[#This Row],[Fecha_Cheque]]),MID(Gastos[[#This Row],[Semana]],6,2))</f>
        <v>23</v>
      </c>
      <c r="O498" t="s">
        <v>406</v>
      </c>
      <c r="P498" t="s">
        <v>27</v>
      </c>
    </row>
    <row r="499" spans="1:16" hidden="1" x14ac:dyDescent="0.25">
      <c r="A499" s="3" t="s">
        <v>253</v>
      </c>
      <c r="B499" t="s">
        <v>400</v>
      </c>
      <c r="C499" t="s">
        <v>407</v>
      </c>
      <c r="D499" t="s">
        <v>26</v>
      </c>
      <c r="E499" t="s">
        <v>91</v>
      </c>
      <c r="F499">
        <v>1</v>
      </c>
      <c r="G499" s="3" t="s">
        <v>5</v>
      </c>
      <c r="H499" s="46" t="s">
        <v>15</v>
      </c>
      <c r="I499" s="17">
        <v>280000</v>
      </c>
      <c r="J499" s="17">
        <f>IF(Gastos[[#This Row],[Divisa]]="$", I499*1, IF(Gastos[[#This Row],[Divisa]]="U$D", I499*$N$1, IF(Gastos[[#This Row],[Divisa]]="EUR", I499*$N$2, 0)))</f>
        <v>280000</v>
      </c>
      <c r="K499" s="54">
        <f>Gastos[[#This Row],[Importe AR$]]/$N$1</f>
        <v>179.48717948717947</v>
      </c>
      <c r="M499" s="69"/>
      <c r="N499" s="43" t="str">
        <f>IF(Gastos[[#This Row],[Fecha_Cheque]]&gt;0,WEEKNUM(Gastos[[#This Row],[Fecha_Cheque]]),MID(Gastos[[#This Row],[Semana]],6,2))</f>
        <v>24</v>
      </c>
      <c r="P499" t="s">
        <v>27</v>
      </c>
    </row>
    <row r="500" spans="1:16" hidden="1" x14ac:dyDescent="0.25">
      <c r="A500" s="3" t="s">
        <v>99</v>
      </c>
      <c r="B500" t="s">
        <v>400</v>
      </c>
      <c r="C500" t="s">
        <v>408</v>
      </c>
      <c r="D500" t="s">
        <v>26</v>
      </c>
      <c r="E500" t="s">
        <v>91</v>
      </c>
      <c r="F500">
        <v>1</v>
      </c>
      <c r="G500" s="3" t="s">
        <v>5</v>
      </c>
      <c r="H500" s="46" t="s">
        <v>15</v>
      </c>
      <c r="I500" s="17">
        <v>280000</v>
      </c>
      <c r="J500" s="17">
        <f>IF(Gastos[[#This Row],[Divisa]]="$", I500*1, IF(Gastos[[#This Row],[Divisa]]="U$D", I500*$N$1, IF(Gastos[[#This Row],[Divisa]]="EUR", I500*$N$2, 0)))</f>
        <v>280000</v>
      </c>
      <c r="K500" s="54">
        <f>Gastos[[#This Row],[Importe AR$]]/$N$1</f>
        <v>179.48717948717947</v>
      </c>
      <c r="M500" s="69"/>
      <c r="N500" s="43" t="str">
        <f>IF(Gastos[[#This Row],[Fecha_Cheque]]&gt;0,WEEKNUM(Gastos[[#This Row],[Fecha_Cheque]]),MID(Gastos[[#This Row],[Semana]],6,2))</f>
        <v>28</v>
      </c>
      <c r="O500" t="s">
        <v>409</v>
      </c>
      <c r="P500" t="s">
        <v>27</v>
      </c>
    </row>
    <row r="501" spans="1:16" hidden="1" x14ac:dyDescent="0.25">
      <c r="A501" s="3" t="s">
        <v>53</v>
      </c>
      <c r="B501" t="s">
        <v>400</v>
      </c>
      <c r="C501" t="s">
        <v>410</v>
      </c>
      <c r="D501" t="s">
        <v>26</v>
      </c>
      <c r="E501" t="s">
        <v>31</v>
      </c>
      <c r="F501">
        <v>1</v>
      </c>
      <c r="G501" s="3" t="s">
        <v>5</v>
      </c>
      <c r="H501" s="46" t="s">
        <v>15</v>
      </c>
      <c r="I501" s="17">
        <v>410000</v>
      </c>
      <c r="J501" s="17">
        <f>IF(Gastos[[#This Row],[Divisa]]="$", I501*1, IF(Gastos[[#This Row],[Divisa]]="U$D", I501*$N$1, IF(Gastos[[#This Row],[Divisa]]="EUR", I501*$N$2, 0)))</f>
        <v>410000</v>
      </c>
      <c r="K501" s="54">
        <f>Gastos[[#This Row],[Importe AR$]]/$N$1</f>
        <v>262.82051282051282</v>
      </c>
      <c r="M501" s="69"/>
      <c r="N501" s="43" t="str">
        <f>IF(Gastos[[#This Row],[Fecha_Cheque]]&gt;0,WEEKNUM(Gastos[[#This Row],[Fecha_Cheque]]),MID(Gastos[[#This Row],[Semana]],6,2))</f>
        <v>34</v>
      </c>
      <c r="O501" t="s">
        <v>411</v>
      </c>
      <c r="P501" t="s">
        <v>27</v>
      </c>
    </row>
    <row r="502" spans="1:16" hidden="1" x14ac:dyDescent="0.25">
      <c r="A502" s="3" t="s">
        <v>180</v>
      </c>
      <c r="B502" t="s">
        <v>400</v>
      </c>
      <c r="C502" t="s">
        <v>421</v>
      </c>
      <c r="D502" t="s">
        <v>26</v>
      </c>
      <c r="E502" t="s">
        <v>31</v>
      </c>
      <c r="F502">
        <v>1</v>
      </c>
      <c r="G502" s="3" t="s">
        <v>5</v>
      </c>
      <c r="H502" s="46" t="s">
        <v>15</v>
      </c>
      <c r="I502" s="17">
        <v>220000</v>
      </c>
      <c r="J502" s="17">
        <f>IF(Gastos[[#This Row],[Divisa]]="$", I502*1, IF(Gastos[[#This Row],[Divisa]]="U$D", I502*$N$1, IF(Gastos[[#This Row],[Divisa]]="EUR", I502*$N$2, 0)))</f>
        <v>220000</v>
      </c>
      <c r="K502" s="54">
        <f>Gastos[[#This Row],[Importe AR$]]/$N$1</f>
        <v>141.02564102564102</v>
      </c>
      <c r="M502" s="69"/>
      <c r="N502" s="43" t="str">
        <f>IF(Gastos[[#This Row],[Fecha_Cheque]]&gt;0,WEEKNUM(Gastos[[#This Row],[Fecha_Cheque]]),MID(Gastos[[#This Row],[Semana]],6,2))</f>
        <v>09</v>
      </c>
      <c r="O502" t="s">
        <v>517</v>
      </c>
      <c r="P502" t="s">
        <v>27</v>
      </c>
    </row>
    <row r="503" spans="1:16" hidden="1" x14ac:dyDescent="0.25">
      <c r="A503" s="3" t="s">
        <v>310</v>
      </c>
      <c r="B503" t="s">
        <v>412</v>
      </c>
      <c r="C503" t="s">
        <v>413</v>
      </c>
      <c r="D503" t="s">
        <v>26</v>
      </c>
      <c r="E503" t="s">
        <v>31</v>
      </c>
      <c r="F503">
        <v>1</v>
      </c>
      <c r="G503" s="3" t="s">
        <v>5</v>
      </c>
      <c r="H503" s="46" t="s">
        <v>15</v>
      </c>
      <c r="I503" s="17">
        <v>135520</v>
      </c>
      <c r="J503" s="17">
        <f>IF(Gastos[[#This Row],[Divisa]]="$", I503*1, IF(Gastos[[#This Row],[Divisa]]="U$D", I503*$N$1, IF(Gastos[[#This Row],[Divisa]]="EUR", I503*$N$2, 0)))</f>
        <v>135520</v>
      </c>
      <c r="K503" s="54">
        <f>Gastos[[#This Row],[Importe AR$]]/$N$1</f>
        <v>86.871794871794876</v>
      </c>
      <c r="M503" s="69"/>
      <c r="N503" s="43" t="str">
        <f>IF(Gastos[[#This Row],[Fecha_Cheque]]&gt;0,WEEKNUM(Gastos[[#This Row],[Fecha_Cheque]]),MID(Gastos[[#This Row],[Semana]],6,2))</f>
        <v>36</v>
      </c>
      <c r="O503" t="s">
        <v>414</v>
      </c>
      <c r="P503" t="s">
        <v>27</v>
      </c>
    </row>
    <row r="504" spans="1:16" hidden="1" x14ac:dyDescent="0.25">
      <c r="A504" s="3" t="s">
        <v>60</v>
      </c>
      <c r="B504" t="s">
        <v>412</v>
      </c>
      <c r="C504" t="s">
        <v>415</v>
      </c>
      <c r="D504" t="s">
        <v>26</v>
      </c>
      <c r="E504" t="s">
        <v>31</v>
      </c>
      <c r="F504">
        <v>1</v>
      </c>
      <c r="G504" s="3" t="s">
        <v>32</v>
      </c>
      <c r="H504" s="46" t="s">
        <v>15</v>
      </c>
      <c r="I504" s="17">
        <v>135520</v>
      </c>
      <c r="J504" s="17">
        <f>IF(Gastos[[#This Row],[Divisa]]="$", I504*1, IF(Gastos[[#This Row],[Divisa]]="U$D", I504*$N$1, IF(Gastos[[#This Row],[Divisa]]="EUR", I504*$N$2, 0)))</f>
        <v>135520</v>
      </c>
      <c r="K504" s="54">
        <f>Gastos[[#This Row],[Importe AR$]]/$N$1</f>
        <v>86.871794871794876</v>
      </c>
      <c r="M504" s="69"/>
      <c r="N504" s="43" t="str">
        <f>IF(Gastos[[#This Row],[Fecha_Cheque]]&gt;0,WEEKNUM(Gastos[[#This Row],[Fecha_Cheque]]),MID(Gastos[[#This Row],[Semana]],6,2))</f>
        <v>46</v>
      </c>
      <c r="O504" t="s">
        <v>414</v>
      </c>
      <c r="P504" t="s">
        <v>27</v>
      </c>
    </row>
    <row r="505" spans="1:16" hidden="1" x14ac:dyDescent="0.25">
      <c r="A505" s="3" t="s">
        <v>4513</v>
      </c>
      <c r="B505" t="s">
        <v>412</v>
      </c>
      <c r="C505" t="s">
        <v>4546</v>
      </c>
      <c r="D505" t="s">
        <v>26</v>
      </c>
      <c r="E505" t="s">
        <v>62</v>
      </c>
      <c r="F505">
        <v>1</v>
      </c>
      <c r="G505" s="3" t="s">
        <v>32</v>
      </c>
      <c r="H505" s="44" t="s">
        <v>15</v>
      </c>
      <c r="I505" s="17">
        <v>321467.39</v>
      </c>
      <c r="J505" s="17">
        <f>IF(Gastos[[#This Row],[Divisa]]="$", I505*1, IF(Gastos[[#This Row],[Divisa]]="U$D", I505*$N$1, IF(Gastos[[#This Row],[Divisa]]="EUR", I505*$N$2, 0)))</f>
        <v>321467.39</v>
      </c>
      <c r="K505" s="54">
        <f>Gastos[[#This Row],[Importe AR$]]/$N$1</f>
        <v>206.06883974358976</v>
      </c>
      <c r="M505" s="69">
        <v>46349</v>
      </c>
      <c r="N505" s="43">
        <f>IF(Gastos[[#This Row],[Fecha_Cheque]]&gt;0,WEEKNUM(Gastos[[#This Row],[Fecha_Cheque]]),MID(Gastos[[#This Row],[Semana]],6,2))</f>
        <v>48</v>
      </c>
      <c r="O505" t="s">
        <v>4547</v>
      </c>
      <c r="P505" t="s">
        <v>27</v>
      </c>
    </row>
    <row r="506" spans="1:16" hidden="1" x14ac:dyDescent="0.25">
      <c r="A506" s="3" t="s">
        <v>4513</v>
      </c>
      <c r="B506" t="s">
        <v>412</v>
      </c>
      <c r="C506" t="s">
        <v>4546</v>
      </c>
      <c r="D506" t="s">
        <v>26</v>
      </c>
      <c r="E506" t="s">
        <v>62</v>
      </c>
      <c r="F506">
        <v>1</v>
      </c>
      <c r="G506" s="3" t="s">
        <v>32</v>
      </c>
      <c r="H506" s="44" t="s">
        <v>15</v>
      </c>
      <c r="I506" s="17">
        <v>688972.83</v>
      </c>
      <c r="J506" s="17">
        <f>IF(Gastos[[#This Row],[Divisa]]="$", I506*1, IF(Gastos[[#This Row],[Divisa]]="U$D", I506*$N$1, IF(Gastos[[#This Row],[Divisa]]="EUR", I506*$N$2, 0)))</f>
        <v>688972.83</v>
      </c>
      <c r="K506" s="54">
        <f>Gastos[[#This Row],[Importe AR$]]/$N$1</f>
        <v>441.64924999999999</v>
      </c>
      <c r="M506" s="69">
        <v>46347</v>
      </c>
      <c r="N506" s="43">
        <f>IF(Gastos[[#This Row],[Fecha_Cheque]]&gt;0,WEEKNUM(Gastos[[#This Row],[Fecha_Cheque]]),MID(Gastos[[#This Row],[Semana]],6,2))</f>
        <v>47</v>
      </c>
      <c r="O506" t="s">
        <v>4547</v>
      </c>
      <c r="P506" t="s">
        <v>27</v>
      </c>
    </row>
    <row r="507" spans="1:16" hidden="1" x14ac:dyDescent="0.25">
      <c r="A507" s="3" t="s">
        <v>4513</v>
      </c>
      <c r="B507" t="s">
        <v>412</v>
      </c>
      <c r="C507" t="s">
        <v>4546</v>
      </c>
      <c r="D507" t="s">
        <v>26</v>
      </c>
      <c r="E507" t="s">
        <v>62</v>
      </c>
      <c r="F507">
        <v>1</v>
      </c>
      <c r="G507" s="3" t="s">
        <v>32</v>
      </c>
      <c r="H507" s="44" t="s">
        <v>15</v>
      </c>
      <c r="I507" s="17">
        <v>12221.49</v>
      </c>
      <c r="J507" s="17">
        <f>IF(Gastos[[#This Row],[Divisa]]="$", I507*1, IF(Gastos[[#This Row],[Divisa]]="U$D", I507*$N$1, IF(Gastos[[#This Row],[Divisa]]="EUR", I507*$N$2, 0)))</f>
        <v>12221.49</v>
      </c>
      <c r="K507" s="54">
        <f>Gastos[[#This Row],[Importe AR$]]/$N$1</f>
        <v>7.8342884615384616</v>
      </c>
      <c r="L507" t="s">
        <v>340</v>
      </c>
      <c r="M507" s="69"/>
      <c r="N507" s="43" t="str">
        <f>IF(Gastos[[#This Row],[Fecha_Cheque]]&gt;0,WEEKNUM(Gastos[[#This Row],[Fecha_Cheque]]),MID(Gastos[[#This Row],[Semana]],6,2))</f>
        <v>42</v>
      </c>
      <c r="O507" t="s">
        <v>4547</v>
      </c>
      <c r="P507" t="s">
        <v>27</v>
      </c>
    </row>
    <row r="508" spans="1:16" hidden="1" x14ac:dyDescent="0.25">
      <c r="A508" s="3" t="s">
        <v>2740</v>
      </c>
      <c r="B508" t="s">
        <v>2794</v>
      </c>
      <c r="C508" t="s">
        <v>2795</v>
      </c>
      <c r="D508" t="s">
        <v>26</v>
      </c>
      <c r="E508" t="s">
        <v>31</v>
      </c>
      <c r="F508">
        <v>1</v>
      </c>
      <c r="G508" s="3" t="s">
        <v>32</v>
      </c>
      <c r="H508" s="44" t="s">
        <v>15</v>
      </c>
      <c r="I508" s="17">
        <v>491298.18</v>
      </c>
      <c r="J508" s="17">
        <f>IF(Gastos[[#This Row],[Divisa]]="$", I508*1, IF(Gastos[[#This Row],[Divisa]]="U$D", I508*$N$1, IF(Gastos[[#This Row],[Divisa]]="EUR", I508*$N$2, 0)))</f>
        <v>491298.18</v>
      </c>
      <c r="K508" s="54">
        <f>Gastos[[#This Row],[Importe AR$]]/$N$1</f>
        <v>314.93473076923078</v>
      </c>
      <c r="M508" s="69">
        <v>46155</v>
      </c>
      <c r="N508" s="43">
        <f>IF(Gastos[[#This Row],[Fecha_Cheque]]&gt;0,WEEKNUM(Gastos[[#This Row],[Fecha_Cheque]]),MID(Gastos[[#This Row],[Semana]],6,2))</f>
        <v>20</v>
      </c>
      <c r="O508" t="s">
        <v>2796</v>
      </c>
      <c r="P508" t="s">
        <v>27</v>
      </c>
    </row>
    <row r="509" spans="1:16" hidden="1" x14ac:dyDescent="0.25">
      <c r="A509" s="3" t="s">
        <v>2740</v>
      </c>
      <c r="B509" t="s">
        <v>2794</v>
      </c>
      <c r="C509" t="s">
        <v>2795</v>
      </c>
      <c r="D509" t="s">
        <v>26</v>
      </c>
      <c r="E509" t="s">
        <v>31</v>
      </c>
      <c r="F509">
        <v>1</v>
      </c>
      <c r="G509" s="3" t="s">
        <v>32</v>
      </c>
      <c r="H509" s="44" t="s">
        <v>15</v>
      </c>
      <c r="I509" s="17">
        <v>3701.82</v>
      </c>
      <c r="J509" s="17">
        <f>IF(Gastos[[#This Row],[Divisa]]="$", I509*1, IF(Gastos[[#This Row],[Divisa]]="U$D", I509*$N$1, IF(Gastos[[#This Row],[Divisa]]="EUR", I509*$N$2, 0)))</f>
        <v>3701.82</v>
      </c>
      <c r="K509" s="54">
        <f>Gastos[[#This Row],[Importe AR$]]/$N$1</f>
        <v>2.3729615384615386</v>
      </c>
      <c r="L509" t="s">
        <v>340</v>
      </c>
      <c r="M509" s="69"/>
      <c r="N509" s="43" t="str">
        <f>IF(Gastos[[#This Row],[Fecha_Cheque]]&gt;0,WEEKNUM(Gastos[[#This Row],[Fecha_Cheque]]),MID(Gastos[[#This Row],[Semana]],6,2))</f>
        <v>16</v>
      </c>
      <c r="O509" t="s">
        <v>2796</v>
      </c>
      <c r="P509" t="s">
        <v>27</v>
      </c>
    </row>
    <row r="510" spans="1:16" hidden="1" x14ac:dyDescent="0.25">
      <c r="A510" s="3" t="s">
        <v>4322</v>
      </c>
      <c r="B510" t="s">
        <v>4338</v>
      </c>
      <c r="C510" t="s">
        <v>91</v>
      </c>
      <c r="D510" t="s">
        <v>26</v>
      </c>
      <c r="E510" t="s">
        <v>31</v>
      </c>
      <c r="F510">
        <v>1</v>
      </c>
      <c r="G510" s="3" t="s">
        <v>5</v>
      </c>
      <c r="H510" s="44" t="s">
        <v>15</v>
      </c>
      <c r="I510" s="17">
        <v>690000</v>
      </c>
      <c r="J510" s="17">
        <f>IF(Gastos[[#This Row],[Divisa]]="$", I510*1, IF(Gastos[[#This Row],[Divisa]]="U$D", I510*$N$1, IF(Gastos[[#This Row],[Divisa]]="EUR", I510*$N$2, 0)))</f>
        <v>690000</v>
      </c>
      <c r="K510" s="54">
        <f>Gastos[[#This Row],[Importe AR$]]/$N$1</f>
        <v>442.30769230769232</v>
      </c>
      <c r="M510" s="69"/>
      <c r="N510" s="43" t="str">
        <f>IF(Gastos[[#This Row],[Fecha_Cheque]]&gt;0,WEEKNUM(Gastos[[#This Row],[Fecha_Cheque]]),MID(Gastos[[#This Row],[Semana]],6,2))</f>
        <v>38</v>
      </c>
      <c r="O510" t="s">
        <v>4339</v>
      </c>
      <c r="P510" t="s">
        <v>27</v>
      </c>
    </row>
    <row r="511" spans="1:16" hidden="1" x14ac:dyDescent="0.25">
      <c r="A511" s="3" t="s">
        <v>416</v>
      </c>
      <c r="B511" t="s">
        <v>417</v>
      </c>
      <c r="C511" t="s">
        <v>418</v>
      </c>
      <c r="D511" t="s">
        <v>26</v>
      </c>
      <c r="E511" t="s">
        <v>42</v>
      </c>
      <c r="F511">
        <v>1</v>
      </c>
      <c r="G511" s="3" t="s">
        <v>4</v>
      </c>
      <c r="H511" s="46" t="s">
        <v>15</v>
      </c>
      <c r="I511" s="17">
        <v>24000</v>
      </c>
      <c r="J511" s="17">
        <f>IF(Gastos[[#This Row],[Divisa]]="$", I511*1, IF(Gastos[[#This Row],[Divisa]]="U$D", I511*$N$1, IF(Gastos[[#This Row],[Divisa]]="EUR", I511*$N$2, 0)))</f>
        <v>24000</v>
      </c>
      <c r="K511" s="54">
        <f>Gastos[[#This Row],[Importe AR$]]/$N$1</f>
        <v>15.384615384615385</v>
      </c>
      <c r="M511" s="69"/>
      <c r="N511" s="43" t="str">
        <f>IF(Gastos[[#This Row],[Fecha_Cheque]]&gt;0,WEEKNUM(Gastos[[#This Row],[Fecha_Cheque]]),MID(Gastos[[#This Row],[Semana]],6,2))</f>
        <v>52</v>
      </c>
      <c r="O511" t="s">
        <v>419</v>
      </c>
      <c r="P511" t="s">
        <v>27</v>
      </c>
    </row>
    <row r="512" spans="1:16" hidden="1" x14ac:dyDescent="0.25">
      <c r="A512" s="3" t="s">
        <v>332</v>
      </c>
      <c r="B512" t="s">
        <v>417</v>
      </c>
      <c r="C512" t="s">
        <v>1044</v>
      </c>
      <c r="D512" t="s">
        <v>26</v>
      </c>
      <c r="E512" t="s">
        <v>42</v>
      </c>
      <c r="F512">
        <v>1</v>
      </c>
      <c r="G512" s="3" t="s">
        <v>4</v>
      </c>
      <c r="H512" s="44" t="s">
        <v>15</v>
      </c>
      <c r="I512" s="17">
        <v>155000</v>
      </c>
      <c r="J512" s="17">
        <f>IF(Gastos[[#This Row],[Divisa]]="$", I512*1, IF(Gastos[[#This Row],[Divisa]]="U$D", I512*$N$1, IF(Gastos[[#This Row],[Divisa]]="EUR", I512*$N$2, 0)))</f>
        <v>155000</v>
      </c>
      <c r="K512" s="54">
        <f>Gastos[[#This Row],[Importe AR$]]/$N$1</f>
        <v>99.358974358974365</v>
      </c>
      <c r="M512" s="69"/>
      <c r="N512" s="43" t="str">
        <f>IF(Gastos[[#This Row],[Fecha_Cheque]]&gt;0,WEEKNUM(Gastos[[#This Row],[Fecha_Cheque]]),MID(Gastos[[#This Row],[Semana]],6,2))</f>
        <v>12</v>
      </c>
      <c r="O512" t="s">
        <v>1045</v>
      </c>
      <c r="P512" t="s">
        <v>27</v>
      </c>
    </row>
    <row r="513" spans="1:16" hidden="1" x14ac:dyDescent="0.25">
      <c r="A513" s="3" t="s">
        <v>2792</v>
      </c>
      <c r="B513" t="s">
        <v>417</v>
      </c>
      <c r="C513" t="s">
        <v>2893</v>
      </c>
      <c r="D513" t="s">
        <v>26</v>
      </c>
      <c r="E513" t="s">
        <v>31</v>
      </c>
      <c r="F513">
        <v>1</v>
      </c>
      <c r="G513" s="3" t="s">
        <v>32</v>
      </c>
      <c r="H513" s="44" t="s">
        <v>15</v>
      </c>
      <c r="I513" s="17">
        <v>353830.91</v>
      </c>
      <c r="J513" s="17">
        <f>IF(Gastos[[#This Row],[Divisa]]="$", I513*1, IF(Gastos[[#This Row],[Divisa]]="U$D", I513*$N$1, IF(Gastos[[#This Row],[Divisa]]="EUR", I513*$N$2, 0)))</f>
        <v>353830.91</v>
      </c>
      <c r="K513" s="54">
        <f>Gastos[[#This Row],[Importe AR$]]/$N$1</f>
        <v>226.81468589743588</v>
      </c>
      <c r="M513" s="69">
        <v>46192</v>
      </c>
      <c r="N513" s="43">
        <f>IF(Gastos[[#This Row],[Fecha_Cheque]]&gt;0,WEEKNUM(Gastos[[#This Row],[Fecha_Cheque]]),MID(Gastos[[#This Row],[Semana]],6,2))</f>
        <v>25</v>
      </c>
      <c r="O513" t="s">
        <v>2894</v>
      </c>
      <c r="P513" t="s">
        <v>27</v>
      </c>
    </row>
    <row r="514" spans="1:16" hidden="1" x14ac:dyDescent="0.25">
      <c r="A514" s="3" t="s">
        <v>2792</v>
      </c>
      <c r="B514" t="s">
        <v>417</v>
      </c>
      <c r="C514" t="s">
        <v>2893</v>
      </c>
      <c r="D514" t="s">
        <v>26</v>
      </c>
      <c r="E514" t="s">
        <v>31</v>
      </c>
      <c r="F514">
        <v>1</v>
      </c>
      <c r="G514" s="3" t="s">
        <v>32</v>
      </c>
      <c r="H514" s="44" t="s">
        <v>15</v>
      </c>
      <c r="I514" s="17">
        <v>353830.91</v>
      </c>
      <c r="J514" s="17">
        <f>IF(Gastos[[#This Row],[Divisa]]="$", I514*1, IF(Gastos[[#This Row],[Divisa]]="U$D", I514*$N$1, IF(Gastos[[#This Row],[Divisa]]="EUR", I514*$N$2, 0)))</f>
        <v>353830.91</v>
      </c>
      <c r="K514" s="54">
        <f>Gastos[[#This Row],[Importe AR$]]/$N$1</f>
        <v>226.81468589743588</v>
      </c>
      <c r="M514" s="69">
        <v>46206</v>
      </c>
      <c r="N514" s="43">
        <f>IF(Gastos[[#This Row],[Fecha_Cheque]]&gt;0,WEEKNUM(Gastos[[#This Row],[Fecha_Cheque]]),MID(Gastos[[#This Row],[Semana]],6,2))</f>
        <v>27</v>
      </c>
      <c r="O514" t="s">
        <v>2894</v>
      </c>
      <c r="P514" t="s">
        <v>27</v>
      </c>
    </row>
    <row r="515" spans="1:16" hidden="1" x14ac:dyDescent="0.25">
      <c r="A515" s="3" t="s">
        <v>2792</v>
      </c>
      <c r="B515" t="s">
        <v>417</v>
      </c>
      <c r="C515" t="s">
        <v>2893</v>
      </c>
      <c r="D515" t="s">
        <v>26</v>
      </c>
      <c r="E515" t="s">
        <v>31</v>
      </c>
      <c r="F515">
        <v>1</v>
      </c>
      <c r="G515" s="3" t="s">
        <v>32</v>
      </c>
      <c r="H515" s="44" t="s">
        <v>15</v>
      </c>
      <c r="I515" s="17">
        <v>7338.18</v>
      </c>
      <c r="J515" s="17">
        <f>IF(Gastos[[#This Row],[Divisa]]="$", I515*1, IF(Gastos[[#This Row],[Divisa]]="U$D", I515*$N$1, IF(Gastos[[#This Row],[Divisa]]="EUR", I515*$N$2, 0)))</f>
        <v>7338.18</v>
      </c>
      <c r="K515" s="54">
        <f>Gastos[[#This Row],[Importe AR$]]/$N$1</f>
        <v>4.703961538461539</v>
      </c>
      <c r="L515" t="s">
        <v>340</v>
      </c>
      <c r="M515" s="69"/>
      <c r="N515" s="43" t="str">
        <f>IF(Gastos[[#This Row],[Fecha_Cheque]]&gt;0,WEEKNUM(Gastos[[#This Row],[Fecha_Cheque]]),MID(Gastos[[#This Row],[Semana]],6,2))</f>
        <v>21</v>
      </c>
      <c r="O515" t="s">
        <v>2894</v>
      </c>
      <c r="P515" t="s">
        <v>27</v>
      </c>
    </row>
    <row r="516" spans="1:16" hidden="1" x14ac:dyDescent="0.25">
      <c r="A516" s="3" t="s">
        <v>52</v>
      </c>
      <c r="B516" t="s">
        <v>420</v>
      </c>
      <c r="C516" t="s">
        <v>421</v>
      </c>
      <c r="D516" t="s">
        <v>26</v>
      </c>
      <c r="E516" t="s">
        <v>31</v>
      </c>
      <c r="F516">
        <v>1</v>
      </c>
      <c r="G516" s="3" t="s">
        <v>5</v>
      </c>
      <c r="H516" s="46" t="s">
        <v>15</v>
      </c>
      <c r="I516" s="19">
        <v>450000</v>
      </c>
      <c r="J516" s="17">
        <f>IF(Gastos[[#This Row],[Divisa]]="$", I516*1, IF(Gastos[[#This Row],[Divisa]]="U$D", I516*$N$1, IF(Gastos[[#This Row],[Divisa]]="EUR", I516*$N$2, 0)))</f>
        <v>450000</v>
      </c>
      <c r="K516" s="55">
        <f>Gastos[[#This Row],[Importe AR$]]/$N$1</f>
        <v>288.46153846153845</v>
      </c>
      <c r="M516" s="69"/>
      <c r="N516" s="43" t="str">
        <f>IF(Gastos[[#This Row],[Fecha_Cheque]]&gt;0,WEEKNUM(Gastos[[#This Row],[Fecha_Cheque]]),MID(Gastos[[#This Row],[Semana]],6,2))</f>
        <v>12</v>
      </c>
      <c r="P516" t="s">
        <v>27</v>
      </c>
    </row>
    <row r="517" spans="1:16" hidden="1" x14ac:dyDescent="0.25">
      <c r="A517" s="3" t="s">
        <v>99</v>
      </c>
      <c r="B517" t="s">
        <v>420</v>
      </c>
      <c r="C517" t="s">
        <v>422</v>
      </c>
      <c r="D517" t="s">
        <v>26</v>
      </c>
      <c r="E517" t="s">
        <v>91</v>
      </c>
      <c r="F517">
        <v>1</v>
      </c>
      <c r="G517" s="3" t="s">
        <v>5</v>
      </c>
      <c r="H517" s="46" t="s">
        <v>15</v>
      </c>
      <c r="I517" s="17">
        <v>450000</v>
      </c>
      <c r="J517" s="17">
        <f>IF(Gastos[[#This Row],[Divisa]]="$", I517*1, IF(Gastos[[#This Row],[Divisa]]="U$D", I517*$N$1, IF(Gastos[[#This Row],[Divisa]]="EUR", I517*$N$2, 0)))</f>
        <v>450000</v>
      </c>
      <c r="K517" s="54">
        <f>Gastos[[#This Row],[Importe AR$]]/$N$1</f>
        <v>288.46153846153845</v>
      </c>
      <c r="M517" s="69"/>
      <c r="N517" s="43" t="str">
        <f>IF(Gastos[[#This Row],[Fecha_Cheque]]&gt;0,WEEKNUM(Gastos[[#This Row],[Fecha_Cheque]]),MID(Gastos[[#This Row],[Semana]],6,2))</f>
        <v>28</v>
      </c>
      <c r="O517" t="s">
        <v>423</v>
      </c>
      <c r="P517" t="s">
        <v>27</v>
      </c>
    </row>
    <row r="518" spans="1:16" hidden="1" x14ac:dyDescent="0.25">
      <c r="A518" s="3" t="s">
        <v>114</v>
      </c>
      <c r="B518" t="s">
        <v>420</v>
      </c>
      <c r="C518" t="s">
        <v>422</v>
      </c>
      <c r="D518" t="s">
        <v>26</v>
      </c>
      <c r="E518" t="s">
        <v>91</v>
      </c>
      <c r="F518">
        <v>1</v>
      </c>
      <c r="G518" s="3" t="s">
        <v>5</v>
      </c>
      <c r="H518" s="46" t="s">
        <v>15</v>
      </c>
      <c r="I518" s="17">
        <v>450000</v>
      </c>
      <c r="J518" s="17">
        <f>IF(Gastos[[#This Row],[Divisa]]="$", I518*1, IF(Gastos[[#This Row],[Divisa]]="U$D", I518*$N$1, IF(Gastos[[#This Row],[Divisa]]="EUR", I518*$N$2, 0)))</f>
        <v>450000</v>
      </c>
      <c r="K518" s="54">
        <f>Gastos[[#This Row],[Importe AR$]]/$N$1</f>
        <v>288.46153846153845</v>
      </c>
      <c r="M518" s="69"/>
      <c r="N518" s="43" t="str">
        <f>IF(Gastos[[#This Row],[Fecha_Cheque]]&gt;0,WEEKNUM(Gastos[[#This Row],[Fecha_Cheque]]),MID(Gastos[[#This Row],[Semana]],6,2))</f>
        <v>29</v>
      </c>
      <c r="O518" t="s">
        <v>424</v>
      </c>
      <c r="P518" t="s">
        <v>27</v>
      </c>
    </row>
    <row r="519" spans="1:16" hidden="1" x14ac:dyDescent="0.25">
      <c r="A519" s="3" t="s">
        <v>89</v>
      </c>
      <c r="B519" t="s">
        <v>420</v>
      </c>
      <c r="C519" t="s">
        <v>422</v>
      </c>
      <c r="D519" t="s">
        <v>26</v>
      </c>
      <c r="E519" t="s">
        <v>91</v>
      </c>
      <c r="F519">
        <v>1</v>
      </c>
      <c r="G519" s="3" t="s">
        <v>5</v>
      </c>
      <c r="H519" s="46" t="s">
        <v>15</v>
      </c>
      <c r="I519" s="17">
        <v>450000</v>
      </c>
      <c r="J519" s="17">
        <f>IF(Gastos[[#This Row],[Divisa]]="$", I519*1, IF(Gastos[[#This Row],[Divisa]]="U$D", I519*$N$1, IF(Gastos[[#This Row],[Divisa]]="EUR", I519*$N$2, 0)))</f>
        <v>450000</v>
      </c>
      <c r="K519" s="54">
        <f>Gastos[[#This Row],[Importe AR$]]/$N$1</f>
        <v>288.46153846153845</v>
      </c>
      <c r="M519" s="69"/>
      <c r="N519" s="43" t="str">
        <f>IF(Gastos[[#This Row],[Fecha_Cheque]]&gt;0,WEEKNUM(Gastos[[#This Row],[Fecha_Cheque]]),MID(Gastos[[#This Row],[Semana]],6,2))</f>
        <v>39</v>
      </c>
      <c r="O519" t="s">
        <v>425</v>
      </c>
      <c r="P519" t="s">
        <v>27</v>
      </c>
    </row>
    <row r="520" spans="1:16" hidden="1" x14ac:dyDescent="0.25">
      <c r="A520" s="3" t="s">
        <v>56</v>
      </c>
      <c r="B520" t="s">
        <v>420</v>
      </c>
      <c r="C520" t="s">
        <v>422</v>
      </c>
      <c r="D520" t="s">
        <v>26</v>
      </c>
      <c r="E520" t="s">
        <v>91</v>
      </c>
      <c r="F520">
        <v>1</v>
      </c>
      <c r="G520" s="3" t="s">
        <v>5</v>
      </c>
      <c r="H520" s="46" t="s">
        <v>15</v>
      </c>
      <c r="I520" s="17">
        <v>450000</v>
      </c>
      <c r="J520" s="17">
        <f>IF(Gastos[[#This Row],[Divisa]]="$", I520*1, IF(Gastos[[#This Row],[Divisa]]="U$D", I520*$N$1, IF(Gastos[[#This Row],[Divisa]]="EUR", I520*$N$2, 0)))</f>
        <v>450000</v>
      </c>
      <c r="K520" s="54">
        <f>Gastos[[#This Row],[Importe AR$]]/$N$1</f>
        <v>288.46153846153845</v>
      </c>
      <c r="M520" s="69"/>
      <c r="N520" s="43" t="str">
        <f>IF(Gastos[[#This Row],[Fecha_Cheque]]&gt;0,WEEKNUM(Gastos[[#This Row],[Fecha_Cheque]]),MID(Gastos[[#This Row],[Semana]],6,2))</f>
        <v>41</v>
      </c>
      <c r="O520" t="s">
        <v>426</v>
      </c>
      <c r="P520" t="s">
        <v>27</v>
      </c>
    </row>
    <row r="521" spans="1:16" hidden="1" x14ac:dyDescent="0.25">
      <c r="A521" s="3" t="s">
        <v>128</v>
      </c>
      <c r="B521" t="s">
        <v>420</v>
      </c>
      <c r="C521" t="s">
        <v>422</v>
      </c>
      <c r="D521" t="s">
        <v>26</v>
      </c>
      <c r="E521" t="s">
        <v>91</v>
      </c>
      <c r="F521">
        <v>1</v>
      </c>
      <c r="G521" s="3" t="s">
        <v>5</v>
      </c>
      <c r="H521" s="46" t="s">
        <v>15</v>
      </c>
      <c r="I521" s="17">
        <v>450000</v>
      </c>
      <c r="J521" s="17">
        <f>IF(Gastos[[#This Row],[Divisa]]="$", I521*1, IF(Gastos[[#This Row],[Divisa]]="U$D", I521*$N$1, IF(Gastos[[#This Row],[Divisa]]="EUR", I521*$N$2, 0)))</f>
        <v>450000</v>
      </c>
      <c r="K521" s="54">
        <f>Gastos[[#This Row],[Importe AR$]]/$N$1</f>
        <v>288.46153846153845</v>
      </c>
      <c r="M521" s="69"/>
      <c r="N521" s="43" t="str">
        <f>IF(Gastos[[#This Row],[Fecha_Cheque]]&gt;0,WEEKNUM(Gastos[[#This Row],[Fecha_Cheque]]),MID(Gastos[[#This Row],[Semana]],6,2))</f>
        <v>43</v>
      </c>
      <c r="O521" t="s">
        <v>427</v>
      </c>
      <c r="P521" t="s">
        <v>27</v>
      </c>
    </row>
    <row r="522" spans="1:16" hidden="1" x14ac:dyDescent="0.25">
      <c r="A522" s="3" t="s">
        <v>60</v>
      </c>
      <c r="B522" t="s">
        <v>420</v>
      </c>
      <c r="C522" t="s">
        <v>422</v>
      </c>
      <c r="D522" t="s">
        <v>26</v>
      </c>
      <c r="E522" t="s">
        <v>91</v>
      </c>
      <c r="F522">
        <v>1</v>
      </c>
      <c r="G522" s="3" t="s">
        <v>5</v>
      </c>
      <c r="H522" s="46" t="s">
        <v>15</v>
      </c>
      <c r="I522" s="17">
        <v>450000</v>
      </c>
      <c r="J522" s="17">
        <f>IF(Gastos[[#This Row],[Divisa]]="$", I522*1, IF(Gastos[[#This Row],[Divisa]]="U$D", I522*$N$1, IF(Gastos[[#This Row],[Divisa]]="EUR", I522*$N$2, 0)))</f>
        <v>450000</v>
      </c>
      <c r="K522" s="54">
        <f>Gastos[[#This Row],[Importe AR$]]/$N$1</f>
        <v>288.46153846153845</v>
      </c>
      <c r="M522" s="69"/>
      <c r="N522" s="43" t="str">
        <f>IF(Gastos[[#This Row],[Fecha_Cheque]]&gt;0,WEEKNUM(Gastos[[#This Row],[Fecha_Cheque]]),MID(Gastos[[#This Row],[Semana]],6,2))</f>
        <v>46</v>
      </c>
      <c r="O522" t="s">
        <v>428</v>
      </c>
      <c r="P522" t="s">
        <v>27</v>
      </c>
    </row>
    <row r="523" spans="1:16" hidden="1" x14ac:dyDescent="0.25">
      <c r="A523" s="3" t="s">
        <v>93</v>
      </c>
      <c r="B523" t="s">
        <v>420</v>
      </c>
      <c r="C523" t="s">
        <v>429</v>
      </c>
      <c r="D523" t="s">
        <v>26</v>
      </c>
      <c r="E523" t="s">
        <v>91</v>
      </c>
      <c r="F523">
        <v>1</v>
      </c>
      <c r="G523" s="3" t="s">
        <v>5</v>
      </c>
      <c r="H523" s="46" t="s">
        <v>15</v>
      </c>
      <c r="I523" s="17">
        <v>450000</v>
      </c>
      <c r="J523" s="17">
        <f>IF(Gastos[[#This Row],[Divisa]]="$", I523*1, IF(Gastos[[#This Row],[Divisa]]="U$D", I523*$N$1, IF(Gastos[[#This Row],[Divisa]]="EUR", I523*$N$2, 0)))</f>
        <v>450000</v>
      </c>
      <c r="K523" s="54">
        <f>Gastos[[#This Row],[Importe AR$]]/$N$1</f>
        <v>288.46153846153845</v>
      </c>
      <c r="M523" s="69"/>
      <c r="N523" s="43" t="str">
        <f>IF(Gastos[[#This Row],[Fecha_Cheque]]&gt;0,WEEKNUM(Gastos[[#This Row],[Fecha_Cheque]]),MID(Gastos[[#This Row],[Semana]],6,2))</f>
        <v>50</v>
      </c>
      <c r="O523" t="s">
        <v>430</v>
      </c>
      <c r="P523" t="s">
        <v>27</v>
      </c>
    </row>
    <row r="524" spans="1:16" hidden="1" x14ac:dyDescent="0.25">
      <c r="A524" s="3" t="s">
        <v>206</v>
      </c>
      <c r="B524" t="s">
        <v>420</v>
      </c>
      <c r="C524" t="s">
        <v>422</v>
      </c>
      <c r="D524" t="s">
        <v>26</v>
      </c>
      <c r="E524" t="s">
        <v>91</v>
      </c>
      <c r="F524">
        <v>1</v>
      </c>
      <c r="G524" s="3" t="s">
        <v>5</v>
      </c>
      <c r="H524" s="46" t="s">
        <v>15</v>
      </c>
      <c r="I524" s="17">
        <v>450000</v>
      </c>
      <c r="J524" s="17">
        <f>IF(Gastos[[#This Row],[Divisa]]="$", I524*1, IF(Gastos[[#This Row],[Divisa]]="U$D", I524*$N$1, IF(Gastos[[#This Row],[Divisa]]="EUR", I524*$N$2, 0)))</f>
        <v>450000</v>
      </c>
      <c r="K524" s="54">
        <f>Gastos[[#This Row],[Importe AR$]]/$N$1</f>
        <v>288.46153846153845</v>
      </c>
      <c r="M524" s="69"/>
      <c r="N524" s="43" t="str">
        <f>IF(Gastos[[#This Row],[Fecha_Cheque]]&gt;0,WEEKNUM(Gastos[[#This Row],[Fecha_Cheque]]),MID(Gastos[[#This Row],[Semana]],6,2))</f>
        <v>06</v>
      </c>
      <c r="O524" t="s">
        <v>431</v>
      </c>
      <c r="P524" t="s">
        <v>27</v>
      </c>
    </row>
    <row r="525" spans="1:16" hidden="1" x14ac:dyDescent="0.25">
      <c r="A525" s="3" t="s">
        <v>75</v>
      </c>
      <c r="B525" t="s">
        <v>420</v>
      </c>
      <c r="C525" t="s">
        <v>432</v>
      </c>
      <c r="D525" t="s">
        <v>26</v>
      </c>
      <c r="E525" t="s">
        <v>91</v>
      </c>
      <c r="F525">
        <v>1</v>
      </c>
      <c r="G525" s="3" t="s">
        <v>5</v>
      </c>
      <c r="H525" s="46" t="s">
        <v>15</v>
      </c>
      <c r="I525" s="17">
        <v>450000</v>
      </c>
      <c r="J525" s="17">
        <f>IF(Gastos[[#This Row],[Divisa]]="$", I525*1, IF(Gastos[[#This Row],[Divisa]]="U$D", I525*$N$1, IF(Gastos[[#This Row],[Divisa]]="EUR", I525*$N$2, 0)))</f>
        <v>450000</v>
      </c>
      <c r="K525" s="54">
        <f>Gastos[[#This Row],[Importe AR$]]/$N$1</f>
        <v>288.46153846153845</v>
      </c>
      <c r="M525" s="69"/>
      <c r="N525" s="43" t="str">
        <f>IF(Gastos[[#This Row],[Fecha_Cheque]]&gt;0,WEEKNUM(Gastos[[#This Row],[Fecha_Cheque]]),MID(Gastos[[#This Row],[Semana]],6,2))</f>
        <v>07</v>
      </c>
      <c r="O525" t="s">
        <v>433</v>
      </c>
      <c r="P525" t="s">
        <v>27</v>
      </c>
    </row>
    <row r="526" spans="1:16" hidden="1" x14ac:dyDescent="0.25">
      <c r="A526" s="3" t="s">
        <v>2711</v>
      </c>
      <c r="B526" t="s">
        <v>420</v>
      </c>
      <c r="C526" t="s">
        <v>2770</v>
      </c>
      <c r="D526" t="s">
        <v>26</v>
      </c>
      <c r="E526" t="s">
        <v>91</v>
      </c>
      <c r="F526">
        <v>1</v>
      </c>
      <c r="G526" s="3" t="s">
        <v>5</v>
      </c>
      <c r="H526" s="46" t="s">
        <v>15</v>
      </c>
      <c r="I526" s="17">
        <v>450000</v>
      </c>
      <c r="J526" s="17">
        <f>IF(Gastos[[#This Row],[Divisa]]="$", I526*1, IF(Gastos[[#This Row],[Divisa]]="U$D", I526*$N$1, IF(Gastos[[#This Row],[Divisa]]="EUR", I526*$N$2, 0)))</f>
        <v>450000</v>
      </c>
      <c r="K526" s="54">
        <f>Gastos[[#This Row],[Importe AR$]]/$N$1</f>
        <v>288.46153846153845</v>
      </c>
      <c r="M526" s="69"/>
      <c r="N526" s="43" t="str">
        <f>IF(Gastos[[#This Row],[Fecha_Cheque]]&gt;0,WEEKNUM(Gastos[[#This Row],[Fecha_Cheque]]),MID(Gastos[[#This Row],[Semana]],6,2))</f>
        <v>15</v>
      </c>
      <c r="O526" t="s">
        <v>2771</v>
      </c>
      <c r="P526" t="s">
        <v>27</v>
      </c>
    </row>
    <row r="527" spans="1:16" hidden="1" x14ac:dyDescent="0.25">
      <c r="A527" s="3" t="s">
        <v>2711</v>
      </c>
      <c r="B527" t="s">
        <v>420</v>
      </c>
      <c r="C527" t="s">
        <v>2770</v>
      </c>
      <c r="D527" t="s">
        <v>26</v>
      </c>
      <c r="E527" t="s">
        <v>91</v>
      </c>
      <c r="F527">
        <v>1</v>
      </c>
      <c r="G527" s="3" t="s">
        <v>5</v>
      </c>
      <c r="H527" s="46" t="s">
        <v>15</v>
      </c>
      <c r="I527" s="17">
        <v>450000</v>
      </c>
      <c r="J527" s="17">
        <f>IF(Gastos[[#This Row],[Divisa]]="$", I527*1, IF(Gastos[[#This Row],[Divisa]]="U$D", I527*$N$1, IF(Gastos[[#This Row],[Divisa]]="EUR", I527*$N$2, 0)))</f>
        <v>450000</v>
      </c>
      <c r="K527" s="54">
        <f>Gastos[[#This Row],[Importe AR$]]/$N$1</f>
        <v>288.46153846153845</v>
      </c>
      <c r="M527" s="69"/>
      <c r="N527" s="43" t="str">
        <f>IF(Gastos[[#This Row],[Fecha_Cheque]]&gt;0,WEEKNUM(Gastos[[#This Row],[Fecha_Cheque]]),MID(Gastos[[#This Row],[Semana]],6,2))</f>
        <v>15</v>
      </c>
      <c r="O527" t="s">
        <v>2772</v>
      </c>
      <c r="P527" t="s">
        <v>27</v>
      </c>
    </row>
    <row r="528" spans="1:16" hidden="1" x14ac:dyDescent="0.25">
      <c r="A528" s="3" t="s">
        <v>4211</v>
      </c>
      <c r="B528" t="s">
        <v>4234</v>
      </c>
      <c r="C528" t="s">
        <v>1948</v>
      </c>
      <c r="D528" t="s">
        <v>26</v>
      </c>
      <c r="E528" t="s">
        <v>42</v>
      </c>
      <c r="F528">
        <v>1</v>
      </c>
      <c r="G528" s="3" t="s">
        <v>4</v>
      </c>
      <c r="H528" s="44" t="s">
        <v>15</v>
      </c>
      <c r="I528" s="17">
        <v>46001.1</v>
      </c>
      <c r="J528" s="17">
        <f>IF(Gastos[[#This Row],[Divisa]]="$", I528*1, IF(Gastos[[#This Row],[Divisa]]="U$D", I528*$N$1, IF(Gastos[[#This Row],[Divisa]]="EUR", I528*$N$2, 0)))</f>
        <v>46001.1</v>
      </c>
      <c r="K528" s="54">
        <f>Gastos[[#This Row],[Importe AR$]]/$N$1</f>
        <v>29.487884615384615</v>
      </c>
      <c r="M528" s="69"/>
      <c r="N528" s="43" t="str">
        <f>IF(Gastos[[#This Row],[Fecha_Cheque]]&gt;0,WEEKNUM(Gastos[[#This Row],[Fecha_Cheque]]),MID(Gastos[[#This Row],[Semana]],6,2))</f>
        <v>37</v>
      </c>
      <c r="O528" t="s">
        <v>4235</v>
      </c>
      <c r="P528" t="s">
        <v>27</v>
      </c>
    </row>
    <row r="529" spans="1:16" hidden="1" x14ac:dyDescent="0.25">
      <c r="A529" s="3" t="s">
        <v>93</v>
      </c>
      <c r="B529" t="s">
        <v>434</v>
      </c>
      <c r="D529" t="s">
        <v>26</v>
      </c>
      <c r="E529" t="s">
        <v>91</v>
      </c>
      <c r="F529">
        <v>1</v>
      </c>
      <c r="G529" s="3" t="s">
        <v>5</v>
      </c>
      <c r="H529" s="46" t="s">
        <v>15</v>
      </c>
      <c r="I529" s="17">
        <v>530264</v>
      </c>
      <c r="J529" s="17">
        <f>IF(Gastos[[#This Row],[Divisa]]="$", I529*1, IF(Gastos[[#This Row],[Divisa]]="U$D", I529*$N$1, IF(Gastos[[#This Row],[Divisa]]="EUR", I529*$N$2, 0)))</f>
        <v>530264</v>
      </c>
      <c r="K529" s="54">
        <f>Gastos[[#This Row],[Importe AR$]]/$N$1</f>
        <v>339.91282051282053</v>
      </c>
      <c r="M529" s="69"/>
      <c r="N529" s="43" t="str">
        <f>IF(Gastos[[#This Row],[Fecha_Cheque]]&gt;0,WEEKNUM(Gastos[[#This Row],[Fecha_Cheque]]),MID(Gastos[[#This Row],[Semana]],6,2))</f>
        <v>50</v>
      </c>
      <c r="O529" t="s">
        <v>435</v>
      </c>
      <c r="P529" t="s">
        <v>27</v>
      </c>
    </row>
    <row r="530" spans="1:16" hidden="1" x14ac:dyDescent="0.25">
      <c r="A530" s="3" t="s">
        <v>50</v>
      </c>
      <c r="B530" t="s">
        <v>434</v>
      </c>
      <c r="C530" t="s">
        <v>436</v>
      </c>
      <c r="D530" t="s">
        <v>26</v>
      </c>
      <c r="E530" t="s">
        <v>91</v>
      </c>
      <c r="F530">
        <v>1</v>
      </c>
      <c r="G530" s="3" t="s">
        <v>5</v>
      </c>
      <c r="H530" s="46" t="s">
        <v>15</v>
      </c>
      <c r="I530" s="17">
        <v>321096</v>
      </c>
      <c r="J530" s="17">
        <f>IF(Gastos[[#This Row],[Divisa]]="$", I530*1, IF(Gastos[[#This Row],[Divisa]]="U$D", I530*$N$1, IF(Gastos[[#This Row],[Divisa]]="EUR", I530*$N$2, 0)))</f>
        <v>321096</v>
      </c>
      <c r="K530" s="54">
        <f>Gastos[[#This Row],[Importe AR$]]/$N$1</f>
        <v>205.83076923076922</v>
      </c>
      <c r="M530" s="69"/>
      <c r="N530" s="43" t="str">
        <f>IF(Gastos[[#This Row],[Fecha_Cheque]]&gt;0,WEEKNUM(Gastos[[#This Row],[Fecha_Cheque]]),MID(Gastos[[#This Row],[Semana]],6,2))</f>
        <v>25</v>
      </c>
      <c r="P530" t="s">
        <v>27</v>
      </c>
    </row>
    <row r="531" spans="1:16" hidden="1" x14ac:dyDescent="0.25">
      <c r="A531" s="3" t="s">
        <v>53</v>
      </c>
      <c r="B531" t="s">
        <v>434</v>
      </c>
      <c r="C531" t="s">
        <v>91</v>
      </c>
      <c r="D531" t="s">
        <v>26</v>
      </c>
      <c r="E531" t="s">
        <v>91</v>
      </c>
      <c r="F531">
        <v>1</v>
      </c>
      <c r="G531" s="3" t="s">
        <v>5</v>
      </c>
      <c r="H531" s="46" t="s">
        <v>15</v>
      </c>
      <c r="I531" s="17">
        <v>653792</v>
      </c>
      <c r="J531" s="17">
        <f>IF(Gastos[[#This Row],[Divisa]]="$", I531*1, IF(Gastos[[#This Row],[Divisa]]="U$D", I531*$N$1, IF(Gastos[[#This Row],[Divisa]]="EUR", I531*$N$2, 0)))</f>
        <v>653792</v>
      </c>
      <c r="K531" s="54">
        <f>Gastos[[#This Row],[Importe AR$]]/$N$1</f>
        <v>419.0974358974359</v>
      </c>
      <c r="M531" s="69"/>
      <c r="N531" s="43" t="str">
        <f>IF(Gastos[[#This Row],[Fecha_Cheque]]&gt;0,WEEKNUM(Gastos[[#This Row],[Fecha_Cheque]]),MID(Gastos[[#This Row],[Semana]],6,2))</f>
        <v>34</v>
      </c>
      <c r="O531" t="s">
        <v>437</v>
      </c>
      <c r="P531" t="s">
        <v>27</v>
      </c>
    </row>
    <row r="532" spans="1:16" hidden="1" x14ac:dyDescent="0.25">
      <c r="A532" s="3" t="s">
        <v>89</v>
      </c>
      <c r="B532" t="s">
        <v>434</v>
      </c>
      <c r="C532" t="s">
        <v>91</v>
      </c>
      <c r="D532" t="s">
        <v>26</v>
      </c>
      <c r="E532" t="s">
        <v>91</v>
      </c>
      <c r="F532">
        <v>1</v>
      </c>
      <c r="G532" s="3" t="s">
        <v>5</v>
      </c>
      <c r="H532" s="46" t="s">
        <v>15</v>
      </c>
      <c r="I532" s="17">
        <v>343400</v>
      </c>
      <c r="J532" s="17">
        <f>IF(Gastos[[#This Row],[Divisa]]="$", I532*1, IF(Gastos[[#This Row],[Divisa]]="U$D", I532*$N$1, IF(Gastos[[#This Row],[Divisa]]="EUR", I532*$N$2, 0)))</f>
        <v>343400</v>
      </c>
      <c r="K532" s="54">
        <f>Gastos[[#This Row],[Importe AR$]]/$N$1</f>
        <v>220.12820512820514</v>
      </c>
      <c r="M532" s="69"/>
      <c r="N532" s="43" t="str">
        <f>IF(Gastos[[#This Row],[Fecha_Cheque]]&gt;0,WEEKNUM(Gastos[[#This Row],[Fecha_Cheque]]),MID(Gastos[[#This Row],[Semana]],6,2))</f>
        <v>39</v>
      </c>
      <c r="O532" t="s">
        <v>123</v>
      </c>
      <c r="P532" t="s">
        <v>27</v>
      </c>
    </row>
    <row r="533" spans="1:16" hidden="1" x14ac:dyDescent="0.25">
      <c r="A533" s="3" t="s">
        <v>128</v>
      </c>
      <c r="B533" t="s">
        <v>434</v>
      </c>
      <c r="D533" t="s">
        <v>26</v>
      </c>
      <c r="E533" t="s">
        <v>91</v>
      </c>
      <c r="F533">
        <v>1</v>
      </c>
      <c r="G533" s="3" t="s">
        <v>5</v>
      </c>
      <c r="H533" s="46" t="s">
        <v>15</v>
      </c>
      <c r="I533" s="17">
        <v>247064</v>
      </c>
      <c r="J533" s="17">
        <f>IF(Gastos[[#This Row],[Divisa]]="$", I533*1, IF(Gastos[[#This Row],[Divisa]]="U$D", I533*$N$1, IF(Gastos[[#This Row],[Divisa]]="EUR", I533*$N$2, 0)))</f>
        <v>247064</v>
      </c>
      <c r="K533" s="54">
        <f>Gastos[[#This Row],[Importe AR$]]/$N$1</f>
        <v>158.37435897435898</v>
      </c>
      <c r="M533" s="69"/>
      <c r="N533" s="43" t="str">
        <f>IF(Gastos[[#This Row],[Fecha_Cheque]]&gt;0,WEEKNUM(Gastos[[#This Row],[Fecha_Cheque]]),MID(Gastos[[#This Row],[Semana]],6,2))</f>
        <v>43</v>
      </c>
      <c r="O533" t="s">
        <v>438</v>
      </c>
      <c r="P533" t="s">
        <v>27</v>
      </c>
    </row>
    <row r="534" spans="1:16" hidden="1" x14ac:dyDescent="0.25">
      <c r="A534" s="3" t="s">
        <v>378</v>
      </c>
      <c r="B534" t="s">
        <v>434</v>
      </c>
      <c r="D534" t="s">
        <v>26</v>
      </c>
      <c r="E534" t="s">
        <v>91</v>
      </c>
      <c r="F534">
        <v>1</v>
      </c>
      <c r="G534" s="3" t="s">
        <v>5</v>
      </c>
      <c r="H534" s="46" t="s">
        <v>15</v>
      </c>
      <c r="I534" s="17">
        <v>46960</v>
      </c>
      <c r="J534" s="17">
        <f>IF(Gastos[[#This Row],[Divisa]]="$", I534*1, IF(Gastos[[#This Row],[Divisa]]="U$D", I534*$N$1, IF(Gastos[[#This Row],[Divisa]]="EUR", I534*$N$2, 0)))</f>
        <v>46960</v>
      </c>
      <c r="K534" s="54">
        <f>Gastos[[#This Row],[Importe AR$]]/$N$1</f>
        <v>30.102564102564102</v>
      </c>
      <c r="M534" s="69"/>
      <c r="N534" s="43" t="str">
        <f>IF(Gastos[[#This Row],[Fecha_Cheque]]&gt;0,WEEKNUM(Gastos[[#This Row],[Fecha_Cheque]]),MID(Gastos[[#This Row],[Semana]],6,2))</f>
        <v>03</v>
      </c>
      <c r="O534" t="s">
        <v>439</v>
      </c>
      <c r="P534" t="s">
        <v>27</v>
      </c>
    </row>
    <row r="535" spans="1:16" hidden="1" x14ac:dyDescent="0.25">
      <c r="A535" s="3" t="s">
        <v>75</v>
      </c>
      <c r="B535" t="s">
        <v>434</v>
      </c>
      <c r="D535" t="s">
        <v>26</v>
      </c>
      <c r="E535" t="s">
        <v>91</v>
      </c>
      <c r="F535">
        <v>1</v>
      </c>
      <c r="G535" s="3" t="s">
        <v>5</v>
      </c>
      <c r="H535" s="46" t="s">
        <v>15</v>
      </c>
      <c r="I535" s="17">
        <v>368352</v>
      </c>
      <c r="J535" s="17">
        <f>IF(Gastos[[#This Row],[Divisa]]="$", I535*1, IF(Gastos[[#This Row],[Divisa]]="U$D", I535*$N$1, IF(Gastos[[#This Row],[Divisa]]="EUR", I535*$N$2, 0)))</f>
        <v>368352</v>
      </c>
      <c r="K535" s="54">
        <f>Gastos[[#This Row],[Importe AR$]]/$N$1</f>
        <v>236.12307692307692</v>
      </c>
      <c r="M535" s="69"/>
      <c r="N535" s="43" t="str">
        <f>IF(Gastos[[#This Row],[Fecha_Cheque]]&gt;0,WEEKNUM(Gastos[[#This Row],[Fecha_Cheque]]),MID(Gastos[[#This Row],[Semana]],6,2))</f>
        <v>07</v>
      </c>
      <c r="O535" t="s">
        <v>440</v>
      </c>
      <c r="P535" t="s">
        <v>27</v>
      </c>
    </row>
    <row r="536" spans="1:16" hidden="1" x14ac:dyDescent="0.25">
      <c r="A536" s="3" t="s">
        <v>397</v>
      </c>
      <c r="B536" t="s">
        <v>434</v>
      </c>
      <c r="C536" t="s">
        <v>254</v>
      </c>
      <c r="D536" t="s">
        <v>26</v>
      </c>
      <c r="E536" t="s">
        <v>62</v>
      </c>
      <c r="F536">
        <v>1</v>
      </c>
      <c r="G536" s="3" t="s">
        <v>32</v>
      </c>
      <c r="H536" s="44" t="s">
        <v>15</v>
      </c>
      <c r="I536" s="17">
        <v>167466.34</v>
      </c>
      <c r="J536" s="17">
        <f>IF(Gastos[[#This Row],[Divisa]]="$", I536*1, IF(Gastos[[#This Row],[Divisa]]="U$D", I536*$N$1, IF(Gastos[[#This Row],[Divisa]]="EUR", I536*$N$2, 0)))</f>
        <v>167466.34</v>
      </c>
      <c r="K536" s="54">
        <f>Gastos[[#This Row],[Importe AR$]]/$N$1</f>
        <v>107.35021794871794</v>
      </c>
      <c r="M536" s="69">
        <v>46115</v>
      </c>
      <c r="N536" s="43">
        <f>IF(Gastos[[#This Row],[Fecha_Cheque]]&gt;0,WEEKNUM(Gastos[[#This Row],[Fecha_Cheque]]),MID(Gastos[[#This Row],[Semana]],6,2))</f>
        <v>14</v>
      </c>
      <c r="O536" t="s">
        <v>953</v>
      </c>
      <c r="P536" t="s">
        <v>27</v>
      </c>
    </row>
    <row r="537" spans="1:16" hidden="1" x14ac:dyDescent="0.25">
      <c r="A537" s="3" t="s">
        <v>397</v>
      </c>
      <c r="B537" t="s">
        <v>434</v>
      </c>
      <c r="C537" t="s">
        <v>254</v>
      </c>
      <c r="D537" t="s">
        <v>26</v>
      </c>
      <c r="E537" t="s">
        <v>62</v>
      </c>
      <c r="F537">
        <v>1</v>
      </c>
      <c r="G537" s="3" t="s">
        <v>32</v>
      </c>
      <c r="H537" s="44" t="s">
        <v>15</v>
      </c>
      <c r="I537" s="17">
        <v>248603.99</v>
      </c>
      <c r="J537" s="17">
        <f>IF(Gastos[[#This Row],[Divisa]]="$", I537*1, IF(Gastos[[#This Row],[Divisa]]="U$D", I537*$N$1, IF(Gastos[[#This Row],[Divisa]]="EUR", I537*$N$2, 0)))</f>
        <v>248603.99</v>
      </c>
      <c r="K537" s="54">
        <f>Gastos[[#This Row],[Importe AR$]]/$N$1</f>
        <v>159.36153205128204</v>
      </c>
      <c r="M537" s="69">
        <v>46115</v>
      </c>
      <c r="N537" s="43">
        <f>IF(Gastos[[#This Row],[Fecha_Cheque]]&gt;0,WEEKNUM(Gastos[[#This Row],[Fecha_Cheque]]),MID(Gastos[[#This Row],[Semana]],6,2))</f>
        <v>14</v>
      </c>
      <c r="O537" t="s">
        <v>953</v>
      </c>
      <c r="P537" t="s">
        <v>27</v>
      </c>
    </row>
    <row r="538" spans="1:16" hidden="1" x14ac:dyDescent="0.25">
      <c r="A538" s="3" t="s">
        <v>397</v>
      </c>
      <c r="B538" t="s">
        <v>434</v>
      </c>
      <c r="C538" t="s">
        <v>254</v>
      </c>
      <c r="D538" t="s">
        <v>26</v>
      </c>
      <c r="E538" t="s">
        <v>62</v>
      </c>
      <c r="F538">
        <v>1</v>
      </c>
      <c r="G538" s="3" t="s">
        <v>5</v>
      </c>
      <c r="H538" s="44" t="s">
        <v>15</v>
      </c>
      <c r="I538" s="17">
        <v>4746.67</v>
      </c>
      <c r="J538" s="17">
        <f>IF(Gastos[[#This Row],[Divisa]]="$", I538*1, IF(Gastos[[#This Row],[Divisa]]="U$D", I538*$N$1, IF(Gastos[[#This Row],[Divisa]]="EUR", I538*$N$2, 0)))</f>
        <v>4746.67</v>
      </c>
      <c r="K538" s="54">
        <f>Gastos[[#This Row],[Importe AR$]]/$N$1</f>
        <v>3.0427371794871796</v>
      </c>
      <c r="M538" s="69">
        <v>46077</v>
      </c>
      <c r="N538" s="43">
        <f>IF(Gastos[[#This Row],[Fecha_Cheque]]&gt;0,WEEKNUM(Gastos[[#This Row],[Fecha_Cheque]]),MID(Gastos[[#This Row],[Semana]],6,2))</f>
        <v>9</v>
      </c>
      <c r="O538" t="s">
        <v>953</v>
      </c>
      <c r="P538" t="s">
        <v>27</v>
      </c>
    </row>
    <row r="539" spans="1:16" hidden="1" x14ac:dyDescent="0.25">
      <c r="A539" s="3" t="s">
        <v>332</v>
      </c>
      <c r="B539" t="s">
        <v>434</v>
      </c>
      <c r="C539" t="s">
        <v>91</v>
      </c>
      <c r="D539" t="s">
        <v>26</v>
      </c>
      <c r="E539" t="s">
        <v>91</v>
      </c>
      <c r="F539">
        <v>1</v>
      </c>
      <c r="G539" s="3" t="s">
        <v>5</v>
      </c>
      <c r="H539" s="46" t="s">
        <v>15</v>
      </c>
      <c r="I539" s="17">
        <f>22*1395</f>
        <v>30690</v>
      </c>
      <c r="J539" s="17">
        <f>IF(Gastos[[#This Row],[Divisa]]="$", I539*1, IF(Gastos[[#This Row],[Divisa]]="U$D", I539*$N$1, IF(Gastos[[#This Row],[Divisa]]="EUR", I539*$N$2, 0)))</f>
        <v>30690</v>
      </c>
      <c r="K539" s="54">
        <f>Gastos[[#This Row],[Importe AR$]]/$N$1</f>
        <v>19.673076923076923</v>
      </c>
      <c r="M539" s="69"/>
      <c r="N539" s="43" t="str">
        <f>IF(Gastos[[#This Row],[Fecha_Cheque]]&gt;0,WEEKNUM(Gastos[[#This Row],[Fecha_Cheque]]),MID(Gastos[[#This Row],[Semana]],6,2))</f>
        <v>12</v>
      </c>
      <c r="O539" t="s">
        <v>1185</v>
      </c>
      <c r="P539" t="s">
        <v>27</v>
      </c>
    </row>
    <row r="540" spans="1:16" hidden="1" x14ac:dyDescent="0.25">
      <c r="A540" s="3" t="s">
        <v>3439</v>
      </c>
      <c r="B540" t="s">
        <v>434</v>
      </c>
      <c r="D540" t="s">
        <v>26</v>
      </c>
      <c r="E540" t="s">
        <v>91</v>
      </c>
      <c r="F540">
        <v>1</v>
      </c>
      <c r="G540" s="3" t="s">
        <v>32</v>
      </c>
      <c r="H540" s="44" t="s">
        <v>15</v>
      </c>
      <c r="I540" s="17">
        <v>617320</v>
      </c>
      <c r="J540" s="17">
        <f>IF(Gastos[[#This Row],[Divisa]]="$", I540*1, IF(Gastos[[#This Row],[Divisa]]="U$D", I540*$N$1, IF(Gastos[[#This Row],[Divisa]]="EUR", I540*$N$2, 0)))</f>
        <v>617320</v>
      </c>
      <c r="K540" s="54">
        <f>Gastos[[#This Row],[Importe AR$]]/$N$1</f>
        <v>395.71794871794873</v>
      </c>
      <c r="M540" s="69">
        <v>46203</v>
      </c>
      <c r="N540" s="43">
        <f>IF(Gastos[[#This Row],[Fecha_Cheque]]&gt;0,WEEKNUM(Gastos[[#This Row],[Fecha_Cheque]]),MID(Gastos[[#This Row],[Semana]],6,2))</f>
        <v>27</v>
      </c>
      <c r="O540" t="s">
        <v>3530</v>
      </c>
      <c r="P540" t="s">
        <v>27</v>
      </c>
    </row>
    <row r="541" spans="1:16" hidden="1" x14ac:dyDescent="0.25">
      <c r="A541" s="3" t="s">
        <v>3693</v>
      </c>
      <c r="B541" t="s">
        <v>434</v>
      </c>
      <c r="C541" t="s">
        <v>91</v>
      </c>
      <c r="D541" t="s">
        <v>26</v>
      </c>
      <c r="E541" t="s">
        <v>91</v>
      </c>
      <c r="F541">
        <v>1</v>
      </c>
      <c r="G541" s="3" t="s">
        <v>32</v>
      </c>
      <c r="H541" s="44" t="s">
        <v>15</v>
      </c>
      <c r="I541" s="17">
        <v>982410</v>
      </c>
      <c r="J541" s="17">
        <f>IF(Gastos[[#This Row],[Divisa]]="$", I541*1, IF(Gastos[[#This Row],[Divisa]]="U$D", I541*$N$1, IF(Gastos[[#This Row],[Divisa]]="EUR", I541*$N$2, 0)))</f>
        <v>982410</v>
      </c>
      <c r="K541" s="54">
        <f>Gastos[[#This Row],[Importe AR$]]/$N$1</f>
        <v>629.75</v>
      </c>
      <c r="M541" s="69"/>
      <c r="N541" s="43" t="str">
        <f>IF(Gastos[[#This Row],[Fecha_Cheque]]&gt;0,WEEKNUM(Gastos[[#This Row],[Fecha_Cheque]]),MID(Gastos[[#This Row],[Semana]],6,2))</f>
        <v>28</v>
      </c>
      <c r="O541" t="s">
        <v>3719</v>
      </c>
      <c r="P541" t="s">
        <v>27</v>
      </c>
    </row>
    <row r="542" spans="1:16" hidden="1" x14ac:dyDescent="0.25">
      <c r="A542" s="3" t="s">
        <v>4005</v>
      </c>
      <c r="B542" t="s">
        <v>434</v>
      </c>
      <c r="C542" t="s">
        <v>91</v>
      </c>
      <c r="D542" t="s">
        <v>26</v>
      </c>
      <c r="E542" t="s">
        <v>91</v>
      </c>
      <c r="F542">
        <v>1</v>
      </c>
      <c r="G542" s="3" t="s">
        <v>32</v>
      </c>
      <c r="H542" s="44" t="s">
        <v>15</v>
      </c>
      <c r="I542" s="17">
        <v>989670</v>
      </c>
      <c r="J542" s="17">
        <f>IF(Gastos[[#This Row],[Divisa]]="$", I542*1, IF(Gastos[[#This Row],[Divisa]]="U$D", I542*$N$1, IF(Gastos[[#This Row],[Divisa]]="EUR", I542*$N$2, 0)))</f>
        <v>989670</v>
      </c>
      <c r="K542" s="54">
        <f>Gastos[[#This Row],[Importe AR$]]/$N$1</f>
        <v>634.40384615384619</v>
      </c>
      <c r="M542" s="69">
        <v>46293</v>
      </c>
      <c r="N542" s="43">
        <f>IF(Gastos[[#This Row],[Fecha_Cheque]]&gt;0,WEEKNUM(Gastos[[#This Row],[Fecha_Cheque]]),MID(Gastos[[#This Row],[Semana]],6,2))</f>
        <v>40</v>
      </c>
      <c r="O542" t="s">
        <v>4060</v>
      </c>
      <c r="P542" t="s">
        <v>27</v>
      </c>
    </row>
    <row r="543" spans="1:16" hidden="1" x14ac:dyDescent="0.25">
      <c r="A543" s="3" t="s">
        <v>4409</v>
      </c>
      <c r="B543" t="s">
        <v>434</v>
      </c>
      <c r="D543" t="s">
        <v>26</v>
      </c>
      <c r="E543" t="s">
        <v>91</v>
      </c>
      <c r="F543">
        <v>1</v>
      </c>
      <c r="G543" s="3" t="s">
        <v>32</v>
      </c>
      <c r="H543" s="44" t="s">
        <v>15</v>
      </c>
      <c r="I543" s="17">
        <v>772197.44</v>
      </c>
      <c r="J543" s="17">
        <f>IF(Gastos[[#This Row],[Divisa]]="$", I543*1, IF(Gastos[[#This Row],[Divisa]]="U$D", I543*$N$1, IF(Gastos[[#This Row],[Divisa]]="EUR", I543*$N$2, 0)))</f>
        <v>772197.44</v>
      </c>
      <c r="K543" s="54">
        <f>Gastos[[#This Row],[Importe AR$]]/$N$1</f>
        <v>494.99835897435895</v>
      </c>
      <c r="M543" s="69">
        <v>46325</v>
      </c>
      <c r="N543" s="43">
        <f>IF(Gastos[[#This Row],[Fecha_Cheque]]&gt;0,WEEKNUM(Gastos[[#This Row],[Fecha_Cheque]]),MID(Gastos[[#This Row],[Semana]],6,2))</f>
        <v>44</v>
      </c>
      <c r="O543" t="s">
        <v>4427</v>
      </c>
      <c r="P543" t="s">
        <v>27</v>
      </c>
    </row>
    <row r="544" spans="1:16" hidden="1" x14ac:dyDescent="0.25">
      <c r="A544" s="3" t="s">
        <v>4409</v>
      </c>
      <c r="B544" t="s">
        <v>434</v>
      </c>
      <c r="D544" t="s">
        <v>26</v>
      </c>
      <c r="E544" t="s">
        <v>91</v>
      </c>
      <c r="F544">
        <v>1</v>
      </c>
      <c r="G544" s="3" t="s">
        <v>32</v>
      </c>
      <c r="H544" s="44" t="s">
        <v>15</v>
      </c>
      <c r="I544" s="17">
        <v>227042.56</v>
      </c>
      <c r="J544" s="17">
        <f>IF(Gastos[[#This Row],[Divisa]]="$", I544*1, IF(Gastos[[#This Row],[Divisa]]="U$D", I544*$N$1, IF(Gastos[[#This Row],[Divisa]]="EUR", I544*$N$2, 0)))</f>
        <v>227042.56</v>
      </c>
      <c r="K544" s="54">
        <f>Gastos[[#This Row],[Importe AR$]]/$N$1</f>
        <v>145.54010256410257</v>
      </c>
      <c r="M544" s="69">
        <v>46325</v>
      </c>
      <c r="N544" s="43">
        <f>IF(Gastos[[#This Row],[Fecha_Cheque]]&gt;0,WEEKNUM(Gastos[[#This Row],[Fecha_Cheque]]),MID(Gastos[[#This Row],[Semana]],6,2))</f>
        <v>44</v>
      </c>
      <c r="O544" t="s">
        <v>4427</v>
      </c>
      <c r="P544" t="s">
        <v>27</v>
      </c>
    </row>
    <row r="545" spans="1:16" hidden="1" x14ac:dyDescent="0.25">
      <c r="A545" s="3" t="s">
        <v>378</v>
      </c>
      <c r="B545" t="s">
        <v>441</v>
      </c>
      <c r="D545" t="s">
        <v>26</v>
      </c>
      <c r="E545" t="s">
        <v>31</v>
      </c>
      <c r="F545">
        <v>1</v>
      </c>
      <c r="G545" s="3" t="s">
        <v>5</v>
      </c>
      <c r="H545" s="46" t="s">
        <v>15</v>
      </c>
      <c r="I545" s="17">
        <v>984000</v>
      </c>
      <c r="J545" s="17">
        <f>IF(Gastos[[#This Row],[Divisa]]="$", I545*1, IF(Gastos[[#This Row],[Divisa]]="U$D", I545*$N$1, IF(Gastos[[#This Row],[Divisa]]="EUR", I545*$N$2, 0)))</f>
        <v>984000</v>
      </c>
      <c r="K545" s="54">
        <f>Gastos[[#This Row],[Importe AR$]]/$N$1</f>
        <v>630.76923076923072</v>
      </c>
      <c r="M545" s="69"/>
      <c r="N545" s="43" t="str">
        <f>IF(Gastos[[#This Row],[Fecha_Cheque]]&gt;0,WEEKNUM(Gastos[[#This Row],[Fecha_Cheque]]),MID(Gastos[[#This Row],[Semana]],6,2))</f>
        <v>03</v>
      </c>
      <c r="O545" t="s">
        <v>442</v>
      </c>
      <c r="P545" t="s">
        <v>27</v>
      </c>
    </row>
    <row r="546" spans="1:16" hidden="1" x14ac:dyDescent="0.25">
      <c r="A546" s="3" t="s">
        <v>290</v>
      </c>
      <c r="B546" t="s">
        <v>443</v>
      </c>
      <c r="C546" t="s">
        <v>444</v>
      </c>
      <c r="D546" t="s">
        <v>26</v>
      </c>
      <c r="E546" t="s">
        <v>31</v>
      </c>
      <c r="F546">
        <v>1</v>
      </c>
      <c r="G546" s="3" t="s">
        <v>5</v>
      </c>
      <c r="H546" s="46" t="s">
        <v>15</v>
      </c>
      <c r="I546" s="17">
        <v>48000</v>
      </c>
      <c r="J546" s="17">
        <f>IF(Gastos[[#This Row],[Divisa]]="$", I546*1, IF(Gastos[[#This Row],[Divisa]]="U$D", I546*$N$1, IF(Gastos[[#This Row],[Divisa]]="EUR", I546*$N$2, 0)))</f>
        <v>48000</v>
      </c>
      <c r="K546" s="54">
        <f>Gastos[[#This Row],[Importe AR$]]/$N$1</f>
        <v>30.76923076923077</v>
      </c>
      <c r="M546" s="69"/>
      <c r="N546" s="43" t="str">
        <f>IF(Gastos[[#This Row],[Fecha_Cheque]]&gt;0,WEEKNUM(Gastos[[#This Row],[Fecha_Cheque]]),MID(Gastos[[#This Row],[Semana]],6,2))</f>
        <v>23</v>
      </c>
      <c r="O546" t="s">
        <v>445</v>
      </c>
      <c r="P546" t="s">
        <v>27</v>
      </c>
    </row>
    <row r="547" spans="1:16" hidden="1" x14ac:dyDescent="0.25">
      <c r="A547" s="3" t="s">
        <v>2731</v>
      </c>
      <c r="B547" t="s">
        <v>2829</v>
      </c>
      <c r="C547" t="s">
        <v>2830</v>
      </c>
      <c r="D547" t="s">
        <v>26</v>
      </c>
      <c r="E547" t="s">
        <v>42</v>
      </c>
      <c r="F547">
        <v>1</v>
      </c>
      <c r="G547" s="3" t="s">
        <v>4</v>
      </c>
      <c r="H547" s="44" t="s">
        <v>15</v>
      </c>
      <c r="I547" s="17">
        <v>12000</v>
      </c>
      <c r="J547" s="17">
        <f>IF(Gastos[[#This Row],[Divisa]]="$", I547*1, IF(Gastos[[#This Row],[Divisa]]="U$D", I547*$N$1, IF(Gastos[[#This Row],[Divisa]]="EUR", I547*$N$2, 0)))</f>
        <v>12000</v>
      </c>
      <c r="K547" s="54">
        <f>Gastos[[#This Row],[Importe AR$]]/$N$1</f>
        <v>7.6923076923076925</v>
      </c>
      <c r="M547" s="69"/>
      <c r="N547" s="43" t="str">
        <f>IF(Gastos[[#This Row],[Fecha_Cheque]]&gt;0,WEEKNUM(Gastos[[#This Row],[Fecha_Cheque]]),MID(Gastos[[#This Row],[Semana]],6,2))</f>
        <v>17</v>
      </c>
      <c r="O547" t="s">
        <v>2831</v>
      </c>
      <c r="P547" t="s">
        <v>27</v>
      </c>
    </row>
    <row r="548" spans="1:16" hidden="1" x14ac:dyDescent="0.25">
      <c r="A548" s="3" t="s">
        <v>3617</v>
      </c>
      <c r="B548" t="s">
        <v>2829</v>
      </c>
      <c r="C548" t="s">
        <v>3642</v>
      </c>
      <c r="D548" t="s">
        <v>26</v>
      </c>
      <c r="E548" t="s">
        <v>42</v>
      </c>
      <c r="F548">
        <v>1</v>
      </c>
      <c r="G548" s="3" t="s">
        <v>4</v>
      </c>
      <c r="H548" s="44" t="s">
        <v>15</v>
      </c>
      <c r="I548" s="17">
        <v>26400</v>
      </c>
      <c r="J548" s="17">
        <f>IF(Gastos[[#This Row],[Divisa]]="$", I548*1, IF(Gastos[[#This Row],[Divisa]]="U$D", I548*$N$1, IF(Gastos[[#This Row],[Divisa]]="EUR", I548*$N$2, 0)))</f>
        <v>26400</v>
      </c>
      <c r="K548" s="54">
        <f>Gastos[[#This Row],[Importe AR$]]/$N$1</f>
        <v>16.923076923076923</v>
      </c>
      <c r="M548" s="69"/>
      <c r="N548" s="43" t="str">
        <f>IF(Gastos[[#This Row],[Fecha_Cheque]]&gt;0,WEEKNUM(Gastos[[#This Row],[Fecha_Cheque]]),MID(Gastos[[#This Row],[Semana]],6,2))</f>
        <v>27</v>
      </c>
      <c r="O548" t="s">
        <v>3677</v>
      </c>
      <c r="P548" t="s">
        <v>27</v>
      </c>
    </row>
    <row r="549" spans="1:16" hidden="1" x14ac:dyDescent="0.25">
      <c r="A549" s="3" t="s">
        <v>50</v>
      </c>
      <c r="B549" t="s">
        <v>449</v>
      </c>
      <c r="C549" t="s">
        <v>450</v>
      </c>
      <c r="D549" t="s">
        <v>61</v>
      </c>
      <c r="E549" t="s">
        <v>31</v>
      </c>
      <c r="F549">
        <v>1</v>
      </c>
      <c r="G549" s="3" t="s">
        <v>32</v>
      </c>
      <c r="H549" s="46" t="s">
        <v>15</v>
      </c>
      <c r="I549" s="17">
        <v>807015.55</v>
      </c>
      <c r="J549" s="17">
        <f>IF(Gastos[[#This Row],[Divisa]]="$", I549*1, IF(Gastos[[#This Row],[Divisa]]="U$D", I549*$N$1, IF(Gastos[[#This Row],[Divisa]]="EUR", I549*$N$2, 0)))</f>
        <v>807015.55</v>
      </c>
      <c r="K549" s="54">
        <f>Gastos[[#This Row],[Importe AR$]]/$N$1</f>
        <v>517.31766025641025</v>
      </c>
      <c r="L549" t="s">
        <v>150</v>
      </c>
      <c r="M549" s="69">
        <v>45857</v>
      </c>
      <c r="N549" s="43">
        <f>IF(Gastos[[#This Row],[Fecha_Cheque]]&gt;0,WEEKNUM(Gastos[[#This Row],[Fecha_Cheque]]),MID(Gastos[[#This Row],[Semana]],6,2))</f>
        <v>29</v>
      </c>
      <c r="O549" t="s">
        <v>451</v>
      </c>
      <c r="P549" t="s">
        <v>27</v>
      </c>
    </row>
    <row r="550" spans="1:16" hidden="1" x14ac:dyDescent="0.25">
      <c r="A550" s="3" t="s">
        <v>53</v>
      </c>
      <c r="B550" t="s">
        <v>449</v>
      </c>
      <c r="C550" t="s">
        <v>452</v>
      </c>
      <c r="D550" t="s">
        <v>26</v>
      </c>
      <c r="E550" t="s">
        <v>31</v>
      </c>
      <c r="F550">
        <v>1</v>
      </c>
      <c r="G550" s="3" t="s">
        <v>5</v>
      </c>
      <c r="H550" s="46" t="s">
        <v>15</v>
      </c>
      <c r="I550" s="17">
        <v>21926.89</v>
      </c>
      <c r="J550" s="17">
        <f>IF(Gastos[[#This Row],[Divisa]]="$", I550*1, IF(Gastos[[#This Row],[Divisa]]="U$D", I550*$N$1, IF(Gastos[[#This Row],[Divisa]]="EUR", I550*$N$2, 0)))</f>
        <v>21926.89</v>
      </c>
      <c r="K550" s="54">
        <f>Gastos[[#This Row],[Importe AR$]]/$N$1</f>
        <v>14.055698717948717</v>
      </c>
      <c r="M550" s="69"/>
      <c r="N550" s="43" t="str">
        <f>IF(Gastos[[#This Row],[Fecha_Cheque]]&gt;0,WEEKNUM(Gastos[[#This Row],[Fecha_Cheque]]),MID(Gastos[[#This Row],[Semana]],6,2))</f>
        <v>34</v>
      </c>
      <c r="O550" t="s">
        <v>453</v>
      </c>
      <c r="P550" t="s">
        <v>27</v>
      </c>
    </row>
    <row r="551" spans="1:16" hidden="1" x14ac:dyDescent="0.25">
      <c r="A551" s="3" t="s">
        <v>53</v>
      </c>
      <c r="B551" t="s">
        <v>449</v>
      </c>
      <c r="C551" t="s">
        <v>452</v>
      </c>
      <c r="D551" t="s">
        <v>26</v>
      </c>
      <c r="E551" t="s">
        <v>31</v>
      </c>
      <c r="F551">
        <v>1</v>
      </c>
      <c r="G551" s="3" t="s">
        <v>32</v>
      </c>
      <c r="H551" s="46" t="s">
        <v>15</v>
      </c>
      <c r="I551" s="17">
        <v>410953.11</v>
      </c>
      <c r="J551" s="17">
        <f>IF(Gastos[[#This Row],[Divisa]]="$", I551*1, IF(Gastos[[#This Row],[Divisa]]="U$D", I551*$N$1, IF(Gastos[[#This Row],[Divisa]]="EUR", I551*$N$2, 0)))</f>
        <v>410953.11</v>
      </c>
      <c r="K551" s="54">
        <f>Gastos[[#This Row],[Importe AR$]]/$N$1</f>
        <v>263.43148076923075</v>
      </c>
      <c r="M551" s="69">
        <v>45890</v>
      </c>
      <c r="N551" s="43">
        <f>IF(Gastos[[#This Row],[Fecha_Cheque]]&gt;0,WEEKNUM(Gastos[[#This Row],[Fecha_Cheque]]),MID(Gastos[[#This Row],[Semana]],6,2))</f>
        <v>34</v>
      </c>
      <c r="O551" t="s">
        <v>453</v>
      </c>
      <c r="P551" t="s">
        <v>27</v>
      </c>
    </row>
    <row r="552" spans="1:16" hidden="1" x14ac:dyDescent="0.25">
      <c r="A552" s="3" t="s">
        <v>332</v>
      </c>
      <c r="B552" t="s">
        <v>449</v>
      </c>
      <c r="C552" t="s">
        <v>1225</v>
      </c>
      <c r="D552" t="s">
        <v>26</v>
      </c>
      <c r="E552" t="s">
        <v>62</v>
      </c>
      <c r="F552">
        <v>1</v>
      </c>
      <c r="G552" s="3" t="s">
        <v>5</v>
      </c>
      <c r="H552" s="46" t="s">
        <v>15</v>
      </c>
      <c r="I552" s="17">
        <v>301296</v>
      </c>
      <c r="J552" s="17">
        <f>IF(Gastos[[#This Row],[Divisa]]="$", I552*1, IF(Gastos[[#This Row],[Divisa]]="U$D", I552*$N$1, IF(Gastos[[#This Row],[Divisa]]="EUR", I552*$N$2, 0)))</f>
        <v>301296</v>
      </c>
      <c r="K552" s="54">
        <f>Gastos[[#This Row],[Importe AR$]]/$N$1</f>
        <v>193.13846153846154</v>
      </c>
      <c r="M552" s="69">
        <v>46131</v>
      </c>
      <c r="N552" s="43">
        <f>IF(Gastos[[#This Row],[Fecha_Cheque]]&gt;0,WEEKNUM(Gastos[[#This Row],[Fecha_Cheque]]),MID(Gastos[[#This Row],[Semana]],6,2))</f>
        <v>17</v>
      </c>
      <c r="O552" t="s">
        <v>1226</v>
      </c>
      <c r="P552" t="s">
        <v>27</v>
      </c>
    </row>
    <row r="553" spans="1:16" hidden="1" x14ac:dyDescent="0.25">
      <c r="A553" s="3" t="s">
        <v>332</v>
      </c>
      <c r="B553" t="s">
        <v>449</v>
      </c>
      <c r="C553" t="s">
        <v>1225</v>
      </c>
      <c r="D553" t="s">
        <v>26</v>
      </c>
      <c r="E553" t="s">
        <v>62</v>
      </c>
      <c r="F553">
        <v>1</v>
      </c>
      <c r="G553" s="3" t="s">
        <v>5</v>
      </c>
      <c r="H553" s="46" t="s">
        <v>15</v>
      </c>
      <c r="I553" s="17">
        <v>5076.38</v>
      </c>
      <c r="J553" s="17">
        <f>IF(Gastos[[#This Row],[Divisa]]="$", I553*1, IF(Gastos[[#This Row],[Divisa]]="U$D", I553*$N$1, IF(Gastos[[#This Row],[Divisa]]="EUR", I553*$N$2, 0)))</f>
        <v>5076.38</v>
      </c>
      <c r="K553" s="54">
        <f>Gastos[[#This Row],[Importe AR$]]/$N$1</f>
        <v>3.2540897435897436</v>
      </c>
      <c r="L553" t="s">
        <v>340</v>
      </c>
      <c r="M553" s="69"/>
      <c r="N553" s="43" t="str">
        <f>IF(Gastos[[#This Row],[Fecha_Cheque]]&gt;0,WEEKNUM(Gastos[[#This Row],[Fecha_Cheque]]),MID(Gastos[[#This Row],[Semana]],6,2))</f>
        <v>12</v>
      </c>
      <c r="O553" t="s">
        <v>1226</v>
      </c>
      <c r="P553" t="s">
        <v>27</v>
      </c>
    </row>
    <row r="554" spans="1:16" x14ac:dyDescent="0.25">
      <c r="A554" s="3" t="s">
        <v>4655</v>
      </c>
      <c r="B554" t="s">
        <v>327</v>
      </c>
      <c r="C554" t="s">
        <v>4473</v>
      </c>
      <c r="D554" t="s">
        <v>26</v>
      </c>
      <c r="E554" t="s">
        <v>62</v>
      </c>
      <c r="F554">
        <v>1</v>
      </c>
      <c r="G554" s="3" t="s">
        <v>5</v>
      </c>
      <c r="H554" s="44" t="s">
        <v>15</v>
      </c>
      <c r="I554" s="17">
        <f>173800+4400</f>
        <v>178200</v>
      </c>
      <c r="J554" s="17">
        <f>IF(Gastos[[#This Row],[Divisa]]="$", I554*1, IF(Gastos[[#This Row],[Divisa]]="U$D", I554*$N$1, IF(Gastos[[#This Row],[Divisa]]="EUR", I554*$N$2, 0)))</f>
        <v>178200</v>
      </c>
      <c r="K554" s="54">
        <f>Gastos[[#This Row],[Importe AR$]]/$N$1</f>
        <v>114.23076923076923</v>
      </c>
      <c r="M554" s="69"/>
      <c r="N554" s="43" t="str">
        <f>IF(Gastos[[#This Row],[Fecha_Cheque]]&gt;0,WEEKNUM(Gastos[[#This Row],[Fecha_Cheque]]),MID(Gastos[[#This Row],[Semana]],6,2))</f>
        <v>44</v>
      </c>
    </row>
    <row r="555" spans="1:16" hidden="1" x14ac:dyDescent="0.25">
      <c r="A555" s="3" t="s">
        <v>828</v>
      </c>
      <c r="B555" t="s">
        <v>1893</v>
      </c>
      <c r="C555" t="s">
        <v>1894</v>
      </c>
      <c r="D555" t="s">
        <v>26</v>
      </c>
      <c r="E555" t="s">
        <v>31</v>
      </c>
      <c r="F555">
        <v>1</v>
      </c>
      <c r="G555" s="3" t="s">
        <v>32</v>
      </c>
      <c r="H555" s="44" t="s">
        <v>15</v>
      </c>
      <c r="I555" s="17">
        <v>589148</v>
      </c>
      <c r="J555" s="17">
        <f>IF(Gastos[[#This Row],[Divisa]]="$", I555*1, IF(Gastos[[#This Row],[Divisa]]="U$D", I555*$N$1, IF(Gastos[[#This Row],[Divisa]]="EUR", I555*$N$2, 0)))</f>
        <v>589148</v>
      </c>
      <c r="K555" s="54">
        <f>Gastos[[#This Row],[Importe AR$]]/$N$1</f>
        <v>377.65897435897438</v>
      </c>
      <c r="M555" s="69">
        <v>46139</v>
      </c>
      <c r="N555" s="43">
        <f>IF(Gastos[[#This Row],[Fecha_Cheque]]&gt;0,WEEKNUM(Gastos[[#This Row],[Fecha_Cheque]]),MID(Gastos[[#This Row],[Semana]],6,2))</f>
        <v>18</v>
      </c>
      <c r="O555" t="s">
        <v>1895</v>
      </c>
      <c r="P555" t="s">
        <v>27</v>
      </c>
    </row>
    <row r="556" spans="1:16" hidden="1" x14ac:dyDescent="0.25">
      <c r="A556" s="3" t="s">
        <v>828</v>
      </c>
      <c r="B556" t="s">
        <v>1893</v>
      </c>
      <c r="C556" t="s">
        <v>1894</v>
      </c>
      <c r="D556" t="s">
        <v>26</v>
      </c>
      <c r="E556" t="s">
        <v>31</v>
      </c>
      <c r="F556">
        <v>1</v>
      </c>
      <c r="G556" s="3" t="s">
        <v>32</v>
      </c>
      <c r="H556" s="44" t="s">
        <v>15</v>
      </c>
      <c r="I556" s="17">
        <v>589148</v>
      </c>
      <c r="J556" s="17">
        <f>IF(Gastos[[#This Row],[Divisa]]="$", I556*1, IF(Gastos[[#This Row],[Divisa]]="U$D", I556*$N$1, IF(Gastos[[#This Row],[Divisa]]="EUR", I556*$N$2, 0)))</f>
        <v>589148</v>
      </c>
      <c r="K556" s="54">
        <f>Gastos[[#This Row],[Importe AR$]]/$N$1</f>
        <v>377.65897435897438</v>
      </c>
      <c r="M556" s="69">
        <v>46169</v>
      </c>
      <c r="N556" s="43">
        <f>IF(Gastos[[#This Row],[Fecha_Cheque]]&gt;0,WEEKNUM(Gastos[[#This Row],[Fecha_Cheque]]),MID(Gastos[[#This Row],[Semana]],6,2))</f>
        <v>22</v>
      </c>
      <c r="O556" t="s">
        <v>1895</v>
      </c>
      <c r="P556" t="s">
        <v>27</v>
      </c>
    </row>
    <row r="557" spans="1:16" hidden="1" x14ac:dyDescent="0.25">
      <c r="A557" s="3" t="s">
        <v>828</v>
      </c>
      <c r="B557" t="s">
        <v>1893</v>
      </c>
      <c r="C557" t="s">
        <v>1894</v>
      </c>
      <c r="D557" t="s">
        <v>26</v>
      </c>
      <c r="E557" t="s">
        <v>31</v>
      </c>
      <c r="F557">
        <v>1</v>
      </c>
      <c r="G557" s="3" t="s">
        <v>32</v>
      </c>
      <c r="H557" s="44" t="s">
        <v>15</v>
      </c>
      <c r="I557" s="17">
        <v>15248</v>
      </c>
      <c r="J557" s="17">
        <f>IF(Gastos[[#This Row],[Divisa]]="$", I557*1, IF(Gastos[[#This Row],[Divisa]]="U$D", I557*$N$1, IF(Gastos[[#This Row],[Divisa]]="EUR", I557*$N$2, 0)))</f>
        <v>15248</v>
      </c>
      <c r="K557" s="54">
        <f>Gastos[[#This Row],[Importe AR$]]/$N$1</f>
        <v>9.7743589743589752</v>
      </c>
      <c r="L557" t="s">
        <v>340</v>
      </c>
      <c r="M557" s="69"/>
      <c r="N557" s="43" t="str">
        <f>IF(Gastos[[#This Row],[Fecha_Cheque]]&gt;0,WEEKNUM(Gastos[[#This Row],[Fecha_Cheque]]),MID(Gastos[[#This Row],[Semana]],6,2))</f>
        <v>13</v>
      </c>
      <c r="O557" t="s">
        <v>1895</v>
      </c>
      <c r="P557" t="s">
        <v>27</v>
      </c>
    </row>
    <row r="558" spans="1:16" hidden="1" x14ac:dyDescent="0.25">
      <c r="A558" s="3" t="s">
        <v>50</v>
      </c>
      <c r="B558" t="s">
        <v>454</v>
      </c>
      <c r="C558" t="s">
        <v>455</v>
      </c>
      <c r="D558" t="s">
        <v>26</v>
      </c>
      <c r="E558" t="s">
        <v>31</v>
      </c>
      <c r="F558">
        <v>1</v>
      </c>
      <c r="G558" s="3" t="s">
        <v>32</v>
      </c>
      <c r="H558" s="46" t="s">
        <v>15</v>
      </c>
      <c r="I558" s="17">
        <f>332900+873100</f>
        <v>1206000</v>
      </c>
      <c r="J558" s="17">
        <f>IF(Gastos[[#This Row],[Divisa]]="$", I558*1, IF(Gastos[[#This Row],[Divisa]]="U$D", I558*$N$1, IF(Gastos[[#This Row],[Divisa]]="EUR", I558*$N$2, 0)))</f>
        <v>1206000</v>
      </c>
      <c r="K558" s="54">
        <f>Gastos[[#This Row],[Importe AR$]]/$N$1</f>
        <v>773.07692307692309</v>
      </c>
      <c r="L558" t="s">
        <v>215</v>
      </c>
      <c r="M558" s="69">
        <v>45857</v>
      </c>
      <c r="N558" s="43">
        <f>IF(Gastos[[#This Row],[Fecha_Cheque]]&gt;0,WEEKNUM(Gastos[[#This Row],[Fecha_Cheque]]),MID(Gastos[[#This Row],[Semana]],6,2))</f>
        <v>29</v>
      </c>
      <c r="O558" t="s">
        <v>456</v>
      </c>
      <c r="P558" t="s">
        <v>27</v>
      </c>
    </row>
    <row r="559" spans="1:16" hidden="1" x14ac:dyDescent="0.25">
      <c r="A559" s="3" t="s">
        <v>52</v>
      </c>
      <c r="B559" t="s">
        <v>454</v>
      </c>
      <c r="C559" t="s">
        <v>457</v>
      </c>
      <c r="D559" t="s">
        <v>26</v>
      </c>
      <c r="E559" t="s">
        <v>31</v>
      </c>
      <c r="F559">
        <v>1</v>
      </c>
      <c r="G559" s="3" t="s">
        <v>32</v>
      </c>
      <c r="H559" s="46" t="s">
        <v>15</v>
      </c>
      <c r="I559" s="19">
        <v>2439022.61</v>
      </c>
      <c r="J559" s="17">
        <f>IF(Gastos[[#This Row],[Divisa]]="$", I559*1, IF(Gastos[[#This Row],[Divisa]]="U$D", I559*$N$1, IF(Gastos[[#This Row],[Divisa]]="EUR", I559*$N$2, 0)))</f>
        <v>2439022.61</v>
      </c>
      <c r="K559" s="55">
        <f>Gastos[[#This Row],[Importe AR$]]/$N$1</f>
        <v>1563.4760320512819</v>
      </c>
      <c r="L559" t="s">
        <v>458</v>
      </c>
      <c r="M559" s="69"/>
      <c r="N559" s="43" t="str">
        <f>IF(Gastos[[#This Row],[Fecha_Cheque]]&gt;0,WEEKNUM(Gastos[[#This Row],[Fecha_Cheque]]),MID(Gastos[[#This Row],[Semana]],6,2))</f>
        <v>12</v>
      </c>
      <c r="P559" t="s">
        <v>27</v>
      </c>
    </row>
    <row r="560" spans="1:16" hidden="1" x14ac:dyDescent="0.25">
      <c r="A560" s="3" t="s">
        <v>290</v>
      </c>
      <c r="B560" t="s">
        <v>454</v>
      </c>
      <c r="C560" t="s">
        <v>459</v>
      </c>
      <c r="D560" t="s">
        <v>61</v>
      </c>
      <c r="E560" t="s">
        <v>62</v>
      </c>
      <c r="F560">
        <v>1</v>
      </c>
      <c r="G560" s="3" t="s">
        <v>32</v>
      </c>
      <c r="H560" s="46" t="s">
        <v>15</v>
      </c>
      <c r="I560" s="17">
        <v>1057000</v>
      </c>
      <c r="J560" s="17">
        <f>IF(Gastos[[#This Row],[Divisa]]="$", I560*1, IF(Gastos[[#This Row],[Divisa]]="U$D", I560*$N$1, IF(Gastos[[#This Row],[Divisa]]="EUR", I560*$N$2, 0)))</f>
        <v>1057000</v>
      </c>
      <c r="K560" s="54">
        <f>Gastos[[#This Row],[Importe AR$]]/$N$1</f>
        <v>677.56410256410254</v>
      </c>
      <c r="L560" s="27" t="s">
        <v>460</v>
      </c>
      <c r="M560" s="69">
        <v>45824</v>
      </c>
      <c r="N560" s="43">
        <f>IF(Gastos[[#This Row],[Fecha_Cheque]]&gt;0,WEEKNUM(Gastos[[#This Row],[Fecha_Cheque]]),MID(Gastos[[#This Row],[Semana]],6,2))</f>
        <v>25</v>
      </c>
      <c r="O560" t="s">
        <v>461</v>
      </c>
      <c r="P560" t="s">
        <v>27</v>
      </c>
    </row>
    <row r="561" spans="1:16" hidden="1" x14ac:dyDescent="0.25">
      <c r="A561" s="3" t="s">
        <v>53</v>
      </c>
      <c r="B561" t="s">
        <v>454</v>
      </c>
      <c r="C561" t="s">
        <v>462</v>
      </c>
      <c r="D561" t="s">
        <v>26</v>
      </c>
      <c r="E561" t="s">
        <v>31</v>
      </c>
      <c r="F561">
        <v>1</v>
      </c>
      <c r="G561" s="3" t="s">
        <v>32</v>
      </c>
      <c r="H561" s="46" t="s">
        <v>15</v>
      </c>
      <c r="I561" s="17">
        <v>763568.91</v>
      </c>
      <c r="J561" s="17">
        <f>IF(Gastos[[#This Row],[Divisa]]="$", I561*1, IF(Gastos[[#This Row],[Divisa]]="U$D", I561*$N$1, IF(Gastos[[#This Row],[Divisa]]="EUR", I561*$N$2, 0)))</f>
        <v>763568.91</v>
      </c>
      <c r="K561" s="54">
        <f>Gastos[[#This Row],[Importe AR$]]/$N$1</f>
        <v>489.46725000000004</v>
      </c>
      <c r="M561" s="69">
        <v>45875</v>
      </c>
      <c r="N561" s="43">
        <f>IF(Gastos[[#This Row],[Fecha_Cheque]]&gt;0,WEEKNUM(Gastos[[#This Row],[Fecha_Cheque]]),MID(Gastos[[#This Row],[Semana]],6,2))</f>
        <v>32</v>
      </c>
      <c r="O561" t="s">
        <v>463</v>
      </c>
      <c r="P561" t="s">
        <v>27</v>
      </c>
    </row>
    <row r="562" spans="1:16" hidden="1" x14ac:dyDescent="0.25">
      <c r="A562" s="3" t="s">
        <v>53</v>
      </c>
      <c r="B562" t="s">
        <v>454</v>
      </c>
      <c r="C562" t="s">
        <v>462</v>
      </c>
      <c r="D562" t="s">
        <v>26</v>
      </c>
      <c r="E562" t="s">
        <v>31</v>
      </c>
      <c r="F562">
        <v>1</v>
      </c>
      <c r="G562" s="3" t="s">
        <v>32</v>
      </c>
      <c r="H562" s="46" t="s">
        <v>15</v>
      </c>
      <c r="I562" s="17">
        <v>25253.21</v>
      </c>
      <c r="J562" s="17">
        <f>IF(Gastos[[#This Row],[Divisa]]="$", I562*1, IF(Gastos[[#This Row],[Divisa]]="U$D", I562*$N$1, IF(Gastos[[#This Row],[Divisa]]="EUR", I562*$N$2, 0)))</f>
        <v>25253.21</v>
      </c>
      <c r="K562" s="54">
        <f>Gastos[[#This Row],[Importe AR$]]/$N$1</f>
        <v>16.187955128205129</v>
      </c>
      <c r="M562" s="69">
        <v>45889</v>
      </c>
      <c r="N562" s="43">
        <f>IF(Gastos[[#This Row],[Fecha_Cheque]]&gt;0,WEEKNUM(Gastos[[#This Row],[Fecha_Cheque]]),MID(Gastos[[#This Row],[Semana]],6,2))</f>
        <v>34</v>
      </c>
      <c r="O562" t="s">
        <v>463</v>
      </c>
      <c r="P562" t="s">
        <v>27</v>
      </c>
    </row>
    <row r="563" spans="1:16" hidden="1" x14ac:dyDescent="0.25">
      <c r="A563" s="3" t="s">
        <v>53</v>
      </c>
      <c r="B563" t="s">
        <v>454</v>
      </c>
      <c r="C563" t="s">
        <v>462</v>
      </c>
      <c r="D563" t="s">
        <v>26</v>
      </c>
      <c r="E563" t="s">
        <v>31</v>
      </c>
      <c r="F563">
        <v>1</v>
      </c>
      <c r="G563" s="3" t="s">
        <v>32</v>
      </c>
      <c r="H563" s="46" t="s">
        <v>15</v>
      </c>
      <c r="I563" s="17">
        <v>127448.69</v>
      </c>
      <c r="J563" s="17">
        <f>IF(Gastos[[#This Row],[Divisa]]="$", I563*1, IF(Gastos[[#This Row],[Divisa]]="U$D", I563*$N$1, IF(Gastos[[#This Row],[Divisa]]="EUR", I563*$N$2, 0)))</f>
        <v>127448.69</v>
      </c>
      <c r="K563" s="54">
        <f>Gastos[[#This Row],[Importe AR$]]/$N$1</f>
        <v>81.697878205128205</v>
      </c>
      <c r="M563" s="69">
        <v>45887</v>
      </c>
      <c r="N563" s="43">
        <f>IF(Gastos[[#This Row],[Fecha_Cheque]]&gt;0,WEEKNUM(Gastos[[#This Row],[Fecha_Cheque]]),MID(Gastos[[#This Row],[Semana]],6,2))</f>
        <v>34</v>
      </c>
      <c r="O563" t="s">
        <v>463</v>
      </c>
      <c r="P563" t="s">
        <v>27</v>
      </c>
    </row>
    <row r="564" spans="1:16" hidden="1" x14ac:dyDescent="0.25">
      <c r="A564" s="3" t="s">
        <v>53</v>
      </c>
      <c r="B564" t="s">
        <v>454</v>
      </c>
      <c r="C564" t="s">
        <v>462</v>
      </c>
      <c r="D564" t="s">
        <v>26</v>
      </c>
      <c r="E564" t="s">
        <v>31</v>
      </c>
      <c r="F564">
        <v>1</v>
      </c>
      <c r="G564" s="3" t="s">
        <v>32</v>
      </c>
      <c r="H564" s="46" t="s">
        <v>15</v>
      </c>
      <c r="I564" s="17">
        <v>756770.94</v>
      </c>
      <c r="J564" s="17">
        <f>IF(Gastos[[#This Row],[Divisa]]="$", I564*1, IF(Gastos[[#This Row],[Divisa]]="U$D", I564*$N$1, IF(Gastos[[#This Row],[Divisa]]="EUR", I564*$N$2, 0)))</f>
        <v>756770.94</v>
      </c>
      <c r="K564" s="54">
        <f>Gastos[[#This Row],[Importe AR$]]/$N$1</f>
        <v>485.10957692307687</v>
      </c>
      <c r="M564" s="69">
        <v>45889</v>
      </c>
      <c r="N564" s="43">
        <f>IF(Gastos[[#This Row],[Fecha_Cheque]]&gt;0,WEEKNUM(Gastos[[#This Row],[Fecha_Cheque]]),MID(Gastos[[#This Row],[Semana]],6,2))</f>
        <v>34</v>
      </c>
      <c r="O564" t="s">
        <v>463</v>
      </c>
      <c r="P564" t="s">
        <v>27</v>
      </c>
    </row>
    <row r="565" spans="1:16" hidden="1" x14ac:dyDescent="0.25">
      <c r="A565" s="3" t="s">
        <v>53</v>
      </c>
      <c r="B565" t="s">
        <v>454</v>
      </c>
      <c r="C565" t="s">
        <v>462</v>
      </c>
      <c r="D565" t="s">
        <v>26</v>
      </c>
      <c r="E565" t="s">
        <v>31</v>
      </c>
      <c r="F565">
        <v>1</v>
      </c>
      <c r="G565" s="3" t="s">
        <v>4</v>
      </c>
      <c r="H565" s="46" t="s">
        <v>15</v>
      </c>
      <c r="I565" s="17">
        <v>5915.76</v>
      </c>
      <c r="J565" s="17">
        <f>IF(Gastos[[#This Row],[Divisa]]="$", I565*1, IF(Gastos[[#This Row],[Divisa]]="U$D", I565*$N$1, IF(Gastos[[#This Row],[Divisa]]="EUR", I565*$N$2, 0)))</f>
        <v>5915.76</v>
      </c>
      <c r="K565" s="54">
        <f>Gastos[[#This Row],[Importe AR$]]/$N$1</f>
        <v>3.7921538461538464</v>
      </c>
      <c r="M565" s="69"/>
      <c r="N565" s="43" t="str">
        <f>IF(Gastos[[#This Row],[Fecha_Cheque]]&gt;0,WEEKNUM(Gastos[[#This Row],[Fecha_Cheque]]),MID(Gastos[[#This Row],[Semana]],6,2))</f>
        <v>34</v>
      </c>
      <c r="O565" t="s">
        <v>463</v>
      </c>
      <c r="P565" t="s">
        <v>27</v>
      </c>
    </row>
    <row r="566" spans="1:16" hidden="1" x14ac:dyDescent="0.25">
      <c r="A566" s="3" t="s">
        <v>122</v>
      </c>
      <c r="B566" t="s">
        <v>454</v>
      </c>
      <c r="C566" t="s">
        <v>464</v>
      </c>
      <c r="D566" t="s">
        <v>26</v>
      </c>
      <c r="E566" t="s">
        <v>31</v>
      </c>
      <c r="F566">
        <v>1</v>
      </c>
      <c r="G566" s="3" t="s">
        <v>32</v>
      </c>
      <c r="H566" s="46" t="s">
        <v>15</v>
      </c>
      <c r="I566" s="17">
        <v>1166480</v>
      </c>
      <c r="J566" s="17">
        <f>IF(Gastos[[#This Row],[Divisa]]="$", I566*1, IF(Gastos[[#This Row],[Divisa]]="U$D", I566*$N$1, IF(Gastos[[#This Row],[Divisa]]="EUR", I566*$N$2, 0)))</f>
        <v>1166480</v>
      </c>
      <c r="K566" s="54">
        <f>Gastos[[#This Row],[Importe AR$]]/$N$1</f>
        <v>747.74358974358972</v>
      </c>
      <c r="M566" s="69">
        <v>45947</v>
      </c>
      <c r="N566" s="43">
        <f>IF(Gastos[[#This Row],[Fecha_Cheque]]&gt;0,WEEKNUM(Gastos[[#This Row],[Fecha_Cheque]]),MID(Gastos[[#This Row],[Semana]],6,2))</f>
        <v>42</v>
      </c>
      <c r="O566" t="s">
        <v>465</v>
      </c>
      <c r="P566" t="s">
        <v>27</v>
      </c>
    </row>
    <row r="567" spans="1:16" hidden="1" x14ac:dyDescent="0.25">
      <c r="A567" s="3" t="s">
        <v>81</v>
      </c>
      <c r="B567" t="s">
        <v>454</v>
      </c>
      <c r="C567" t="s">
        <v>466</v>
      </c>
      <c r="D567" t="s">
        <v>26</v>
      </c>
      <c r="E567" t="s">
        <v>62</v>
      </c>
      <c r="F567">
        <v>1</v>
      </c>
      <c r="G567" s="3" t="s">
        <v>32</v>
      </c>
      <c r="H567" s="46" t="s">
        <v>15</v>
      </c>
      <c r="I567" s="17">
        <v>1469825</v>
      </c>
      <c r="J567" s="17">
        <f>IF(Gastos[[#This Row],[Divisa]]="$", I567*1, IF(Gastos[[#This Row],[Divisa]]="U$D", I567*$N$1, IF(Gastos[[#This Row],[Divisa]]="EUR", I567*$N$2, 0)))</f>
        <v>1469825</v>
      </c>
      <c r="K567" s="54">
        <f>Gastos[[#This Row],[Importe AR$]]/$N$1</f>
        <v>942.19551282051282</v>
      </c>
      <c r="M567" s="69">
        <v>46010</v>
      </c>
      <c r="N567" s="43">
        <f>IF(Gastos[[#This Row],[Fecha_Cheque]]&gt;0,WEEKNUM(Gastos[[#This Row],[Fecha_Cheque]]),MID(Gastos[[#This Row],[Semana]],6,2))</f>
        <v>51</v>
      </c>
      <c r="O567" t="s">
        <v>467</v>
      </c>
      <c r="P567" t="s">
        <v>27</v>
      </c>
    </row>
    <row r="568" spans="1:16" hidden="1" x14ac:dyDescent="0.25">
      <c r="A568" s="3" t="s">
        <v>378</v>
      </c>
      <c r="B568" t="s">
        <v>454</v>
      </c>
      <c r="C568" t="s">
        <v>468</v>
      </c>
      <c r="D568" t="s">
        <v>26</v>
      </c>
      <c r="E568" t="s">
        <v>62</v>
      </c>
      <c r="F568">
        <v>1</v>
      </c>
      <c r="G568" s="3" t="s">
        <v>5</v>
      </c>
      <c r="H568" s="46" t="s">
        <v>15</v>
      </c>
      <c r="I568" s="17">
        <v>406627.32</v>
      </c>
      <c r="J568" s="17">
        <f>IF(Gastos[[#This Row],[Divisa]]="$", I568*1, IF(Gastos[[#This Row],[Divisa]]="U$D", I568*$N$1, IF(Gastos[[#This Row],[Divisa]]="EUR", I568*$N$2, 0)))</f>
        <v>406627.32</v>
      </c>
      <c r="K568" s="54">
        <f>Gastos[[#This Row],[Importe AR$]]/$N$1</f>
        <v>260.65853846153846</v>
      </c>
      <c r="M568" s="69"/>
      <c r="N568" s="43" t="str">
        <f>IF(Gastos[[#This Row],[Fecha_Cheque]]&gt;0,WEEKNUM(Gastos[[#This Row],[Fecha_Cheque]]),MID(Gastos[[#This Row],[Semana]],6,2))</f>
        <v>03</v>
      </c>
      <c r="O568" t="s">
        <v>469</v>
      </c>
      <c r="P568" t="s">
        <v>27</v>
      </c>
    </row>
    <row r="569" spans="1:16" hidden="1" x14ac:dyDescent="0.25">
      <c r="A569" s="3" t="s">
        <v>68</v>
      </c>
      <c r="B569" t="s">
        <v>454</v>
      </c>
      <c r="C569" t="s">
        <v>468</v>
      </c>
      <c r="D569" t="s">
        <v>26</v>
      </c>
      <c r="E569" t="s">
        <v>62</v>
      </c>
      <c r="F569">
        <v>1</v>
      </c>
      <c r="G569" s="3" t="s">
        <v>5</v>
      </c>
      <c r="H569" s="46" t="s">
        <v>15</v>
      </c>
      <c r="I569" s="17">
        <v>629750</v>
      </c>
      <c r="J569" s="17">
        <f>IF(Gastos[[#This Row],[Divisa]]="$", I569*1, IF(Gastos[[#This Row],[Divisa]]="U$D", I569*$N$1, IF(Gastos[[#This Row],[Divisa]]="EUR", I569*$N$2, 0)))</f>
        <v>629750</v>
      </c>
      <c r="K569" s="54">
        <f>Gastos[[#This Row],[Importe AR$]]/$N$1</f>
        <v>403.68589743589746</v>
      </c>
      <c r="M569" s="69"/>
      <c r="N569" s="43" t="str">
        <f>IF(Gastos[[#This Row],[Fecha_Cheque]]&gt;0,WEEKNUM(Gastos[[#This Row],[Fecha_Cheque]]),MID(Gastos[[#This Row],[Semana]],6,2))</f>
        <v>05</v>
      </c>
      <c r="O569" t="s">
        <v>470</v>
      </c>
      <c r="P569" t="s">
        <v>27</v>
      </c>
    </row>
    <row r="570" spans="1:16" hidden="1" x14ac:dyDescent="0.25">
      <c r="A570" s="3" t="s">
        <v>3882</v>
      </c>
      <c r="B570" t="s">
        <v>454</v>
      </c>
      <c r="C570" t="s">
        <v>3903</v>
      </c>
      <c r="D570" t="s">
        <v>26</v>
      </c>
      <c r="E570" t="s">
        <v>42</v>
      </c>
      <c r="F570">
        <v>1</v>
      </c>
      <c r="G570" s="3" t="s">
        <v>4</v>
      </c>
      <c r="H570" s="44" t="s">
        <v>15</v>
      </c>
      <c r="I570" s="17">
        <v>922987.6</v>
      </c>
      <c r="J570" s="17">
        <f>IF(Gastos[[#This Row],[Divisa]]="$", I570*1, IF(Gastos[[#This Row],[Divisa]]="U$D", I570*$N$1, IF(Gastos[[#This Row],[Divisa]]="EUR", I570*$N$2, 0)))</f>
        <v>922987.6</v>
      </c>
      <c r="K570" s="54">
        <f>Gastos[[#This Row],[Importe AR$]]/$N$1</f>
        <v>591.65871794871794</v>
      </c>
      <c r="M570" s="69"/>
      <c r="N570" s="43" t="str">
        <f>IF(Gastos[[#This Row],[Fecha_Cheque]]&gt;0,WEEKNUM(Gastos[[#This Row],[Fecha_Cheque]]),MID(Gastos[[#This Row],[Semana]],6,2))</f>
        <v>31</v>
      </c>
      <c r="O570" t="s">
        <v>3904</v>
      </c>
      <c r="P570" t="s">
        <v>27</v>
      </c>
    </row>
    <row r="571" spans="1:16" hidden="1" x14ac:dyDescent="0.25">
      <c r="A571" s="3" t="s">
        <v>3882</v>
      </c>
      <c r="B571" t="s">
        <v>454</v>
      </c>
      <c r="C571" t="s">
        <v>3903</v>
      </c>
      <c r="D571" t="s">
        <v>26</v>
      </c>
      <c r="E571" t="s">
        <v>42</v>
      </c>
      <c r="F571">
        <v>1</v>
      </c>
      <c r="G571" s="3" t="s">
        <v>4</v>
      </c>
      <c r="H571" s="44" t="s">
        <v>15</v>
      </c>
      <c r="I571" s="17">
        <v>15512.4</v>
      </c>
      <c r="J571" s="17">
        <f>IF(Gastos[[#This Row],[Divisa]]="$", I571*1, IF(Gastos[[#This Row],[Divisa]]="U$D", I571*$N$1, IF(Gastos[[#This Row],[Divisa]]="EUR", I571*$N$2, 0)))</f>
        <v>15512.4</v>
      </c>
      <c r="K571" s="54">
        <f>Gastos[[#This Row],[Importe AR$]]/$N$1</f>
        <v>9.9438461538461542</v>
      </c>
      <c r="L571" t="s">
        <v>340</v>
      </c>
      <c r="M571" s="69"/>
      <c r="N571" s="43" t="str">
        <f>IF(Gastos[[#This Row],[Fecha_Cheque]]&gt;0,WEEKNUM(Gastos[[#This Row],[Fecha_Cheque]]),MID(Gastos[[#This Row],[Semana]],6,2))</f>
        <v>31</v>
      </c>
      <c r="O571" t="s">
        <v>3904</v>
      </c>
      <c r="P571" t="s">
        <v>27</v>
      </c>
    </row>
    <row r="572" spans="1:16" hidden="1" x14ac:dyDescent="0.25">
      <c r="A572" s="3" t="s">
        <v>4211</v>
      </c>
      <c r="B572" t="s">
        <v>454</v>
      </c>
      <c r="C572" t="s">
        <v>3903</v>
      </c>
      <c r="D572" t="s">
        <v>26</v>
      </c>
      <c r="E572" t="s">
        <v>62</v>
      </c>
      <c r="F572">
        <v>1</v>
      </c>
      <c r="G572" s="3" t="s">
        <v>32</v>
      </c>
      <c r="H572" s="44" t="s">
        <v>15</v>
      </c>
      <c r="I572" s="17">
        <v>1000000</v>
      </c>
      <c r="J572" s="17">
        <f>IF(Gastos[[#This Row],[Divisa]]="$", I572*1, IF(Gastos[[#This Row],[Divisa]]="U$D", I572*$N$1, IF(Gastos[[#This Row],[Divisa]]="EUR", I572*$N$2, 0)))</f>
        <v>1000000</v>
      </c>
      <c r="K572" s="54">
        <f>Gastos[[#This Row],[Importe AR$]]/$N$1</f>
        <v>641.02564102564099</v>
      </c>
      <c r="M572" s="69">
        <v>46305</v>
      </c>
      <c r="N572" s="43">
        <f>IF(Gastos[[#This Row],[Fecha_Cheque]]&gt;0,WEEKNUM(Gastos[[#This Row],[Fecha_Cheque]]),MID(Gastos[[#This Row],[Semana]],6,2))</f>
        <v>41</v>
      </c>
      <c r="O572" t="s">
        <v>4312</v>
      </c>
      <c r="P572" t="s">
        <v>27</v>
      </c>
    </row>
    <row r="573" spans="1:16" hidden="1" x14ac:dyDescent="0.25">
      <c r="A573" s="3" t="s">
        <v>4211</v>
      </c>
      <c r="B573" t="s">
        <v>454</v>
      </c>
      <c r="C573" t="s">
        <v>3903</v>
      </c>
      <c r="D573" t="s">
        <v>26</v>
      </c>
      <c r="E573" t="s">
        <v>42</v>
      </c>
      <c r="F573">
        <v>1</v>
      </c>
      <c r="G573" s="3" t="s">
        <v>4</v>
      </c>
      <c r="H573" s="44" t="s">
        <v>15</v>
      </c>
      <c r="I573" s="17">
        <v>10964.3</v>
      </c>
      <c r="J573" s="17">
        <f>IF(Gastos[[#This Row],[Divisa]]="$", I573*1, IF(Gastos[[#This Row],[Divisa]]="U$D", I573*$N$1, IF(Gastos[[#This Row],[Divisa]]="EUR", I573*$N$2, 0)))</f>
        <v>10964.3</v>
      </c>
      <c r="K573" s="54">
        <f>Gastos[[#This Row],[Importe AR$]]/$N$1</f>
        <v>7.0283974358974355</v>
      </c>
      <c r="M573" s="69"/>
      <c r="N573" s="43" t="str">
        <f>IF(Gastos[[#This Row],[Fecha_Cheque]]&gt;0,WEEKNUM(Gastos[[#This Row],[Fecha_Cheque]]),MID(Gastos[[#This Row],[Semana]],6,2))</f>
        <v>37</v>
      </c>
      <c r="O573" t="s">
        <v>4312</v>
      </c>
      <c r="P573" t="s">
        <v>27</v>
      </c>
    </row>
    <row r="574" spans="1:16" hidden="1" x14ac:dyDescent="0.25">
      <c r="A574" s="3" t="s">
        <v>4211</v>
      </c>
      <c r="B574" t="s">
        <v>454</v>
      </c>
      <c r="C574" t="s">
        <v>3903</v>
      </c>
      <c r="D574" t="s">
        <v>26</v>
      </c>
      <c r="E574" t="s">
        <v>62</v>
      </c>
      <c r="F574">
        <v>1</v>
      </c>
      <c r="G574" s="3" t="s">
        <v>32</v>
      </c>
      <c r="H574" s="44" t="s">
        <v>15</v>
      </c>
      <c r="I574" s="17">
        <v>12435.7</v>
      </c>
      <c r="J574" s="17">
        <f>IF(Gastos[[#This Row],[Divisa]]="$", I574*1, IF(Gastos[[#This Row],[Divisa]]="U$D", I574*$N$1, IF(Gastos[[#This Row],[Divisa]]="EUR", I574*$N$2, 0)))</f>
        <v>12435.7</v>
      </c>
      <c r="K574" s="54">
        <f>Gastos[[#This Row],[Importe AR$]]/$N$1</f>
        <v>7.9716025641025645</v>
      </c>
      <c r="L574" t="s">
        <v>340</v>
      </c>
      <c r="M574" s="69"/>
      <c r="N574" s="43" t="str">
        <f>IF(Gastos[[#This Row],[Fecha_Cheque]]&gt;0,WEEKNUM(Gastos[[#This Row],[Fecha_Cheque]]),MID(Gastos[[#This Row],[Semana]],6,2))</f>
        <v>37</v>
      </c>
      <c r="O574" t="s">
        <v>4312</v>
      </c>
      <c r="P574" t="s">
        <v>27</v>
      </c>
    </row>
    <row r="575" spans="1:16" x14ac:dyDescent="0.25">
      <c r="A575" s="3" t="s">
        <v>4655</v>
      </c>
      <c r="B575" t="s">
        <v>390</v>
      </c>
      <c r="C575" t="s">
        <v>3148</v>
      </c>
      <c r="D575" t="s">
        <v>26</v>
      </c>
      <c r="E575" t="s">
        <v>62</v>
      </c>
      <c r="F575">
        <v>1</v>
      </c>
      <c r="G575" s="3" t="s">
        <v>32</v>
      </c>
      <c r="H575" s="46" t="s">
        <v>15</v>
      </c>
      <c r="I575" s="17">
        <v>4552979.5599999996</v>
      </c>
      <c r="J575" s="17">
        <f>IF(Gastos[[#This Row],[Divisa]]="$", I575*1, IF(Gastos[[#This Row],[Divisa]]="U$D", I575*$N$1, IF(Gastos[[#This Row],[Divisa]]="EUR", I575*$N$2, 0)))</f>
        <v>4552979.5599999996</v>
      </c>
      <c r="K575" s="54">
        <f>Gastos[[#This Row],[Importe AR$]]/$N$1</f>
        <v>2918.5766410256406</v>
      </c>
      <c r="M575" s="69"/>
      <c r="N575" s="43" t="str">
        <f>IF(Gastos[[#This Row],[Fecha_Cheque]]&gt;0,WEEKNUM(Gastos[[#This Row],[Fecha_Cheque]]),MID(Gastos[[#This Row],[Semana]],6,2))</f>
        <v>44</v>
      </c>
    </row>
    <row r="576" spans="1:16" hidden="1" x14ac:dyDescent="0.25">
      <c r="A576" s="3" t="s">
        <v>2804</v>
      </c>
      <c r="B576" t="s">
        <v>2884</v>
      </c>
      <c r="C576" t="s">
        <v>2885</v>
      </c>
      <c r="D576" t="s">
        <v>26</v>
      </c>
      <c r="E576" t="s">
        <v>31</v>
      </c>
      <c r="F576">
        <v>1</v>
      </c>
      <c r="G576" s="3" t="s">
        <v>32</v>
      </c>
      <c r="H576" s="44" t="s">
        <v>15</v>
      </c>
      <c r="I576" s="17">
        <v>436383.1</v>
      </c>
      <c r="J576" s="17">
        <f>IF(Gastos[[#This Row],[Divisa]]="$", I576*1, IF(Gastos[[#This Row],[Divisa]]="U$D", I576*$N$1, IF(Gastos[[#This Row],[Divisa]]="EUR", I576*$N$2, 0)))</f>
        <v>436383.1</v>
      </c>
      <c r="K576" s="54">
        <f>Gastos[[#This Row],[Importe AR$]]/$N$1</f>
        <v>279.7327564102564</v>
      </c>
      <c r="M576" s="69">
        <v>46183</v>
      </c>
      <c r="N576" s="43">
        <f>IF(Gastos[[#This Row],[Fecha_Cheque]]&gt;0,WEEKNUM(Gastos[[#This Row],[Fecha_Cheque]]),MID(Gastos[[#This Row],[Semana]],6,2))</f>
        <v>24</v>
      </c>
      <c r="O576" t="s">
        <v>2886</v>
      </c>
      <c r="P576" t="s">
        <v>27</v>
      </c>
    </row>
    <row r="577" spans="1:16" hidden="1" x14ac:dyDescent="0.25">
      <c r="A577" s="3" t="s">
        <v>2804</v>
      </c>
      <c r="B577" t="s">
        <v>2884</v>
      </c>
      <c r="C577" t="s">
        <v>2885</v>
      </c>
      <c r="D577" t="s">
        <v>26</v>
      </c>
      <c r="E577" t="s">
        <v>31</v>
      </c>
      <c r="F577">
        <v>1</v>
      </c>
      <c r="G577" s="3" t="s">
        <v>32</v>
      </c>
      <c r="H577" s="44" t="s">
        <v>15</v>
      </c>
      <c r="I577" s="17">
        <v>32000.21</v>
      </c>
      <c r="J577" s="17">
        <f>IF(Gastos[[#This Row],[Divisa]]="$", I577*1, IF(Gastos[[#This Row],[Divisa]]="U$D", I577*$N$1, IF(Gastos[[#This Row],[Divisa]]="EUR", I577*$N$2, 0)))</f>
        <v>32000.21</v>
      </c>
      <c r="K577" s="54">
        <f>Gastos[[#This Row],[Importe AR$]]/$N$1</f>
        <v>20.512955128205128</v>
      </c>
      <c r="M577" s="69"/>
      <c r="N577" s="43" t="str">
        <f>IF(Gastos[[#This Row],[Fecha_Cheque]]&gt;0,WEEKNUM(Gastos[[#This Row],[Fecha_Cheque]]),MID(Gastos[[#This Row],[Semana]],6,2))</f>
        <v>19</v>
      </c>
      <c r="O577" t="s">
        <v>2886</v>
      </c>
      <c r="P577" t="s">
        <v>27</v>
      </c>
    </row>
    <row r="578" spans="1:16" hidden="1" x14ac:dyDescent="0.25">
      <c r="A578" s="3" t="s">
        <v>2804</v>
      </c>
      <c r="B578" t="s">
        <v>2884</v>
      </c>
      <c r="C578" t="s">
        <v>2885</v>
      </c>
      <c r="D578" t="s">
        <v>26</v>
      </c>
      <c r="E578" t="s">
        <v>31</v>
      </c>
      <c r="F578">
        <v>1</v>
      </c>
      <c r="G578" s="3" t="s">
        <v>32</v>
      </c>
      <c r="H578" s="44" t="s">
        <v>15</v>
      </c>
      <c r="I578" s="17">
        <v>3316.69</v>
      </c>
      <c r="J578" s="17">
        <f>IF(Gastos[[#This Row],[Divisa]]="$", I578*1, IF(Gastos[[#This Row],[Divisa]]="U$D", I578*$N$1, IF(Gastos[[#This Row],[Divisa]]="EUR", I578*$N$2, 0)))</f>
        <v>3316.69</v>
      </c>
      <c r="K578" s="54">
        <f>Gastos[[#This Row],[Importe AR$]]/$N$1</f>
        <v>2.1260833333333333</v>
      </c>
      <c r="L578" t="s">
        <v>340</v>
      </c>
      <c r="M578" s="69"/>
      <c r="N578" s="43" t="str">
        <f>IF(Gastos[[#This Row],[Fecha_Cheque]]&gt;0,WEEKNUM(Gastos[[#This Row],[Fecha_Cheque]]),MID(Gastos[[#This Row],[Semana]],6,2))</f>
        <v>19</v>
      </c>
      <c r="O578" t="s">
        <v>2886</v>
      </c>
      <c r="P578" t="s">
        <v>27</v>
      </c>
    </row>
    <row r="579" spans="1:16" hidden="1" x14ac:dyDescent="0.25">
      <c r="A579" s="3" t="s">
        <v>2763</v>
      </c>
      <c r="B579" t="s">
        <v>3428</v>
      </c>
      <c r="C579" t="s">
        <v>3429</v>
      </c>
      <c r="D579" t="s">
        <v>26</v>
      </c>
      <c r="E579" t="s">
        <v>42</v>
      </c>
      <c r="F579">
        <v>2</v>
      </c>
      <c r="G579" s="3" t="s">
        <v>4</v>
      </c>
      <c r="H579" s="44" t="s">
        <v>15</v>
      </c>
      <c r="I579" s="17">
        <v>150000</v>
      </c>
      <c r="J579" s="17">
        <f>IF(Gastos[[#This Row],[Divisa]]="$", I579*1, IF(Gastos[[#This Row],[Divisa]]="U$D", I579*$N$1, IF(Gastos[[#This Row],[Divisa]]="EUR", I579*$N$2, 0)))</f>
        <v>150000</v>
      </c>
      <c r="K579" s="54">
        <f>Gastos[[#This Row],[Importe AR$]]/$N$1</f>
        <v>96.15384615384616</v>
      </c>
      <c r="M579" s="69"/>
      <c r="N579" s="43" t="str">
        <f>IF(Gastos[[#This Row],[Fecha_Cheque]]&gt;0,WEEKNUM(Gastos[[#This Row],[Fecha_Cheque]]),MID(Gastos[[#This Row],[Semana]],6,2))</f>
        <v>23</v>
      </c>
      <c r="O579" t="s">
        <v>3430</v>
      </c>
      <c r="P579" t="s">
        <v>27</v>
      </c>
    </row>
    <row r="580" spans="1:16" hidden="1" x14ac:dyDescent="0.25">
      <c r="A580" s="3" t="s">
        <v>232</v>
      </c>
      <c r="B580" t="s">
        <v>471</v>
      </c>
      <c r="C580" t="s">
        <v>472</v>
      </c>
      <c r="D580" t="s">
        <v>26</v>
      </c>
      <c r="E580" t="s">
        <v>42</v>
      </c>
      <c r="F580">
        <v>2</v>
      </c>
      <c r="G580" s="3" t="s">
        <v>4</v>
      </c>
      <c r="H580" s="46" t="s">
        <v>15</v>
      </c>
      <c r="I580" s="17">
        <v>40000</v>
      </c>
      <c r="J580" s="17">
        <f>IF(Gastos[[#This Row],[Divisa]]="$", I580*1, IF(Gastos[[#This Row],[Divisa]]="U$D", I580*$N$1, IF(Gastos[[#This Row],[Divisa]]="EUR", I580*$N$2, 0)))</f>
        <v>40000</v>
      </c>
      <c r="K580" s="54">
        <f>Gastos[[#This Row],[Importe AR$]]/$N$1</f>
        <v>25.641025641025642</v>
      </c>
      <c r="M580" s="69"/>
      <c r="N580" s="43" t="str">
        <f>IF(Gastos[[#This Row],[Fecha_Cheque]]&gt;0,WEEKNUM(Gastos[[#This Row],[Fecha_Cheque]]),MID(Gastos[[#This Row],[Semana]],6,2))</f>
        <v>44</v>
      </c>
      <c r="O580" t="s">
        <v>473</v>
      </c>
      <c r="P580" t="s">
        <v>27</v>
      </c>
    </row>
    <row r="581" spans="1:16" hidden="1" x14ac:dyDescent="0.25">
      <c r="A581" s="3" t="s">
        <v>60</v>
      </c>
      <c r="B581" t="s">
        <v>471</v>
      </c>
      <c r="C581" t="s">
        <v>474</v>
      </c>
      <c r="D581" t="s">
        <v>26</v>
      </c>
      <c r="E581" t="s">
        <v>31</v>
      </c>
      <c r="F581">
        <v>2</v>
      </c>
      <c r="G581" s="3" t="s">
        <v>4</v>
      </c>
      <c r="H581" s="46" t="s">
        <v>15</v>
      </c>
      <c r="I581" s="17">
        <v>100000</v>
      </c>
      <c r="J581" s="17">
        <f>IF(Gastos[[#This Row],[Divisa]]="$", I581*1, IF(Gastos[[#This Row],[Divisa]]="U$D", I581*$N$1, IF(Gastos[[#This Row],[Divisa]]="EUR", I581*$N$2, 0)))</f>
        <v>100000</v>
      </c>
      <c r="K581" s="54">
        <f>Gastos[[#This Row],[Importe AR$]]/$N$1</f>
        <v>64.102564102564102</v>
      </c>
      <c r="M581" s="69"/>
      <c r="N581" s="43" t="str">
        <f>IF(Gastos[[#This Row],[Fecha_Cheque]]&gt;0,WEEKNUM(Gastos[[#This Row],[Fecha_Cheque]]),MID(Gastos[[#This Row],[Semana]],6,2))</f>
        <v>46</v>
      </c>
      <c r="O581" t="s">
        <v>475</v>
      </c>
      <c r="P581" t="s">
        <v>27</v>
      </c>
    </row>
    <row r="582" spans="1:16" hidden="1" x14ac:dyDescent="0.25">
      <c r="A582" s="3" t="s">
        <v>152</v>
      </c>
      <c r="B582" t="s">
        <v>471</v>
      </c>
      <c r="C582" t="s">
        <v>476</v>
      </c>
      <c r="D582" t="s">
        <v>26</v>
      </c>
      <c r="E582" t="s">
        <v>42</v>
      </c>
      <c r="F582">
        <v>2</v>
      </c>
      <c r="G582" s="3" t="s">
        <v>4</v>
      </c>
      <c r="H582" s="46" t="s">
        <v>15</v>
      </c>
      <c r="I582" s="17">
        <v>140000</v>
      </c>
      <c r="J582" s="17">
        <f>IF(Gastos[[#This Row],[Divisa]]="$", I582*1, IF(Gastos[[#This Row],[Divisa]]="U$D", I582*$N$1, IF(Gastos[[#This Row],[Divisa]]="EUR", I582*$N$2, 0)))</f>
        <v>140000</v>
      </c>
      <c r="K582" s="54">
        <f>Gastos[[#This Row],[Importe AR$]]/$N$1</f>
        <v>89.743589743589737</v>
      </c>
      <c r="M582" s="69"/>
      <c r="N582" s="43" t="str">
        <f>IF(Gastos[[#This Row],[Fecha_Cheque]]&gt;0,WEEKNUM(Gastos[[#This Row],[Fecha_Cheque]]),MID(Gastos[[#This Row],[Semana]],6,2))</f>
        <v>04</v>
      </c>
      <c r="O582" t="s">
        <v>477</v>
      </c>
      <c r="P582" t="s">
        <v>27</v>
      </c>
    </row>
    <row r="583" spans="1:16" hidden="1" x14ac:dyDescent="0.25">
      <c r="A583" s="3" t="s">
        <v>180</v>
      </c>
      <c r="B583" t="s">
        <v>471</v>
      </c>
      <c r="C583" t="s">
        <v>587</v>
      </c>
      <c r="D583" t="s">
        <v>26</v>
      </c>
      <c r="E583" t="s">
        <v>31</v>
      </c>
      <c r="F583">
        <v>2</v>
      </c>
      <c r="G583" s="3" t="s">
        <v>4</v>
      </c>
      <c r="H583" s="46" t="s">
        <v>15</v>
      </c>
      <c r="I583" s="17">
        <v>90000</v>
      </c>
      <c r="J583" s="17">
        <f>IF(Gastos[[#This Row],[Divisa]]="$", I583*1, IF(Gastos[[#This Row],[Divisa]]="U$D", I583*$N$1, IF(Gastos[[#This Row],[Divisa]]="EUR", I583*$N$2, 0)))</f>
        <v>90000</v>
      </c>
      <c r="K583" s="54">
        <f>Gastos[[#This Row],[Importe AR$]]/$N$1</f>
        <v>57.692307692307693</v>
      </c>
      <c r="M583" s="69"/>
      <c r="N583" s="43" t="str">
        <f>IF(Gastos[[#This Row],[Fecha_Cheque]]&gt;0,WEEKNUM(Gastos[[#This Row],[Fecha_Cheque]]),MID(Gastos[[#This Row],[Semana]],6,2))</f>
        <v>09</v>
      </c>
      <c r="O583" t="s">
        <v>588</v>
      </c>
      <c r="P583" t="s">
        <v>27</v>
      </c>
    </row>
    <row r="584" spans="1:16" hidden="1" x14ac:dyDescent="0.25">
      <c r="A584" s="3" t="s">
        <v>114</v>
      </c>
      <c r="B584" t="s">
        <v>478</v>
      </c>
      <c r="D584" t="s">
        <v>26</v>
      </c>
      <c r="E584" t="s">
        <v>31</v>
      </c>
      <c r="F584">
        <v>1</v>
      </c>
      <c r="G584" s="3" t="s">
        <v>5</v>
      </c>
      <c r="H584" s="46" t="s">
        <v>15</v>
      </c>
      <c r="I584" s="17">
        <v>4664209</v>
      </c>
      <c r="J584" s="17">
        <f>IF(Gastos[[#This Row],[Divisa]]="$", I584*1, IF(Gastos[[#This Row],[Divisa]]="U$D", I584*$N$1, IF(Gastos[[#This Row],[Divisa]]="EUR", I584*$N$2, 0)))</f>
        <v>4664209</v>
      </c>
      <c r="K584" s="54">
        <f>Gastos[[#This Row],[Importe AR$]]/$N$1</f>
        <v>2989.8775641025641</v>
      </c>
      <c r="L584" t="s">
        <v>479</v>
      </c>
      <c r="M584" s="69"/>
      <c r="N584" s="43" t="str">
        <f>IF(Gastos[[#This Row],[Fecha_Cheque]]&gt;0,WEEKNUM(Gastos[[#This Row],[Fecha_Cheque]]),MID(Gastos[[#This Row],[Semana]],6,2))</f>
        <v>29</v>
      </c>
      <c r="O584" t="s">
        <v>480</v>
      </c>
      <c r="P584" t="s">
        <v>27</v>
      </c>
    </row>
    <row r="585" spans="1:16" hidden="1" x14ac:dyDescent="0.25">
      <c r="A585" s="3" t="s">
        <v>152</v>
      </c>
      <c r="B585" t="s">
        <v>478</v>
      </c>
      <c r="C585" t="s">
        <v>481</v>
      </c>
      <c r="D585" t="s">
        <v>26</v>
      </c>
      <c r="E585" t="s">
        <v>31</v>
      </c>
      <c r="F585">
        <v>1</v>
      </c>
      <c r="G585" s="3" t="s">
        <v>5</v>
      </c>
      <c r="H585" s="46" t="s">
        <v>15</v>
      </c>
      <c r="I585" s="17">
        <v>3330437.93</v>
      </c>
      <c r="J585" s="17">
        <f>IF(Gastos[[#This Row],[Divisa]]="$", I585*1, IF(Gastos[[#This Row],[Divisa]]="U$D", I585*$N$1, IF(Gastos[[#This Row],[Divisa]]="EUR", I585*$N$2, 0)))</f>
        <v>3330437.93</v>
      </c>
      <c r="K585" s="54">
        <f>Gastos[[#This Row],[Importe AR$]]/$N$1</f>
        <v>2134.8961089743589</v>
      </c>
      <c r="M585" s="69"/>
      <c r="N585" s="43" t="str">
        <f>IF(Gastos[[#This Row],[Fecha_Cheque]]&gt;0,WEEKNUM(Gastos[[#This Row],[Fecha_Cheque]]),MID(Gastos[[#This Row],[Semana]],6,2))</f>
        <v>04</v>
      </c>
      <c r="O585" t="s">
        <v>482</v>
      </c>
      <c r="P585" t="s">
        <v>27</v>
      </c>
    </row>
    <row r="586" spans="1:16" hidden="1" x14ac:dyDescent="0.25">
      <c r="A586" s="3" t="s">
        <v>332</v>
      </c>
      <c r="B586" t="s">
        <v>478</v>
      </c>
      <c r="C586" t="s">
        <v>1227</v>
      </c>
      <c r="D586" t="s">
        <v>26</v>
      </c>
      <c r="E586" t="s">
        <v>31</v>
      </c>
      <c r="F586">
        <v>1</v>
      </c>
      <c r="G586" s="3" t="s">
        <v>5</v>
      </c>
      <c r="H586" s="44" t="s">
        <v>15</v>
      </c>
      <c r="I586" s="17">
        <v>6596296.5599999996</v>
      </c>
      <c r="J586" s="17">
        <f>IF(Gastos[[#This Row],[Divisa]]="$", I586*1, IF(Gastos[[#This Row],[Divisa]]="U$D", I586*$N$1, IF(Gastos[[#This Row],[Divisa]]="EUR", I586*$N$2, 0)))</f>
        <v>6596296.5599999996</v>
      </c>
      <c r="K586" s="54">
        <f>Gastos[[#This Row],[Importe AR$]]/$N$1</f>
        <v>4228.3952307692307</v>
      </c>
      <c r="M586" s="69"/>
      <c r="N586" s="43" t="str">
        <f>IF(Gastos[[#This Row],[Fecha_Cheque]]&gt;0,WEEKNUM(Gastos[[#This Row],[Fecha_Cheque]]),MID(Gastos[[#This Row],[Semana]],6,2))</f>
        <v>12</v>
      </c>
      <c r="O586" t="s">
        <v>1228</v>
      </c>
      <c r="P586" t="s">
        <v>27</v>
      </c>
    </row>
    <row r="587" spans="1:16" hidden="1" x14ac:dyDescent="0.25">
      <c r="A587" s="3" t="s">
        <v>2763</v>
      </c>
      <c r="B587" t="s">
        <v>478</v>
      </c>
      <c r="C587" t="s">
        <v>3128</v>
      </c>
      <c r="D587" t="s">
        <v>26</v>
      </c>
      <c r="E587" t="s">
        <v>31</v>
      </c>
      <c r="F587">
        <v>1</v>
      </c>
      <c r="G587" s="3" t="s">
        <v>32</v>
      </c>
      <c r="H587" s="44" t="s">
        <v>15</v>
      </c>
      <c r="I587" s="17">
        <v>3239012.7</v>
      </c>
      <c r="J587" s="17">
        <f>IF(Gastos[[#This Row],[Divisa]]="$", I587*1, IF(Gastos[[#This Row],[Divisa]]="U$D", I587*$N$1, IF(Gastos[[#This Row],[Divisa]]="EUR", I587*$N$2, 0)))</f>
        <v>3239012.7</v>
      </c>
      <c r="K587" s="54">
        <f>Gastos[[#This Row],[Importe AR$]]/$N$1</f>
        <v>2076.2901923076925</v>
      </c>
      <c r="M587" s="69">
        <v>46207</v>
      </c>
      <c r="N587" s="43">
        <f>IF(Gastos[[#This Row],[Fecha_Cheque]]&gt;0,WEEKNUM(Gastos[[#This Row],[Fecha_Cheque]]),MID(Gastos[[#This Row],[Semana]],6,2))</f>
        <v>27</v>
      </c>
      <c r="O587" t="s">
        <v>3129</v>
      </c>
      <c r="P587" t="s">
        <v>27</v>
      </c>
    </row>
    <row r="588" spans="1:16" hidden="1" x14ac:dyDescent="0.25">
      <c r="A588" s="3" t="s">
        <v>2763</v>
      </c>
      <c r="B588" t="s">
        <v>478</v>
      </c>
      <c r="C588" t="s">
        <v>3128</v>
      </c>
      <c r="D588" t="s">
        <v>26</v>
      </c>
      <c r="E588" t="s">
        <v>31</v>
      </c>
      <c r="F588">
        <v>1</v>
      </c>
      <c r="G588" s="3" t="s">
        <v>32</v>
      </c>
      <c r="H588" s="44" t="s">
        <v>15</v>
      </c>
      <c r="I588" s="17">
        <v>3239012.7</v>
      </c>
      <c r="J588" s="17">
        <f>IF(Gastos[[#This Row],[Divisa]]="$", I588*1, IF(Gastos[[#This Row],[Divisa]]="U$D", I588*$N$1, IF(Gastos[[#This Row],[Divisa]]="EUR", I588*$N$2, 0)))</f>
        <v>3239012.7</v>
      </c>
      <c r="K588" s="54">
        <f>Gastos[[#This Row],[Importe AR$]]/$N$1</f>
        <v>2076.2901923076925</v>
      </c>
      <c r="M588" s="69">
        <v>46238</v>
      </c>
      <c r="N588" s="43">
        <f>IF(Gastos[[#This Row],[Fecha_Cheque]]&gt;0,WEEKNUM(Gastos[[#This Row],[Fecha_Cheque]]),MID(Gastos[[#This Row],[Semana]],6,2))</f>
        <v>32</v>
      </c>
      <c r="O588" t="s">
        <v>3129</v>
      </c>
      <c r="P588" t="s">
        <v>27</v>
      </c>
    </row>
    <row r="589" spans="1:16" hidden="1" x14ac:dyDescent="0.25">
      <c r="A589" s="3" t="s">
        <v>2751</v>
      </c>
      <c r="B589" t="s">
        <v>478</v>
      </c>
      <c r="C589" t="s">
        <v>3188</v>
      </c>
      <c r="D589" t="s">
        <v>26</v>
      </c>
      <c r="E589" t="s">
        <v>31</v>
      </c>
      <c r="F589">
        <v>1</v>
      </c>
      <c r="G589" s="3" t="s">
        <v>32</v>
      </c>
      <c r="H589" s="44" t="s">
        <v>15</v>
      </c>
      <c r="I589" s="17">
        <v>5311217.7300000004</v>
      </c>
      <c r="J589" s="17">
        <f>IF(Gastos[[#This Row],[Divisa]]="$", I589*1, IF(Gastos[[#This Row],[Divisa]]="U$D", I589*$N$1, IF(Gastos[[#This Row],[Divisa]]="EUR", I589*$N$2, 0)))</f>
        <v>5311217.7300000004</v>
      </c>
      <c r="K589" s="54">
        <f>Gastos[[#This Row],[Importe AR$]]/$N$1</f>
        <v>3404.6267500000004</v>
      </c>
      <c r="M589" s="69"/>
      <c r="N589" s="43" t="str">
        <f>IF(Gastos[[#This Row],[Fecha_Cheque]]&gt;0,WEEKNUM(Gastos[[#This Row],[Fecha_Cheque]]),MID(Gastos[[#This Row],[Semana]],6,2))</f>
        <v>18</v>
      </c>
      <c r="O589" t="s">
        <v>3189</v>
      </c>
      <c r="P589" t="s">
        <v>27</v>
      </c>
    </row>
    <row r="590" spans="1:16" hidden="1" x14ac:dyDescent="0.25">
      <c r="A590" s="3" t="s">
        <v>3617</v>
      </c>
      <c r="B590" t="s">
        <v>478</v>
      </c>
      <c r="C590" t="s">
        <v>3668</v>
      </c>
      <c r="D590" t="s">
        <v>26</v>
      </c>
      <c r="E590" t="s">
        <v>31</v>
      </c>
      <c r="F590">
        <v>1</v>
      </c>
      <c r="G590" s="3" t="s">
        <v>32</v>
      </c>
      <c r="H590" s="44" t="s">
        <v>15</v>
      </c>
      <c r="I590" s="17">
        <v>3443614.02</v>
      </c>
      <c r="J590" s="17">
        <f>IF(Gastos[[#This Row],[Divisa]]="$", I590*1, IF(Gastos[[#This Row],[Divisa]]="U$D", I590*$N$1, IF(Gastos[[#This Row],[Divisa]]="EUR", I590*$N$2, 0)))</f>
        <v>3443614.02</v>
      </c>
      <c r="K590" s="54">
        <f>Gastos[[#This Row],[Importe AR$]]/$N$1</f>
        <v>2207.4448846153846</v>
      </c>
      <c r="M590" s="69">
        <v>46236</v>
      </c>
      <c r="N590" s="43">
        <f>IF(Gastos[[#This Row],[Fecha_Cheque]]&gt;0,WEEKNUM(Gastos[[#This Row],[Fecha_Cheque]]),MID(Gastos[[#This Row],[Semana]],6,2))</f>
        <v>32</v>
      </c>
      <c r="O590" t="s">
        <v>3669</v>
      </c>
      <c r="P590" t="s">
        <v>27</v>
      </c>
    </row>
    <row r="591" spans="1:16" hidden="1" x14ac:dyDescent="0.25">
      <c r="A591" s="3" t="s">
        <v>3617</v>
      </c>
      <c r="B591" t="s">
        <v>478</v>
      </c>
      <c r="C591" t="s">
        <v>3668</v>
      </c>
      <c r="D591" t="s">
        <v>26</v>
      </c>
      <c r="E591" t="s">
        <v>31</v>
      </c>
      <c r="F591">
        <v>1</v>
      </c>
      <c r="G591" s="3" t="s">
        <v>32</v>
      </c>
      <c r="H591" s="44" t="s">
        <v>15</v>
      </c>
      <c r="I591" s="17">
        <v>3443614.02</v>
      </c>
      <c r="J591" s="17">
        <f>IF(Gastos[[#This Row],[Divisa]]="$", I591*1, IF(Gastos[[#This Row],[Divisa]]="U$D", I591*$N$1, IF(Gastos[[#This Row],[Divisa]]="EUR", I591*$N$2, 0)))</f>
        <v>3443614.02</v>
      </c>
      <c r="K591" s="54">
        <f>Gastos[[#This Row],[Importe AR$]]/$N$1</f>
        <v>2207.4448846153846</v>
      </c>
      <c r="M591" s="69">
        <v>46249</v>
      </c>
      <c r="N591" s="43">
        <f>IF(Gastos[[#This Row],[Fecha_Cheque]]&gt;0,WEEKNUM(Gastos[[#This Row],[Fecha_Cheque]]),MID(Gastos[[#This Row],[Semana]],6,2))</f>
        <v>33</v>
      </c>
      <c r="O591" t="s">
        <v>3669</v>
      </c>
      <c r="P591" t="s">
        <v>27</v>
      </c>
    </row>
    <row r="592" spans="1:16" hidden="1" x14ac:dyDescent="0.25">
      <c r="A592" s="3" t="s">
        <v>4119</v>
      </c>
      <c r="B592" t="s">
        <v>478</v>
      </c>
      <c r="C592" t="s">
        <v>3845</v>
      </c>
      <c r="D592" t="s">
        <v>26</v>
      </c>
      <c r="E592" t="s">
        <v>31</v>
      </c>
      <c r="F592">
        <v>1</v>
      </c>
      <c r="G592" s="3" t="s">
        <v>5</v>
      </c>
      <c r="H592" s="46" t="s">
        <v>15</v>
      </c>
      <c r="I592" s="17">
        <v>6767626.7199999997</v>
      </c>
      <c r="J592" s="17">
        <f>IF(Gastos[[#This Row],[Divisa]]="$", I592*1, IF(Gastos[[#This Row],[Divisa]]="U$D", I592*$N$1, IF(Gastos[[#This Row],[Divisa]]="EUR", I592*$N$2, 0)))</f>
        <v>6767626.7199999997</v>
      </c>
      <c r="K592" s="54">
        <f>Gastos[[#This Row],[Importe AR$]]/$N$1</f>
        <v>4338.2222564102558</v>
      </c>
      <c r="L592" t="s">
        <v>4129</v>
      </c>
      <c r="M592" s="69"/>
      <c r="N592" s="43" t="str">
        <f>IF(Gastos[[#This Row],[Fecha_Cheque]]&gt;0,WEEKNUM(Gastos[[#This Row],[Fecha_Cheque]]),MID(Gastos[[#This Row],[Semana]],6,2))</f>
        <v>35</v>
      </c>
      <c r="O592" t="s">
        <v>4130</v>
      </c>
      <c r="P592" t="s">
        <v>27</v>
      </c>
    </row>
    <row r="593" spans="1:16" hidden="1" x14ac:dyDescent="0.25">
      <c r="A593" s="3" t="s">
        <v>4119</v>
      </c>
      <c r="B593" t="s">
        <v>478</v>
      </c>
      <c r="C593" t="s">
        <v>3845</v>
      </c>
      <c r="D593" t="s">
        <v>26</v>
      </c>
      <c r="E593" t="s">
        <v>31</v>
      </c>
      <c r="F593">
        <v>1</v>
      </c>
      <c r="G593" s="3" t="s">
        <v>5</v>
      </c>
      <c r="H593" s="44" t="s">
        <v>15</v>
      </c>
      <c r="I593" s="17">
        <v>2425758.4</v>
      </c>
      <c r="J593" s="17">
        <f>IF(Gastos[[#This Row],[Divisa]]="$", I593*1, IF(Gastos[[#This Row],[Divisa]]="U$D", I593*$N$1, IF(Gastos[[#This Row],[Divisa]]="EUR", I593*$N$2, 0)))</f>
        <v>2425758.4</v>
      </c>
      <c r="K593" s="54">
        <f>Gastos[[#This Row],[Importe AR$]]/$N$1</f>
        <v>1554.9733333333334</v>
      </c>
      <c r="L593" t="s">
        <v>4129</v>
      </c>
      <c r="M593" s="69"/>
      <c r="N593" s="43" t="str">
        <f>IF(Gastos[[#This Row],[Fecha_Cheque]]&gt;0,WEEKNUM(Gastos[[#This Row],[Fecha_Cheque]]),MID(Gastos[[#This Row],[Semana]],6,2))</f>
        <v>35</v>
      </c>
      <c r="O593" t="s">
        <v>4133</v>
      </c>
      <c r="P593" t="s">
        <v>27</v>
      </c>
    </row>
    <row r="594" spans="1:16" hidden="1" x14ac:dyDescent="0.25">
      <c r="A594" s="3" t="s">
        <v>4119</v>
      </c>
      <c r="B594" t="s">
        <v>478</v>
      </c>
      <c r="C594" t="s">
        <v>3845</v>
      </c>
      <c r="D594" t="s">
        <v>26</v>
      </c>
      <c r="E594" t="s">
        <v>31</v>
      </c>
      <c r="F594">
        <v>1</v>
      </c>
      <c r="G594" s="3" t="s">
        <v>32</v>
      </c>
      <c r="H594" s="44" t="s">
        <v>15</v>
      </c>
      <c r="I594" s="17">
        <v>2000000</v>
      </c>
      <c r="J594" s="17">
        <f>IF(Gastos[[#This Row],[Divisa]]="$", I594*1, IF(Gastos[[#This Row],[Divisa]]="U$D", I594*$N$1, IF(Gastos[[#This Row],[Divisa]]="EUR", I594*$N$2, 0)))</f>
        <v>2000000</v>
      </c>
      <c r="K594" s="54">
        <f>Gastos[[#This Row],[Importe AR$]]/$N$1</f>
        <v>1282.051282051282</v>
      </c>
      <c r="M594" s="69">
        <v>46291</v>
      </c>
      <c r="N594" s="43">
        <f>IF(Gastos[[#This Row],[Fecha_Cheque]]&gt;0,WEEKNUM(Gastos[[#This Row],[Fecha_Cheque]]),MID(Gastos[[#This Row],[Semana]],6,2))</f>
        <v>39</v>
      </c>
      <c r="O594" t="s">
        <v>4133</v>
      </c>
      <c r="P594" t="s">
        <v>27</v>
      </c>
    </row>
    <row r="595" spans="1:16" x14ac:dyDescent="0.25">
      <c r="A595" s="3" t="s">
        <v>4655</v>
      </c>
      <c r="B595" t="s">
        <v>449</v>
      </c>
      <c r="C595" t="s">
        <v>1225</v>
      </c>
      <c r="D595" t="s">
        <v>26</v>
      </c>
      <c r="E595" t="s">
        <v>62</v>
      </c>
      <c r="F595">
        <v>1</v>
      </c>
      <c r="G595" s="3" t="s">
        <v>32</v>
      </c>
      <c r="H595" s="46" t="s">
        <v>15</v>
      </c>
      <c r="I595" s="17">
        <v>14275.28</v>
      </c>
      <c r="J595" s="17">
        <f>IF(Gastos[[#This Row],[Divisa]]="$", I595*1, IF(Gastos[[#This Row],[Divisa]]="U$D", I595*$N$1, IF(Gastos[[#This Row],[Divisa]]="EUR", I595*$N$2, 0)))</f>
        <v>14275.28</v>
      </c>
      <c r="K595" s="54">
        <f>Gastos[[#This Row],[Importe AR$]]/$N$1</f>
        <v>9.1508205128205127</v>
      </c>
      <c r="M595" s="69"/>
      <c r="N595" s="43" t="str">
        <f>IF(Gastos[[#This Row],[Fecha_Cheque]]&gt;0,WEEKNUM(Gastos[[#This Row],[Fecha_Cheque]]),MID(Gastos[[#This Row],[Semana]],6,2))</f>
        <v>44</v>
      </c>
    </row>
    <row r="596" spans="1:16" hidden="1" x14ac:dyDescent="0.25">
      <c r="A596" s="3" t="s">
        <v>85</v>
      </c>
      <c r="B596" t="s">
        <v>486</v>
      </c>
      <c r="C596" t="s">
        <v>487</v>
      </c>
      <c r="D596" t="s">
        <v>26</v>
      </c>
      <c r="E596" t="s">
        <v>31</v>
      </c>
      <c r="F596">
        <v>1</v>
      </c>
      <c r="G596" s="3" t="s">
        <v>32</v>
      </c>
      <c r="H596" s="46" t="s">
        <v>15</v>
      </c>
      <c r="I596" s="17">
        <v>554240.44999999995</v>
      </c>
      <c r="J596" s="17">
        <f>IF(Gastos[[#This Row],[Divisa]]="$", I596*1, IF(Gastos[[#This Row],[Divisa]]="U$D", I596*$N$1, IF(Gastos[[#This Row],[Divisa]]="EUR", I596*$N$2, 0)))</f>
        <v>554240.44999999995</v>
      </c>
      <c r="K596" s="54">
        <f>Gastos[[#This Row],[Importe AR$]]/$N$1</f>
        <v>355.28233974358972</v>
      </c>
      <c r="L596" t="s">
        <v>150</v>
      </c>
      <c r="M596" s="70">
        <v>45849</v>
      </c>
      <c r="N596" s="43">
        <f>IF(Gastos[[#This Row],[Fecha_Cheque]]&gt;0,WEEKNUM(Gastos[[#This Row],[Fecha_Cheque]]),MID(Gastos[[#This Row],[Semana]],6,2))</f>
        <v>28</v>
      </c>
      <c r="O596" t="s">
        <v>488</v>
      </c>
      <c r="P596" t="s">
        <v>27</v>
      </c>
    </row>
    <row r="597" spans="1:16" x14ac:dyDescent="0.25">
      <c r="A597" s="3" t="s">
        <v>4655</v>
      </c>
      <c r="B597" t="s">
        <v>454</v>
      </c>
      <c r="C597" t="s">
        <v>3903</v>
      </c>
      <c r="D597" t="s">
        <v>26</v>
      </c>
      <c r="E597" t="s">
        <v>62</v>
      </c>
      <c r="F597">
        <v>1</v>
      </c>
      <c r="G597" s="3" t="s">
        <v>32</v>
      </c>
      <c r="H597" s="44" t="s">
        <v>15</v>
      </c>
      <c r="I597" s="17">
        <v>193375</v>
      </c>
      <c r="J597" s="17">
        <f>IF(Gastos[[#This Row],[Divisa]]="$", I597*1, IF(Gastos[[#This Row],[Divisa]]="U$D", I597*$N$1, IF(Gastos[[#This Row],[Divisa]]="EUR", I597*$N$2, 0)))</f>
        <v>193375</v>
      </c>
      <c r="K597" s="54">
        <f>Gastos[[#This Row],[Importe AR$]]/$N$1</f>
        <v>123.95833333333333</v>
      </c>
      <c r="M597" s="69"/>
      <c r="N597" s="43" t="str">
        <f>IF(Gastos[[#This Row],[Fecha_Cheque]]&gt;0,WEEKNUM(Gastos[[#This Row],[Fecha_Cheque]]),MID(Gastos[[#This Row],[Semana]],6,2))</f>
        <v>44</v>
      </c>
    </row>
    <row r="598" spans="1:16" hidden="1" x14ac:dyDescent="0.25">
      <c r="A598" s="3" t="s">
        <v>93</v>
      </c>
      <c r="B598" t="s">
        <v>491</v>
      </c>
      <c r="C598" t="s">
        <v>492</v>
      </c>
      <c r="D598" t="s">
        <v>26</v>
      </c>
      <c r="E598" t="s">
        <v>62</v>
      </c>
      <c r="F598">
        <v>1</v>
      </c>
      <c r="G598" s="3" t="s">
        <v>5</v>
      </c>
      <c r="H598" s="46" t="s">
        <v>15</v>
      </c>
      <c r="I598" s="17">
        <v>217000</v>
      </c>
      <c r="J598" s="17">
        <f>IF(Gastos[[#This Row],[Divisa]]="$", I598*1, IF(Gastos[[#This Row],[Divisa]]="U$D", I598*$N$1, IF(Gastos[[#This Row],[Divisa]]="EUR", I598*$N$2, 0)))</f>
        <v>217000</v>
      </c>
      <c r="K598" s="54">
        <f>Gastos[[#This Row],[Importe AR$]]/$N$1</f>
        <v>139.10256410256412</v>
      </c>
      <c r="M598" s="69"/>
      <c r="N598" s="43" t="str">
        <f>IF(Gastos[[#This Row],[Fecha_Cheque]]&gt;0,WEEKNUM(Gastos[[#This Row],[Fecha_Cheque]]),MID(Gastos[[#This Row],[Semana]],6,2))</f>
        <v>50</v>
      </c>
      <c r="O598" t="s">
        <v>493</v>
      </c>
      <c r="P598" t="s">
        <v>27</v>
      </c>
    </row>
    <row r="599" spans="1:16" hidden="1" x14ac:dyDescent="0.25">
      <c r="A599" s="3" t="s">
        <v>4074</v>
      </c>
      <c r="B599" t="s">
        <v>4087</v>
      </c>
      <c r="C599" t="s">
        <v>4088</v>
      </c>
      <c r="D599" t="s">
        <v>26</v>
      </c>
      <c r="E599" t="s">
        <v>31</v>
      </c>
      <c r="F599">
        <v>1</v>
      </c>
      <c r="G599" s="3" t="s">
        <v>4</v>
      </c>
      <c r="H599" s="44" t="s">
        <v>15</v>
      </c>
      <c r="I599" s="17">
        <v>20000</v>
      </c>
      <c r="J599" s="17">
        <f>IF(Gastos[[#This Row],[Divisa]]="$", I599*1, IF(Gastos[[#This Row],[Divisa]]="U$D", I599*$N$1, IF(Gastos[[#This Row],[Divisa]]="EUR", I599*$N$2, 0)))</f>
        <v>20000</v>
      </c>
      <c r="K599" s="54">
        <f>Gastos[[#This Row],[Importe AR$]]/$N$1</f>
        <v>12.820512820512821</v>
      </c>
      <c r="M599" s="69"/>
      <c r="N599" s="43" t="str">
        <f>IF(Gastos[[#This Row],[Fecha_Cheque]]&gt;0,WEEKNUM(Gastos[[#This Row],[Fecha_Cheque]]),MID(Gastos[[#This Row],[Semana]],6,2))</f>
        <v>34</v>
      </c>
      <c r="O599" t="s">
        <v>4089</v>
      </c>
      <c r="P599" t="s">
        <v>27</v>
      </c>
    </row>
    <row r="600" spans="1:16" hidden="1" x14ac:dyDescent="0.25">
      <c r="A600" s="3" t="s">
        <v>4157</v>
      </c>
      <c r="B600" t="s">
        <v>4087</v>
      </c>
      <c r="C600" t="s">
        <v>4205</v>
      </c>
      <c r="D600" t="s">
        <v>26</v>
      </c>
      <c r="E600" t="s">
        <v>31</v>
      </c>
      <c r="F600">
        <v>1</v>
      </c>
      <c r="G600" s="3" t="s">
        <v>5</v>
      </c>
      <c r="H600" s="44" t="s">
        <v>15</v>
      </c>
      <c r="I600" s="17">
        <v>17000</v>
      </c>
      <c r="J600" s="17">
        <f>IF(Gastos[[#This Row],[Divisa]]="$", I600*1, IF(Gastos[[#This Row],[Divisa]]="U$D", I600*$N$1, IF(Gastos[[#This Row],[Divisa]]="EUR", I600*$N$2, 0)))</f>
        <v>17000</v>
      </c>
      <c r="K600" s="54">
        <f>Gastos[[#This Row],[Importe AR$]]/$N$1</f>
        <v>10.897435897435898</v>
      </c>
      <c r="M600" s="69"/>
      <c r="N600" s="43" t="str">
        <f>IF(Gastos[[#This Row],[Fecha_Cheque]]&gt;0,WEEKNUM(Gastos[[#This Row],[Fecha_Cheque]]),MID(Gastos[[#This Row],[Semana]],6,2))</f>
        <v>36</v>
      </c>
      <c r="O600" t="s">
        <v>4206</v>
      </c>
      <c r="P600" t="s">
        <v>27</v>
      </c>
    </row>
    <row r="601" spans="1:16" hidden="1" x14ac:dyDescent="0.25">
      <c r="A601" s="3" t="s">
        <v>23</v>
      </c>
      <c r="B601" t="s">
        <v>494</v>
      </c>
      <c r="C601" t="s">
        <v>495</v>
      </c>
      <c r="D601" t="s">
        <v>26</v>
      </c>
      <c r="E601" t="s">
        <v>31</v>
      </c>
      <c r="F601">
        <v>1</v>
      </c>
      <c r="G601" s="3" t="s">
        <v>5</v>
      </c>
      <c r="H601" s="46" t="s">
        <v>15</v>
      </c>
      <c r="I601" s="17">
        <v>269112.64</v>
      </c>
      <c r="J601" s="17">
        <f>IF(Gastos[[#This Row],[Divisa]]="$", I601*1, IF(Gastos[[#This Row],[Divisa]]="U$D", I601*$N$1, IF(Gastos[[#This Row],[Divisa]]="EUR", I601*$N$2, 0)))</f>
        <v>269112.64</v>
      </c>
      <c r="K601" s="54">
        <f>Gastos[[#This Row],[Importe AR$]]/$N$1</f>
        <v>172.50810256410259</v>
      </c>
      <c r="M601" s="69"/>
      <c r="N601" s="43" t="str">
        <f>IF(Gastos[[#This Row],[Fecha_Cheque]]&gt;0,WEEKNUM(Gastos[[#This Row],[Fecha_Cheque]]),MID(Gastos[[#This Row],[Semana]],6,2))</f>
        <v>22</v>
      </c>
      <c r="P601" t="s">
        <v>27</v>
      </c>
    </row>
    <row r="602" spans="1:16" hidden="1" x14ac:dyDescent="0.25">
      <c r="A602" s="3" t="s">
        <v>152</v>
      </c>
      <c r="B602" t="s">
        <v>494</v>
      </c>
      <c r="C602" t="s">
        <v>496</v>
      </c>
      <c r="D602" t="s">
        <v>26</v>
      </c>
      <c r="E602" t="s">
        <v>31</v>
      </c>
      <c r="F602">
        <v>1</v>
      </c>
      <c r="G602" s="3" t="s">
        <v>5</v>
      </c>
      <c r="H602" s="46" t="s">
        <v>15</v>
      </c>
      <c r="I602" s="17">
        <v>494249.51</v>
      </c>
      <c r="J602" s="17">
        <f>IF(Gastos[[#This Row],[Divisa]]="$", I602*1, IF(Gastos[[#This Row],[Divisa]]="U$D", I602*$N$1, IF(Gastos[[#This Row],[Divisa]]="EUR", I602*$N$2, 0)))</f>
        <v>494249.51</v>
      </c>
      <c r="K602" s="54">
        <f>Gastos[[#This Row],[Importe AR$]]/$N$1</f>
        <v>316.82660897435898</v>
      </c>
      <c r="M602" s="69"/>
      <c r="N602" s="43" t="str">
        <f>IF(Gastos[[#This Row],[Fecha_Cheque]]&gt;0,WEEKNUM(Gastos[[#This Row],[Fecha_Cheque]]),MID(Gastos[[#This Row],[Semana]],6,2))</f>
        <v>04</v>
      </c>
      <c r="O602" t="s">
        <v>497</v>
      </c>
      <c r="P602" t="s">
        <v>27</v>
      </c>
    </row>
    <row r="603" spans="1:16" hidden="1" x14ac:dyDescent="0.25">
      <c r="A603" s="3" t="s">
        <v>2740</v>
      </c>
      <c r="B603" t="s">
        <v>494</v>
      </c>
      <c r="C603" t="s">
        <v>2825</v>
      </c>
      <c r="D603" t="s">
        <v>26</v>
      </c>
      <c r="E603" t="s">
        <v>42</v>
      </c>
      <c r="F603">
        <v>1</v>
      </c>
      <c r="G603" s="3" t="s">
        <v>4</v>
      </c>
      <c r="H603" s="44" t="s">
        <v>15</v>
      </c>
      <c r="I603" s="17">
        <v>25999.98</v>
      </c>
      <c r="J603" s="17">
        <f>IF(Gastos[[#This Row],[Divisa]]="$", I603*1, IF(Gastos[[#This Row],[Divisa]]="U$D", I603*$N$1, IF(Gastos[[#This Row],[Divisa]]="EUR", I603*$N$2, 0)))</f>
        <v>25999.98</v>
      </c>
      <c r="K603" s="54">
        <f>Gastos[[#This Row],[Importe AR$]]/$N$1</f>
        <v>16.666653846153846</v>
      </c>
      <c r="M603" s="69"/>
      <c r="N603" s="43" t="str">
        <f>IF(Gastos[[#This Row],[Fecha_Cheque]]&gt;0,WEEKNUM(Gastos[[#This Row],[Fecha_Cheque]]),MID(Gastos[[#This Row],[Semana]],6,2))</f>
        <v>16</v>
      </c>
      <c r="O603" t="s">
        <v>2826</v>
      </c>
      <c r="P603" t="s">
        <v>27</v>
      </c>
    </row>
    <row r="604" spans="1:16" hidden="1" x14ac:dyDescent="0.25">
      <c r="A604" s="3" t="s">
        <v>4447</v>
      </c>
      <c r="B604" t="s">
        <v>494</v>
      </c>
      <c r="C604" t="s">
        <v>4478</v>
      </c>
      <c r="D604" t="s">
        <v>26</v>
      </c>
      <c r="E604" t="s">
        <v>42</v>
      </c>
      <c r="F604">
        <v>1</v>
      </c>
      <c r="G604" s="3" t="s">
        <v>4</v>
      </c>
      <c r="H604" s="44" t="s">
        <v>15</v>
      </c>
      <c r="I604" s="17">
        <v>24000</v>
      </c>
      <c r="J604" s="17">
        <f>IF(Gastos[[#This Row],[Divisa]]="$", I604*1, IF(Gastos[[#This Row],[Divisa]]="U$D", I604*$N$1, IF(Gastos[[#This Row],[Divisa]]="EUR", I604*$N$2, 0)))</f>
        <v>24000</v>
      </c>
      <c r="K604" s="54">
        <f>Gastos[[#This Row],[Importe AR$]]/$N$1</f>
        <v>15.384615384615385</v>
      </c>
      <c r="M604" s="69"/>
      <c r="N604" s="43" t="str">
        <f>IF(Gastos[[#This Row],[Fecha_Cheque]]&gt;0,WEEKNUM(Gastos[[#This Row],[Fecha_Cheque]]),MID(Gastos[[#This Row],[Semana]],6,2))</f>
        <v>41</v>
      </c>
      <c r="O604" t="s">
        <v>4482</v>
      </c>
      <c r="P604" t="s">
        <v>27</v>
      </c>
    </row>
    <row r="605" spans="1:16" hidden="1" x14ac:dyDescent="0.25">
      <c r="A605" s="3" t="s">
        <v>4005</v>
      </c>
      <c r="B605" t="s">
        <v>3992</v>
      </c>
      <c r="C605" t="s">
        <v>3993</v>
      </c>
      <c r="D605" t="s">
        <v>26</v>
      </c>
      <c r="E605" t="s">
        <v>42</v>
      </c>
      <c r="F605">
        <v>1</v>
      </c>
      <c r="G605" s="3" t="s">
        <v>4</v>
      </c>
      <c r="H605" s="44" t="s">
        <v>15</v>
      </c>
      <c r="I605" s="17">
        <v>590534.37</v>
      </c>
      <c r="J605" s="17">
        <f>IF(Gastos[[#This Row],[Divisa]]="$", I605*1, IF(Gastos[[#This Row],[Divisa]]="U$D", I605*$N$1, IF(Gastos[[#This Row],[Divisa]]="EUR", I605*$N$2, 0)))</f>
        <v>590534.37</v>
      </c>
      <c r="K605" s="54">
        <f>Gastos[[#This Row],[Importe AR$]]/$N$1</f>
        <v>378.54767307692305</v>
      </c>
      <c r="M605" s="69">
        <v>46260</v>
      </c>
      <c r="N605" s="43">
        <f>IF(Gastos[[#This Row],[Fecha_Cheque]]&gt;0,WEEKNUM(Gastos[[#This Row],[Fecha_Cheque]]),MID(Gastos[[#This Row],[Semana]],6,2))</f>
        <v>35</v>
      </c>
      <c r="O605" t="s">
        <v>4041</v>
      </c>
      <c r="P605" t="s">
        <v>27</v>
      </c>
    </row>
    <row r="606" spans="1:16" hidden="1" x14ac:dyDescent="0.25">
      <c r="A606" s="3" t="s">
        <v>4005</v>
      </c>
      <c r="B606" t="s">
        <v>3992</v>
      </c>
      <c r="C606" t="s">
        <v>3993</v>
      </c>
      <c r="D606" t="s">
        <v>26</v>
      </c>
      <c r="E606" t="s">
        <v>42</v>
      </c>
      <c r="F606">
        <v>1</v>
      </c>
      <c r="G606" s="3" t="s">
        <v>4</v>
      </c>
      <c r="H606" s="44" t="s">
        <v>15</v>
      </c>
      <c r="I606" s="17">
        <v>5280.9</v>
      </c>
      <c r="J606" s="17">
        <f>IF(Gastos[[#This Row],[Divisa]]="$", I606*1, IF(Gastos[[#This Row],[Divisa]]="U$D", I606*$N$1, IF(Gastos[[#This Row],[Divisa]]="EUR", I606*$N$2, 0)))</f>
        <v>5280.9</v>
      </c>
      <c r="K606" s="54">
        <f>Gastos[[#This Row],[Importe AR$]]/$N$1</f>
        <v>3.3851923076923076</v>
      </c>
      <c r="L606" t="s">
        <v>340</v>
      </c>
      <c r="M606" s="69"/>
      <c r="N606" s="43" t="str">
        <f>IF(Gastos[[#This Row],[Fecha_Cheque]]&gt;0,WEEKNUM(Gastos[[#This Row],[Fecha_Cheque]]),MID(Gastos[[#This Row],[Semana]],6,2))</f>
        <v>33</v>
      </c>
      <c r="O606" t="s">
        <v>4041</v>
      </c>
      <c r="P606" t="s">
        <v>27</v>
      </c>
    </row>
    <row r="607" spans="1:16" x14ac:dyDescent="0.25">
      <c r="A607" s="3" t="s">
        <v>4655</v>
      </c>
      <c r="B607" t="s">
        <v>478</v>
      </c>
      <c r="C607" t="s">
        <v>3893</v>
      </c>
      <c r="D607" t="s">
        <v>26</v>
      </c>
      <c r="E607" t="s">
        <v>62</v>
      </c>
      <c r="F607">
        <v>1</v>
      </c>
      <c r="G607" s="3" t="s">
        <v>32</v>
      </c>
      <c r="H607" s="46" t="s">
        <v>15</v>
      </c>
      <c r="I607" s="17">
        <v>3282681.6</v>
      </c>
      <c r="J607" s="17">
        <f>IF(Gastos[[#This Row],[Divisa]]="$", I607*1, IF(Gastos[[#This Row],[Divisa]]="U$D", I607*$N$1, IF(Gastos[[#This Row],[Divisa]]="EUR", I607*$N$2, 0)))</f>
        <v>3282681.6</v>
      </c>
      <c r="K607" s="54">
        <f>Gastos[[#This Row],[Importe AR$]]/$N$1</f>
        <v>2104.2830769230768</v>
      </c>
      <c r="M607" s="69"/>
      <c r="N607" s="43" t="str">
        <f>IF(Gastos[[#This Row],[Fecha_Cheque]]&gt;0,WEEKNUM(Gastos[[#This Row],[Fecha_Cheque]]),MID(Gastos[[#This Row],[Semana]],6,2))</f>
        <v>44</v>
      </c>
    </row>
    <row r="608" spans="1:16" hidden="1" x14ac:dyDescent="0.25">
      <c r="A608" s="3" t="s">
        <v>50</v>
      </c>
      <c r="B608" t="s">
        <v>498</v>
      </c>
      <c r="C608" t="s">
        <v>499</v>
      </c>
      <c r="D608" t="s">
        <v>61</v>
      </c>
      <c r="E608" t="s">
        <v>31</v>
      </c>
      <c r="F608">
        <v>1</v>
      </c>
      <c r="G608" s="3" t="s">
        <v>32</v>
      </c>
      <c r="H608" s="46" t="s">
        <v>15</v>
      </c>
      <c r="I608" s="17">
        <v>984000</v>
      </c>
      <c r="J608" s="17">
        <f>IF(Gastos[[#This Row],[Divisa]]="$", I608*1, IF(Gastos[[#This Row],[Divisa]]="U$D", I608*$N$1, IF(Gastos[[#This Row],[Divisa]]="EUR", I608*$N$2, 0)))</f>
        <v>984000</v>
      </c>
      <c r="K608" s="54">
        <f>Gastos[[#This Row],[Importe AR$]]/$N$1</f>
        <v>630.76923076923072</v>
      </c>
      <c r="L608" t="s">
        <v>215</v>
      </c>
      <c r="M608" s="69">
        <v>45849</v>
      </c>
      <c r="N608" s="43">
        <f>IF(Gastos[[#This Row],[Fecha_Cheque]]&gt;0,WEEKNUM(Gastos[[#This Row],[Fecha_Cheque]]),MID(Gastos[[#This Row],[Semana]],6,2))</f>
        <v>28</v>
      </c>
      <c r="O608" t="s">
        <v>500</v>
      </c>
      <c r="P608" t="s">
        <v>27</v>
      </c>
    </row>
    <row r="609" spans="1:16" hidden="1" x14ac:dyDescent="0.25">
      <c r="A609" s="3" t="s">
        <v>144</v>
      </c>
      <c r="B609" t="s">
        <v>498</v>
      </c>
      <c r="C609" t="s">
        <v>501</v>
      </c>
      <c r="D609" t="s">
        <v>26</v>
      </c>
      <c r="E609" t="s">
        <v>31</v>
      </c>
      <c r="F609">
        <v>1</v>
      </c>
      <c r="G609" s="3" t="s">
        <v>32</v>
      </c>
      <c r="H609" s="46" t="s">
        <v>15</v>
      </c>
      <c r="I609" s="17">
        <v>559499.99</v>
      </c>
      <c r="J609" s="17">
        <f>IF(Gastos[[#This Row],[Divisa]]="$", I609*1, IF(Gastos[[#This Row],[Divisa]]="U$D", I609*$N$1, IF(Gastos[[#This Row],[Divisa]]="EUR", I609*$N$2, 0)))</f>
        <v>559499.99</v>
      </c>
      <c r="K609" s="54">
        <f>Gastos[[#This Row],[Importe AR$]]/$N$1</f>
        <v>358.65383974358974</v>
      </c>
      <c r="L609" t="s">
        <v>361</v>
      </c>
      <c r="M609" s="69"/>
      <c r="N609" s="43" t="str">
        <f>IF(Gastos[[#This Row],[Fecha_Cheque]]&gt;0,WEEKNUM(Gastos[[#This Row],[Fecha_Cheque]]),MID(Gastos[[#This Row],[Semana]],6,2))</f>
        <v>16</v>
      </c>
      <c r="O609" t="s">
        <v>502</v>
      </c>
      <c r="P609" t="s">
        <v>27</v>
      </c>
    </row>
    <row r="610" spans="1:16" hidden="1" x14ac:dyDescent="0.25">
      <c r="A610" s="3" t="s">
        <v>3817</v>
      </c>
      <c r="B610" t="s">
        <v>3825</v>
      </c>
      <c r="C610" t="s">
        <v>3826</v>
      </c>
      <c r="D610" t="s">
        <v>26</v>
      </c>
      <c r="E610" t="s">
        <v>42</v>
      </c>
      <c r="F610">
        <v>2</v>
      </c>
      <c r="G610" s="3" t="s">
        <v>4</v>
      </c>
      <c r="H610" s="44" t="s">
        <v>15</v>
      </c>
      <c r="I610" s="17">
        <v>500000</v>
      </c>
      <c r="J610" s="17">
        <f>IF(Gastos[[#This Row],[Divisa]]="$", I610*1, IF(Gastos[[#This Row],[Divisa]]="U$D", I610*$N$1, IF(Gastos[[#This Row],[Divisa]]="EUR", I610*$N$2, 0)))</f>
        <v>500000</v>
      </c>
      <c r="K610" s="54">
        <f>Gastos[[#This Row],[Importe AR$]]/$N$1</f>
        <v>320.5128205128205</v>
      </c>
      <c r="L610" t="s">
        <v>3828</v>
      </c>
      <c r="M610" s="69"/>
      <c r="N610" s="43" t="str">
        <f>IF(Gastos[[#This Row],[Fecha_Cheque]]&gt;0,WEEKNUM(Gastos[[#This Row],[Fecha_Cheque]]),MID(Gastos[[#This Row],[Semana]],6,2))</f>
        <v>30</v>
      </c>
      <c r="O610" t="s">
        <v>3827</v>
      </c>
      <c r="P610" t="s">
        <v>27</v>
      </c>
    </row>
    <row r="611" spans="1:16" hidden="1" x14ac:dyDescent="0.25">
      <c r="A611" s="3" t="s">
        <v>2841</v>
      </c>
      <c r="B611" t="s">
        <v>3020</v>
      </c>
      <c r="C611" t="s">
        <v>3021</v>
      </c>
      <c r="D611" t="s">
        <v>26</v>
      </c>
      <c r="E611" t="s">
        <v>31</v>
      </c>
      <c r="F611">
        <v>1</v>
      </c>
      <c r="G611" s="3" t="s">
        <v>32</v>
      </c>
      <c r="H611" s="44" t="s">
        <v>15</v>
      </c>
      <c r="I611" s="17">
        <v>844004.89</v>
      </c>
      <c r="J611" s="17">
        <f>IF(Gastos[[#This Row],[Divisa]]="$", I611*1, IF(Gastos[[#This Row],[Divisa]]="U$D", I611*$N$1, IF(Gastos[[#This Row],[Divisa]]="EUR", I611*$N$2, 0)))</f>
        <v>844004.89</v>
      </c>
      <c r="K611" s="54">
        <f>Gastos[[#This Row],[Importe AR$]]/$N$1</f>
        <v>541.02877564102562</v>
      </c>
      <c r="M611" s="69">
        <v>46208</v>
      </c>
      <c r="N611" s="43">
        <f>IF(Gastos[[#This Row],[Fecha_Cheque]]&gt;0,WEEKNUM(Gastos[[#This Row],[Fecha_Cheque]]),MID(Gastos[[#This Row],[Semana]],6,2))</f>
        <v>28</v>
      </c>
      <c r="O611" t="s">
        <v>3022</v>
      </c>
      <c r="P611" t="s">
        <v>27</v>
      </c>
    </row>
    <row r="612" spans="1:16" hidden="1" x14ac:dyDescent="0.25">
      <c r="A612" s="3" t="s">
        <v>2841</v>
      </c>
      <c r="B612" t="s">
        <v>3020</v>
      </c>
      <c r="C612" t="s">
        <v>3021</v>
      </c>
      <c r="D612" t="s">
        <v>26</v>
      </c>
      <c r="E612" t="s">
        <v>31</v>
      </c>
      <c r="F612">
        <v>1</v>
      </c>
      <c r="G612" s="3" t="s">
        <v>32</v>
      </c>
      <c r="H612" s="44" t="s">
        <v>15</v>
      </c>
      <c r="I612" s="17">
        <v>10995.11</v>
      </c>
      <c r="J612" s="17">
        <f>IF(Gastos[[#This Row],[Divisa]]="$", I612*1, IF(Gastos[[#This Row],[Divisa]]="U$D", I612*$N$1, IF(Gastos[[#This Row],[Divisa]]="EUR", I612*$N$2, 0)))</f>
        <v>10995.11</v>
      </c>
      <c r="K612" s="54">
        <f>Gastos[[#This Row],[Importe AR$]]/$N$1</f>
        <v>7.0481474358974365</v>
      </c>
      <c r="L612" t="s">
        <v>340</v>
      </c>
      <c r="M612" s="69"/>
      <c r="N612" s="43" t="str">
        <f>IF(Gastos[[#This Row],[Fecha_Cheque]]&gt;0,WEEKNUM(Gastos[[#This Row],[Fecha_Cheque]]),MID(Gastos[[#This Row],[Semana]],6,2))</f>
        <v>22</v>
      </c>
      <c r="O612" t="s">
        <v>3022</v>
      </c>
      <c r="P612" t="s">
        <v>27</v>
      </c>
    </row>
    <row r="613" spans="1:16" hidden="1" x14ac:dyDescent="0.25">
      <c r="A613" s="3" t="s">
        <v>3882</v>
      </c>
      <c r="B613" t="s">
        <v>3020</v>
      </c>
      <c r="C613" t="s">
        <v>3854</v>
      </c>
      <c r="D613" t="s">
        <v>26</v>
      </c>
      <c r="E613" t="s">
        <v>62</v>
      </c>
      <c r="F613">
        <v>1</v>
      </c>
      <c r="G613" s="3" t="s">
        <v>32</v>
      </c>
      <c r="H613" s="44" t="s">
        <v>15</v>
      </c>
      <c r="I613" s="17">
        <v>2995034.35</v>
      </c>
      <c r="J613" s="17">
        <f>IF(Gastos[[#This Row],[Divisa]]="$", I613*1, IF(Gastos[[#This Row],[Divisa]]="U$D", I613*$N$1, IF(Gastos[[#This Row],[Divisa]]="EUR", I613*$N$2, 0)))</f>
        <v>2995034.35</v>
      </c>
      <c r="K613" s="54">
        <f>Gastos[[#This Row],[Importe AR$]]/$N$1</f>
        <v>1919.8938141025642</v>
      </c>
      <c r="M613" s="69">
        <v>46246</v>
      </c>
      <c r="N613" s="43">
        <f>IF(Gastos[[#This Row],[Fecha_Cheque]]&gt;0,WEEKNUM(Gastos[[#This Row],[Fecha_Cheque]]),MID(Gastos[[#This Row],[Semana]],6,2))</f>
        <v>33</v>
      </c>
      <c r="O613" t="s">
        <v>3923</v>
      </c>
      <c r="P613" t="s">
        <v>27</v>
      </c>
    </row>
    <row r="614" spans="1:16" hidden="1" x14ac:dyDescent="0.25">
      <c r="A614" s="3" t="s">
        <v>3882</v>
      </c>
      <c r="B614" t="s">
        <v>3020</v>
      </c>
      <c r="C614" t="s">
        <v>3854</v>
      </c>
      <c r="D614" t="s">
        <v>26</v>
      </c>
      <c r="E614" t="s">
        <v>62</v>
      </c>
      <c r="F614">
        <v>1</v>
      </c>
      <c r="G614" s="3" t="s">
        <v>4</v>
      </c>
      <c r="H614" s="44" t="s">
        <v>15</v>
      </c>
      <c r="I614" s="17">
        <v>55420.69</v>
      </c>
      <c r="J614" s="17">
        <f>IF(Gastos[[#This Row],[Divisa]]="$", I614*1, IF(Gastos[[#This Row],[Divisa]]="U$D", I614*$N$1, IF(Gastos[[#This Row],[Divisa]]="EUR", I614*$N$2, 0)))</f>
        <v>55420.69</v>
      </c>
      <c r="K614" s="54">
        <f>Gastos[[#This Row],[Importe AR$]]/$N$1</f>
        <v>35.526083333333332</v>
      </c>
      <c r="L614" t="s">
        <v>340</v>
      </c>
      <c r="M614" s="69"/>
      <c r="N614" s="43" t="str">
        <f>IF(Gastos[[#This Row],[Fecha_Cheque]]&gt;0,WEEKNUM(Gastos[[#This Row],[Fecha_Cheque]]),MID(Gastos[[#This Row],[Semana]],6,2))</f>
        <v>31</v>
      </c>
      <c r="O614" t="s">
        <v>3923</v>
      </c>
      <c r="P614" t="s">
        <v>27</v>
      </c>
    </row>
    <row r="615" spans="1:16" hidden="1" x14ac:dyDescent="0.25">
      <c r="A615" s="3" t="s">
        <v>4211</v>
      </c>
      <c r="B615" t="s">
        <v>3020</v>
      </c>
      <c r="C615" t="s">
        <v>3854</v>
      </c>
      <c r="D615" t="s">
        <v>26</v>
      </c>
      <c r="E615" t="s">
        <v>62</v>
      </c>
      <c r="F615">
        <v>1</v>
      </c>
      <c r="G615" s="3" t="s">
        <v>32</v>
      </c>
      <c r="H615" s="44" t="s">
        <v>15</v>
      </c>
      <c r="I615" s="17">
        <v>280000</v>
      </c>
      <c r="J615" s="17">
        <f>IF(Gastos[[#This Row],[Divisa]]="$", I615*1, IF(Gastos[[#This Row],[Divisa]]="U$D", I615*$N$1, IF(Gastos[[#This Row],[Divisa]]="EUR", I615*$N$2, 0)))</f>
        <v>280000</v>
      </c>
      <c r="K615" s="54">
        <f>Gastos[[#This Row],[Importe AR$]]/$N$1</f>
        <v>179.48717948717947</v>
      </c>
      <c r="M615" s="69">
        <v>46312</v>
      </c>
      <c r="N615" s="43">
        <f>IF(Gastos[[#This Row],[Fecha_Cheque]]&gt;0,WEEKNUM(Gastos[[#This Row],[Fecha_Cheque]]),MID(Gastos[[#This Row],[Semana]],6,2))</f>
        <v>42</v>
      </c>
      <c r="O615" t="s">
        <v>4321</v>
      </c>
      <c r="P615" t="s">
        <v>27</v>
      </c>
    </row>
    <row r="616" spans="1:16" hidden="1" x14ac:dyDescent="0.25">
      <c r="A616" s="3" t="s">
        <v>4211</v>
      </c>
      <c r="B616" t="s">
        <v>3020</v>
      </c>
      <c r="C616" t="s">
        <v>3854</v>
      </c>
      <c r="D616" t="s">
        <v>26</v>
      </c>
      <c r="E616" t="s">
        <v>62</v>
      </c>
      <c r="F616">
        <v>1</v>
      </c>
      <c r="G616" s="3" t="s">
        <v>32</v>
      </c>
      <c r="H616" s="44" t="s">
        <v>15</v>
      </c>
      <c r="I616" s="17">
        <v>280000</v>
      </c>
      <c r="J616" s="17">
        <f>IF(Gastos[[#This Row],[Divisa]]="$", I616*1, IF(Gastos[[#This Row],[Divisa]]="U$D", I616*$N$1, IF(Gastos[[#This Row],[Divisa]]="EUR", I616*$N$2, 0)))</f>
        <v>280000</v>
      </c>
      <c r="K616" s="54">
        <f>Gastos[[#This Row],[Importe AR$]]/$N$1</f>
        <v>179.48717948717947</v>
      </c>
      <c r="M616" s="69">
        <v>46315</v>
      </c>
      <c r="N616" s="43">
        <f>IF(Gastos[[#This Row],[Fecha_Cheque]]&gt;0,WEEKNUM(Gastos[[#This Row],[Fecha_Cheque]]),MID(Gastos[[#This Row],[Semana]],6,2))</f>
        <v>43</v>
      </c>
      <c r="O616" t="s">
        <v>4321</v>
      </c>
      <c r="P616" t="s">
        <v>27</v>
      </c>
    </row>
    <row r="617" spans="1:16" hidden="1" x14ac:dyDescent="0.25">
      <c r="A617" s="3" t="s">
        <v>4211</v>
      </c>
      <c r="B617" t="s">
        <v>3020</v>
      </c>
      <c r="C617" t="s">
        <v>3854</v>
      </c>
      <c r="D617" t="s">
        <v>26</v>
      </c>
      <c r="E617" t="s">
        <v>62</v>
      </c>
      <c r="F617">
        <v>1</v>
      </c>
      <c r="G617" s="3" t="s">
        <v>32</v>
      </c>
      <c r="H617" s="44" t="s">
        <v>15</v>
      </c>
      <c r="I617" s="17">
        <v>280000</v>
      </c>
      <c r="J617" s="17">
        <f>IF(Gastos[[#This Row],[Divisa]]="$", I617*1, IF(Gastos[[#This Row],[Divisa]]="U$D", I617*$N$1, IF(Gastos[[#This Row],[Divisa]]="EUR", I617*$N$2, 0)))</f>
        <v>280000</v>
      </c>
      <c r="K617" s="54">
        <f>Gastos[[#This Row],[Importe AR$]]/$N$1</f>
        <v>179.48717948717947</v>
      </c>
      <c r="M617" s="69">
        <v>46319</v>
      </c>
      <c r="N617" s="43">
        <f>IF(Gastos[[#This Row],[Fecha_Cheque]]&gt;0,WEEKNUM(Gastos[[#This Row],[Fecha_Cheque]]),MID(Gastos[[#This Row],[Semana]],6,2))</f>
        <v>43</v>
      </c>
      <c r="O617" t="s">
        <v>4321</v>
      </c>
      <c r="P617" t="s">
        <v>27</v>
      </c>
    </row>
    <row r="618" spans="1:16" hidden="1" x14ac:dyDescent="0.25">
      <c r="A618" s="3" t="s">
        <v>4211</v>
      </c>
      <c r="B618" t="s">
        <v>3020</v>
      </c>
      <c r="C618" t="s">
        <v>3854</v>
      </c>
      <c r="D618" t="s">
        <v>26</v>
      </c>
      <c r="E618" t="s">
        <v>62</v>
      </c>
      <c r="F618">
        <v>1</v>
      </c>
      <c r="G618" s="3" t="s">
        <v>32</v>
      </c>
      <c r="H618" s="44" t="s">
        <v>15</v>
      </c>
      <c r="I618" s="17">
        <v>700000</v>
      </c>
      <c r="J618" s="17">
        <f>IF(Gastos[[#This Row],[Divisa]]="$", I618*1, IF(Gastos[[#This Row],[Divisa]]="U$D", I618*$N$1, IF(Gastos[[#This Row],[Divisa]]="EUR", I618*$N$2, 0)))</f>
        <v>700000</v>
      </c>
      <c r="K618" s="54">
        <f>Gastos[[#This Row],[Importe AR$]]/$N$1</f>
        <v>448.71794871794873</v>
      </c>
      <c r="M618" s="69">
        <v>46351</v>
      </c>
      <c r="N618" s="43">
        <f>IF(Gastos[[#This Row],[Fecha_Cheque]]&gt;0,WEEKNUM(Gastos[[#This Row],[Fecha_Cheque]]),MID(Gastos[[#This Row],[Semana]],6,2))</f>
        <v>48</v>
      </c>
      <c r="O618" t="s">
        <v>4321</v>
      </c>
      <c r="P618" t="s">
        <v>27</v>
      </c>
    </row>
    <row r="619" spans="1:16" hidden="1" x14ac:dyDescent="0.25">
      <c r="A619" s="3" t="s">
        <v>4211</v>
      </c>
      <c r="B619" t="s">
        <v>3020</v>
      </c>
      <c r="C619" t="s">
        <v>3854</v>
      </c>
      <c r="D619" t="s">
        <v>26</v>
      </c>
      <c r="E619" t="s">
        <v>62</v>
      </c>
      <c r="F619">
        <v>1</v>
      </c>
      <c r="G619" s="3" t="s">
        <v>4</v>
      </c>
      <c r="H619" s="44" t="s">
        <v>15</v>
      </c>
      <c r="I619" s="17">
        <v>10973.21</v>
      </c>
      <c r="J619" s="17">
        <f>IF(Gastos[[#This Row],[Divisa]]="$", I619*1, IF(Gastos[[#This Row],[Divisa]]="U$D", I619*$N$1, IF(Gastos[[#This Row],[Divisa]]="EUR", I619*$N$2, 0)))</f>
        <v>10973.21</v>
      </c>
      <c r="K619" s="54">
        <f>Gastos[[#This Row],[Importe AR$]]/$N$1</f>
        <v>7.0341089743589738</v>
      </c>
      <c r="M619" s="69"/>
      <c r="N619" s="43" t="str">
        <f>IF(Gastos[[#This Row],[Fecha_Cheque]]&gt;0,WEEKNUM(Gastos[[#This Row],[Fecha_Cheque]]),MID(Gastos[[#This Row],[Semana]],6,2))</f>
        <v>37</v>
      </c>
      <c r="O619" t="s">
        <v>4321</v>
      </c>
      <c r="P619" t="s">
        <v>27</v>
      </c>
    </row>
    <row r="620" spans="1:16" hidden="1" x14ac:dyDescent="0.25">
      <c r="A620" s="3" t="s">
        <v>4211</v>
      </c>
      <c r="B620" t="s">
        <v>3020</v>
      </c>
      <c r="C620" t="s">
        <v>3854</v>
      </c>
      <c r="D620" t="s">
        <v>26</v>
      </c>
      <c r="E620" t="s">
        <v>62</v>
      </c>
      <c r="F620">
        <v>1</v>
      </c>
      <c r="G620" s="3" t="s">
        <v>4</v>
      </c>
      <c r="H620" s="44" t="s">
        <v>15</v>
      </c>
      <c r="I620" s="17">
        <v>24026.79</v>
      </c>
      <c r="J620" s="17">
        <f>IF(Gastos[[#This Row],[Divisa]]="$", I620*1, IF(Gastos[[#This Row],[Divisa]]="U$D", I620*$N$1, IF(Gastos[[#This Row],[Divisa]]="EUR", I620*$N$2, 0)))</f>
        <v>24026.79</v>
      </c>
      <c r="K620" s="54">
        <f>Gastos[[#This Row],[Importe AR$]]/$N$1</f>
        <v>15.401788461538462</v>
      </c>
      <c r="L620" t="s">
        <v>340</v>
      </c>
      <c r="M620" s="69"/>
      <c r="N620" s="43" t="str">
        <f>IF(Gastos[[#This Row],[Fecha_Cheque]]&gt;0,WEEKNUM(Gastos[[#This Row],[Fecha_Cheque]]),MID(Gastos[[#This Row],[Semana]],6,2))</f>
        <v>37</v>
      </c>
      <c r="O620" t="s">
        <v>4321</v>
      </c>
      <c r="P620" t="s">
        <v>27</v>
      </c>
    </row>
    <row r="621" spans="1:16" x14ac:dyDescent="0.25">
      <c r="A621" s="3" t="s">
        <v>4655</v>
      </c>
      <c r="B621" t="s">
        <v>3155</v>
      </c>
      <c r="C621" t="s">
        <v>3156</v>
      </c>
      <c r="D621" t="s">
        <v>26</v>
      </c>
      <c r="E621" t="s">
        <v>42</v>
      </c>
      <c r="F621">
        <v>1</v>
      </c>
      <c r="G621" s="3" t="s">
        <v>4</v>
      </c>
      <c r="H621" s="46" t="s">
        <v>15</v>
      </c>
      <c r="I621" s="49">
        <v>250000</v>
      </c>
      <c r="J621" s="17">
        <f>IF(Gastos[[#This Row],[Divisa]]="$", I621*1, IF(Gastos[[#This Row],[Divisa]]="U$D", I621*$N$1, IF(Gastos[[#This Row],[Divisa]]="EUR", I621*$N$2, 0)))</f>
        <v>250000</v>
      </c>
      <c r="K621" s="54">
        <f>Gastos[[#This Row],[Importe AR$]]/$N$1</f>
        <v>160.25641025641025</v>
      </c>
      <c r="M621" s="69"/>
      <c r="N621" s="43" t="str">
        <f>IF(Gastos[[#This Row],[Fecha_Cheque]]&gt;0,WEEKNUM(Gastos[[#This Row],[Fecha_Cheque]]),MID(Gastos[[#This Row],[Semana]],6,2))</f>
        <v>44</v>
      </c>
      <c r="P621" t="s">
        <v>7</v>
      </c>
    </row>
    <row r="622" spans="1:16" hidden="1" x14ac:dyDescent="0.25">
      <c r="A622" s="3" t="s">
        <v>23</v>
      </c>
      <c r="B622" t="s">
        <v>503</v>
      </c>
      <c r="C622" t="s">
        <v>505</v>
      </c>
      <c r="D622" t="s">
        <v>26</v>
      </c>
      <c r="E622" t="s">
        <v>31</v>
      </c>
      <c r="F622">
        <v>1</v>
      </c>
      <c r="G622" s="3" t="s">
        <v>5</v>
      </c>
      <c r="H622" s="46" t="s">
        <v>15</v>
      </c>
      <c r="I622" s="17">
        <v>415500</v>
      </c>
      <c r="J622" s="17">
        <f>IF(Gastos[[#This Row],[Divisa]]="$", I622*1, IF(Gastos[[#This Row],[Divisa]]="U$D", I622*$N$1, IF(Gastos[[#This Row],[Divisa]]="EUR", I622*$N$2, 0)))</f>
        <v>415500</v>
      </c>
      <c r="K622" s="54">
        <f>Gastos[[#This Row],[Importe AR$]]/$N$1</f>
        <v>266.34615384615387</v>
      </c>
      <c r="M622" s="69"/>
      <c r="N622" s="43" t="str">
        <f>IF(Gastos[[#This Row],[Fecha_Cheque]]&gt;0,WEEKNUM(Gastos[[#This Row],[Fecha_Cheque]]),MID(Gastos[[#This Row],[Semana]],6,2))</f>
        <v>22</v>
      </c>
      <c r="P622" t="s">
        <v>27</v>
      </c>
    </row>
    <row r="623" spans="1:16" hidden="1" x14ac:dyDescent="0.25">
      <c r="A623" s="3" t="s">
        <v>290</v>
      </c>
      <c r="B623" t="s">
        <v>503</v>
      </c>
      <c r="C623" t="s">
        <v>506</v>
      </c>
      <c r="D623" t="s">
        <v>26</v>
      </c>
      <c r="E623" t="s">
        <v>31</v>
      </c>
      <c r="F623">
        <v>1</v>
      </c>
      <c r="G623" s="3" t="s">
        <v>5</v>
      </c>
      <c r="H623" s="46" t="s">
        <v>15</v>
      </c>
      <c r="I623" s="17">
        <v>412459.64</v>
      </c>
      <c r="J623" s="17">
        <f>IF(Gastos[[#This Row],[Divisa]]="$", I623*1, IF(Gastos[[#This Row],[Divisa]]="U$D", I623*$N$1, IF(Gastos[[#This Row],[Divisa]]="EUR", I623*$N$2, 0)))</f>
        <v>412459.64</v>
      </c>
      <c r="K623" s="54">
        <f>Gastos[[#This Row],[Importe AR$]]/$N$1</f>
        <v>264.39720512820514</v>
      </c>
      <c r="M623" s="69"/>
      <c r="N623" s="43" t="str">
        <f>IF(Gastos[[#This Row],[Fecha_Cheque]]&gt;0,WEEKNUM(Gastos[[#This Row],[Fecha_Cheque]]),MID(Gastos[[#This Row],[Semana]],6,2))</f>
        <v>23</v>
      </c>
      <c r="O623" t="s">
        <v>98</v>
      </c>
      <c r="P623" t="s">
        <v>27</v>
      </c>
    </row>
    <row r="624" spans="1:16" hidden="1" x14ac:dyDescent="0.25">
      <c r="A624" s="3" t="s">
        <v>253</v>
      </c>
      <c r="B624" t="s">
        <v>503</v>
      </c>
      <c r="C624" t="s">
        <v>504</v>
      </c>
      <c r="D624" t="s">
        <v>26</v>
      </c>
      <c r="E624" t="s">
        <v>31</v>
      </c>
      <c r="F624">
        <v>1</v>
      </c>
      <c r="G624" s="3" t="s">
        <v>5</v>
      </c>
      <c r="H624" s="46" t="s">
        <v>15</v>
      </c>
      <c r="I624" s="17">
        <v>130000</v>
      </c>
      <c r="J624" s="17">
        <f>IF(Gastos[[#This Row],[Divisa]]="$", I624*1, IF(Gastos[[#This Row],[Divisa]]="U$D", I624*$N$1, IF(Gastos[[#This Row],[Divisa]]="EUR", I624*$N$2, 0)))</f>
        <v>130000</v>
      </c>
      <c r="K624" s="54">
        <f>Gastos[[#This Row],[Importe AR$]]/$N$1</f>
        <v>83.333333333333329</v>
      </c>
      <c r="M624" s="69"/>
      <c r="N624" s="43" t="str">
        <f>IF(Gastos[[#This Row],[Fecha_Cheque]]&gt;0,WEEKNUM(Gastos[[#This Row],[Fecha_Cheque]]),MID(Gastos[[#This Row],[Semana]],6,2))</f>
        <v>24</v>
      </c>
      <c r="P624" t="s">
        <v>27</v>
      </c>
    </row>
    <row r="625" spans="1:16" hidden="1" x14ac:dyDescent="0.25">
      <c r="A625" s="3" t="s">
        <v>105</v>
      </c>
      <c r="B625" t="s">
        <v>503</v>
      </c>
      <c r="C625" t="s">
        <v>507</v>
      </c>
      <c r="D625" t="s">
        <v>26</v>
      </c>
      <c r="E625" t="s">
        <v>31</v>
      </c>
      <c r="F625">
        <v>1</v>
      </c>
      <c r="G625" s="3" t="s">
        <v>5</v>
      </c>
      <c r="H625" s="46" t="s">
        <v>15</v>
      </c>
      <c r="I625" s="17">
        <v>195000</v>
      </c>
      <c r="J625" s="17">
        <f>IF(Gastos[[#This Row],[Divisa]]="$", I625*1, IF(Gastos[[#This Row],[Divisa]]="U$D", I625*$N$1, IF(Gastos[[#This Row],[Divisa]]="EUR", I625*$N$2, 0)))</f>
        <v>195000</v>
      </c>
      <c r="K625" s="54">
        <f>Gastos[[#This Row],[Importe AR$]]/$N$1</f>
        <v>125</v>
      </c>
      <c r="M625" s="69"/>
      <c r="N625" s="43" t="str">
        <f>IF(Gastos[[#This Row],[Fecha_Cheque]]&gt;0,WEEKNUM(Gastos[[#This Row],[Fecha_Cheque]]),MID(Gastos[[#This Row],[Semana]],6,2))</f>
        <v>27</v>
      </c>
      <c r="O625" t="s">
        <v>508</v>
      </c>
      <c r="P625" t="s">
        <v>27</v>
      </c>
    </row>
    <row r="626" spans="1:16" hidden="1" x14ac:dyDescent="0.25">
      <c r="A626" s="3" t="s">
        <v>305</v>
      </c>
      <c r="B626" t="s">
        <v>503</v>
      </c>
      <c r="C626" t="s">
        <v>507</v>
      </c>
      <c r="D626" t="s">
        <v>26</v>
      </c>
      <c r="E626" t="s">
        <v>31</v>
      </c>
      <c r="F626">
        <v>1</v>
      </c>
      <c r="G626" s="3" t="s">
        <v>5</v>
      </c>
      <c r="H626" s="46" t="s">
        <v>15</v>
      </c>
      <c r="I626" s="17">
        <v>845000</v>
      </c>
      <c r="J626" s="17">
        <f>IF(Gastos[[#This Row],[Divisa]]="$", I626*1, IF(Gastos[[#This Row],[Divisa]]="U$D", I626*$N$1, IF(Gastos[[#This Row],[Divisa]]="EUR", I626*$N$2, 0)))</f>
        <v>845000</v>
      </c>
      <c r="K626" s="54">
        <f>Gastos[[#This Row],[Importe AR$]]/$N$1</f>
        <v>541.66666666666663</v>
      </c>
      <c r="M626" s="69"/>
      <c r="N626" s="43" t="str">
        <f>IF(Gastos[[#This Row],[Fecha_Cheque]]&gt;0,WEEKNUM(Gastos[[#This Row],[Fecha_Cheque]]),MID(Gastos[[#This Row],[Semana]],6,2))</f>
        <v>31</v>
      </c>
      <c r="O626" t="s">
        <v>509</v>
      </c>
      <c r="P626" t="s">
        <v>27</v>
      </c>
    </row>
    <row r="627" spans="1:16" hidden="1" x14ac:dyDescent="0.25">
      <c r="A627" s="3" t="s">
        <v>34</v>
      </c>
      <c r="B627" t="s">
        <v>503</v>
      </c>
      <c r="C627" t="s">
        <v>510</v>
      </c>
      <c r="D627" t="s">
        <v>26</v>
      </c>
      <c r="E627" t="s">
        <v>31</v>
      </c>
      <c r="F627">
        <v>1</v>
      </c>
      <c r="G627" s="3" t="s">
        <v>5</v>
      </c>
      <c r="H627" s="46" t="s">
        <v>15</v>
      </c>
      <c r="I627" s="17">
        <v>260000</v>
      </c>
      <c r="J627" s="17">
        <f>IF(Gastos[[#This Row],[Divisa]]="$", I627*1, IF(Gastos[[#This Row],[Divisa]]="U$D", I627*$N$1, IF(Gastos[[#This Row],[Divisa]]="EUR", I627*$N$2, 0)))</f>
        <v>260000</v>
      </c>
      <c r="K627" s="54">
        <f>Gastos[[#This Row],[Importe AR$]]/$N$1</f>
        <v>166.66666666666666</v>
      </c>
      <c r="M627" s="69"/>
      <c r="N627" s="43" t="str">
        <f>IF(Gastos[[#This Row],[Fecha_Cheque]]&gt;0,WEEKNUM(Gastos[[#This Row],[Fecha_Cheque]]),MID(Gastos[[#This Row],[Semana]],6,2))</f>
        <v>32</v>
      </c>
      <c r="O627" t="s">
        <v>511</v>
      </c>
      <c r="P627" t="s">
        <v>27</v>
      </c>
    </row>
    <row r="628" spans="1:16" hidden="1" x14ac:dyDescent="0.25">
      <c r="A628" s="3" t="s">
        <v>122</v>
      </c>
      <c r="B628" t="s">
        <v>503</v>
      </c>
      <c r="C628" t="s">
        <v>512</v>
      </c>
      <c r="D628" t="s">
        <v>26</v>
      </c>
      <c r="E628" t="s">
        <v>31</v>
      </c>
      <c r="F628">
        <v>1</v>
      </c>
      <c r="G628" s="3" t="s">
        <v>5</v>
      </c>
      <c r="H628" s="46" t="s">
        <v>15</v>
      </c>
      <c r="I628" s="17">
        <v>717830.72</v>
      </c>
      <c r="J628" s="17">
        <f>IF(Gastos[[#This Row],[Divisa]]="$", I628*1, IF(Gastos[[#This Row],[Divisa]]="U$D", I628*$N$1, IF(Gastos[[#This Row],[Divisa]]="EUR", I628*$N$2, 0)))</f>
        <v>717830.72</v>
      </c>
      <c r="K628" s="54">
        <f>Gastos[[#This Row],[Importe AR$]]/$N$1</f>
        <v>460.14789743589739</v>
      </c>
      <c r="M628" s="69"/>
      <c r="N628" s="43" t="str">
        <f>IF(Gastos[[#This Row],[Fecha_Cheque]]&gt;0,WEEKNUM(Gastos[[#This Row],[Fecha_Cheque]]),MID(Gastos[[#This Row],[Semana]],6,2))</f>
        <v>40</v>
      </c>
      <c r="O628" t="s">
        <v>513</v>
      </c>
      <c r="P628" t="s">
        <v>27</v>
      </c>
    </row>
    <row r="629" spans="1:16" hidden="1" x14ac:dyDescent="0.25">
      <c r="A629" s="3" t="s">
        <v>124</v>
      </c>
      <c r="B629" t="s">
        <v>503</v>
      </c>
      <c r="C629" t="s">
        <v>514</v>
      </c>
      <c r="D629" t="s">
        <v>26</v>
      </c>
      <c r="E629" t="s">
        <v>42</v>
      </c>
      <c r="F629">
        <v>1</v>
      </c>
      <c r="G629" s="3" t="s">
        <v>4</v>
      </c>
      <c r="H629" s="46" t="s">
        <v>15</v>
      </c>
      <c r="I629" s="17">
        <v>306500</v>
      </c>
      <c r="J629" s="17">
        <f>IF(Gastos[[#This Row],[Divisa]]="$", I629*1, IF(Gastos[[#This Row],[Divisa]]="U$D", I629*$N$1, IF(Gastos[[#This Row],[Divisa]]="EUR", I629*$N$2, 0)))</f>
        <v>306500</v>
      </c>
      <c r="K629" s="54">
        <f>Gastos[[#This Row],[Importe AR$]]/$N$1</f>
        <v>196.47435897435898</v>
      </c>
      <c r="M629" s="69"/>
      <c r="N629" s="43" t="str">
        <f>IF(Gastos[[#This Row],[Fecha_Cheque]]&gt;0,WEEKNUM(Gastos[[#This Row],[Fecha_Cheque]]),MID(Gastos[[#This Row],[Semana]],6,2))</f>
        <v>42</v>
      </c>
      <c r="O629" t="s">
        <v>515</v>
      </c>
      <c r="P629" t="s">
        <v>27</v>
      </c>
    </row>
    <row r="630" spans="1:16" hidden="1" x14ac:dyDescent="0.25">
      <c r="A630" s="3" t="s">
        <v>124</v>
      </c>
      <c r="B630" t="s">
        <v>503</v>
      </c>
      <c r="C630" t="s">
        <v>514</v>
      </c>
      <c r="D630" t="s">
        <v>26</v>
      </c>
      <c r="E630" t="s">
        <v>31</v>
      </c>
      <c r="F630">
        <v>1</v>
      </c>
      <c r="G630" s="3" t="s">
        <v>32</v>
      </c>
      <c r="H630" s="46" t="s">
        <v>15</v>
      </c>
      <c r="I630" s="17">
        <v>407239.82</v>
      </c>
      <c r="J630" s="17">
        <f>IF(Gastos[[#This Row],[Divisa]]="$", I630*1, IF(Gastos[[#This Row],[Divisa]]="U$D", I630*$N$1, IF(Gastos[[#This Row],[Divisa]]="EUR", I630*$N$2, 0)))</f>
        <v>407239.82</v>
      </c>
      <c r="K630" s="54">
        <f>Gastos[[#This Row],[Importe AR$]]/$N$1</f>
        <v>261.05116666666669</v>
      </c>
      <c r="M630" s="69">
        <v>45976</v>
      </c>
      <c r="N630" s="43">
        <f>IF(Gastos[[#This Row],[Fecha_Cheque]]&gt;0,WEEKNUM(Gastos[[#This Row],[Fecha_Cheque]]),MID(Gastos[[#This Row],[Semana]],6,2))</f>
        <v>46</v>
      </c>
      <c r="O630" t="s">
        <v>516</v>
      </c>
      <c r="P630" t="s">
        <v>27</v>
      </c>
    </row>
    <row r="631" spans="1:16" hidden="1" x14ac:dyDescent="0.25">
      <c r="A631" s="3" t="s">
        <v>180</v>
      </c>
      <c r="B631" t="s">
        <v>503</v>
      </c>
      <c r="C631" t="s">
        <v>653</v>
      </c>
      <c r="D631" t="s">
        <v>26</v>
      </c>
      <c r="E631" t="s">
        <v>31</v>
      </c>
      <c r="F631">
        <v>1</v>
      </c>
      <c r="G631" s="3" t="s">
        <v>5</v>
      </c>
      <c r="H631" s="46" t="s">
        <v>15</v>
      </c>
      <c r="I631" s="17">
        <v>116500.01</v>
      </c>
      <c r="J631" s="17">
        <f>IF(Gastos[[#This Row],[Divisa]]="$", I631*1, IF(Gastos[[#This Row],[Divisa]]="U$D", I631*$N$1, IF(Gastos[[#This Row],[Divisa]]="EUR", I631*$N$2, 0)))</f>
        <v>116500.01</v>
      </c>
      <c r="K631" s="54">
        <f>Gastos[[#This Row],[Importe AR$]]/$N$1</f>
        <v>74.679493589743586</v>
      </c>
      <c r="M631" s="69"/>
      <c r="N631" s="43" t="str">
        <f>IF(Gastos[[#This Row],[Fecha_Cheque]]&gt;0,WEEKNUM(Gastos[[#This Row],[Fecha_Cheque]]),MID(Gastos[[#This Row],[Semana]],6,2))</f>
        <v>09</v>
      </c>
      <c r="O631" t="s">
        <v>654</v>
      </c>
      <c r="P631" t="s">
        <v>27</v>
      </c>
    </row>
    <row r="632" spans="1:16" hidden="1" x14ac:dyDescent="0.25">
      <c r="A632" s="3" t="s">
        <v>2711</v>
      </c>
      <c r="B632" t="s">
        <v>503</v>
      </c>
      <c r="C632" t="s">
        <v>2779</v>
      </c>
      <c r="D632" t="s">
        <v>26</v>
      </c>
      <c r="E632" t="s">
        <v>62</v>
      </c>
      <c r="F632">
        <v>1</v>
      </c>
      <c r="G632" s="3" t="s">
        <v>5</v>
      </c>
      <c r="H632" s="44" t="s">
        <v>15</v>
      </c>
      <c r="I632" s="17">
        <v>169000</v>
      </c>
      <c r="J632" s="17">
        <f>IF(Gastos[[#This Row],[Divisa]]="$", I632*1, IF(Gastos[[#This Row],[Divisa]]="U$D", I632*$N$1, IF(Gastos[[#This Row],[Divisa]]="EUR", I632*$N$2, 0)))</f>
        <v>169000</v>
      </c>
      <c r="K632" s="54">
        <f>Gastos[[#This Row],[Importe AR$]]/$N$1</f>
        <v>108.33333333333333</v>
      </c>
      <c r="M632" s="69"/>
      <c r="N632" s="43" t="str">
        <f>IF(Gastos[[#This Row],[Fecha_Cheque]]&gt;0,WEEKNUM(Gastos[[#This Row],[Fecha_Cheque]]),MID(Gastos[[#This Row],[Semana]],6,2))</f>
        <v>15</v>
      </c>
      <c r="O632" t="s">
        <v>2780</v>
      </c>
      <c r="P632" t="s">
        <v>27</v>
      </c>
    </row>
    <row r="633" spans="1:16" hidden="1" x14ac:dyDescent="0.25">
      <c r="A633" s="3" t="s">
        <v>2711</v>
      </c>
      <c r="B633" t="s">
        <v>503</v>
      </c>
      <c r="C633" t="s">
        <v>2782</v>
      </c>
      <c r="D633" t="s">
        <v>26</v>
      </c>
      <c r="E633" t="s">
        <v>42</v>
      </c>
      <c r="F633">
        <v>1</v>
      </c>
      <c r="G633" s="3" t="s">
        <v>4</v>
      </c>
      <c r="H633" s="44" t="s">
        <v>15</v>
      </c>
      <c r="I633" s="17">
        <v>30000</v>
      </c>
      <c r="J633" s="17">
        <f>IF(Gastos[[#This Row],[Divisa]]="$", I633*1, IF(Gastos[[#This Row],[Divisa]]="U$D", I633*$N$1, IF(Gastos[[#This Row],[Divisa]]="EUR", I633*$N$2, 0)))</f>
        <v>30000</v>
      </c>
      <c r="K633" s="54">
        <f>Gastos[[#This Row],[Importe AR$]]/$N$1</f>
        <v>19.23076923076923</v>
      </c>
      <c r="M633" s="69"/>
      <c r="N633" s="43" t="str">
        <f>IF(Gastos[[#This Row],[Fecha_Cheque]]&gt;0,WEEKNUM(Gastos[[#This Row],[Fecha_Cheque]]),MID(Gastos[[#This Row],[Semana]],6,2))</f>
        <v>15</v>
      </c>
      <c r="O633" t="s">
        <v>2783</v>
      </c>
      <c r="P633" t="s">
        <v>27</v>
      </c>
    </row>
    <row r="634" spans="1:16" hidden="1" x14ac:dyDescent="0.25">
      <c r="A634" s="3" t="s">
        <v>3817</v>
      </c>
      <c r="B634" t="s">
        <v>503</v>
      </c>
      <c r="C634" t="s">
        <v>3839</v>
      </c>
      <c r="D634" t="s">
        <v>26</v>
      </c>
      <c r="E634" t="s">
        <v>42</v>
      </c>
      <c r="F634">
        <v>1</v>
      </c>
      <c r="G634" s="3" t="s">
        <v>4</v>
      </c>
      <c r="H634" s="44" t="s">
        <v>15</v>
      </c>
      <c r="I634" s="17">
        <v>118000</v>
      </c>
      <c r="J634" s="17">
        <f>IF(Gastos[[#This Row],[Divisa]]="$", I634*1, IF(Gastos[[#This Row],[Divisa]]="U$D", I634*$N$1, IF(Gastos[[#This Row],[Divisa]]="EUR", I634*$N$2, 0)))</f>
        <v>118000</v>
      </c>
      <c r="K634" s="54">
        <f>Gastos[[#This Row],[Importe AR$]]/$N$1</f>
        <v>75.641025641025635</v>
      </c>
      <c r="M634" s="69"/>
      <c r="N634" s="43" t="str">
        <f>IF(Gastos[[#This Row],[Fecha_Cheque]]&gt;0,WEEKNUM(Gastos[[#This Row],[Fecha_Cheque]]),MID(Gastos[[#This Row],[Semana]],6,2))</f>
        <v>30</v>
      </c>
      <c r="O634" t="s">
        <v>3840</v>
      </c>
      <c r="P634" t="s">
        <v>27</v>
      </c>
    </row>
    <row r="635" spans="1:16" hidden="1" x14ac:dyDescent="0.25">
      <c r="A635" s="3" t="s">
        <v>3963</v>
      </c>
      <c r="B635" t="s">
        <v>503</v>
      </c>
      <c r="C635" t="s">
        <v>3969</v>
      </c>
      <c r="D635" t="s">
        <v>26</v>
      </c>
      <c r="E635" t="s">
        <v>42</v>
      </c>
      <c r="F635">
        <v>1</v>
      </c>
      <c r="G635" s="3" t="s">
        <v>4</v>
      </c>
      <c r="H635" s="44" t="s">
        <v>15</v>
      </c>
      <c r="I635" s="17">
        <v>59000</v>
      </c>
      <c r="J635" s="17">
        <f>IF(Gastos[[#This Row],[Divisa]]="$", I635*1, IF(Gastos[[#This Row],[Divisa]]="U$D", I635*$N$1, IF(Gastos[[#This Row],[Divisa]]="EUR", I635*$N$2, 0)))</f>
        <v>59000</v>
      </c>
      <c r="K635" s="54">
        <f>Gastos[[#This Row],[Importe AR$]]/$N$1</f>
        <v>37.820512820512818</v>
      </c>
      <c r="M635" s="69"/>
      <c r="N635" s="43" t="str">
        <f>IF(Gastos[[#This Row],[Fecha_Cheque]]&gt;0,WEEKNUM(Gastos[[#This Row],[Fecha_Cheque]]),MID(Gastos[[#This Row],[Semana]],6,2))</f>
        <v>32</v>
      </c>
      <c r="O635" t="s">
        <v>3970</v>
      </c>
      <c r="P635" t="s">
        <v>27</v>
      </c>
    </row>
    <row r="636" spans="1:16" hidden="1" x14ac:dyDescent="0.25">
      <c r="A636" s="3" t="s">
        <v>4005</v>
      </c>
      <c r="B636" t="s">
        <v>503</v>
      </c>
      <c r="C636" t="s">
        <v>4063</v>
      </c>
      <c r="D636" t="s">
        <v>26</v>
      </c>
      <c r="E636" t="s">
        <v>42</v>
      </c>
      <c r="F636">
        <v>1</v>
      </c>
      <c r="G636" s="3" t="s">
        <v>4</v>
      </c>
      <c r="H636" s="44" t="s">
        <v>15</v>
      </c>
      <c r="I636" s="17">
        <v>40000.01</v>
      </c>
      <c r="J636" s="17">
        <f>IF(Gastos[[#This Row],[Divisa]]="$", I636*1, IF(Gastos[[#This Row],[Divisa]]="U$D", I636*$N$1, IF(Gastos[[#This Row],[Divisa]]="EUR", I636*$N$2, 0)))</f>
        <v>40000.01</v>
      </c>
      <c r="K636" s="54">
        <f>Gastos[[#This Row],[Importe AR$]]/$N$1</f>
        <v>25.641032051282053</v>
      </c>
      <c r="M636" s="69"/>
      <c r="N636" s="43" t="str">
        <f>IF(Gastos[[#This Row],[Fecha_Cheque]]&gt;0,WEEKNUM(Gastos[[#This Row],[Fecha_Cheque]]),MID(Gastos[[#This Row],[Semana]],6,2))</f>
        <v>33</v>
      </c>
      <c r="O636" t="s">
        <v>4064</v>
      </c>
      <c r="P636" t="s">
        <v>27</v>
      </c>
    </row>
    <row r="637" spans="1:16" hidden="1" x14ac:dyDescent="0.25">
      <c r="A637" s="3" t="s">
        <v>2711</v>
      </c>
      <c r="B637" t="s">
        <v>518</v>
      </c>
      <c r="C637" t="s">
        <v>2784</v>
      </c>
      <c r="D637" t="s">
        <v>26</v>
      </c>
      <c r="E637" t="s">
        <v>31</v>
      </c>
      <c r="F637">
        <v>1</v>
      </c>
      <c r="G637" s="3" t="s">
        <v>32</v>
      </c>
      <c r="H637" s="44" t="s">
        <v>15</v>
      </c>
      <c r="I637" s="17">
        <v>1072343.3999999999</v>
      </c>
      <c r="J637" s="17">
        <f>IF(Gastos[[#This Row],[Divisa]]="$", I637*1, IF(Gastos[[#This Row],[Divisa]]="U$D", I637*$N$1, IF(Gastos[[#This Row],[Divisa]]="EUR", I637*$N$2, 0)))</f>
        <v>1072343.3999999999</v>
      </c>
      <c r="K637" s="54">
        <f>Gastos[[#This Row],[Importe AR$]]/$N$1</f>
        <v>687.39961538461534</v>
      </c>
      <c r="M637" s="69">
        <v>46136</v>
      </c>
      <c r="N637" s="43">
        <f>IF(Gastos[[#This Row],[Fecha_Cheque]]&gt;0,WEEKNUM(Gastos[[#This Row],[Fecha_Cheque]]),MID(Gastos[[#This Row],[Semana]],6,2))</f>
        <v>17</v>
      </c>
      <c r="O637" t="s">
        <v>2785</v>
      </c>
      <c r="P637" t="s">
        <v>27</v>
      </c>
    </row>
    <row r="638" spans="1:16" hidden="1" x14ac:dyDescent="0.25">
      <c r="A638" s="3" t="s">
        <v>2711</v>
      </c>
      <c r="B638" t="s">
        <v>518</v>
      </c>
      <c r="C638" t="s">
        <v>2784</v>
      </c>
      <c r="D638" t="s">
        <v>26</v>
      </c>
      <c r="E638" t="s">
        <v>31</v>
      </c>
      <c r="F638">
        <v>1</v>
      </c>
      <c r="G638" s="3" t="s">
        <v>32</v>
      </c>
      <c r="H638" s="44" t="s">
        <v>15</v>
      </c>
      <c r="I638" s="17">
        <v>16656.599999999999</v>
      </c>
      <c r="J638" s="17">
        <f>IF(Gastos[[#This Row],[Divisa]]="$", I638*1, IF(Gastos[[#This Row],[Divisa]]="U$D", I638*$N$1, IF(Gastos[[#This Row],[Divisa]]="EUR", I638*$N$2, 0)))</f>
        <v>16656.599999999999</v>
      </c>
      <c r="K638" s="54">
        <f>Gastos[[#This Row],[Importe AR$]]/$N$1</f>
        <v>10.677307692307691</v>
      </c>
      <c r="M638" s="69"/>
      <c r="N638" s="43" t="str">
        <f>IF(Gastos[[#This Row],[Fecha_Cheque]]&gt;0,WEEKNUM(Gastos[[#This Row],[Fecha_Cheque]]),MID(Gastos[[#This Row],[Semana]],6,2))</f>
        <v>15</v>
      </c>
      <c r="O638" t="s">
        <v>2785</v>
      </c>
      <c r="P638" t="s">
        <v>27</v>
      </c>
    </row>
    <row r="639" spans="1:16" hidden="1" x14ac:dyDescent="0.25">
      <c r="A639" s="3" t="s">
        <v>2841</v>
      </c>
      <c r="B639" t="s">
        <v>518</v>
      </c>
      <c r="C639" t="s">
        <v>3030</v>
      </c>
      <c r="D639" t="s">
        <v>26</v>
      </c>
      <c r="E639" t="s">
        <v>31</v>
      </c>
      <c r="F639">
        <v>1</v>
      </c>
      <c r="G639" s="3" t="s">
        <v>32</v>
      </c>
      <c r="H639" s="44" t="s">
        <v>15</v>
      </c>
      <c r="I639" s="17">
        <v>270000</v>
      </c>
      <c r="J639" s="17">
        <f>IF(Gastos[[#This Row],[Divisa]]="$", I639*1, IF(Gastos[[#This Row],[Divisa]]="U$D", I639*$N$1, IF(Gastos[[#This Row],[Divisa]]="EUR", I639*$N$2, 0)))</f>
        <v>270000</v>
      </c>
      <c r="K639" s="54">
        <f>Gastos[[#This Row],[Importe AR$]]/$N$1</f>
        <v>173.07692307692307</v>
      </c>
      <c r="M639" s="69">
        <v>46162</v>
      </c>
      <c r="N639" s="43">
        <f>IF(Gastos[[#This Row],[Fecha_Cheque]]&gt;0,WEEKNUM(Gastos[[#This Row],[Fecha_Cheque]]),MID(Gastos[[#This Row],[Semana]],6,2))</f>
        <v>21</v>
      </c>
      <c r="O639" t="s">
        <v>3031</v>
      </c>
      <c r="P639" t="s">
        <v>27</v>
      </c>
    </row>
    <row r="640" spans="1:16" hidden="1" x14ac:dyDescent="0.25">
      <c r="A640" s="3" t="s">
        <v>2841</v>
      </c>
      <c r="B640" t="s">
        <v>518</v>
      </c>
      <c r="C640" t="s">
        <v>3030</v>
      </c>
      <c r="D640" t="s">
        <v>26</v>
      </c>
      <c r="E640" t="s">
        <v>31</v>
      </c>
      <c r="F640">
        <v>1</v>
      </c>
      <c r="G640" s="3" t="s">
        <v>32</v>
      </c>
      <c r="H640" s="44" t="s">
        <v>15</v>
      </c>
      <c r="I640" s="17">
        <v>3119.41</v>
      </c>
      <c r="J640" s="17">
        <f>IF(Gastos[[#This Row],[Divisa]]="$", I640*1, IF(Gastos[[#This Row],[Divisa]]="U$D", I640*$N$1, IF(Gastos[[#This Row],[Divisa]]="EUR", I640*$N$2, 0)))</f>
        <v>3119.41</v>
      </c>
      <c r="K640" s="54">
        <f>Gastos[[#This Row],[Importe AR$]]/$N$1</f>
        <v>1.9996217948717947</v>
      </c>
      <c r="L640" t="s">
        <v>340</v>
      </c>
      <c r="M640" s="69"/>
      <c r="N640" s="43" t="str">
        <f>IF(Gastos[[#This Row],[Fecha_Cheque]]&gt;0,WEEKNUM(Gastos[[#This Row],[Fecha_Cheque]]),MID(Gastos[[#This Row],[Semana]],6,2))</f>
        <v>22</v>
      </c>
      <c r="O640" t="s">
        <v>3031</v>
      </c>
      <c r="P640" t="s">
        <v>27</v>
      </c>
    </row>
    <row r="641" spans="1:16" hidden="1" x14ac:dyDescent="0.25">
      <c r="A641" s="3" t="s">
        <v>4005</v>
      </c>
      <c r="B641" t="s">
        <v>4022</v>
      </c>
      <c r="C641" t="s">
        <v>4023</v>
      </c>
      <c r="D641" t="s">
        <v>26</v>
      </c>
      <c r="E641" t="s">
        <v>31</v>
      </c>
      <c r="F641">
        <v>1</v>
      </c>
      <c r="G641" s="3" t="s">
        <v>5</v>
      </c>
      <c r="H641" s="44" t="s">
        <v>15</v>
      </c>
      <c r="I641" s="17">
        <v>4415909.57</v>
      </c>
      <c r="J641" s="17">
        <f>IF(Gastos[[#This Row],[Divisa]]="$", I641*1, IF(Gastos[[#This Row],[Divisa]]="U$D", I641*$N$1, IF(Gastos[[#This Row],[Divisa]]="EUR", I641*$N$2, 0)))</f>
        <v>4415909.57</v>
      </c>
      <c r="K641" s="54">
        <f>Gastos[[#This Row],[Importe AR$]]/$N$1</f>
        <v>2830.7112628205132</v>
      </c>
      <c r="M641" s="69"/>
      <c r="N641" s="43" t="str">
        <f>IF(Gastos[[#This Row],[Fecha_Cheque]]&gt;0,WEEKNUM(Gastos[[#This Row],[Fecha_Cheque]]),MID(Gastos[[#This Row],[Semana]],6,2))</f>
        <v>33</v>
      </c>
      <c r="O641" t="s">
        <v>4024</v>
      </c>
      <c r="P641" t="s">
        <v>27</v>
      </c>
    </row>
    <row r="642" spans="1:16" hidden="1" x14ac:dyDescent="0.25">
      <c r="A642" s="3" t="s">
        <v>4005</v>
      </c>
      <c r="B642" t="s">
        <v>4022</v>
      </c>
      <c r="C642" t="s">
        <v>4023</v>
      </c>
      <c r="D642" t="s">
        <v>26</v>
      </c>
      <c r="E642" t="s">
        <v>31</v>
      </c>
      <c r="F642">
        <v>1</v>
      </c>
      <c r="G642" s="3" t="s">
        <v>5</v>
      </c>
      <c r="H642" s="44" t="s">
        <v>15</v>
      </c>
      <c r="I642" s="17">
        <v>85549.18</v>
      </c>
      <c r="J642" s="17">
        <f>IF(Gastos[[#This Row],[Divisa]]="$", I642*1, IF(Gastos[[#This Row],[Divisa]]="U$D", I642*$N$1, IF(Gastos[[#This Row],[Divisa]]="EUR", I642*$N$2, 0)))</f>
        <v>85549.18</v>
      </c>
      <c r="K642" s="54">
        <f>Gastos[[#This Row],[Importe AR$]]/$N$1</f>
        <v>54.839217948717945</v>
      </c>
      <c r="M642" s="69"/>
      <c r="N642" s="43" t="str">
        <f>IF(Gastos[[#This Row],[Fecha_Cheque]]&gt;0,WEEKNUM(Gastos[[#This Row],[Fecha_Cheque]]),MID(Gastos[[#This Row],[Semana]],6,2))</f>
        <v>33</v>
      </c>
      <c r="O642" t="s">
        <v>4024</v>
      </c>
      <c r="P642" t="s">
        <v>27</v>
      </c>
    </row>
    <row r="643" spans="1:16" hidden="1" x14ac:dyDescent="0.25">
      <c r="A643" s="3" t="s">
        <v>4322</v>
      </c>
      <c r="B643" t="s">
        <v>4022</v>
      </c>
      <c r="C643" t="s">
        <v>4345</v>
      </c>
      <c r="D643" t="s">
        <v>26</v>
      </c>
      <c r="E643" t="s">
        <v>31</v>
      </c>
      <c r="F643">
        <v>1</v>
      </c>
      <c r="G643" s="3" t="s">
        <v>32</v>
      </c>
      <c r="H643" s="44" t="s">
        <v>15</v>
      </c>
      <c r="I643" s="17">
        <v>401103.23</v>
      </c>
      <c r="J643" s="17">
        <f>IF(Gastos[[#This Row],[Divisa]]="$", I643*1, IF(Gastos[[#This Row],[Divisa]]="U$D", I643*$N$1, IF(Gastos[[#This Row],[Divisa]]="EUR", I643*$N$2, 0)))</f>
        <v>401103.23</v>
      </c>
      <c r="K643" s="54">
        <f>Gastos[[#This Row],[Importe AR$]]/$N$1</f>
        <v>257.11745512820511</v>
      </c>
      <c r="M643" s="69">
        <v>46310</v>
      </c>
      <c r="N643" s="43">
        <f>IF(Gastos[[#This Row],[Fecha_Cheque]]&gt;0,WEEKNUM(Gastos[[#This Row],[Fecha_Cheque]]),MID(Gastos[[#This Row],[Semana]],6,2))</f>
        <v>42</v>
      </c>
      <c r="O643" t="s">
        <v>4346</v>
      </c>
      <c r="P643" t="s">
        <v>27</v>
      </c>
    </row>
    <row r="644" spans="1:16" hidden="1" x14ac:dyDescent="0.25">
      <c r="A644" s="3" t="s">
        <v>4322</v>
      </c>
      <c r="B644" t="s">
        <v>4022</v>
      </c>
      <c r="C644" t="s">
        <v>4345</v>
      </c>
      <c r="D644" t="s">
        <v>26</v>
      </c>
      <c r="E644" t="s">
        <v>31</v>
      </c>
      <c r="F644">
        <v>1</v>
      </c>
      <c r="G644" s="3" t="s">
        <v>32</v>
      </c>
      <c r="H644" s="44" t="s">
        <v>15</v>
      </c>
      <c r="I644" s="17">
        <v>3710158.99</v>
      </c>
      <c r="J644" s="17">
        <f>IF(Gastos[[#This Row],[Divisa]]="$", I644*1, IF(Gastos[[#This Row],[Divisa]]="U$D", I644*$N$1, IF(Gastos[[#This Row],[Divisa]]="EUR", I644*$N$2, 0)))</f>
        <v>3710158.99</v>
      </c>
      <c r="K644" s="54">
        <f>Gastos[[#This Row],[Importe AR$]]/$N$1</f>
        <v>2378.3070448717949</v>
      </c>
      <c r="M644" s="69">
        <v>46310</v>
      </c>
      <c r="N644" s="43">
        <f>IF(Gastos[[#This Row],[Fecha_Cheque]]&gt;0,WEEKNUM(Gastos[[#This Row],[Fecha_Cheque]]),MID(Gastos[[#This Row],[Semana]],6,2))</f>
        <v>42</v>
      </c>
      <c r="O644" t="s">
        <v>4346</v>
      </c>
      <c r="P644" t="s">
        <v>27</v>
      </c>
    </row>
    <row r="645" spans="1:16" hidden="1" x14ac:dyDescent="0.25">
      <c r="A645" s="3" t="s">
        <v>4322</v>
      </c>
      <c r="B645" t="s">
        <v>4022</v>
      </c>
      <c r="C645" t="s">
        <v>4345</v>
      </c>
      <c r="D645" t="s">
        <v>26</v>
      </c>
      <c r="E645" t="s">
        <v>31</v>
      </c>
      <c r="F645">
        <v>1</v>
      </c>
      <c r="G645" s="3" t="s">
        <v>32</v>
      </c>
      <c r="H645" s="44" t="s">
        <v>15</v>
      </c>
      <c r="I645" s="17">
        <v>204729.66</v>
      </c>
      <c r="J645" s="17">
        <f>IF(Gastos[[#This Row],[Divisa]]="$", I645*1, IF(Gastos[[#This Row],[Divisa]]="U$D", I645*$N$1, IF(Gastos[[#This Row],[Divisa]]="EUR", I645*$N$2, 0)))</f>
        <v>204729.66</v>
      </c>
      <c r="K645" s="54">
        <f>Gastos[[#This Row],[Importe AR$]]/$N$1</f>
        <v>131.23696153846154</v>
      </c>
      <c r="M645" s="69">
        <v>46339</v>
      </c>
      <c r="N645" s="43">
        <f>IF(Gastos[[#This Row],[Fecha_Cheque]]&gt;0,WEEKNUM(Gastos[[#This Row],[Fecha_Cheque]]),MID(Gastos[[#This Row],[Semana]],6,2))</f>
        <v>46</v>
      </c>
      <c r="O645" t="s">
        <v>4346</v>
      </c>
      <c r="P645" t="s">
        <v>27</v>
      </c>
    </row>
    <row r="646" spans="1:16" hidden="1" x14ac:dyDescent="0.25">
      <c r="A646" s="3" t="s">
        <v>4322</v>
      </c>
      <c r="B646" t="s">
        <v>4022</v>
      </c>
      <c r="C646" t="s">
        <v>4345</v>
      </c>
      <c r="D646" t="s">
        <v>26</v>
      </c>
      <c r="E646" t="s">
        <v>31</v>
      </c>
      <c r="F646">
        <v>1</v>
      </c>
      <c r="G646" s="3" t="s">
        <v>32</v>
      </c>
      <c r="H646" s="44" t="s">
        <v>15</v>
      </c>
      <c r="I646" s="17">
        <v>83510.039999999994</v>
      </c>
      <c r="J646" s="17">
        <f>IF(Gastos[[#This Row],[Divisa]]="$", I646*1, IF(Gastos[[#This Row],[Divisa]]="U$D", I646*$N$1, IF(Gastos[[#This Row],[Divisa]]="EUR", I646*$N$2, 0)))</f>
        <v>83510.039999999994</v>
      </c>
      <c r="K646" s="54">
        <f>Gastos[[#This Row],[Importe AR$]]/$N$1</f>
        <v>53.532076923076922</v>
      </c>
      <c r="L646" t="s">
        <v>340</v>
      </c>
      <c r="M646" s="69"/>
      <c r="N646" s="43" t="str">
        <f>IF(Gastos[[#This Row],[Fecha_Cheque]]&gt;0,WEEKNUM(Gastos[[#This Row],[Fecha_Cheque]]),MID(Gastos[[#This Row],[Semana]],6,2))</f>
        <v>38</v>
      </c>
      <c r="O646" t="s">
        <v>4346</v>
      </c>
      <c r="P646" t="s">
        <v>27</v>
      </c>
    </row>
    <row r="647" spans="1:16" hidden="1" x14ac:dyDescent="0.25">
      <c r="A647" s="3" t="s">
        <v>217</v>
      </c>
      <c r="B647" t="s">
        <v>519</v>
      </c>
      <c r="C647" t="s">
        <v>520</v>
      </c>
      <c r="D647" t="s">
        <v>26</v>
      </c>
      <c r="E647" t="s">
        <v>31</v>
      </c>
      <c r="F647">
        <v>1</v>
      </c>
      <c r="G647" s="3" t="s">
        <v>32</v>
      </c>
      <c r="H647" s="46" t="s">
        <v>15</v>
      </c>
      <c r="I647" s="17">
        <v>314871.84999999998</v>
      </c>
      <c r="J647" s="17">
        <f>IF(Gastos[[#This Row],[Divisa]]="$", I647*1, IF(Gastos[[#This Row],[Divisa]]="U$D", I647*$N$1, IF(Gastos[[#This Row],[Divisa]]="EUR", I647*$N$2, 0)))</f>
        <v>314871.84999999998</v>
      </c>
      <c r="K647" s="54">
        <f>Gastos[[#This Row],[Importe AR$]]/$N$1</f>
        <v>201.84092948717947</v>
      </c>
      <c r="M647" s="69">
        <v>45892</v>
      </c>
      <c r="N647" s="43">
        <f>IF(Gastos[[#This Row],[Fecha_Cheque]]&gt;0,WEEKNUM(Gastos[[#This Row],[Fecha_Cheque]]),MID(Gastos[[#This Row],[Semana]],6,2))</f>
        <v>34</v>
      </c>
      <c r="O647" t="s">
        <v>521</v>
      </c>
      <c r="P647" t="s">
        <v>27</v>
      </c>
    </row>
    <row r="648" spans="1:16" hidden="1" x14ac:dyDescent="0.25">
      <c r="A648" s="3" t="s">
        <v>217</v>
      </c>
      <c r="B648" t="s">
        <v>519</v>
      </c>
      <c r="C648" t="s">
        <v>520</v>
      </c>
      <c r="D648" t="s">
        <v>26</v>
      </c>
      <c r="E648" t="s">
        <v>31</v>
      </c>
      <c r="F648">
        <v>1</v>
      </c>
      <c r="G648" s="3" t="s">
        <v>32</v>
      </c>
      <c r="H648" s="46" t="s">
        <v>15</v>
      </c>
      <c r="I648" s="17">
        <v>314871.84999999998</v>
      </c>
      <c r="J648" s="17">
        <f>IF(Gastos[[#This Row],[Divisa]]="$", I648*1, IF(Gastos[[#This Row],[Divisa]]="U$D", I648*$N$1, IF(Gastos[[#This Row],[Divisa]]="EUR", I648*$N$2, 0)))</f>
        <v>314871.84999999998</v>
      </c>
      <c r="K648" s="54">
        <f>Gastos[[#This Row],[Importe AR$]]/$N$1</f>
        <v>201.84092948717947</v>
      </c>
      <c r="M648" s="69">
        <v>45905</v>
      </c>
      <c r="N648" s="43">
        <f>IF(Gastos[[#This Row],[Fecha_Cheque]]&gt;0,WEEKNUM(Gastos[[#This Row],[Fecha_Cheque]]),MID(Gastos[[#This Row],[Semana]],6,2))</f>
        <v>36</v>
      </c>
      <c r="O648" t="s">
        <v>521</v>
      </c>
      <c r="P648" t="s">
        <v>27</v>
      </c>
    </row>
    <row r="649" spans="1:16" hidden="1" x14ac:dyDescent="0.25">
      <c r="A649" s="3" t="s">
        <v>50</v>
      </c>
      <c r="B649" t="s">
        <v>522</v>
      </c>
      <c r="C649" t="s">
        <v>523</v>
      </c>
      <c r="D649" t="s">
        <v>61</v>
      </c>
      <c r="E649" t="s">
        <v>31</v>
      </c>
      <c r="F649">
        <v>1</v>
      </c>
      <c r="G649" s="3" t="s">
        <v>32</v>
      </c>
      <c r="H649" s="46" t="s">
        <v>15</v>
      </c>
      <c r="I649" s="17">
        <f>2850*200</f>
        <v>570000</v>
      </c>
      <c r="J649" s="17">
        <f>IF(Gastos[[#This Row],[Divisa]]="$", I649*1, IF(Gastos[[#This Row],[Divisa]]="U$D", I649*$N$1, IF(Gastos[[#This Row],[Divisa]]="EUR", I649*$N$2, 0)))</f>
        <v>570000</v>
      </c>
      <c r="K649" s="54">
        <f>Gastos[[#This Row],[Importe AR$]]/$N$1</f>
        <v>365.38461538461536</v>
      </c>
      <c r="L649" t="s">
        <v>215</v>
      </c>
      <c r="M649" s="69">
        <v>45857</v>
      </c>
      <c r="N649" s="43">
        <f>IF(Gastos[[#This Row],[Fecha_Cheque]]&gt;0,WEEKNUM(Gastos[[#This Row],[Fecha_Cheque]]),MID(Gastos[[#This Row],[Semana]],6,2))</f>
        <v>29</v>
      </c>
      <c r="O649" t="s">
        <v>524</v>
      </c>
      <c r="P649" t="s">
        <v>27</v>
      </c>
    </row>
    <row r="650" spans="1:16" hidden="1" x14ac:dyDescent="0.25">
      <c r="A650" s="3" t="s">
        <v>2763</v>
      </c>
      <c r="B650" t="s">
        <v>522</v>
      </c>
      <c r="C650" t="s">
        <v>3136</v>
      </c>
      <c r="D650" t="s">
        <v>26</v>
      </c>
      <c r="E650" t="s">
        <v>62</v>
      </c>
      <c r="F650">
        <v>1</v>
      </c>
      <c r="G650" s="3" t="s">
        <v>32</v>
      </c>
      <c r="H650" s="46" t="s">
        <v>15</v>
      </c>
      <c r="I650" s="17">
        <v>446667.34</v>
      </c>
      <c r="J650" s="17">
        <f>IF(Gastos[[#This Row],[Divisa]]="$", I650*1, IF(Gastos[[#This Row],[Divisa]]="U$D", I650*$N$1, IF(Gastos[[#This Row],[Divisa]]="EUR", I650*$N$2, 0)))</f>
        <v>446667.34</v>
      </c>
      <c r="K650" s="54">
        <f>Gastos[[#This Row],[Importe AR$]]/$N$1</f>
        <v>286.32521794871798</v>
      </c>
      <c r="M650" s="69"/>
      <c r="N650" s="43" t="str">
        <f>IF(Gastos[[#This Row],[Fecha_Cheque]]&gt;0,WEEKNUM(Gastos[[#This Row],[Fecha_Cheque]]),MID(Gastos[[#This Row],[Semana]],6,2))</f>
        <v>23</v>
      </c>
      <c r="O650" t="s">
        <v>3137</v>
      </c>
      <c r="P650" t="s">
        <v>27</v>
      </c>
    </row>
    <row r="651" spans="1:16" hidden="1" x14ac:dyDescent="0.25">
      <c r="A651" s="3" t="s">
        <v>2763</v>
      </c>
      <c r="B651" t="s">
        <v>522</v>
      </c>
      <c r="C651" t="s">
        <v>3136</v>
      </c>
      <c r="D651" t="s">
        <v>26</v>
      </c>
      <c r="E651" t="s">
        <v>62</v>
      </c>
      <c r="F651">
        <v>1</v>
      </c>
      <c r="G651" s="3" t="s">
        <v>32</v>
      </c>
      <c r="H651" s="46" t="s">
        <v>15</v>
      </c>
      <c r="I651" s="17">
        <v>2951.72</v>
      </c>
      <c r="J651" s="17">
        <f>IF(Gastos[[#This Row],[Divisa]]="$", I651*1, IF(Gastos[[#This Row],[Divisa]]="U$D", I651*$N$1, IF(Gastos[[#This Row],[Divisa]]="EUR", I651*$N$2, 0)))</f>
        <v>2951.72</v>
      </c>
      <c r="K651" s="54">
        <f>Gastos[[#This Row],[Importe AR$]]/$N$1</f>
        <v>1.8921282051282049</v>
      </c>
      <c r="L651" t="s">
        <v>340</v>
      </c>
      <c r="M651" s="69"/>
      <c r="N651" s="43" t="str">
        <f>IF(Gastos[[#This Row],[Fecha_Cheque]]&gt;0,WEEKNUM(Gastos[[#This Row],[Fecha_Cheque]]),MID(Gastos[[#This Row],[Semana]],6,2))</f>
        <v>23</v>
      </c>
      <c r="O651" t="s">
        <v>3137</v>
      </c>
      <c r="P651" t="s">
        <v>27</v>
      </c>
    </row>
    <row r="652" spans="1:16" hidden="1" x14ac:dyDescent="0.25">
      <c r="A652" s="3" t="s">
        <v>114</v>
      </c>
      <c r="B652" t="s">
        <v>525</v>
      </c>
      <c r="C652" t="s">
        <v>526</v>
      </c>
      <c r="D652" t="s">
        <v>26</v>
      </c>
      <c r="E652" t="s">
        <v>31</v>
      </c>
      <c r="F652">
        <v>1</v>
      </c>
      <c r="G652" s="3" t="s">
        <v>5</v>
      </c>
      <c r="H652" s="46" t="s">
        <v>15</v>
      </c>
      <c r="I652" s="17">
        <v>606900.1</v>
      </c>
      <c r="J652" s="17">
        <f>IF(Gastos[[#This Row],[Divisa]]="$", I652*1, IF(Gastos[[#This Row],[Divisa]]="U$D", I652*$N$1, IF(Gastos[[#This Row],[Divisa]]="EUR", I652*$N$2, 0)))</f>
        <v>606900.1</v>
      </c>
      <c r="K652" s="54">
        <f>Gastos[[#This Row],[Importe AR$]]/$N$1</f>
        <v>389.03852564102561</v>
      </c>
      <c r="M652" s="69"/>
      <c r="N652" s="43" t="str">
        <f>IF(Gastos[[#This Row],[Fecha_Cheque]]&gt;0,WEEKNUM(Gastos[[#This Row],[Fecha_Cheque]]),MID(Gastos[[#This Row],[Semana]],6,2))</f>
        <v>29</v>
      </c>
      <c r="O652" t="s">
        <v>527</v>
      </c>
      <c r="P652" t="s">
        <v>27</v>
      </c>
    </row>
    <row r="653" spans="1:16" hidden="1" x14ac:dyDescent="0.25">
      <c r="A653" s="3" t="s">
        <v>53</v>
      </c>
      <c r="B653" t="s">
        <v>525</v>
      </c>
      <c r="C653" t="s">
        <v>528</v>
      </c>
      <c r="D653" t="s">
        <v>26</v>
      </c>
      <c r="E653" t="s">
        <v>31</v>
      </c>
      <c r="F653">
        <v>1</v>
      </c>
      <c r="G653" s="3" t="s">
        <v>5</v>
      </c>
      <c r="H653" s="46" t="s">
        <v>15</v>
      </c>
      <c r="I653" s="17">
        <v>253980.04</v>
      </c>
      <c r="J653" s="17">
        <f>IF(Gastos[[#This Row],[Divisa]]="$", I653*1, IF(Gastos[[#This Row],[Divisa]]="U$D", I653*$N$1, IF(Gastos[[#This Row],[Divisa]]="EUR", I653*$N$2, 0)))</f>
        <v>253980.04</v>
      </c>
      <c r="K653" s="54">
        <f>Gastos[[#This Row],[Importe AR$]]/$N$1</f>
        <v>162.80771794871796</v>
      </c>
      <c r="M653" s="69"/>
      <c r="N653" s="43" t="str">
        <f>IF(Gastos[[#This Row],[Fecha_Cheque]]&gt;0,WEEKNUM(Gastos[[#This Row],[Fecha_Cheque]]),MID(Gastos[[#This Row],[Semana]],6,2))</f>
        <v>34</v>
      </c>
      <c r="O653" t="s">
        <v>529</v>
      </c>
      <c r="P653" t="s">
        <v>27</v>
      </c>
    </row>
    <row r="654" spans="1:16" hidden="1" x14ac:dyDescent="0.25">
      <c r="A654" s="3" t="s">
        <v>253</v>
      </c>
      <c r="B654" t="s">
        <v>525</v>
      </c>
      <c r="C654" t="s">
        <v>530</v>
      </c>
      <c r="D654" t="s">
        <v>26</v>
      </c>
      <c r="E654" t="s">
        <v>31</v>
      </c>
      <c r="F654">
        <v>1</v>
      </c>
      <c r="G654" s="3" t="s">
        <v>5</v>
      </c>
      <c r="H654" s="46" t="s">
        <v>15</v>
      </c>
      <c r="I654" s="17">
        <v>253980.04</v>
      </c>
      <c r="J654" s="17">
        <f>IF(Gastos[[#This Row],[Divisa]]="$", I654*1, IF(Gastos[[#This Row],[Divisa]]="U$D", I654*$N$1, IF(Gastos[[#This Row],[Divisa]]="EUR", I654*$N$2, 0)))</f>
        <v>253980.04</v>
      </c>
      <c r="K654" s="54">
        <f>Gastos[[#This Row],[Importe AR$]]/$N$1</f>
        <v>162.80771794871796</v>
      </c>
      <c r="M654" s="69"/>
      <c r="N654" s="43" t="str">
        <f>IF(Gastos[[#This Row],[Fecha_Cheque]]&gt;0,WEEKNUM(Gastos[[#This Row],[Fecha_Cheque]]),MID(Gastos[[#This Row],[Semana]],6,2))</f>
        <v>24</v>
      </c>
      <c r="O654" t="s">
        <v>529</v>
      </c>
      <c r="P654" t="s">
        <v>27</v>
      </c>
    </row>
    <row r="655" spans="1:16" hidden="1" x14ac:dyDescent="0.25">
      <c r="A655" s="3" t="s">
        <v>79</v>
      </c>
      <c r="B655" t="s">
        <v>531</v>
      </c>
      <c r="C655" t="s">
        <v>532</v>
      </c>
      <c r="D655" t="s">
        <v>26</v>
      </c>
      <c r="E655" t="s">
        <v>31</v>
      </c>
      <c r="F655">
        <v>1</v>
      </c>
      <c r="G655" s="3" t="s">
        <v>32</v>
      </c>
      <c r="H655" s="46" t="s">
        <v>15</v>
      </c>
      <c r="I655" s="17">
        <v>725000</v>
      </c>
      <c r="J655" s="17">
        <f>IF(Gastos[[#This Row],[Divisa]]="$", I655*1, IF(Gastos[[#This Row],[Divisa]]="U$D", I655*$N$1, IF(Gastos[[#This Row],[Divisa]]="EUR", I655*$N$2, 0)))</f>
        <v>725000</v>
      </c>
      <c r="K655" s="54">
        <f>Gastos[[#This Row],[Importe AR$]]/$N$1</f>
        <v>464.74358974358972</v>
      </c>
      <c r="M655" s="69"/>
      <c r="N655" s="43" t="str">
        <f>IF(Gastos[[#This Row],[Fecha_Cheque]]&gt;0,WEEKNUM(Gastos[[#This Row],[Fecha_Cheque]]),MID(Gastos[[#This Row],[Semana]],6,2))</f>
        <v>47</v>
      </c>
      <c r="O655" t="s">
        <v>533</v>
      </c>
      <c r="P655" t="s">
        <v>27</v>
      </c>
    </row>
    <row r="656" spans="1:16" hidden="1" x14ac:dyDescent="0.25">
      <c r="A656" s="3" t="s">
        <v>93</v>
      </c>
      <c r="B656" t="s">
        <v>531</v>
      </c>
      <c r="C656" t="s">
        <v>534</v>
      </c>
      <c r="D656" t="s">
        <v>26</v>
      </c>
      <c r="E656" t="s">
        <v>31</v>
      </c>
      <c r="F656">
        <v>1</v>
      </c>
      <c r="G656" s="3" t="s">
        <v>32</v>
      </c>
      <c r="H656" s="46" t="s">
        <v>15</v>
      </c>
      <c r="I656" s="17">
        <v>749652.47999999998</v>
      </c>
      <c r="J656" s="17">
        <f>IF(Gastos[[#This Row],[Divisa]]="$", I656*1, IF(Gastos[[#This Row],[Divisa]]="U$D", I656*$N$1, IF(Gastos[[#This Row],[Divisa]]="EUR", I656*$N$2, 0)))</f>
        <v>749652.47999999998</v>
      </c>
      <c r="K656" s="54">
        <f>Gastos[[#This Row],[Importe AR$]]/$N$1</f>
        <v>480.54646153846153</v>
      </c>
      <c r="M656" s="69">
        <v>46024</v>
      </c>
      <c r="N656" s="43">
        <f>IF(Gastos[[#This Row],[Fecha_Cheque]]&gt;0,WEEKNUM(Gastos[[#This Row],[Fecha_Cheque]]),MID(Gastos[[#This Row],[Semana]],6,2))</f>
        <v>1</v>
      </c>
      <c r="O656" t="s">
        <v>535</v>
      </c>
      <c r="P656" t="s">
        <v>27</v>
      </c>
    </row>
    <row r="657" spans="1:16" hidden="1" x14ac:dyDescent="0.25">
      <c r="A657" s="3" t="s">
        <v>93</v>
      </c>
      <c r="B657" t="s">
        <v>531</v>
      </c>
      <c r="C657" t="s">
        <v>534</v>
      </c>
      <c r="D657" t="s">
        <v>26</v>
      </c>
      <c r="E657" t="s">
        <v>31</v>
      </c>
      <c r="F657">
        <v>1</v>
      </c>
      <c r="G657" s="3" t="s">
        <v>32</v>
      </c>
      <c r="H657" s="46" t="s">
        <v>15</v>
      </c>
      <c r="I657" s="17">
        <v>115347.52</v>
      </c>
      <c r="J657" s="17">
        <f>IF(Gastos[[#This Row],[Divisa]]="$", I657*1, IF(Gastos[[#This Row],[Divisa]]="U$D", I657*$N$1, IF(Gastos[[#This Row],[Divisa]]="EUR", I657*$N$2, 0)))</f>
        <v>115347.52</v>
      </c>
      <c r="K657" s="54">
        <f>Gastos[[#This Row],[Importe AR$]]/$N$1</f>
        <v>73.940717948717946</v>
      </c>
      <c r="M657" s="69">
        <v>46034</v>
      </c>
      <c r="N657" s="43">
        <f>IF(Gastos[[#This Row],[Fecha_Cheque]]&gt;0,WEEKNUM(Gastos[[#This Row],[Fecha_Cheque]]),MID(Gastos[[#This Row],[Semana]],6,2))</f>
        <v>3</v>
      </c>
      <c r="O657" t="s">
        <v>535</v>
      </c>
      <c r="P657" t="s">
        <v>27</v>
      </c>
    </row>
    <row r="658" spans="1:16" hidden="1" x14ac:dyDescent="0.25">
      <c r="A658" s="3" t="s">
        <v>50</v>
      </c>
      <c r="B658" t="s">
        <v>531</v>
      </c>
      <c r="C658" t="s">
        <v>536</v>
      </c>
      <c r="D658" t="s">
        <v>26</v>
      </c>
      <c r="E658" t="s">
        <v>31</v>
      </c>
      <c r="F658">
        <v>1</v>
      </c>
      <c r="G658" s="3" t="s">
        <v>32</v>
      </c>
      <c r="H658" s="46" t="s">
        <v>15</v>
      </c>
      <c r="I658" s="17">
        <v>308000</v>
      </c>
      <c r="J658" s="17">
        <f>IF(Gastos[[#This Row],[Divisa]]="$", I658*1, IF(Gastos[[#This Row],[Divisa]]="U$D", I658*$N$1, IF(Gastos[[#This Row],[Divisa]]="EUR", I658*$N$2, 0)))</f>
        <v>308000</v>
      </c>
      <c r="K658" s="54">
        <f>Gastos[[#This Row],[Importe AR$]]/$N$1</f>
        <v>197.43589743589743</v>
      </c>
      <c r="L658" t="s">
        <v>215</v>
      </c>
      <c r="M658" s="69">
        <v>45865</v>
      </c>
      <c r="N658" s="43">
        <f>IF(Gastos[[#This Row],[Fecha_Cheque]]&gt;0,WEEKNUM(Gastos[[#This Row],[Fecha_Cheque]]),MID(Gastos[[#This Row],[Semana]],6,2))</f>
        <v>31</v>
      </c>
      <c r="O658" t="s">
        <v>537</v>
      </c>
      <c r="P658" t="s">
        <v>27</v>
      </c>
    </row>
    <row r="659" spans="1:16" hidden="1" x14ac:dyDescent="0.25">
      <c r="A659" s="3" t="s">
        <v>538</v>
      </c>
      <c r="B659" t="s">
        <v>531</v>
      </c>
      <c r="C659" t="s">
        <v>539</v>
      </c>
      <c r="D659" t="s">
        <v>26</v>
      </c>
      <c r="E659" t="s">
        <v>31</v>
      </c>
      <c r="F659">
        <v>1</v>
      </c>
      <c r="G659" s="3" t="s">
        <v>5</v>
      </c>
      <c r="H659" s="46" t="s">
        <v>15</v>
      </c>
      <c r="I659" s="17">
        <v>680000</v>
      </c>
      <c r="J659" s="17">
        <f>IF(Gastos[[#This Row],[Divisa]]="$", I659*1, IF(Gastos[[#This Row],[Divisa]]="U$D", I659*$N$1, IF(Gastos[[#This Row],[Divisa]]="EUR", I659*$N$2, 0)))</f>
        <v>680000</v>
      </c>
      <c r="K659" s="54">
        <f>Gastos[[#This Row],[Importe AR$]]/$N$1</f>
        <v>435.89743589743591</v>
      </c>
      <c r="M659" s="69"/>
      <c r="N659" s="43" t="str">
        <f>IF(Gastos[[#This Row],[Fecha_Cheque]]&gt;0,WEEKNUM(Gastos[[#This Row],[Fecha_Cheque]]),MID(Gastos[[#This Row],[Semana]],6,2))</f>
        <v>13</v>
      </c>
      <c r="P659" t="s">
        <v>27</v>
      </c>
    </row>
    <row r="660" spans="1:16" hidden="1" x14ac:dyDescent="0.25">
      <c r="A660" s="3" t="s">
        <v>147</v>
      </c>
      <c r="B660" t="s">
        <v>531</v>
      </c>
      <c r="C660" t="s">
        <v>540</v>
      </c>
      <c r="D660" t="s">
        <v>26</v>
      </c>
      <c r="E660" t="s">
        <v>31</v>
      </c>
      <c r="F660">
        <v>1</v>
      </c>
      <c r="G660" s="3" t="s">
        <v>32</v>
      </c>
      <c r="H660" s="46" t="s">
        <v>15</v>
      </c>
      <c r="I660" s="17">
        <v>1285000</v>
      </c>
      <c r="J660" s="17">
        <f>IF(Gastos[[#This Row],[Divisa]]="$", I660*1, IF(Gastos[[#This Row],[Divisa]]="U$D", I660*$N$1, IF(Gastos[[#This Row],[Divisa]]="EUR", I660*$N$2, 0)))</f>
        <v>1285000</v>
      </c>
      <c r="K660" s="54">
        <f>Gastos[[#This Row],[Importe AR$]]/$N$1</f>
        <v>823.71794871794873</v>
      </c>
      <c r="L660" t="s">
        <v>215</v>
      </c>
      <c r="M660" s="69"/>
      <c r="N660" s="43" t="str">
        <f>IF(Gastos[[#This Row],[Fecha_Cheque]]&gt;0,WEEKNUM(Gastos[[#This Row],[Fecha_Cheque]]),MID(Gastos[[#This Row],[Semana]],6,2))</f>
        <v>17</v>
      </c>
      <c r="O660" t="s">
        <v>541</v>
      </c>
      <c r="P660" t="s">
        <v>27</v>
      </c>
    </row>
    <row r="661" spans="1:16" hidden="1" x14ac:dyDescent="0.25">
      <c r="A661" s="3" t="s">
        <v>188</v>
      </c>
      <c r="B661" t="s">
        <v>531</v>
      </c>
      <c r="C661" t="s">
        <v>542</v>
      </c>
      <c r="D661" t="s">
        <v>26</v>
      </c>
      <c r="E661" t="s">
        <v>31</v>
      </c>
      <c r="F661">
        <v>1</v>
      </c>
      <c r="G661" s="3" t="s">
        <v>32</v>
      </c>
      <c r="H661" s="46" t="s">
        <v>15</v>
      </c>
      <c r="I661" s="17">
        <v>65000</v>
      </c>
      <c r="J661" s="17">
        <f>IF(Gastos[[#This Row],[Divisa]]="$", I661*1, IF(Gastos[[#This Row],[Divisa]]="U$D", I661*$N$1, IF(Gastos[[#This Row],[Divisa]]="EUR", I661*$N$2, 0)))</f>
        <v>65000</v>
      </c>
      <c r="K661" s="54">
        <f>Gastos[[#This Row],[Importe AR$]]/$N$1</f>
        <v>41.666666666666664</v>
      </c>
      <c r="L661" t="s">
        <v>361</v>
      </c>
      <c r="M661" s="69"/>
      <c r="N661" s="43" t="str">
        <f>IF(Gastos[[#This Row],[Fecha_Cheque]]&gt;0,WEEKNUM(Gastos[[#This Row],[Fecha_Cheque]]),MID(Gastos[[#This Row],[Semana]],6,2))</f>
        <v>19</v>
      </c>
      <c r="O661" t="s">
        <v>543</v>
      </c>
      <c r="P661" t="s">
        <v>27</v>
      </c>
    </row>
    <row r="662" spans="1:16" hidden="1" x14ac:dyDescent="0.25">
      <c r="A662" s="3" t="s">
        <v>23</v>
      </c>
      <c r="B662" t="s">
        <v>531</v>
      </c>
      <c r="C662" t="s">
        <v>544</v>
      </c>
      <c r="D662" t="s">
        <v>61</v>
      </c>
      <c r="E662" t="s">
        <v>31</v>
      </c>
      <c r="F662">
        <v>1</v>
      </c>
      <c r="G662" s="3" t="s">
        <v>32</v>
      </c>
      <c r="H662" s="46" t="s">
        <v>15</v>
      </c>
      <c r="I662" s="17">
        <v>700000</v>
      </c>
      <c r="J662" s="17">
        <f>IF(Gastos[[#This Row],[Divisa]]="$", I662*1, IF(Gastos[[#This Row],[Divisa]]="U$D", I662*$N$1, IF(Gastos[[#This Row],[Divisa]]="EUR", I662*$N$2, 0)))</f>
        <v>700000</v>
      </c>
      <c r="K662" s="54">
        <f>Gastos[[#This Row],[Importe AR$]]/$N$1</f>
        <v>448.71794871794873</v>
      </c>
      <c r="L662" t="s">
        <v>289</v>
      </c>
      <c r="M662" s="69">
        <v>45856</v>
      </c>
      <c r="N662" s="43">
        <f>IF(Gastos[[#This Row],[Fecha_Cheque]]&gt;0,WEEKNUM(Gastos[[#This Row],[Fecha_Cheque]]),MID(Gastos[[#This Row],[Semana]],6,2))</f>
        <v>29</v>
      </c>
      <c r="O662" t="s">
        <v>545</v>
      </c>
      <c r="P662" t="s">
        <v>27</v>
      </c>
    </row>
    <row r="663" spans="1:16" hidden="1" x14ac:dyDescent="0.25">
      <c r="A663" s="3" t="s">
        <v>23</v>
      </c>
      <c r="B663" t="s">
        <v>531</v>
      </c>
      <c r="C663" t="s">
        <v>546</v>
      </c>
      <c r="D663" t="s">
        <v>61</v>
      </c>
      <c r="E663" t="s">
        <v>31</v>
      </c>
      <c r="F663">
        <v>1</v>
      </c>
      <c r="G663" s="3" t="s">
        <v>32</v>
      </c>
      <c r="H663" s="46" t="s">
        <v>15</v>
      </c>
      <c r="I663" s="17">
        <v>120000</v>
      </c>
      <c r="J663" s="17">
        <f>IF(Gastos[[#This Row],[Divisa]]="$", I663*1, IF(Gastos[[#This Row],[Divisa]]="U$D", I663*$N$1, IF(Gastos[[#This Row],[Divisa]]="EUR", I663*$N$2, 0)))</f>
        <v>120000</v>
      </c>
      <c r="K663" s="54">
        <f>Gastos[[#This Row],[Importe AR$]]/$N$1</f>
        <v>76.92307692307692</v>
      </c>
      <c r="L663" t="s">
        <v>289</v>
      </c>
      <c r="M663" s="69">
        <v>45856</v>
      </c>
      <c r="N663" s="43">
        <f>IF(Gastos[[#This Row],[Fecha_Cheque]]&gt;0,WEEKNUM(Gastos[[#This Row],[Fecha_Cheque]]),MID(Gastos[[#This Row],[Semana]],6,2))</f>
        <v>29</v>
      </c>
      <c r="O663" t="s">
        <v>545</v>
      </c>
      <c r="P663" t="s">
        <v>27</v>
      </c>
    </row>
    <row r="664" spans="1:16" hidden="1" x14ac:dyDescent="0.25">
      <c r="A664" s="3" t="s">
        <v>64</v>
      </c>
      <c r="B664" t="s">
        <v>531</v>
      </c>
      <c r="C664" t="s">
        <v>547</v>
      </c>
      <c r="D664" t="s">
        <v>26</v>
      </c>
      <c r="E664" t="s">
        <v>31</v>
      </c>
      <c r="F664">
        <v>1</v>
      </c>
      <c r="G664" s="3" t="s">
        <v>32</v>
      </c>
      <c r="H664" s="46" t="s">
        <v>15</v>
      </c>
      <c r="I664" s="17">
        <v>1060000</v>
      </c>
      <c r="J664" s="17">
        <f>IF(Gastos[[#This Row],[Divisa]]="$", I664*1, IF(Gastos[[#This Row],[Divisa]]="U$D", I664*$N$1, IF(Gastos[[#This Row],[Divisa]]="EUR", I664*$N$2, 0)))</f>
        <v>1060000</v>
      </c>
      <c r="K664" s="54">
        <f>Gastos[[#This Row],[Importe AR$]]/$N$1</f>
        <v>679.48717948717945</v>
      </c>
      <c r="L664" t="s">
        <v>215</v>
      </c>
      <c r="M664" s="69">
        <v>45904</v>
      </c>
      <c r="N664" s="43">
        <f>IF(Gastos[[#This Row],[Fecha_Cheque]]&gt;0,WEEKNUM(Gastos[[#This Row],[Fecha_Cheque]]),MID(Gastos[[#This Row],[Semana]],6,2))</f>
        <v>36</v>
      </c>
      <c r="O664" t="s">
        <v>548</v>
      </c>
      <c r="P664" t="s">
        <v>27</v>
      </c>
    </row>
    <row r="665" spans="1:16" hidden="1" x14ac:dyDescent="0.25">
      <c r="A665" s="3" t="s">
        <v>310</v>
      </c>
      <c r="B665" t="s">
        <v>531</v>
      </c>
      <c r="C665" t="s">
        <v>549</v>
      </c>
      <c r="D665" t="s">
        <v>26</v>
      </c>
      <c r="E665" t="s">
        <v>31</v>
      </c>
      <c r="F665">
        <v>2</v>
      </c>
      <c r="G665" s="3" t="s">
        <v>32</v>
      </c>
      <c r="H665" s="46" t="s">
        <v>15</v>
      </c>
      <c r="I665" s="17">
        <v>3500000</v>
      </c>
      <c r="J665" s="17">
        <f>IF(Gastos[[#This Row],[Divisa]]="$", I665*1, IF(Gastos[[#This Row],[Divisa]]="U$D", I665*$N$1, IF(Gastos[[#This Row],[Divisa]]="EUR", I665*$N$2, 0)))</f>
        <v>3500000</v>
      </c>
      <c r="K665" s="54">
        <f>Gastos[[#This Row],[Importe AR$]]/$N$1</f>
        <v>2243.5897435897436</v>
      </c>
      <c r="M665" s="69">
        <v>45937</v>
      </c>
      <c r="N665" s="43">
        <f>IF(Gastos[[#This Row],[Fecha_Cheque]]&gt;0,WEEKNUM(Gastos[[#This Row],[Fecha_Cheque]]),MID(Gastos[[#This Row],[Semana]],6,2))</f>
        <v>41</v>
      </c>
      <c r="P665" t="s">
        <v>27</v>
      </c>
    </row>
    <row r="666" spans="1:16" hidden="1" x14ac:dyDescent="0.25">
      <c r="A666" s="3" t="s">
        <v>310</v>
      </c>
      <c r="B666" t="s">
        <v>531</v>
      </c>
      <c r="C666" t="s">
        <v>549</v>
      </c>
      <c r="D666" t="s">
        <v>26</v>
      </c>
      <c r="E666" t="s">
        <v>31</v>
      </c>
      <c r="F666">
        <v>2</v>
      </c>
      <c r="G666" s="3" t="s">
        <v>32</v>
      </c>
      <c r="H666" s="46" t="s">
        <v>15</v>
      </c>
      <c r="I666" s="17">
        <v>472000</v>
      </c>
      <c r="J666" s="17">
        <f>IF(Gastos[[#This Row],[Divisa]]="$", I666*1, IF(Gastos[[#This Row],[Divisa]]="U$D", I666*$N$1, IF(Gastos[[#This Row],[Divisa]]="EUR", I666*$N$2, 0)))</f>
        <v>472000</v>
      </c>
      <c r="K666" s="54">
        <f>Gastos[[#This Row],[Importe AR$]]/$N$1</f>
        <v>302.56410256410254</v>
      </c>
      <c r="M666" s="69">
        <v>45922</v>
      </c>
      <c r="N666" s="43">
        <f>IF(Gastos[[#This Row],[Fecha_Cheque]]&gt;0,WEEKNUM(Gastos[[#This Row],[Fecha_Cheque]]),MID(Gastos[[#This Row],[Semana]],6,2))</f>
        <v>39</v>
      </c>
      <c r="P666" t="s">
        <v>27</v>
      </c>
    </row>
    <row r="667" spans="1:16" hidden="1" x14ac:dyDescent="0.25">
      <c r="A667" s="3" t="s">
        <v>310</v>
      </c>
      <c r="B667" t="s">
        <v>531</v>
      </c>
      <c r="C667" t="s">
        <v>549</v>
      </c>
      <c r="D667" t="s">
        <v>26</v>
      </c>
      <c r="E667" t="s">
        <v>42</v>
      </c>
      <c r="F667">
        <v>2</v>
      </c>
      <c r="G667" s="3" t="s">
        <v>4</v>
      </c>
      <c r="H667" s="46" t="s">
        <v>15</v>
      </c>
      <c r="I667" s="17">
        <v>28000</v>
      </c>
      <c r="J667" s="17">
        <f>IF(Gastos[[#This Row],[Divisa]]="$", I667*1, IF(Gastos[[#This Row],[Divisa]]="U$D", I667*$N$1, IF(Gastos[[#This Row],[Divisa]]="EUR", I667*$N$2, 0)))</f>
        <v>28000</v>
      </c>
      <c r="K667" s="54">
        <f>Gastos[[#This Row],[Importe AR$]]/$N$1</f>
        <v>17.948717948717949</v>
      </c>
      <c r="M667" s="69"/>
      <c r="N667" s="43" t="str">
        <f>IF(Gastos[[#This Row],[Fecha_Cheque]]&gt;0,WEEKNUM(Gastos[[#This Row],[Fecha_Cheque]]),MID(Gastos[[#This Row],[Semana]],6,2))</f>
        <v>36</v>
      </c>
      <c r="P667" t="s">
        <v>27</v>
      </c>
    </row>
    <row r="668" spans="1:16" hidden="1" x14ac:dyDescent="0.25">
      <c r="A668" s="3" t="s">
        <v>56</v>
      </c>
      <c r="B668" t="s">
        <v>531</v>
      </c>
      <c r="C668" t="s">
        <v>125</v>
      </c>
      <c r="D668" t="s">
        <v>26</v>
      </c>
      <c r="E668" t="s">
        <v>42</v>
      </c>
      <c r="F668">
        <v>2</v>
      </c>
      <c r="G668" s="3" t="s">
        <v>4</v>
      </c>
      <c r="H668" s="46" t="s">
        <v>15</v>
      </c>
      <c r="I668" s="17">
        <v>500000</v>
      </c>
      <c r="J668" s="17">
        <f>IF(Gastos[[#This Row],[Divisa]]="$", I668*1, IF(Gastos[[#This Row],[Divisa]]="U$D", I668*$N$1, IF(Gastos[[#This Row],[Divisa]]="EUR", I668*$N$2, 0)))</f>
        <v>500000</v>
      </c>
      <c r="K668" s="54">
        <f>Gastos[[#This Row],[Importe AR$]]/$N$1</f>
        <v>320.5128205128205</v>
      </c>
      <c r="M668" s="69"/>
      <c r="N668" s="43" t="str">
        <f>IF(Gastos[[#This Row],[Fecha_Cheque]]&gt;0,WEEKNUM(Gastos[[#This Row],[Fecha_Cheque]]),MID(Gastos[[#This Row],[Semana]],6,2))</f>
        <v>41</v>
      </c>
      <c r="O668" t="s">
        <v>550</v>
      </c>
      <c r="P668" t="s">
        <v>27</v>
      </c>
    </row>
    <row r="669" spans="1:16" hidden="1" x14ac:dyDescent="0.25">
      <c r="A669" s="3" t="s">
        <v>124</v>
      </c>
      <c r="B669" t="s">
        <v>531</v>
      </c>
      <c r="C669" t="s">
        <v>125</v>
      </c>
      <c r="D669" t="s">
        <v>26</v>
      </c>
      <c r="E669" t="s">
        <v>42</v>
      </c>
      <c r="F669">
        <v>2</v>
      </c>
      <c r="G669" s="3" t="s">
        <v>4</v>
      </c>
      <c r="H669" s="46" t="s">
        <v>15</v>
      </c>
      <c r="I669" s="17">
        <v>1300000</v>
      </c>
      <c r="J669" s="17">
        <f>IF(Gastos[[#This Row],[Divisa]]="$", I669*1, IF(Gastos[[#This Row],[Divisa]]="U$D", I669*$N$1, IF(Gastos[[#This Row],[Divisa]]="EUR", I669*$N$2, 0)))</f>
        <v>1300000</v>
      </c>
      <c r="K669" s="54">
        <f>Gastos[[#This Row],[Importe AR$]]/$N$1</f>
        <v>833.33333333333337</v>
      </c>
      <c r="M669" s="69"/>
      <c r="N669" s="43" t="str">
        <f>IF(Gastos[[#This Row],[Fecha_Cheque]]&gt;0,WEEKNUM(Gastos[[#This Row],[Fecha_Cheque]]),MID(Gastos[[#This Row],[Semana]],6,2))</f>
        <v>42</v>
      </c>
      <c r="O669" t="s">
        <v>551</v>
      </c>
      <c r="P669" t="s">
        <v>27</v>
      </c>
    </row>
    <row r="670" spans="1:16" hidden="1" x14ac:dyDescent="0.25">
      <c r="A670" s="3" t="s">
        <v>232</v>
      </c>
      <c r="B670" t="s">
        <v>531</v>
      </c>
      <c r="C670" t="s">
        <v>125</v>
      </c>
      <c r="D670" t="s">
        <v>26</v>
      </c>
      <c r="E670" t="s">
        <v>42</v>
      </c>
      <c r="F670">
        <v>2</v>
      </c>
      <c r="G670" s="3" t="s">
        <v>4</v>
      </c>
      <c r="H670" s="46" t="s">
        <v>15</v>
      </c>
      <c r="I670" s="17">
        <v>700000</v>
      </c>
      <c r="J670" s="17">
        <f>IF(Gastos[[#This Row],[Divisa]]="$", I670*1, IF(Gastos[[#This Row],[Divisa]]="U$D", I670*$N$1, IF(Gastos[[#This Row],[Divisa]]="EUR", I670*$N$2, 0)))</f>
        <v>700000</v>
      </c>
      <c r="K670" s="54">
        <f>Gastos[[#This Row],[Importe AR$]]/$N$1</f>
        <v>448.71794871794873</v>
      </c>
      <c r="M670" s="69"/>
      <c r="N670" s="43" t="str">
        <f>IF(Gastos[[#This Row],[Fecha_Cheque]]&gt;0,WEEKNUM(Gastos[[#This Row],[Fecha_Cheque]]),MID(Gastos[[#This Row],[Semana]],6,2))</f>
        <v>44</v>
      </c>
      <c r="O670" t="s">
        <v>552</v>
      </c>
      <c r="P670" t="s">
        <v>27</v>
      </c>
    </row>
    <row r="671" spans="1:16" hidden="1" x14ac:dyDescent="0.25">
      <c r="A671" s="3" t="s">
        <v>128</v>
      </c>
      <c r="B671" t="s">
        <v>531</v>
      </c>
      <c r="C671" t="s">
        <v>125</v>
      </c>
      <c r="D671" t="s">
        <v>26</v>
      </c>
      <c r="E671" t="s">
        <v>42</v>
      </c>
      <c r="F671">
        <v>2</v>
      </c>
      <c r="G671" s="3" t="s">
        <v>4</v>
      </c>
      <c r="H671" s="46" t="s">
        <v>15</v>
      </c>
      <c r="I671" s="17">
        <v>1000000</v>
      </c>
      <c r="J671" s="17">
        <f>IF(Gastos[[#This Row],[Divisa]]="$", I671*1, IF(Gastos[[#This Row],[Divisa]]="U$D", I671*$N$1, IF(Gastos[[#This Row],[Divisa]]="EUR", I671*$N$2, 0)))</f>
        <v>1000000</v>
      </c>
      <c r="K671" s="54">
        <f>Gastos[[#This Row],[Importe AR$]]/$N$1</f>
        <v>641.02564102564099</v>
      </c>
      <c r="M671" s="69"/>
      <c r="N671" s="43" t="str">
        <f>IF(Gastos[[#This Row],[Fecha_Cheque]]&gt;0,WEEKNUM(Gastos[[#This Row],[Fecha_Cheque]]),MID(Gastos[[#This Row],[Semana]],6,2))</f>
        <v>43</v>
      </c>
      <c r="O671" t="s">
        <v>553</v>
      </c>
      <c r="P671" t="s">
        <v>27</v>
      </c>
    </row>
    <row r="672" spans="1:16" hidden="1" x14ac:dyDescent="0.25">
      <c r="A672" s="3" t="s">
        <v>152</v>
      </c>
      <c r="B672" t="s">
        <v>531</v>
      </c>
      <c r="C672" t="s">
        <v>554</v>
      </c>
      <c r="D672" t="s">
        <v>26</v>
      </c>
      <c r="E672" t="s">
        <v>62</v>
      </c>
      <c r="F672">
        <v>2</v>
      </c>
      <c r="G672" s="3" t="s">
        <v>4</v>
      </c>
      <c r="H672" s="46" t="s">
        <v>15</v>
      </c>
      <c r="I672" s="17">
        <v>1086000</v>
      </c>
      <c r="J672" s="17">
        <f>IF(Gastos[[#This Row],[Divisa]]="$", I672*1, IF(Gastos[[#This Row],[Divisa]]="U$D", I672*$N$1, IF(Gastos[[#This Row],[Divisa]]="EUR", I672*$N$2, 0)))</f>
        <v>1086000</v>
      </c>
      <c r="K672" s="54">
        <f>Gastos[[#This Row],[Importe AR$]]/$N$1</f>
        <v>696.15384615384619</v>
      </c>
      <c r="M672" s="69"/>
      <c r="N672" s="43" t="str">
        <f>IF(Gastos[[#This Row],[Fecha_Cheque]]&gt;0,WEEKNUM(Gastos[[#This Row],[Fecha_Cheque]]),MID(Gastos[[#This Row],[Semana]],6,2))</f>
        <v>04</v>
      </c>
      <c r="O672" t="s">
        <v>555</v>
      </c>
      <c r="P672" t="s">
        <v>27</v>
      </c>
    </row>
    <row r="673" spans="1:16" hidden="1" x14ac:dyDescent="0.25">
      <c r="A673" s="3" t="s">
        <v>2804</v>
      </c>
      <c r="B673" t="s">
        <v>2890</v>
      </c>
      <c r="C673" t="s">
        <v>2891</v>
      </c>
      <c r="D673" t="s">
        <v>26</v>
      </c>
      <c r="E673" t="s">
        <v>31</v>
      </c>
      <c r="F673">
        <v>1</v>
      </c>
      <c r="G673" s="3" t="s">
        <v>32</v>
      </c>
      <c r="H673" s="44" t="s">
        <v>15</v>
      </c>
      <c r="I673" s="17">
        <v>189935</v>
      </c>
      <c r="J673" s="17">
        <f>IF(Gastos[[#This Row],[Divisa]]="$", I673*1, IF(Gastos[[#This Row],[Divisa]]="U$D", I673*$N$1, IF(Gastos[[#This Row],[Divisa]]="EUR", I673*$N$2, 0)))</f>
        <v>189935</v>
      </c>
      <c r="K673" s="54">
        <f>Gastos[[#This Row],[Importe AR$]]/$N$1</f>
        <v>121.75320512820512</v>
      </c>
      <c r="M673" s="69">
        <v>46192</v>
      </c>
      <c r="N673" s="43">
        <f>IF(Gastos[[#This Row],[Fecha_Cheque]]&gt;0,WEEKNUM(Gastos[[#This Row],[Fecha_Cheque]]),MID(Gastos[[#This Row],[Semana]],6,2))</f>
        <v>25</v>
      </c>
      <c r="O673" t="s">
        <v>2892</v>
      </c>
      <c r="P673" t="s">
        <v>27</v>
      </c>
    </row>
    <row r="674" spans="1:16" hidden="1" x14ac:dyDescent="0.25">
      <c r="A674" s="3" t="s">
        <v>2804</v>
      </c>
      <c r="B674" t="s">
        <v>2890</v>
      </c>
      <c r="C674" t="s">
        <v>2891</v>
      </c>
      <c r="D674" t="s">
        <v>26</v>
      </c>
      <c r="E674" t="s">
        <v>31</v>
      </c>
      <c r="F674">
        <v>1</v>
      </c>
      <c r="G674" s="3" t="s">
        <v>32</v>
      </c>
      <c r="H674" s="44" t="s">
        <v>15</v>
      </c>
      <c r="I674" s="17">
        <v>100000</v>
      </c>
      <c r="J674" s="17">
        <f>IF(Gastos[[#This Row],[Divisa]]="$", I674*1, IF(Gastos[[#This Row],[Divisa]]="U$D", I674*$N$1, IF(Gastos[[#This Row],[Divisa]]="EUR", I674*$N$2, 0)))</f>
        <v>100000</v>
      </c>
      <c r="K674" s="54">
        <f>Gastos[[#This Row],[Importe AR$]]/$N$1</f>
        <v>64.102564102564102</v>
      </c>
      <c r="M674" s="69">
        <v>46185</v>
      </c>
      <c r="N674" s="43">
        <f>IF(Gastos[[#This Row],[Fecha_Cheque]]&gt;0,WEEKNUM(Gastos[[#This Row],[Fecha_Cheque]]),MID(Gastos[[#This Row],[Semana]],6,2))</f>
        <v>24</v>
      </c>
      <c r="O674" t="s">
        <v>2892</v>
      </c>
      <c r="P674" t="s">
        <v>27</v>
      </c>
    </row>
    <row r="675" spans="1:16" hidden="1" x14ac:dyDescent="0.25">
      <c r="A675" s="3" t="s">
        <v>2804</v>
      </c>
      <c r="B675" t="s">
        <v>2890</v>
      </c>
      <c r="C675" t="s">
        <v>2891</v>
      </c>
      <c r="D675" t="s">
        <v>26</v>
      </c>
      <c r="E675" t="s">
        <v>31</v>
      </c>
      <c r="F675">
        <v>1</v>
      </c>
      <c r="G675" s="3" t="s">
        <v>32</v>
      </c>
      <c r="H675" s="44" t="s">
        <v>15</v>
      </c>
      <c r="I675" s="17">
        <v>800000</v>
      </c>
      <c r="J675" s="17">
        <f>IF(Gastos[[#This Row],[Divisa]]="$", I675*1, IF(Gastos[[#This Row],[Divisa]]="U$D", I675*$N$1, IF(Gastos[[#This Row],[Divisa]]="EUR", I675*$N$2, 0)))</f>
        <v>800000</v>
      </c>
      <c r="K675" s="54">
        <f>Gastos[[#This Row],[Importe AR$]]/$N$1</f>
        <v>512.82051282051282</v>
      </c>
      <c r="M675" s="69">
        <v>46194</v>
      </c>
      <c r="N675" s="43">
        <f>IF(Gastos[[#This Row],[Fecha_Cheque]]&gt;0,WEEKNUM(Gastos[[#This Row],[Fecha_Cheque]]),MID(Gastos[[#This Row],[Semana]],6,2))</f>
        <v>26</v>
      </c>
      <c r="O675" t="s">
        <v>2892</v>
      </c>
      <c r="P675" t="s">
        <v>27</v>
      </c>
    </row>
    <row r="676" spans="1:16" hidden="1" x14ac:dyDescent="0.25">
      <c r="A676" s="3" t="s">
        <v>2792</v>
      </c>
      <c r="B676" t="s">
        <v>2890</v>
      </c>
      <c r="C676" t="s">
        <v>3005</v>
      </c>
      <c r="D676" t="s">
        <v>26</v>
      </c>
      <c r="E676" t="s">
        <v>31</v>
      </c>
      <c r="F676">
        <v>1</v>
      </c>
      <c r="G676" s="3" t="s">
        <v>32</v>
      </c>
      <c r="H676" s="44" t="s">
        <v>15</v>
      </c>
      <c r="I676" s="17">
        <v>617866</v>
      </c>
      <c r="J676" s="17">
        <f>IF(Gastos[[#This Row],[Divisa]]="$", I676*1, IF(Gastos[[#This Row],[Divisa]]="U$D", I676*$N$1, IF(Gastos[[#This Row],[Divisa]]="EUR", I676*$N$2, 0)))</f>
        <v>617866</v>
      </c>
      <c r="K676" s="54">
        <f>Gastos[[#This Row],[Importe AR$]]/$N$1</f>
        <v>396.0679487179487</v>
      </c>
      <c r="M676" s="69">
        <v>46200</v>
      </c>
      <c r="N676" s="43">
        <f>IF(Gastos[[#This Row],[Fecha_Cheque]]&gt;0,WEEKNUM(Gastos[[#This Row],[Fecha_Cheque]]),MID(Gastos[[#This Row],[Semana]],6,2))</f>
        <v>26</v>
      </c>
      <c r="O676" t="s">
        <v>3006</v>
      </c>
      <c r="P676" t="s">
        <v>27</v>
      </c>
    </row>
    <row r="677" spans="1:16" hidden="1" x14ac:dyDescent="0.25">
      <c r="A677" s="3" t="s">
        <v>4322</v>
      </c>
      <c r="B677" t="s">
        <v>2890</v>
      </c>
      <c r="C677" t="s">
        <v>3005</v>
      </c>
      <c r="D677" t="s">
        <v>26</v>
      </c>
      <c r="E677" t="s">
        <v>62</v>
      </c>
      <c r="F677">
        <v>1</v>
      </c>
      <c r="G677" s="3" t="s">
        <v>32</v>
      </c>
      <c r="H677" s="44" t="s">
        <v>15</v>
      </c>
      <c r="I677" s="17">
        <v>1000000</v>
      </c>
      <c r="J677" s="17">
        <f>IF(Gastos[[#This Row],[Divisa]]="$", I677*1, IF(Gastos[[#This Row],[Divisa]]="U$D", I677*$N$1, IF(Gastos[[#This Row],[Divisa]]="EUR", I677*$N$2, 0)))</f>
        <v>1000000</v>
      </c>
      <c r="K677" s="54">
        <f>Gastos[[#This Row],[Importe AR$]]/$N$1</f>
        <v>641.02564102564099</v>
      </c>
      <c r="M677" s="69">
        <v>46310</v>
      </c>
      <c r="N677" s="43">
        <f>IF(Gastos[[#This Row],[Fecha_Cheque]]&gt;0,WEEKNUM(Gastos[[#This Row],[Fecha_Cheque]]),MID(Gastos[[#This Row],[Semana]],6,2))</f>
        <v>42</v>
      </c>
      <c r="O677" t="s">
        <v>4311</v>
      </c>
      <c r="P677" t="s">
        <v>27</v>
      </c>
    </row>
    <row r="678" spans="1:16" x14ac:dyDescent="0.25">
      <c r="A678" s="3" t="s">
        <v>4655</v>
      </c>
      <c r="B678" t="s">
        <v>3992</v>
      </c>
      <c r="C678" t="s">
        <v>3993</v>
      </c>
      <c r="D678" t="s">
        <v>26</v>
      </c>
      <c r="E678" t="s">
        <v>42</v>
      </c>
      <c r="F678">
        <v>1</v>
      </c>
      <c r="G678" s="3" t="s">
        <v>4</v>
      </c>
      <c r="H678" s="44" t="s">
        <v>15</v>
      </c>
      <c r="I678" s="49">
        <f>612000-595815.27</f>
        <v>16184.729999999981</v>
      </c>
      <c r="J678" s="17">
        <f>IF(Gastos[[#This Row],[Divisa]]="$", I678*1, IF(Gastos[[#This Row],[Divisa]]="U$D", I678*$N$1, IF(Gastos[[#This Row],[Divisa]]="EUR", I678*$N$2, 0)))</f>
        <v>16184.729999999981</v>
      </c>
      <c r="K678" s="54">
        <f>Gastos[[#This Row],[Importe AR$]]/$N$1</f>
        <v>10.374826923076911</v>
      </c>
      <c r="M678" s="69"/>
      <c r="N678" s="43" t="str">
        <f>IF(Gastos[[#This Row],[Fecha_Cheque]]&gt;0,WEEKNUM(Gastos[[#This Row],[Fecha_Cheque]]),MID(Gastos[[#This Row],[Semana]],6,2))</f>
        <v>44</v>
      </c>
      <c r="P678" t="s">
        <v>7</v>
      </c>
    </row>
    <row r="679" spans="1:16" hidden="1" x14ac:dyDescent="0.25">
      <c r="A679" s="3" t="s">
        <v>171</v>
      </c>
      <c r="B679" t="s">
        <v>556</v>
      </c>
      <c r="C679" t="s">
        <v>557</v>
      </c>
      <c r="D679" t="s">
        <v>26</v>
      </c>
      <c r="E679" t="s">
        <v>31</v>
      </c>
      <c r="F679">
        <v>1</v>
      </c>
      <c r="G679" s="3" t="s">
        <v>32</v>
      </c>
      <c r="H679" s="46" t="s">
        <v>15</v>
      </c>
      <c r="I679" s="17">
        <v>499734.2</v>
      </c>
      <c r="J679" s="17">
        <f>IF(Gastos[[#This Row],[Divisa]]="$", I679*1, IF(Gastos[[#This Row],[Divisa]]="U$D", I679*$N$1, IF(Gastos[[#This Row],[Divisa]]="EUR", I679*$N$2, 0)))</f>
        <v>499734.2</v>
      </c>
      <c r="K679" s="54">
        <f>Gastos[[#This Row],[Importe AR$]]/$N$1</f>
        <v>320.34243589743591</v>
      </c>
      <c r="M679" s="69">
        <v>45931</v>
      </c>
      <c r="N679" s="43">
        <f>IF(Gastos[[#This Row],[Fecha_Cheque]]&gt;0,WEEKNUM(Gastos[[#This Row],[Fecha_Cheque]]),MID(Gastos[[#This Row],[Semana]],6,2))</f>
        <v>40</v>
      </c>
      <c r="O679" t="s">
        <v>123</v>
      </c>
      <c r="P679" t="s">
        <v>27</v>
      </c>
    </row>
    <row r="680" spans="1:16" hidden="1" x14ac:dyDescent="0.25">
      <c r="A680" s="3" t="s">
        <v>89</v>
      </c>
      <c r="B680" t="s">
        <v>556</v>
      </c>
      <c r="C680" t="s">
        <v>558</v>
      </c>
      <c r="D680" t="s">
        <v>26</v>
      </c>
      <c r="E680" t="s">
        <v>31</v>
      </c>
      <c r="F680">
        <v>1</v>
      </c>
      <c r="G680" s="3" t="s">
        <v>32</v>
      </c>
      <c r="H680" s="46" t="s">
        <v>15</v>
      </c>
      <c r="I680" s="17">
        <v>510111.35</v>
      </c>
      <c r="J680" s="17">
        <f>IF(Gastos[[#This Row],[Divisa]]="$", I680*1, IF(Gastos[[#This Row],[Divisa]]="U$D", I680*$N$1, IF(Gastos[[#This Row],[Divisa]]="EUR", I680*$N$2, 0)))</f>
        <v>510111.35</v>
      </c>
      <c r="K680" s="54">
        <f>Gastos[[#This Row],[Importe AR$]]/$N$1</f>
        <v>326.99445512820512</v>
      </c>
      <c r="M680" s="69">
        <v>45940</v>
      </c>
      <c r="N680" s="43">
        <f>IF(Gastos[[#This Row],[Fecha_Cheque]]&gt;0,WEEKNUM(Gastos[[#This Row],[Fecha_Cheque]]),MID(Gastos[[#This Row],[Semana]],6,2))</f>
        <v>41</v>
      </c>
      <c r="O680" t="s">
        <v>123</v>
      </c>
      <c r="P680" t="s">
        <v>27</v>
      </c>
    </row>
    <row r="681" spans="1:16" hidden="1" x14ac:dyDescent="0.25">
      <c r="A681" s="3" t="s">
        <v>171</v>
      </c>
      <c r="B681" t="s">
        <v>556</v>
      </c>
      <c r="C681" t="s">
        <v>559</v>
      </c>
      <c r="D681" t="s">
        <v>26</v>
      </c>
      <c r="E681" t="s">
        <v>31</v>
      </c>
      <c r="F681">
        <v>1</v>
      </c>
      <c r="G681" s="3" t="s">
        <v>32</v>
      </c>
      <c r="H681" s="46" t="s">
        <v>15</v>
      </c>
      <c r="I681" s="17">
        <v>803577.8</v>
      </c>
      <c r="J681" s="17">
        <f>IF(Gastos[[#This Row],[Divisa]]="$", I681*1, IF(Gastos[[#This Row],[Divisa]]="U$D", I681*$N$1, IF(Gastos[[#This Row],[Divisa]]="EUR", I681*$N$2, 0)))</f>
        <v>803577.8</v>
      </c>
      <c r="K681" s="54">
        <f>Gastos[[#This Row],[Importe AR$]]/$N$1</f>
        <v>515.11397435897436</v>
      </c>
      <c r="M681" s="69">
        <v>45931</v>
      </c>
      <c r="N681" s="43">
        <f>IF(Gastos[[#This Row],[Fecha_Cheque]]&gt;0,WEEKNUM(Gastos[[#This Row],[Fecha_Cheque]]),MID(Gastos[[#This Row],[Semana]],6,2))</f>
        <v>40</v>
      </c>
      <c r="O681" t="s">
        <v>560</v>
      </c>
      <c r="P681" t="s">
        <v>27</v>
      </c>
    </row>
    <row r="682" spans="1:16" hidden="1" x14ac:dyDescent="0.25">
      <c r="A682" s="3" t="s">
        <v>232</v>
      </c>
      <c r="B682" t="s">
        <v>556</v>
      </c>
      <c r="C682" t="s">
        <v>561</v>
      </c>
      <c r="D682" t="s">
        <v>26</v>
      </c>
      <c r="E682" t="s">
        <v>31</v>
      </c>
      <c r="F682">
        <v>1</v>
      </c>
      <c r="G682" s="3" t="s">
        <v>5</v>
      </c>
      <c r="H682" s="46" t="s">
        <v>15</v>
      </c>
      <c r="I682" s="17">
        <v>508308.9</v>
      </c>
      <c r="J682" s="17">
        <f>IF(Gastos[[#This Row],[Divisa]]="$", I682*1, IF(Gastos[[#This Row],[Divisa]]="U$D", I682*$N$1, IF(Gastos[[#This Row],[Divisa]]="EUR", I682*$N$2, 0)))</f>
        <v>508308.9</v>
      </c>
      <c r="K682" s="54">
        <f>Gastos[[#This Row],[Importe AR$]]/$N$1</f>
        <v>325.83903846153845</v>
      </c>
      <c r="M682" s="69"/>
      <c r="N682" s="43" t="str">
        <f>IF(Gastos[[#This Row],[Fecha_Cheque]]&gt;0,WEEKNUM(Gastos[[#This Row],[Fecha_Cheque]]),MID(Gastos[[#This Row],[Semana]],6,2))</f>
        <v>44</v>
      </c>
      <c r="O682" t="s">
        <v>562</v>
      </c>
      <c r="P682" t="s">
        <v>27</v>
      </c>
    </row>
    <row r="683" spans="1:16" hidden="1" x14ac:dyDescent="0.25">
      <c r="A683" s="3" t="s">
        <v>93</v>
      </c>
      <c r="B683" t="s">
        <v>556</v>
      </c>
      <c r="C683" t="s">
        <v>561</v>
      </c>
      <c r="D683" t="s">
        <v>26</v>
      </c>
      <c r="E683" t="s">
        <v>31</v>
      </c>
      <c r="F683">
        <v>1</v>
      </c>
      <c r="G683" s="3" t="s">
        <v>5</v>
      </c>
      <c r="H683" s="46" t="s">
        <v>15</v>
      </c>
      <c r="I683" s="17">
        <v>504387.1</v>
      </c>
      <c r="J683" s="17">
        <f>IF(Gastos[[#This Row],[Divisa]]="$", I683*1, IF(Gastos[[#This Row],[Divisa]]="U$D", I683*$N$1, IF(Gastos[[#This Row],[Divisa]]="EUR", I683*$N$2, 0)))</f>
        <v>504387.1</v>
      </c>
      <c r="K683" s="54">
        <f>Gastos[[#This Row],[Importe AR$]]/$N$1</f>
        <v>323.32506410256411</v>
      </c>
      <c r="M683" s="69"/>
      <c r="N683" s="43" t="str">
        <f>IF(Gastos[[#This Row],[Fecha_Cheque]]&gt;0,WEEKNUM(Gastos[[#This Row],[Fecha_Cheque]]),MID(Gastos[[#This Row],[Semana]],6,2))</f>
        <v>50</v>
      </c>
      <c r="O683" t="s">
        <v>563</v>
      </c>
      <c r="P683" t="s">
        <v>27</v>
      </c>
    </row>
    <row r="684" spans="1:16" hidden="1" x14ac:dyDescent="0.25">
      <c r="A684" s="3" t="s">
        <v>4119</v>
      </c>
      <c r="B684" t="s">
        <v>556</v>
      </c>
      <c r="C684" t="s">
        <v>4131</v>
      </c>
      <c r="D684" t="s">
        <v>26</v>
      </c>
      <c r="E684" t="s">
        <v>31</v>
      </c>
      <c r="F684">
        <v>1</v>
      </c>
      <c r="G684" s="3" t="s">
        <v>32</v>
      </c>
      <c r="H684" s="44" t="s">
        <v>15</v>
      </c>
      <c r="I684" s="17">
        <v>84486</v>
      </c>
      <c r="J684" s="17">
        <f>IF(Gastos[[#This Row],[Divisa]]="$", I684*1, IF(Gastos[[#This Row],[Divisa]]="U$D", I684*$N$1, IF(Gastos[[#This Row],[Divisa]]="EUR", I684*$N$2, 0)))</f>
        <v>84486</v>
      </c>
      <c r="K684" s="54">
        <f>Gastos[[#This Row],[Importe AR$]]/$N$1</f>
        <v>54.157692307692308</v>
      </c>
      <c r="M684" s="69"/>
      <c r="N684" s="43" t="str">
        <f>IF(Gastos[[#This Row],[Fecha_Cheque]]&gt;0,WEEKNUM(Gastos[[#This Row],[Fecha_Cheque]]),MID(Gastos[[#This Row],[Semana]],6,2))</f>
        <v>35</v>
      </c>
      <c r="O684" t="s">
        <v>4132</v>
      </c>
      <c r="P684" t="s">
        <v>27</v>
      </c>
    </row>
    <row r="685" spans="1:16" hidden="1" x14ac:dyDescent="0.25">
      <c r="A685" s="3" t="s">
        <v>4569</v>
      </c>
      <c r="B685" t="s">
        <v>556</v>
      </c>
      <c r="C685" t="s">
        <v>4581</v>
      </c>
      <c r="D685" t="s">
        <v>26</v>
      </c>
      <c r="E685" t="s">
        <v>62</v>
      </c>
      <c r="F685">
        <v>1</v>
      </c>
      <c r="G685" s="3" t="s">
        <v>5</v>
      </c>
      <c r="H685" s="44" t="s">
        <v>15</v>
      </c>
      <c r="I685" s="17">
        <v>85792.8</v>
      </c>
      <c r="J685" s="17">
        <f>IF(Gastos[[#This Row],[Divisa]]="$", I685*1, IF(Gastos[[#This Row],[Divisa]]="U$D", I685*$N$1, IF(Gastos[[#This Row],[Divisa]]="EUR", I685*$N$2, 0)))</f>
        <v>85792.8</v>
      </c>
      <c r="K685" s="54">
        <f>Gastos[[#This Row],[Importe AR$]]/$N$1</f>
        <v>54.995384615384616</v>
      </c>
      <c r="M685" s="69"/>
      <c r="N685" s="43" t="str">
        <f>IF(Gastos[[#This Row],[Fecha_Cheque]]&gt;0,WEEKNUM(Gastos[[#This Row],[Fecha_Cheque]]),MID(Gastos[[#This Row],[Semana]],6,2))</f>
        <v>43</v>
      </c>
      <c r="O685" t="s">
        <v>4582</v>
      </c>
      <c r="P685" t="s">
        <v>27</v>
      </c>
    </row>
    <row r="686" spans="1:16" hidden="1" x14ac:dyDescent="0.25">
      <c r="A686" s="3" t="s">
        <v>4569</v>
      </c>
      <c r="B686" t="s">
        <v>556</v>
      </c>
      <c r="C686" t="s">
        <v>4581</v>
      </c>
      <c r="D686" t="s">
        <v>26</v>
      </c>
      <c r="E686" t="s">
        <v>31</v>
      </c>
      <c r="F686">
        <v>1</v>
      </c>
      <c r="G686" s="3" t="s">
        <v>5</v>
      </c>
      <c r="H686" s="44" t="s">
        <v>15</v>
      </c>
      <c r="I686" s="17">
        <v>224871.89</v>
      </c>
      <c r="J686" s="17">
        <f>IF(Gastos[[#This Row],[Divisa]]="$", I686*1, IF(Gastos[[#This Row],[Divisa]]="U$D", I686*$N$1, IF(Gastos[[#This Row],[Divisa]]="EUR", I686*$N$2, 0)))</f>
        <v>224871.89</v>
      </c>
      <c r="K686" s="54">
        <f>Gastos[[#This Row],[Importe AR$]]/$N$1</f>
        <v>144.14864743589746</v>
      </c>
      <c r="M686" s="69">
        <v>46339</v>
      </c>
      <c r="N686" s="43">
        <f>IF(Gastos[[#This Row],[Fecha_Cheque]]&gt;0,WEEKNUM(Gastos[[#This Row],[Fecha_Cheque]]),MID(Gastos[[#This Row],[Semana]],6,2))</f>
        <v>46</v>
      </c>
      <c r="O686" t="s">
        <v>4583</v>
      </c>
      <c r="P686" t="s">
        <v>27</v>
      </c>
    </row>
    <row r="687" spans="1:16" hidden="1" x14ac:dyDescent="0.25">
      <c r="A687" s="3" t="s">
        <v>4569</v>
      </c>
      <c r="B687" t="s">
        <v>556</v>
      </c>
      <c r="C687" t="s">
        <v>4581</v>
      </c>
      <c r="D687" t="s">
        <v>26</v>
      </c>
      <c r="E687" t="s">
        <v>31</v>
      </c>
      <c r="F687">
        <v>1</v>
      </c>
      <c r="G687" s="3" t="s">
        <v>5</v>
      </c>
      <c r="H687" s="44" t="s">
        <v>15</v>
      </c>
      <c r="I687" s="17">
        <v>101102.84</v>
      </c>
      <c r="J687" s="17">
        <f>IF(Gastos[[#This Row],[Divisa]]="$", I687*1, IF(Gastos[[#This Row],[Divisa]]="U$D", I687*$N$1, IF(Gastos[[#This Row],[Divisa]]="EUR", I687*$N$2, 0)))</f>
        <v>101102.84</v>
      </c>
      <c r="K687" s="54">
        <f>Gastos[[#This Row],[Importe AR$]]/$N$1</f>
        <v>64.809512820512822</v>
      </c>
      <c r="M687" s="69">
        <v>46314</v>
      </c>
      <c r="N687" s="43">
        <f>IF(Gastos[[#This Row],[Fecha_Cheque]]&gt;0,WEEKNUM(Gastos[[#This Row],[Fecha_Cheque]]),MID(Gastos[[#This Row],[Semana]],6,2))</f>
        <v>43</v>
      </c>
      <c r="O687" t="s">
        <v>4583</v>
      </c>
      <c r="P687" t="s">
        <v>27</v>
      </c>
    </row>
    <row r="688" spans="1:16" hidden="1" x14ac:dyDescent="0.25">
      <c r="A688" s="3" t="s">
        <v>4569</v>
      </c>
      <c r="B688" t="s">
        <v>556</v>
      </c>
      <c r="C688" t="s">
        <v>4581</v>
      </c>
      <c r="D688" t="s">
        <v>26</v>
      </c>
      <c r="E688" t="s">
        <v>31</v>
      </c>
      <c r="F688">
        <v>1</v>
      </c>
      <c r="G688" s="3" t="s">
        <v>5</v>
      </c>
      <c r="H688" s="44" t="s">
        <v>15</v>
      </c>
      <c r="I688" s="17">
        <v>923.27</v>
      </c>
      <c r="J688" s="17">
        <f>IF(Gastos[[#This Row],[Divisa]]="$", I688*1, IF(Gastos[[#This Row],[Divisa]]="U$D", I688*$N$1, IF(Gastos[[#This Row],[Divisa]]="EUR", I688*$N$2, 0)))</f>
        <v>923.27</v>
      </c>
      <c r="K688" s="54">
        <f>Gastos[[#This Row],[Importe AR$]]/$N$1</f>
        <v>0.59183974358974356</v>
      </c>
      <c r="L688" t="s">
        <v>340</v>
      </c>
      <c r="M688" s="69"/>
      <c r="N688" s="43" t="str">
        <f>IF(Gastos[[#This Row],[Fecha_Cheque]]&gt;0,WEEKNUM(Gastos[[#This Row],[Fecha_Cheque]]),MID(Gastos[[#This Row],[Semana]],6,2))</f>
        <v>43</v>
      </c>
      <c r="O688" t="s">
        <v>4583</v>
      </c>
      <c r="P688" t="s">
        <v>27</v>
      </c>
    </row>
    <row r="689" spans="1:16" hidden="1" x14ac:dyDescent="0.25">
      <c r="A689" s="3" t="s">
        <v>23</v>
      </c>
      <c r="B689" t="s">
        <v>564</v>
      </c>
      <c r="C689" t="s">
        <v>565</v>
      </c>
      <c r="D689" t="s">
        <v>61</v>
      </c>
      <c r="E689" t="s">
        <v>31</v>
      </c>
      <c r="F689">
        <v>1</v>
      </c>
      <c r="G689" s="3" t="s">
        <v>32</v>
      </c>
      <c r="H689" s="46" t="s">
        <v>15</v>
      </c>
      <c r="I689" s="17">
        <v>465608</v>
      </c>
      <c r="J689" s="17">
        <f>IF(Gastos[[#This Row],[Divisa]]="$", I689*1, IF(Gastos[[#This Row],[Divisa]]="U$D", I689*$N$1, IF(Gastos[[#This Row],[Divisa]]="EUR", I689*$N$2, 0)))</f>
        <v>465608</v>
      </c>
      <c r="K689" s="54">
        <f>Gastos[[#This Row],[Importe AR$]]/$N$1</f>
        <v>298.46666666666664</v>
      </c>
      <c r="L689" t="s">
        <v>566</v>
      </c>
      <c r="M689" s="69">
        <v>45818</v>
      </c>
      <c r="N689" s="43">
        <f>IF(Gastos[[#This Row],[Fecha_Cheque]]&gt;0,WEEKNUM(Gastos[[#This Row],[Fecha_Cheque]]),MID(Gastos[[#This Row],[Semana]],6,2))</f>
        <v>24</v>
      </c>
      <c r="P689" t="s">
        <v>27</v>
      </c>
    </row>
    <row r="690" spans="1:16" hidden="1" x14ac:dyDescent="0.25">
      <c r="A690" s="3" t="s">
        <v>105</v>
      </c>
      <c r="B690" t="s">
        <v>564</v>
      </c>
      <c r="C690" t="s">
        <v>557</v>
      </c>
      <c r="D690" t="s">
        <v>26</v>
      </c>
      <c r="E690" t="s">
        <v>31</v>
      </c>
      <c r="F690">
        <v>1</v>
      </c>
      <c r="G690" s="3" t="s">
        <v>32</v>
      </c>
      <c r="H690" s="46" t="s">
        <v>15</v>
      </c>
      <c r="I690" s="17">
        <v>900000</v>
      </c>
      <c r="J690" s="17">
        <f>IF(Gastos[[#This Row],[Divisa]]="$", I690*1, IF(Gastos[[#This Row],[Divisa]]="U$D", I690*$N$1, IF(Gastos[[#This Row],[Divisa]]="EUR", I690*$N$2, 0)))</f>
        <v>900000</v>
      </c>
      <c r="K690" s="54">
        <f>Gastos[[#This Row],[Importe AR$]]/$N$1</f>
        <v>576.92307692307691</v>
      </c>
      <c r="L690" t="s">
        <v>361</v>
      </c>
      <c r="M690" s="69">
        <v>45857</v>
      </c>
      <c r="N690" s="43">
        <f>IF(Gastos[[#This Row],[Fecha_Cheque]]&gt;0,WEEKNUM(Gastos[[#This Row],[Fecha_Cheque]]),MID(Gastos[[#This Row],[Semana]],6,2))</f>
        <v>29</v>
      </c>
      <c r="O690" t="s">
        <v>567</v>
      </c>
      <c r="P690" t="s">
        <v>27</v>
      </c>
    </row>
    <row r="691" spans="1:16" hidden="1" x14ac:dyDescent="0.25">
      <c r="A691" s="3" t="s">
        <v>2773</v>
      </c>
      <c r="B691" t="s">
        <v>564</v>
      </c>
      <c r="C691" t="s">
        <v>2976</v>
      </c>
      <c r="D691" t="s">
        <v>26</v>
      </c>
      <c r="E691" t="s">
        <v>31</v>
      </c>
      <c r="F691">
        <v>1</v>
      </c>
      <c r="G691" s="3" t="s">
        <v>32</v>
      </c>
      <c r="H691" s="44" t="s">
        <v>15</v>
      </c>
      <c r="I691" s="17">
        <v>1044920.8</v>
      </c>
      <c r="J691" s="17">
        <f>IF(Gastos[[#This Row],[Divisa]]="$", I691*1, IF(Gastos[[#This Row],[Divisa]]="U$D", I691*$N$1, IF(Gastos[[#This Row],[Divisa]]="EUR", I691*$N$2, 0)))</f>
        <v>1044920.8</v>
      </c>
      <c r="K691" s="54">
        <f>Gastos[[#This Row],[Importe AR$]]/$N$1</f>
        <v>669.8210256410257</v>
      </c>
      <c r="M691" s="69"/>
      <c r="N691" s="43" t="str">
        <f>IF(Gastos[[#This Row],[Fecha_Cheque]]&gt;0,WEEKNUM(Gastos[[#This Row],[Fecha_Cheque]]),MID(Gastos[[#This Row],[Semana]],6,2))</f>
        <v>20</v>
      </c>
      <c r="O691" t="s">
        <v>2977</v>
      </c>
      <c r="P691" t="s">
        <v>27</v>
      </c>
    </row>
    <row r="692" spans="1:16" hidden="1" x14ac:dyDescent="0.25">
      <c r="A692" s="3" t="s">
        <v>2773</v>
      </c>
      <c r="B692" t="s">
        <v>564</v>
      </c>
      <c r="C692" t="s">
        <v>2976</v>
      </c>
      <c r="D692" t="s">
        <v>26</v>
      </c>
      <c r="E692" t="s">
        <v>31</v>
      </c>
      <c r="F692">
        <v>1</v>
      </c>
      <c r="G692" s="3" t="s">
        <v>32</v>
      </c>
      <c r="H692" s="44" t="s">
        <v>15</v>
      </c>
      <c r="I692" s="17">
        <v>130006.39999999999</v>
      </c>
      <c r="J692" s="17">
        <f>IF(Gastos[[#This Row],[Divisa]]="$", I692*1, IF(Gastos[[#This Row],[Divisa]]="U$D", I692*$N$1, IF(Gastos[[#This Row],[Divisa]]="EUR", I692*$N$2, 0)))</f>
        <v>130006.39999999999</v>
      </c>
      <c r="K692" s="54">
        <f>Gastos[[#This Row],[Importe AR$]]/$N$1</f>
        <v>83.337435897435896</v>
      </c>
      <c r="L692" t="s">
        <v>340</v>
      </c>
      <c r="M692" s="69"/>
      <c r="N692" s="43" t="str">
        <f>IF(Gastos[[#This Row],[Fecha_Cheque]]&gt;0,WEEKNUM(Gastos[[#This Row],[Fecha_Cheque]]),MID(Gastos[[#This Row],[Semana]],6,2))</f>
        <v>20</v>
      </c>
      <c r="O692" t="s">
        <v>2977</v>
      </c>
      <c r="P692" t="s">
        <v>27</v>
      </c>
    </row>
    <row r="693" spans="1:16" hidden="1" x14ac:dyDescent="0.25">
      <c r="A693" s="3" t="s">
        <v>3617</v>
      </c>
      <c r="B693" t="s">
        <v>564</v>
      </c>
      <c r="C693" t="s">
        <v>2976</v>
      </c>
      <c r="D693" t="s">
        <v>26</v>
      </c>
      <c r="E693" t="s">
        <v>31</v>
      </c>
      <c r="F693">
        <v>1</v>
      </c>
      <c r="G693" s="3" t="s">
        <v>32</v>
      </c>
      <c r="H693" s="44" t="s">
        <v>15</v>
      </c>
      <c r="I693" s="17">
        <v>1044920.8</v>
      </c>
      <c r="J693" s="17">
        <f>IF(Gastos[[#This Row],[Divisa]]="$", I693*1, IF(Gastos[[#This Row],[Divisa]]="U$D", I693*$N$1, IF(Gastos[[#This Row],[Divisa]]="EUR", I693*$N$2, 0)))</f>
        <v>1044920.8</v>
      </c>
      <c r="K693" s="54">
        <f>Gastos[[#This Row],[Importe AR$]]/$N$1</f>
        <v>669.8210256410257</v>
      </c>
      <c r="M693" s="69">
        <v>46233</v>
      </c>
      <c r="N693" s="43">
        <f>IF(Gastos[[#This Row],[Fecha_Cheque]]&gt;0,WEEKNUM(Gastos[[#This Row],[Fecha_Cheque]]),MID(Gastos[[#This Row],[Semana]],6,2))</f>
        <v>31</v>
      </c>
      <c r="O693" t="s">
        <v>3632</v>
      </c>
      <c r="P693" t="s">
        <v>27</v>
      </c>
    </row>
    <row r="694" spans="1:16" hidden="1" x14ac:dyDescent="0.25">
      <c r="A694" s="3" t="s">
        <v>3617</v>
      </c>
      <c r="B694" t="s">
        <v>564</v>
      </c>
      <c r="C694" t="s">
        <v>2976</v>
      </c>
      <c r="D694" t="s">
        <v>26</v>
      </c>
      <c r="E694" t="s">
        <v>31</v>
      </c>
      <c r="F694">
        <v>1</v>
      </c>
      <c r="G694" s="3" t="s">
        <v>32</v>
      </c>
      <c r="H694" s="44" t="s">
        <v>15</v>
      </c>
      <c r="I694" s="17">
        <v>13006.4</v>
      </c>
      <c r="J694" s="17">
        <f>IF(Gastos[[#This Row],[Divisa]]="$", I694*1, IF(Gastos[[#This Row],[Divisa]]="U$D", I694*$N$1, IF(Gastos[[#This Row],[Divisa]]="EUR", I694*$N$2, 0)))</f>
        <v>13006.4</v>
      </c>
      <c r="K694" s="54">
        <f>Gastos[[#This Row],[Importe AR$]]/$N$1</f>
        <v>8.3374358974358973</v>
      </c>
      <c r="L694" t="s">
        <v>340</v>
      </c>
      <c r="M694" s="69"/>
      <c r="N694" s="43" t="str">
        <f>IF(Gastos[[#This Row],[Fecha_Cheque]]&gt;0,WEEKNUM(Gastos[[#This Row],[Fecha_Cheque]]),MID(Gastos[[#This Row],[Semana]],6,2))</f>
        <v>27</v>
      </c>
      <c r="O694" t="s">
        <v>3632</v>
      </c>
      <c r="P694" t="s">
        <v>27</v>
      </c>
    </row>
    <row r="695" spans="1:16" hidden="1" x14ac:dyDescent="0.25">
      <c r="A695" s="3" t="s">
        <v>232</v>
      </c>
      <c r="B695" t="s">
        <v>568</v>
      </c>
      <c r="C695" t="s">
        <v>569</v>
      </c>
      <c r="D695" t="s">
        <v>26</v>
      </c>
      <c r="E695" t="s">
        <v>31</v>
      </c>
      <c r="F695">
        <v>1</v>
      </c>
      <c r="G695" s="3" t="s">
        <v>32</v>
      </c>
      <c r="H695" s="46" t="s">
        <v>15</v>
      </c>
      <c r="I695" s="17">
        <v>21333013.879999999</v>
      </c>
      <c r="J695" s="17">
        <f>IF(Gastos[[#This Row],[Divisa]]="$", I695*1, IF(Gastos[[#This Row],[Divisa]]="U$D", I695*$N$1, IF(Gastos[[#This Row],[Divisa]]="EUR", I695*$N$2, 0)))</f>
        <v>21333013.879999999</v>
      </c>
      <c r="K695" s="54">
        <f>Gastos[[#This Row],[Importe AR$]]/$N$1</f>
        <v>13675.008897435897</v>
      </c>
      <c r="M695" s="69"/>
      <c r="N695" s="43" t="str">
        <f>IF(Gastos[[#This Row],[Fecha_Cheque]]&gt;0,WEEKNUM(Gastos[[#This Row],[Fecha_Cheque]]),MID(Gastos[[#This Row],[Semana]],6,2))</f>
        <v>44</v>
      </c>
      <c r="O695" t="s">
        <v>570</v>
      </c>
      <c r="P695" t="s">
        <v>27</v>
      </c>
    </row>
    <row r="696" spans="1:16" hidden="1" x14ac:dyDescent="0.25">
      <c r="A696" s="3" t="s">
        <v>75</v>
      </c>
      <c r="B696" t="s">
        <v>568</v>
      </c>
      <c r="D696" t="s">
        <v>26</v>
      </c>
      <c r="E696" t="s">
        <v>91</v>
      </c>
      <c r="F696">
        <v>1</v>
      </c>
      <c r="G696" s="3" t="s">
        <v>5</v>
      </c>
      <c r="H696" s="46" t="s">
        <v>15</v>
      </c>
      <c r="I696" s="17">
        <v>3406551.65</v>
      </c>
      <c r="J696" s="17">
        <f>IF(Gastos[[#This Row],[Divisa]]="$", I696*1, IF(Gastos[[#This Row],[Divisa]]="U$D", I696*$N$1, IF(Gastos[[#This Row],[Divisa]]="EUR", I696*$N$2, 0)))</f>
        <v>3406551.65</v>
      </c>
      <c r="K696" s="54">
        <f>Gastos[[#This Row],[Importe AR$]]/$N$1</f>
        <v>2183.6869551282052</v>
      </c>
      <c r="M696" s="69"/>
      <c r="N696" s="43" t="str">
        <f>IF(Gastos[[#This Row],[Fecha_Cheque]]&gt;0,WEEKNUM(Gastos[[#This Row],[Fecha_Cheque]]),MID(Gastos[[#This Row],[Semana]],6,2))</f>
        <v>07</v>
      </c>
      <c r="O696" t="s">
        <v>571</v>
      </c>
      <c r="P696" t="s">
        <v>27</v>
      </c>
    </row>
    <row r="697" spans="1:16" hidden="1" x14ac:dyDescent="0.25">
      <c r="A697" s="3" t="s">
        <v>2792</v>
      </c>
      <c r="B697" t="s">
        <v>568</v>
      </c>
      <c r="C697" t="s">
        <v>569</v>
      </c>
      <c r="D697" t="s">
        <v>26</v>
      </c>
      <c r="E697" t="s">
        <v>62</v>
      </c>
      <c r="F697">
        <v>1</v>
      </c>
      <c r="G697" s="3" t="s">
        <v>32</v>
      </c>
      <c r="H697" s="46" t="s">
        <v>15</v>
      </c>
      <c r="I697" s="17">
        <v>1062965.3400000001</v>
      </c>
      <c r="J697" s="17">
        <f>IF(Gastos[[#This Row],[Divisa]]="$", I697*1, IF(Gastos[[#This Row],[Divisa]]="U$D", I697*$N$1, IF(Gastos[[#This Row],[Divisa]]="EUR", I697*$N$2, 0)))</f>
        <v>1062965.3400000001</v>
      </c>
      <c r="K697" s="54">
        <f>Gastos[[#This Row],[Importe AR$]]/$N$1</f>
        <v>681.38803846153849</v>
      </c>
      <c r="M697" s="69">
        <v>46193</v>
      </c>
      <c r="N697" s="43">
        <f>IF(Gastos[[#This Row],[Fecha_Cheque]]&gt;0,WEEKNUM(Gastos[[#This Row],[Fecha_Cheque]]),MID(Gastos[[#This Row],[Semana]],6,2))</f>
        <v>25</v>
      </c>
      <c r="O697" t="s">
        <v>3019</v>
      </c>
      <c r="P697" t="s">
        <v>27</v>
      </c>
    </row>
    <row r="698" spans="1:16" hidden="1" x14ac:dyDescent="0.25">
      <c r="A698" s="3" t="s">
        <v>2792</v>
      </c>
      <c r="B698" t="s">
        <v>568</v>
      </c>
      <c r="C698" t="s">
        <v>569</v>
      </c>
      <c r="D698" t="s">
        <v>26</v>
      </c>
      <c r="E698" t="s">
        <v>62</v>
      </c>
      <c r="F698">
        <v>1</v>
      </c>
      <c r="G698" s="3" t="s">
        <v>32</v>
      </c>
      <c r="H698" s="46" t="s">
        <v>15</v>
      </c>
      <c r="I698" s="17">
        <v>190228</v>
      </c>
      <c r="J698" s="17">
        <f>IF(Gastos[[#This Row],[Divisa]]="$", I698*1, IF(Gastos[[#This Row],[Divisa]]="U$D", I698*$N$1, IF(Gastos[[#This Row],[Divisa]]="EUR", I698*$N$2, 0)))</f>
        <v>190228</v>
      </c>
      <c r="K698" s="54">
        <f>Gastos[[#This Row],[Importe AR$]]/$N$1</f>
        <v>121.94102564102565</v>
      </c>
      <c r="M698" s="69">
        <v>46193</v>
      </c>
      <c r="N698" s="43">
        <f>IF(Gastos[[#This Row],[Fecha_Cheque]]&gt;0,WEEKNUM(Gastos[[#This Row],[Fecha_Cheque]]),MID(Gastos[[#This Row],[Semana]],6,2))</f>
        <v>25</v>
      </c>
      <c r="O698" t="s">
        <v>3019</v>
      </c>
      <c r="P698" t="s">
        <v>27</v>
      </c>
    </row>
    <row r="699" spans="1:16" hidden="1" x14ac:dyDescent="0.25">
      <c r="A699" s="3" t="s">
        <v>2792</v>
      </c>
      <c r="B699" t="s">
        <v>568</v>
      </c>
      <c r="C699" t="s">
        <v>569</v>
      </c>
      <c r="D699" t="s">
        <v>26</v>
      </c>
      <c r="E699" t="s">
        <v>62</v>
      </c>
      <c r="F699">
        <v>1</v>
      </c>
      <c r="G699" s="3" t="s">
        <v>32</v>
      </c>
      <c r="H699" s="46" t="s">
        <v>15</v>
      </c>
      <c r="I699" s="17">
        <v>300000</v>
      </c>
      <c r="J699" s="17">
        <f>IF(Gastos[[#This Row],[Divisa]]="$", I699*1, IF(Gastos[[#This Row],[Divisa]]="U$D", I699*$N$1, IF(Gastos[[#This Row],[Divisa]]="EUR", I699*$N$2, 0)))</f>
        <v>300000</v>
      </c>
      <c r="K699" s="54">
        <f>Gastos[[#This Row],[Importe AR$]]/$N$1</f>
        <v>192.30769230769232</v>
      </c>
      <c r="M699" s="69">
        <v>46193</v>
      </c>
      <c r="N699" s="43">
        <f>IF(Gastos[[#This Row],[Fecha_Cheque]]&gt;0,WEEKNUM(Gastos[[#This Row],[Fecha_Cheque]]),MID(Gastos[[#This Row],[Semana]],6,2))</f>
        <v>25</v>
      </c>
      <c r="O699" t="s">
        <v>3019</v>
      </c>
      <c r="P699" t="s">
        <v>27</v>
      </c>
    </row>
    <row r="700" spans="1:16" hidden="1" x14ac:dyDescent="0.25">
      <c r="A700" s="3" t="s">
        <v>2792</v>
      </c>
      <c r="B700" t="s">
        <v>568</v>
      </c>
      <c r="C700" t="s">
        <v>569</v>
      </c>
      <c r="D700" t="s">
        <v>26</v>
      </c>
      <c r="E700" t="s">
        <v>62</v>
      </c>
      <c r="F700">
        <v>1</v>
      </c>
      <c r="G700" s="3" t="s">
        <v>32</v>
      </c>
      <c r="H700" s="46" t="s">
        <v>15</v>
      </c>
      <c r="I700" s="17">
        <v>680000</v>
      </c>
      <c r="J700" s="17">
        <f>IF(Gastos[[#This Row],[Divisa]]="$", I700*1, IF(Gastos[[#This Row],[Divisa]]="U$D", I700*$N$1, IF(Gastos[[#This Row],[Divisa]]="EUR", I700*$N$2, 0)))</f>
        <v>680000</v>
      </c>
      <c r="K700" s="54">
        <f>Gastos[[#This Row],[Importe AR$]]/$N$1</f>
        <v>435.89743589743591</v>
      </c>
      <c r="M700" s="69">
        <v>46231</v>
      </c>
      <c r="N700" s="43">
        <f>IF(Gastos[[#This Row],[Fecha_Cheque]]&gt;0,WEEKNUM(Gastos[[#This Row],[Fecha_Cheque]]),MID(Gastos[[#This Row],[Semana]],6,2))</f>
        <v>31</v>
      </c>
      <c r="O700" t="s">
        <v>3019</v>
      </c>
      <c r="P700" t="s">
        <v>27</v>
      </c>
    </row>
    <row r="701" spans="1:16" hidden="1" x14ac:dyDescent="0.25">
      <c r="A701" s="3" t="s">
        <v>2792</v>
      </c>
      <c r="B701" t="s">
        <v>568</v>
      </c>
      <c r="C701" t="s">
        <v>569</v>
      </c>
      <c r="D701" t="s">
        <v>26</v>
      </c>
      <c r="E701" t="s">
        <v>62</v>
      </c>
      <c r="F701">
        <v>1</v>
      </c>
      <c r="G701" s="3" t="s">
        <v>32</v>
      </c>
      <c r="H701" s="46" t="s">
        <v>15</v>
      </c>
      <c r="I701" s="17">
        <v>1214000</v>
      </c>
      <c r="J701" s="17">
        <f>IF(Gastos[[#This Row],[Divisa]]="$", I701*1, IF(Gastos[[#This Row],[Divisa]]="U$D", I701*$N$1, IF(Gastos[[#This Row],[Divisa]]="EUR", I701*$N$2, 0)))</f>
        <v>1214000</v>
      </c>
      <c r="K701" s="54">
        <f>Gastos[[#This Row],[Importe AR$]]/$N$1</f>
        <v>778.20512820512818</v>
      </c>
      <c r="M701" s="69">
        <v>46162</v>
      </c>
      <c r="N701" s="43">
        <f>IF(Gastos[[#This Row],[Fecha_Cheque]]&gt;0,WEEKNUM(Gastos[[#This Row],[Fecha_Cheque]]),MID(Gastos[[#This Row],[Semana]],6,2))</f>
        <v>21</v>
      </c>
      <c r="O701" t="s">
        <v>3019</v>
      </c>
      <c r="P701" t="s">
        <v>27</v>
      </c>
    </row>
    <row r="702" spans="1:16" hidden="1" x14ac:dyDescent="0.25">
      <c r="A702" s="3" t="s">
        <v>2792</v>
      </c>
      <c r="B702" t="s">
        <v>568</v>
      </c>
      <c r="C702" t="s">
        <v>569</v>
      </c>
      <c r="D702" t="s">
        <v>26</v>
      </c>
      <c r="E702" t="s">
        <v>62</v>
      </c>
      <c r="F702">
        <v>1</v>
      </c>
      <c r="G702" s="3" t="s">
        <v>32</v>
      </c>
      <c r="H702" s="46" t="s">
        <v>15</v>
      </c>
      <c r="I702" s="17">
        <v>54963.24</v>
      </c>
      <c r="J702" s="17">
        <f>IF(Gastos[[#This Row],[Divisa]]="$", I702*1, IF(Gastos[[#This Row],[Divisa]]="U$D", I702*$N$1, IF(Gastos[[#This Row],[Divisa]]="EUR", I702*$N$2, 0)))</f>
        <v>54963.24</v>
      </c>
      <c r="K702" s="54">
        <f>Gastos[[#This Row],[Importe AR$]]/$N$1</f>
        <v>35.232846153846154</v>
      </c>
      <c r="L702" t="s">
        <v>340</v>
      </c>
      <c r="M702" s="69"/>
      <c r="N702" s="43" t="str">
        <f>IF(Gastos[[#This Row],[Fecha_Cheque]]&gt;0,WEEKNUM(Gastos[[#This Row],[Fecha_Cheque]]),MID(Gastos[[#This Row],[Semana]],6,2))</f>
        <v>21</v>
      </c>
      <c r="O702" t="s">
        <v>3019</v>
      </c>
      <c r="P702" t="s">
        <v>27</v>
      </c>
    </row>
    <row r="703" spans="1:16" hidden="1" x14ac:dyDescent="0.25">
      <c r="A703" s="3" t="s">
        <v>2763</v>
      </c>
      <c r="B703" t="s">
        <v>568</v>
      </c>
      <c r="C703" t="s">
        <v>569</v>
      </c>
      <c r="D703" t="s">
        <v>26</v>
      </c>
      <c r="E703" t="s">
        <v>62</v>
      </c>
      <c r="F703">
        <v>1</v>
      </c>
      <c r="G703" s="3" t="s">
        <v>32</v>
      </c>
      <c r="H703" s="46" t="s">
        <v>15</v>
      </c>
      <c r="I703" s="17">
        <v>3254640.08</v>
      </c>
      <c r="J703" s="17">
        <f>IF(Gastos[[#This Row],[Divisa]]="$", I703*1, IF(Gastos[[#This Row],[Divisa]]="U$D", I703*$N$1, IF(Gastos[[#This Row],[Divisa]]="EUR", I703*$N$2, 0)))</f>
        <v>3254640.08</v>
      </c>
      <c r="K703" s="54">
        <f>Gastos[[#This Row],[Importe AR$]]/$N$1</f>
        <v>2086.3077435897435</v>
      </c>
      <c r="M703" s="69"/>
      <c r="N703" s="43" t="str">
        <f>IF(Gastos[[#This Row],[Fecha_Cheque]]&gt;0,WEEKNUM(Gastos[[#This Row],[Fecha_Cheque]]),MID(Gastos[[#This Row],[Semana]],6,2))</f>
        <v>23</v>
      </c>
      <c r="O703" t="s">
        <v>3154</v>
      </c>
      <c r="P703" t="s">
        <v>27</v>
      </c>
    </row>
    <row r="704" spans="1:16" hidden="1" x14ac:dyDescent="0.25">
      <c r="A704" s="3" t="s">
        <v>2763</v>
      </c>
      <c r="B704" t="s">
        <v>568</v>
      </c>
      <c r="C704" t="s">
        <v>569</v>
      </c>
      <c r="D704" t="s">
        <v>26</v>
      </c>
      <c r="E704" t="s">
        <v>62</v>
      </c>
      <c r="F704">
        <v>1</v>
      </c>
      <c r="G704" s="3" t="s">
        <v>32</v>
      </c>
      <c r="H704" s="46" t="s">
        <v>15</v>
      </c>
      <c r="I704" s="17">
        <v>56306.64</v>
      </c>
      <c r="J704" s="17">
        <f>IF(Gastos[[#This Row],[Divisa]]="$", I704*1, IF(Gastos[[#This Row],[Divisa]]="U$D", I704*$N$1, IF(Gastos[[#This Row],[Divisa]]="EUR", I704*$N$2, 0)))</f>
        <v>56306.64</v>
      </c>
      <c r="K704" s="54">
        <f>Gastos[[#This Row],[Importe AR$]]/$N$1</f>
        <v>36.094000000000001</v>
      </c>
      <c r="L704" t="s">
        <v>340</v>
      </c>
      <c r="M704" s="69"/>
      <c r="N704" s="43" t="str">
        <f>IF(Gastos[[#This Row],[Fecha_Cheque]]&gt;0,WEEKNUM(Gastos[[#This Row],[Fecha_Cheque]]),MID(Gastos[[#This Row],[Semana]],6,2))</f>
        <v>23</v>
      </c>
      <c r="O704" t="s">
        <v>3154</v>
      </c>
      <c r="P704" t="s">
        <v>27</v>
      </c>
    </row>
    <row r="705" spans="1:16" hidden="1" x14ac:dyDescent="0.25">
      <c r="A705" s="3" t="s">
        <v>3693</v>
      </c>
      <c r="B705" t="s">
        <v>568</v>
      </c>
      <c r="C705" t="s">
        <v>569</v>
      </c>
      <c r="D705" t="s">
        <v>26</v>
      </c>
      <c r="E705" t="s">
        <v>62</v>
      </c>
      <c r="F705">
        <v>1</v>
      </c>
      <c r="G705" s="3" t="s">
        <v>32</v>
      </c>
      <c r="H705" s="46" t="s">
        <v>15</v>
      </c>
      <c r="I705" s="17">
        <v>5250000</v>
      </c>
      <c r="J705" s="17">
        <f>IF(Gastos[[#This Row],[Divisa]]="$", I705*1, IF(Gastos[[#This Row],[Divisa]]="U$D", I705*$N$1, IF(Gastos[[#This Row],[Divisa]]="EUR", I705*$N$2, 0)))</f>
        <v>5250000</v>
      </c>
      <c r="K705" s="54">
        <f>Gastos[[#This Row],[Importe AR$]]/$N$1</f>
        <v>3365.3846153846152</v>
      </c>
      <c r="M705" s="69">
        <v>46248</v>
      </c>
      <c r="N705" s="43">
        <f>IF(Gastos[[#This Row],[Fecha_Cheque]]&gt;0,WEEKNUM(Gastos[[#This Row],[Fecha_Cheque]]),MID(Gastos[[#This Row],[Semana]],6,2))</f>
        <v>33</v>
      </c>
      <c r="O705" t="s">
        <v>3710</v>
      </c>
      <c r="P705" t="s">
        <v>27</v>
      </c>
    </row>
    <row r="706" spans="1:16" hidden="1" x14ac:dyDescent="0.25">
      <c r="A706" s="3" t="s">
        <v>3693</v>
      </c>
      <c r="B706" t="s">
        <v>568</v>
      </c>
      <c r="C706" t="s">
        <v>569</v>
      </c>
      <c r="D706" t="s">
        <v>26</v>
      </c>
      <c r="E706" t="s">
        <v>62</v>
      </c>
      <c r="F706">
        <v>1</v>
      </c>
      <c r="G706" s="3" t="s">
        <v>32</v>
      </c>
      <c r="H706" s="46" t="s">
        <v>15</v>
      </c>
      <c r="I706" s="17">
        <v>5250000</v>
      </c>
      <c r="J706" s="17">
        <f>IF(Gastos[[#This Row],[Divisa]]="$", I706*1, IF(Gastos[[#This Row],[Divisa]]="U$D", I706*$N$1, IF(Gastos[[#This Row],[Divisa]]="EUR", I706*$N$2, 0)))</f>
        <v>5250000</v>
      </c>
      <c r="K706" s="54">
        <f>Gastos[[#This Row],[Importe AR$]]/$N$1</f>
        <v>3365.3846153846152</v>
      </c>
      <c r="M706" s="69">
        <v>46255</v>
      </c>
      <c r="N706" s="43">
        <f>IF(Gastos[[#This Row],[Fecha_Cheque]]&gt;0,WEEKNUM(Gastos[[#This Row],[Fecha_Cheque]]),MID(Gastos[[#This Row],[Semana]],6,2))</f>
        <v>34</v>
      </c>
      <c r="O706" t="s">
        <v>3710</v>
      </c>
      <c r="P706" t="s">
        <v>27</v>
      </c>
    </row>
    <row r="707" spans="1:16" hidden="1" x14ac:dyDescent="0.25">
      <c r="A707" s="3" t="s">
        <v>3693</v>
      </c>
      <c r="B707" t="s">
        <v>568</v>
      </c>
      <c r="C707" t="s">
        <v>569</v>
      </c>
      <c r="D707" t="s">
        <v>26</v>
      </c>
      <c r="E707" t="s">
        <v>62</v>
      </c>
      <c r="F707">
        <v>1</v>
      </c>
      <c r="G707" s="3" t="s">
        <v>32</v>
      </c>
      <c r="H707" s="46" t="s">
        <v>15</v>
      </c>
      <c r="I707" s="17">
        <v>5250000</v>
      </c>
      <c r="J707" s="17">
        <f>IF(Gastos[[#This Row],[Divisa]]="$", I707*1, IF(Gastos[[#This Row],[Divisa]]="U$D", I707*$N$1, IF(Gastos[[#This Row],[Divisa]]="EUR", I707*$N$2, 0)))</f>
        <v>5250000</v>
      </c>
      <c r="K707" s="54">
        <f>Gastos[[#This Row],[Importe AR$]]/$N$1</f>
        <v>3365.3846153846152</v>
      </c>
      <c r="M707" s="69">
        <v>46259</v>
      </c>
      <c r="N707" s="43">
        <f>IF(Gastos[[#This Row],[Fecha_Cheque]]&gt;0,WEEKNUM(Gastos[[#This Row],[Fecha_Cheque]]),MID(Gastos[[#This Row],[Semana]],6,2))</f>
        <v>35</v>
      </c>
      <c r="O707" t="s">
        <v>3710</v>
      </c>
      <c r="P707" t="s">
        <v>27</v>
      </c>
    </row>
    <row r="708" spans="1:16" hidden="1" x14ac:dyDescent="0.25">
      <c r="A708" s="3" t="s">
        <v>3693</v>
      </c>
      <c r="B708" t="s">
        <v>568</v>
      </c>
      <c r="C708" t="s">
        <v>569</v>
      </c>
      <c r="D708" t="s">
        <v>26</v>
      </c>
      <c r="E708" t="s">
        <v>62</v>
      </c>
      <c r="F708">
        <v>1</v>
      </c>
      <c r="G708" s="3" t="s">
        <v>32</v>
      </c>
      <c r="H708" s="46" t="s">
        <v>15</v>
      </c>
      <c r="I708" s="17">
        <v>6150654.04</v>
      </c>
      <c r="J708" s="17">
        <f>IF(Gastos[[#This Row],[Divisa]]="$", I708*1, IF(Gastos[[#This Row],[Divisa]]="U$D", I708*$N$1, IF(Gastos[[#This Row],[Divisa]]="EUR", I708*$N$2, 0)))</f>
        <v>6150654.04</v>
      </c>
      <c r="K708" s="54">
        <f>Gastos[[#This Row],[Importe AR$]]/$N$1</f>
        <v>3942.7269487179487</v>
      </c>
      <c r="M708" s="69">
        <v>46262</v>
      </c>
      <c r="N708" s="43">
        <f>IF(Gastos[[#This Row],[Fecha_Cheque]]&gt;0,WEEKNUM(Gastos[[#This Row],[Fecha_Cheque]]),MID(Gastos[[#This Row],[Semana]],6,2))</f>
        <v>35</v>
      </c>
      <c r="O708" t="s">
        <v>3710</v>
      </c>
      <c r="P708" t="s">
        <v>27</v>
      </c>
    </row>
    <row r="709" spans="1:16" hidden="1" x14ac:dyDescent="0.25">
      <c r="A709" s="3" t="s">
        <v>4211</v>
      </c>
      <c r="B709" t="s">
        <v>568</v>
      </c>
      <c r="C709" t="s">
        <v>4274</v>
      </c>
      <c r="D709" t="s">
        <v>26</v>
      </c>
      <c r="E709" t="s">
        <v>62</v>
      </c>
      <c r="F709">
        <v>1</v>
      </c>
      <c r="G709" s="3" t="s">
        <v>5</v>
      </c>
      <c r="H709" s="44" t="s">
        <v>15</v>
      </c>
      <c r="I709" s="17">
        <v>5250000</v>
      </c>
      <c r="J709" s="17">
        <f>IF(Gastos[[#This Row],[Divisa]]="$", I709*1, IF(Gastos[[#This Row],[Divisa]]="U$D", I709*$N$1, IF(Gastos[[#This Row],[Divisa]]="EUR", I709*$N$2, 0)))</f>
        <v>5250000</v>
      </c>
      <c r="K709" s="54">
        <f>Gastos[[#This Row],[Importe AR$]]/$N$1</f>
        <v>3365.3846153846152</v>
      </c>
      <c r="M709" s="69"/>
      <c r="N709" s="43" t="str">
        <f>IF(Gastos[[#This Row],[Fecha_Cheque]]&gt;0,WEEKNUM(Gastos[[#This Row],[Fecha_Cheque]]),MID(Gastos[[#This Row],[Semana]],6,2))</f>
        <v>37</v>
      </c>
      <c r="O709" t="s">
        <v>4275</v>
      </c>
      <c r="P709" t="s">
        <v>27</v>
      </c>
    </row>
    <row r="710" spans="1:16" hidden="1" x14ac:dyDescent="0.25">
      <c r="A710" s="3" t="s">
        <v>4211</v>
      </c>
      <c r="B710" t="s">
        <v>568</v>
      </c>
      <c r="C710" t="s">
        <v>4276</v>
      </c>
      <c r="D710" t="s">
        <v>26</v>
      </c>
      <c r="E710" t="s">
        <v>62</v>
      </c>
      <c r="F710">
        <v>1</v>
      </c>
      <c r="G710" s="3" t="s">
        <v>5</v>
      </c>
      <c r="H710" s="44" t="s">
        <v>15</v>
      </c>
      <c r="I710" s="17">
        <v>5250000</v>
      </c>
      <c r="J710" s="17">
        <f>IF(Gastos[[#This Row],[Divisa]]="$", I710*1, IF(Gastos[[#This Row],[Divisa]]="U$D", I710*$N$1, IF(Gastos[[#This Row],[Divisa]]="EUR", I710*$N$2, 0)))</f>
        <v>5250000</v>
      </c>
      <c r="K710" s="54">
        <f>Gastos[[#This Row],[Importe AR$]]/$N$1</f>
        <v>3365.3846153846152</v>
      </c>
      <c r="M710" s="69"/>
      <c r="N710" s="43" t="str">
        <f>IF(Gastos[[#This Row],[Fecha_Cheque]]&gt;0,WEEKNUM(Gastos[[#This Row],[Fecha_Cheque]]),MID(Gastos[[#This Row],[Semana]],6,2))</f>
        <v>37</v>
      </c>
      <c r="O710" t="s">
        <v>4277</v>
      </c>
      <c r="P710" t="s">
        <v>27</v>
      </c>
    </row>
    <row r="711" spans="1:16" hidden="1" x14ac:dyDescent="0.25">
      <c r="A711" s="3" t="s">
        <v>4211</v>
      </c>
      <c r="B711" t="s">
        <v>568</v>
      </c>
      <c r="C711" t="s">
        <v>4273</v>
      </c>
      <c r="D711" t="s">
        <v>26</v>
      </c>
      <c r="E711" t="s">
        <v>62</v>
      </c>
      <c r="F711">
        <v>1</v>
      </c>
      <c r="G711" s="3" t="s">
        <v>5</v>
      </c>
      <c r="H711" s="44" t="s">
        <v>15</v>
      </c>
      <c r="I711" s="17">
        <v>6150654.0499999998</v>
      </c>
      <c r="J711" s="17">
        <f>IF(Gastos[[#This Row],[Divisa]]="$", I711*1, IF(Gastos[[#This Row],[Divisa]]="U$D", I711*$N$1, IF(Gastos[[#This Row],[Divisa]]="EUR", I711*$N$2, 0)))</f>
        <v>6150654.0499999998</v>
      </c>
      <c r="K711" s="54">
        <f>Gastos[[#This Row],[Importe AR$]]/$N$1</f>
        <v>3942.7269551282052</v>
      </c>
      <c r="M711" s="69"/>
      <c r="N711" s="43" t="str">
        <f>IF(Gastos[[#This Row],[Fecha_Cheque]]&gt;0,WEEKNUM(Gastos[[#This Row],[Fecha_Cheque]]),MID(Gastos[[#This Row],[Semana]],6,2))</f>
        <v>37</v>
      </c>
      <c r="O711" t="s">
        <v>4220</v>
      </c>
      <c r="P711" t="s">
        <v>27</v>
      </c>
    </row>
    <row r="712" spans="1:16" x14ac:dyDescent="0.25">
      <c r="A712" s="3" t="s">
        <v>4655</v>
      </c>
      <c r="B712" t="s">
        <v>3020</v>
      </c>
      <c r="C712" t="s">
        <v>3854</v>
      </c>
      <c r="D712" t="s">
        <v>26</v>
      </c>
      <c r="E712" t="s">
        <v>62</v>
      </c>
      <c r="F712">
        <v>1</v>
      </c>
      <c r="G712" s="3" t="s">
        <v>4</v>
      </c>
      <c r="H712" s="44" t="s">
        <v>15</v>
      </c>
      <c r="I712" s="17">
        <v>0</v>
      </c>
      <c r="J712" s="17">
        <f>IF(Gastos[[#This Row],[Divisa]]="$", I712*1, IF(Gastos[[#This Row],[Divisa]]="U$D", I712*$N$1, IF(Gastos[[#This Row],[Divisa]]="EUR", I712*$N$2, 0)))</f>
        <v>0</v>
      </c>
      <c r="K712" s="54">
        <f>Gastos[[#This Row],[Importe AR$]]/$N$1</f>
        <v>0</v>
      </c>
      <c r="L712" t="s">
        <v>3922</v>
      </c>
      <c r="M712" s="69"/>
      <c r="N712" s="43" t="str">
        <f>IF(Gastos[[#This Row],[Fecha_Cheque]]&gt;0,WEEKNUM(Gastos[[#This Row],[Fecha_Cheque]]),MID(Gastos[[#This Row],[Semana]],6,2))</f>
        <v>44</v>
      </c>
    </row>
    <row r="713" spans="1:16" hidden="1" x14ac:dyDescent="0.25">
      <c r="A713" s="3" t="s">
        <v>39</v>
      </c>
      <c r="B713" t="s">
        <v>483</v>
      </c>
      <c r="C713" t="s">
        <v>484</v>
      </c>
      <c r="D713" t="s">
        <v>26</v>
      </c>
      <c r="E713" t="s">
        <v>31</v>
      </c>
      <c r="F713">
        <v>1</v>
      </c>
      <c r="G713" s="3" t="s">
        <v>5</v>
      </c>
      <c r="H713" s="44" t="s">
        <v>15</v>
      </c>
      <c r="I713" s="17">
        <v>1600000</v>
      </c>
      <c r="J713" s="17">
        <f>IF(Gastos[[#This Row],[Divisa]]="$", I713*1, IF(Gastos[[#This Row],[Divisa]]="U$D", I713*$N$1, IF(Gastos[[#This Row],[Divisa]]="EUR", I713*$N$2, 0)))</f>
        <v>1600000</v>
      </c>
      <c r="K713" s="54">
        <f>Gastos[[#This Row],[Importe AR$]]/$N$1</f>
        <v>1025.6410256410256</v>
      </c>
      <c r="M713" s="69"/>
      <c r="N713" s="43" t="str">
        <f>IF(Gastos[[#This Row],[Fecha_Cheque]]&gt;0,WEEKNUM(Gastos[[#This Row],[Fecha_Cheque]]),MID(Gastos[[#This Row],[Semana]],6,2))</f>
        <v>14</v>
      </c>
      <c r="O713" t="s">
        <v>485</v>
      </c>
      <c r="P713" t="s">
        <v>27</v>
      </c>
    </row>
    <row r="714" spans="1:16" hidden="1" x14ac:dyDescent="0.25">
      <c r="A714" s="3" t="s">
        <v>39</v>
      </c>
      <c r="B714" t="s">
        <v>483</v>
      </c>
      <c r="C714" t="s">
        <v>484</v>
      </c>
      <c r="D714" t="s">
        <v>26</v>
      </c>
      <c r="E714" t="s">
        <v>31</v>
      </c>
      <c r="F714">
        <v>1</v>
      </c>
      <c r="G714" s="3" t="s">
        <v>5</v>
      </c>
      <c r="H714" s="44" t="s">
        <v>15</v>
      </c>
      <c r="I714" s="17">
        <v>25102.880000000001</v>
      </c>
      <c r="J714" s="17">
        <f>IF(Gastos[[#This Row],[Divisa]]="$", I714*1, IF(Gastos[[#This Row],[Divisa]]="U$D", I714*$N$1, IF(Gastos[[#This Row],[Divisa]]="EUR", I714*$N$2, 0)))</f>
        <v>25102.880000000001</v>
      </c>
      <c r="K714" s="54">
        <f>Gastos[[#This Row],[Importe AR$]]/$N$1</f>
        <v>16.091589743589743</v>
      </c>
      <c r="L714" t="s">
        <v>340</v>
      </c>
      <c r="M714" s="69"/>
      <c r="N714" s="43" t="str">
        <f>IF(Gastos[[#This Row],[Fecha_Cheque]]&gt;0,WEEKNUM(Gastos[[#This Row],[Fecha_Cheque]]),MID(Gastos[[#This Row],[Semana]],6,2))</f>
        <v>14</v>
      </c>
      <c r="O714" t="s">
        <v>485</v>
      </c>
      <c r="P714" t="s">
        <v>27</v>
      </c>
    </row>
    <row r="715" spans="1:16" hidden="1" x14ac:dyDescent="0.25">
      <c r="A715" s="3" t="s">
        <v>152</v>
      </c>
      <c r="B715" t="s">
        <v>483</v>
      </c>
      <c r="C715" t="s">
        <v>574</v>
      </c>
      <c r="D715" t="s">
        <v>26</v>
      </c>
      <c r="E715" t="s">
        <v>62</v>
      </c>
      <c r="F715">
        <v>2</v>
      </c>
      <c r="G715" s="3" t="s">
        <v>32</v>
      </c>
      <c r="H715" s="46" t="s">
        <v>15</v>
      </c>
      <c r="I715" s="17">
        <v>300000</v>
      </c>
      <c r="J715" s="17">
        <f>IF(Gastos[[#This Row],[Divisa]]="$", I715*1, IF(Gastos[[#This Row],[Divisa]]="U$D", I715*$N$1, IF(Gastos[[#This Row],[Divisa]]="EUR", I715*$N$2, 0)))</f>
        <v>300000</v>
      </c>
      <c r="K715" s="54">
        <f>Gastos[[#This Row],[Importe AR$]]/$N$1</f>
        <v>192.30769230769232</v>
      </c>
      <c r="M715" s="69">
        <v>46074</v>
      </c>
      <c r="N715" s="43">
        <f>IF(Gastos[[#This Row],[Fecha_Cheque]]&gt;0,WEEKNUM(Gastos[[#This Row],[Fecha_Cheque]]),MID(Gastos[[#This Row],[Semana]],6,2))</f>
        <v>8</v>
      </c>
      <c r="O715" t="s">
        <v>575</v>
      </c>
      <c r="P715" t="s">
        <v>27</v>
      </c>
    </row>
    <row r="716" spans="1:16" hidden="1" x14ac:dyDescent="0.25">
      <c r="A716" s="3" t="s">
        <v>152</v>
      </c>
      <c r="B716" t="s">
        <v>483</v>
      </c>
      <c r="C716" t="s">
        <v>574</v>
      </c>
      <c r="D716" t="s">
        <v>26</v>
      </c>
      <c r="E716" t="s">
        <v>62</v>
      </c>
      <c r="F716">
        <v>2</v>
      </c>
      <c r="G716" s="3" t="s">
        <v>32</v>
      </c>
      <c r="H716" s="46" t="s">
        <v>15</v>
      </c>
      <c r="I716" s="17">
        <v>625000</v>
      </c>
      <c r="J716" s="17">
        <f>IF(Gastos[[#This Row],[Divisa]]="$", I716*1, IF(Gastos[[#This Row],[Divisa]]="U$D", I716*$N$1, IF(Gastos[[#This Row],[Divisa]]="EUR", I716*$N$2, 0)))</f>
        <v>625000</v>
      </c>
      <c r="K716" s="54">
        <f>Gastos[[#This Row],[Importe AR$]]/$N$1</f>
        <v>400.64102564102564</v>
      </c>
      <c r="M716" s="69">
        <v>46069</v>
      </c>
      <c r="N716" s="43">
        <f>IF(Gastos[[#This Row],[Fecha_Cheque]]&gt;0,WEEKNUM(Gastos[[#This Row],[Fecha_Cheque]]),MID(Gastos[[#This Row],[Semana]],6,2))</f>
        <v>8</v>
      </c>
      <c r="O716" t="s">
        <v>575</v>
      </c>
      <c r="P716" t="s">
        <v>27</v>
      </c>
    </row>
    <row r="717" spans="1:16" hidden="1" x14ac:dyDescent="0.25">
      <c r="A717" s="3" t="s">
        <v>152</v>
      </c>
      <c r="B717" t="s">
        <v>483</v>
      </c>
      <c r="C717" t="s">
        <v>574</v>
      </c>
      <c r="D717" t="s">
        <v>26</v>
      </c>
      <c r="E717" t="s">
        <v>62</v>
      </c>
      <c r="F717">
        <v>2</v>
      </c>
      <c r="G717" s="3" t="s">
        <v>32</v>
      </c>
      <c r="H717" s="46" t="s">
        <v>15</v>
      </c>
      <c r="I717" s="17">
        <v>970292</v>
      </c>
      <c r="J717" s="17">
        <f>IF(Gastos[[#This Row],[Divisa]]="$", I717*1, IF(Gastos[[#This Row],[Divisa]]="U$D", I717*$N$1, IF(Gastos[[#This Row],[Divisa]]="EUR", I717*$N$2, 0)))</f>
        <v>970292</v>
      </c>
      <c r="K717" s="54">
        <f>Gastos[[#This Row],[Importe AR$]]/$N$1</f>
        <v>621.98205128205132</v>
      </c>
      <c r="M717" s="69">
        <v>46059</v>
      </c>
      <c r="N717" s="43">
        <f>IF(Gastos[[#This Row],[Fecha_Cheque]]&gt;0,WEEKNUM(Gastos[[#This Row],[Fecha_Cheque]]),MID(Gastos[[#This Row],[Semana]],6,2))</f>
        <v>6</v>
      </c>
      <c r="O717" t="s">
        <v>575</v>
      </c>
      <c r="P717" t="s">
        <v>27</v>
      </c>
    </row>
    <row r="718" spans="1:16" hidden="1" x14ac:dyDescent="0.25">
      <c r="A718" s="3" t="s">
        <v>152</v>
      </c>
      <c r="B718" t="s">
        <v>483</v>
      </c>
      <c r="C718" t="s">
        <v>574</v>
      </c>
      <c r="D718" t="s">
        <v>26</v>
      </c>
      <c r="E718" t="s">
        <v>62</v>
      </c>
      <c r="F718">
        <v>2</v>
      </c>
      <c r="G718" s="3" t="s">
        <v>32</v>
      </c>
      <c r="H718" s="46" t="s">
        <v>15</v>
      </c>
      <c r="I718" s="17">
        <v>1880511.77</v>
      </c>
      <c r="J718" s="17">
        <f>IF(Gastos[[#This Row],[Divisa]]="$", I718*1, IF(Gastos[[#This Row],[Divisa]]="U$D", I718*$N$1, IF(Gastos[[#This Row],[Divisa]]="EUR", I718*$N$2, 0)))</f>
        <v>1880511.77</v>
      </c>
      <c r="K718" s="54">
        <f>Gastos[[#This Row],[Importe AR$]]/$N$1</f>
        <v>1205.4562628205128</v>
      </c>
      <c r="M718" s="69">
        <v>46065</v>
      </c>
      <c r="N718" s="43">
        <f>IF(Gastos[[#This Row],[Fecha_Cheque]]&gt;0,WEEKNUM(Gastos[[#This Row],[Fecha_Cheque]]),MID(Gastos[[#This Row],[Semana]],6,2))</f>
        <v>7</v>
      </c>
      <c r="O718" t="s">
        <v>575</v>
      </c>
      <c r="P718" t="s">
        <v>27</v>
      </c>
    </row>
    <row r="719" spans="1:16" hidden="1" x14ac:dyDescent="0.25">
      <c r="A719" s="3" t="s">
        <v>52</v>
      </c>
      <c r="B719" t="s">
        <v>483</v>
      </c>
      <c r="C719" t="s">
        <v>155</v>
      </c>
      <c r="D719" t="s">
        <v>26</v>
      </c>
      <c r="E719" t="s">
        <v>31</v>
      </c>
      <c r="F719">
        <v>1</v>
      </c>
      <c r="G719" s="3" t="s">
        <v>4</v>
      </c>
      <c r="H719" s="46" t="s">
        <v>15</v>
      </c>
      <c r="I719" s="19">
        <v>120000</v>
      </c>
      <c r="J719" s="17">
        <f>IF(Gastos[[#This Row],[Divisa]]="$", I719*1, IF(Gastos[[#This Row],[Divisa]]="U$D", I719*$N$1, IF(Gastos[[#This Row],[Divisa]]="EUR", I719*$N$2, 0)))</f>
        <v>120000</v>
      </c>
      <c r="K719" s="55">
        <f>Gastos[[#This Row],[Importe AR$]]/$N$1</f>
        <v>76.92307692307692</v>
      </c>
      <c r="M719" s="69"/>
      <c r="N719" s="43" t="str">
        <f>IF(Gastos[[#This Row],[Fecha_Cheque]]&gt;0,WEEKNUM(Gastos[[#This Row],[Fecha_Cheque]]),MID(Gastos[[#This Row],[Semana]],6,2))</f>
        <v>12</v>
      </c>
      <c r="P719" t="s">
        <v>27</v>
      </c>
    </row>
    <row r="720" spans="1:16" hidden="1" x14ac:dyDescent="0.25">
      <c r="A720" s="3" t="s">
        <v>290</v>
      </c>
      <c r="B720" t="s">
        <v>483</v>
      </c>
      <c r="C720" t="s">
        <v>155</v>
      </c>
      <c r="D720" t="s">
        <v>26</v>
      </c>
      <c r="E720" t="s">
        <v>42</v>
      </c>
      <c r="F720">
        <v>1</v>
      </c>
      <c r="G720" s="3" t="s">
        <v>4</v>
      </c>
      <c r="H720" s="46" t="s">
        <v>15</v>
      </c>
      <c r="I720" s="17">
        <f>20000.24+49999.88+29999.65+20000.24+10999.34+29999.65+20000.24+13000.67+15000.09</f>
        <v>209000</v>
      </c>
      <c r="J720" s="17">
        <f>IF(Gastos[[#This Row],[Divisa]]="$", I720*1, IF(Gastos[[#This Row],[Divisa]]="U$D", I720*$N$1, IF(Gastos[[#This Row],[Divisa]]="EUR", I720*$N$2, 0)))</f>
        <v>209000</v>
      </c>
      <c r="K720" s="54">
        <f>Gastos[[#This Row],[Importe AR$]]/$N$1</f>
        <v>133.97435897435898</v>
      </c>
      <c r="M720" s="69"/>
      <c r="N720" s="43" t="str">
        <f>IF(Gastos[[#This Row],[Fecha_Cheque]]&gt;0,WEEKNUM(Gastos[[#This Row],[Fecha_Cheque]]),MID(Gastos[[#This Row],[Semana]],6,2))</f>
        <v>23</v>
      </c>
      <c r="P720" t="s">
        <v>27</v>
      </c>
    </row>
    <row r="721" spans="1:16" hidden="1" x14ac:dyDescent="0.25">
      <c r="A721" s="3" t="s">
        <v>117</v>
      </c>
      <c r="B721" t="s">
        <v>483</v>
      </c>
      <c r="C721" t="s">
        <v>155</v>
      </c>
      <c r="D721" t="s">
        <v>26</v>
      </c>
      <c r="E721" t="s">
        <v>42</v>
      </c>
      <c r="F721">
        <v>1</v>
      </c>
      <c r="G721" s="3" t="s">
        <v>4</v>
      </c>
      <c r="H721" s="46" t="s">
        <v>15</v>
      </c>
      <c r="I721" s="17">
        <v>113001</v>
      </c>
      <c r="J721" s="17">
        <f>IF(Gastos[[#This Row],[Divisa]]="$", I721*1, IF(Gastos[[#This Row],[Divisa]]="U$D", I721*$N$1, IF(Gastos[[#This Row],[Divisa]]="EUR", I721*$N$2, 0)))</f>
        <v>113001</v>
      </c>
      <c r="K721" s="54">
        <f>Gastos[[#This Row],[Importe AR$]]/$N$1</f>
        <v>72.436538461538461</v>
      </c>
      <c r="M721" s="69"/>
      <c r="N721" s="43" t="str">
        <f>IF(Gastos[[#This Row],[Fecha_Cheque]]&gt;0,WEEKNUM(Gastos[[#This Row],[Fecha_Cheque]]),MID(Gastos[[#This Row],[Semana]],6,2))</f>
        <v>35</v>
      </c>
      <c r="O721" t="s">
        <v>123</v>
      </c>
      <c r="P721" t="s">
        <v>27</v>
      </c>
    </row>
    <row r="722" spans="1:16" hidden="1" x14ac:dyDescent="0.25">
      <c r="A722" s="3" t="s">
        <v>310</v>
      </c>
      <c r="B722" t="s">
        <v>483</v>
      </c>
      <c r="C722" t="s">
        <v>155</v>
      </c>
      <c r="D722" t="s">
        <v>26</v>
      </c>
      <c r="E722" t="s">
        <v>42</v>
      </c>
      <c r="F722">
        <v>1</v>
      </c>
      <c r="G722" s="3" t="s">
        <v>4</v>
      </c>
      <c r="H722" s="46" t="s">
        <v>15</v>
      </c>
      <c r="I722" s="17">
        <v>40000</v>
      </c>
      <c r="J722" s="17">
        <f>IF(Gastos[[#This Row],[Divisa]]="$", I722*1, IF(Gastos[[#This Row],[Divisa]]="U$D", I722*$N$1, IF(Gastos[[#This Row],[Divisa]]="EUR", I722*$N$2, 0)))</f>
        <v>40000</v>
      </c>
      <c r="K722" s="54">
        <f>Gastos[[#This Row],[Importe AR$]]/$N$1</f>
        <v>25.641025641025642</v>
      </c>
      <c r="M722" s="69"/>
      <c r="N722" s="43" t="str">
        <f>IF(Gastos[[#This Row],[Fecha_Cheque]]&gt;0,WEEKNUM(Gastos[[#This Row],[Fecha_Cheque]]),MID(Gastos[[#This Row],[Semana]],6,2))</f>
        <v>36</v>
      </c>
      <c r="P722" t="s">
        <v>27</v>
      </c>
    </row>
    <row r="723" spans="1:16" hidden="1" x14ac:dyDescent="0.25">
      <c r="A723" s="3" t="s">
        <v>310</v>
      </c>
      <c r="B723" t="s">
        <v>483</v>
      </c>
      <c r="C723" t="s">
        <v>155</v>
      </c>
      <c r="D723" t="s">
        <v>26</v>
      </c>
      <c r="E723" t="s">
        <v>42</v>
      </c>
      <c r="F723">
        <v>1</v>
      </c>
      <c r="G723" s="3" t="s">
        <v>4</v>
      </c>
      <c r="H723" s="46" t="s">
        <v>15</v>
      </c>
      <c r="I723" s="17">
        <v>60000</v>
      </c>
      <c r="J723" s="17">
        <f>IF(Gastos[[#This Row],[Divisa]]="$", I723*1, IF(Gastos[[#This Row],[Divisa]]="U$D", I723*$N$1, IF(Gastos[[#This Row],[Divisa]]="EUR", I723*$N$2, 0)))</f>
        <v>60000</v>
      </c>
      <c r="K723" s="54">
        <f>Gastos[[#This Row],[Importe AR$]]/$N$1</f>
        <v>38.46153846153846</v>
      </c>
      <c r="M723" s="69"/>
      <c r="N723" s="43" t="str">
        <f>IF(Gastos[[#This Row],[Fecha_Cheque]]&gt;0,WEEKNUM(Gastos[[#This Row],[Fecha_Cheque]]),MID(Gastos[[#This Row],[Semana]],6,2))</f>
        <v>36</v>
      </c>
      <c r="P723" t="s">
        <v>27</v>
      </c>
    </row>
    <row r="724" spans="1:16" hidden="1" x14ac:dyDescent="0.25">
      <c r="A724" s="3" t="s">
        <v>310</v>
      </c>
      <c r="B724" t="s">
        <v>483</v>
      </c>
      <c r="C724" t="s">
        <v>155</v>
      </c>
      <c r="D724" t="s">
        <v>26</v>
      </c>
      <c r="E724" t="s">
        <v>42</v>
      </c>
      <c r="F724">
        <v>1</v>
      </c>
      <c r="G724" s="3" t="s">
        <v>4</v>
      </c>
      <c r="H724" s="46" t="s">
        <v>15</v>
      </c>
      <c r="I724" s="17">
        <v>100000</v>
      </c>
      <c r="J724" s="17">
        <f>IF(Gastos[[#This Row],[Divisa]]="$", I724*1, IF(Gastos[[#This Row],[Divisa]]="U$D", I724*$N$1, IF(Gastos[[#This Row],[Divisa]]="EUR", I724*$N$2, 0)))</f>
        <v>100000</v>
      </c>
      <c r="K724" s="54">
        <f>Gastos[[#This Row],[Importe AR$]]/$N$1</f>
        <v>64.102564102564102</v>
      </c>
      <c r="M724" s="69"/>
      <c r="N724" s="43" t="str">
        <f>IF(Gastos[[#This Row],[Fecha_Cheque]]&gt;0,WEEKNUM(Gastos[[#This Row],[Fecha_Cheque]]),MID(Gastos[[#This Row],[Semana]],6,2))</f>
        <v>36</v>
      </c>
      <c r="O724" t="s">
        <v>123</v>
      </c>
      <c r="P724" t="s">
        <v>27</v>
      </c>
    </row>
    <row r="725" spans="1:16" hidden="1" x14ac:dyDescent="0.25">
      <c r="A725" s="3" t="s">
        <v>210</v>
      </c>
      <c r="B725" t="s">
        <v>483</v>
      </c>
      <c r="C725" t="s">
        <v>155</v>
      </c>
      <c r="D725" t="s">
        <v>26</v>
      </c>
      <c r="E725" t="s">
        <v>42</v>
      </c>
      <c r="F725">
        <v>1</v>
      </c>
      <c r="G725" s="3" t="s">
        <v>4</v>
      </c>
      <c r="H725" s="46" t="s">
        <v>15</v>
      </c>
      <c r="I725" s="17">
        <v>100000</v>
      </c>
      <c r="J725" s="17">
        <f>IF(Gastos[[#This Row],[Divisa]]="$", I725*1, IF(Gastos[[#This Row],[Divisa]]="U$D", I725*$N$1, IF(Gastos[[#This Row],[Divisa]]="EUR", I725*$N$2, 0)))</f>
        <v>100000</v>
      </c>
      <c r="K725" s="54">
        <f>Gastos[[#This Row],[Importe AR$]]/$N$1</f>
        <v>64.102564102564102</v>
      </c>
      <c r="M725" s="69"/>
      <c r="N725" s="43" t="str">
        <f>IF(Gastos[[#This Row],[Fecha_Cheque]]&gt;0,WEEKNUM(Gastos[[#This Row],[Fecha_Cheque]]),MID(Gastos[[#This Row],[Semana]],6,2))</f>
        <v>37</v>
      </c>
      <c r="O725" t="s">
        <v>576</v>
      </c>
      <c r="P725" t="s">
        <v>27</v>
      </c>
    </row>
    <row r="726" spans="1:16" hidden="1" x14ac:dyDescent="0.25">
      <c r="A726" s="3" t="s">
        <v>89</v>
      </c>
      <c r="B726" t="s">
        <v>483</v>
      </c>
      <c r="C726" t="s">
        <v>155</v>
      </c>
      <c r="D726" t="s">
        <v>26</v>
      </c>
      <c r="E726" t="s">
        <v>42</v>
      </c>
      <c r="F726">
        <v>1</v>
      </c>
      <c r="G726" s="3" t="s">
        <v>4</v>
      </c>
      <c r="H726" s="46" t="s">
        <v>15</v>
      </c>
      <c r="I726" s="17">
        <v>100000</v>
      </c>
      <c r="J726" s="17">
        <f>IF(Gastos[[#This Row],[Divisa]]="$", I726*1, IF(Gastos[[#This Row],[Divisa]]="U$D", I726*$N$1, IF(Gastos[[#This Row],[Divisa]]="EUR", I726*$N$2, 0)))</f>
        <v>100000</v>
      </c>
      <c r="K726" s="54">
        <f>Gastos[[#This Row],[Importe AR$]]/$N$1</f>
        <v>64.102564102564102</v>
      </c>
      <c r="M726" s="69"/>
      <c r="N726" s="43" t="str">
        <f>IF(Gastos[[#This Row],[Fecha_Cheque]]&gt;0,WEEKNUM(Gastos[[#This Row],[Fecha_Cheque]]),MID(Gastos[[#This Row],[Semana]],6,2))</f>
        <v>39</v>
      </c>
      <c r="O726" t="s">
        <v>577</v>
      </c>
      <c r="P726" t="s">
        <v>27</v>
      </c>
    </row>
    <row r="727" spans="1:16" hidden="1" x14ac:dyDescent="0.25">
      <c r="A727" s="3" t="s">
        <v>72</v>
      </c>
      <c r="B727" t="s">
        <v>483</v>
      </c>
      <c r="C727" t="s">
        <v>155</v>
      </c>
      <c r="D727" t="s">
        <v>26</v>
      </c>
      <c r="E727" t="s">
        <v>42</v>
      </c>
      <c r="F727">
        <v>1</v>
      </c>
      <c r="G727" s="3" t="s">
        <v>4</v>
      </c>
      <c r="H727" s="46" t="s">
        <v>15</v>
      </c>
      <c r="I727" s="17">
        <v>120010.47</v>
      </c>
      <c r="J727" s="17">
        <f>IF(Gastos[[#This Row],[Divisa]]="$", I727*1, IF(Gastos[[#This Row],[Divisa]]="U$D", I727*$N$1, IF(Gastos[[#This Row],[Divisa]]="EUR", I727*$N$2, 0)))</f>
        <v>120010.47</v>
      </c>
      <c r="K727" s="54">
        <f>Gastos[[#This Row],[Importe AR$]]/$N$1</f>
        <v>76.929788461538465</v>
      </c>
      <c r="M727" s="69"/>
      <c r="N727" s="43" t="str">
        <f>IF(Gastos[[#This Row],[Fecha_Cheque]]&gt;0,WEEKNUM(Gastos[[#This Row],[Fecha_Cheque]]),MID(Gastos[[#This Row],[Semana]],6,2))</f>
        <v>48</v>
      </c>
      <c r="O727" t="s">
        <v>578</v>
      </c>
      <c r="P727" t="s">
        <v>27</v>
      </c>
    </row>
    <row r="728" spans="1:16" hidden="1" x14ac:dyDescent="0.25">
      <c r="A728" s="3" t="s">
        <v>93</v>
      </c>
      <c r="B728" t="s">
        <v>483</v>
      </c>
      <c r="C728" t="s">
        <v>155</v>
      </c>
      <c r="D728" t="s">
        <v>26</v>
      </c>
      <c r="E728" t="s">
        <v>42</v>
      </c>
      <c r="F728">
        <v>1</v>
      </c>
      <c r="G728" s="3" t="s">
        <v>4</v>
      </c>
      <c r="H728" s="46" t="s">
        <v>15</v>
      </c>
      <c r="I728" s="17">
        <v>94999.14</v>
      </c>
      <c r="J728" s="17">
        <f>IF(Gastos[[#This Row],[Divisa]]="$", I728*1, IF(Gastos[[#This Row],[Divisa]]="U$D", I728*$N$1, IF(Gastos[[#This Row],[Divisa]]="EUR", I728*$N$2, 0)))</f>
        <v>94999.14</v>
      </c>
      <c r="K728" s="54">
        <f>Gastos[[#This Row],[Importe AR$]]/$N$1</f>
        <v>60.896884615384614</v>
      </c>
      <c r="M728" s="69"/>
      <c r="N728" s="43" t="str">
        <f>IF(Gastos[[#This Row],[Fecha_Cheque]]&gt;0,WEEKNUM(Gastos[[#This Row],[Fecha_Cheque]]),MID(Gastos[[#This Row],[Semana]],6,2))</f>
        <v>50</v>
      </c>
      <c r="O728" t="s">
        <v>579</v>
      </c>
      <c r="P728" t="s">
        <v>27</v>
      </c>
    </row>
    <row r="729" spans="1:16" hidden="1" x14ac:dyDescent="0.25">
      <c r="A729" s="3" t="s">
        <v>93</v>
      </c>
      <c r="B729" t="s">
        <v>483</v>
      </c>
      <c r="C729" t="s">
        <v>155</v>
      </c>
      <c r="D729" t="s">
        <v>26</v>
      </c>
      <c r="E729" t="s">
        <v>42</v>
      </c>
      <c r="F729">
        <v>1</v>
      </c>
      <c r="G729" s="3" t="s">
        <v>4</v>
      </c>
      <c r="H729" s="46" t="s">
        <v>15</v>
      </c>
      <c r="I729" s="17">
        <v>95000</v>
      </c>
      <c r="J729" s="17">
        <f>IF(Gastos[[#This Row],[Divisa]]="$", I729*1, IF(Gastos[[#This Row],[Divisa]]="U$D", I729*$N$1, IF(Gastos[[#This Row],[Divisa]]="EUR", I729*$N$2, 0)))</f>
        <v>95000</v>
      </c>
      <c r="K729" s="54">
        <f>Gastos[[#This Row],[Importe AR$]]/$N$1</f>
        <v>60.897435897435898</v>
      </c>
      <c r="M729" s="69"/>
      <c r="N729" s="43" t="str">
        <f>IF(Gastos[[#This Row],[Fecha_Cheque]]&gt;0,WEEKNUM(Gastos[[#This Row],[Fecha_Cheque]]),MID(Gastos[[#This Row],[Semana]],6,2))</f>
        <v>50</v>
      </c>
      <c r="O729" t="s">
        <v>579</v>
      </c>
      <c r="P729" t="s">
        <v>27</v>
      </c>
    </row>
    <row r="730" spans="1:16" hidden="1" x14ac:dyDescent="0.25">
      <c r="A730" s="3" t="s">
        <v>44</v>
      </c>
      <c r="B730" t="s">
        <v>483</v>
      </c>
      <c r="C730" t="s">
        <v>155</v>
      </c>
      <c r="D730" t="s">
        <v>26</v>
      </c>
      <c r="E730" t="s">
        <v>42</v>
      </c>
      <c r="F730">
        <v>1</v>
      </c>
      <c r="G730" s="3" t="s">
        <v>4</v>
      </c>
      <c r="H730" s="46" t="s">
        <v>15</v>
      </c>
      <c r="I730" s="17">
        <v>120000</v>
      </c>
      <c r="J730" s="17">
        <f>IF(Gastos[[#This Row],[Divisa]]="$", I730*1, IF(Gastos[[#This Row],[Divisa]]="U$D", I730*$N$1, IF(Gastos[[#This Row],[Divisa]]="EUR", I730*$N$2, 0)))</f>
        <v>120000</v>
      </c>
      <c r="K730" s="54">
        <f>Gastos[[#This Row],[Importe AR$]]/$N$1</f>
        <v>76.92307692307692</v>
      </c>
      <c r="M730" s="69"/>
      <c r="N730" s="43" t="str">
        <f>IF(Gastos[[#This Row],[Fecha_Cheque]]&gt;0,WEEKNUM(Gastos[[#This Row],[Fecha_Cheque]]),MID(Gastos[[#This Row],[Semana]],6,2))</f>
        <v>51</v>
      </c>
      <c r="O730" t="s">
        <v>580</v>
      </c>
      <c r="P730" t="s">
        <v>27</v>
      </c>
    </row>
    <row r="731" spans="1:16" hidden="1" x14ac:dyDescent="0.25">
      <c r="A731" s="3" t="s">
        <v>44</v>
      </c>
      <c r="B731" t="s">
        <v>483</v>
      </c>
      <c r="C731" t="s">
        <v>155</v>
      </c>
      <c r="D731" t="s">
        <v>26</v>
      </c>
      <c r="E731" t="s">
        <v>42</v>
      </c>
      <c r="F731">
        <v>1</v>
      </c>
      <c r="G731" s="3" t="s">
        <v>4</v>
      </c>
      <c r="H731" s="46" t="s">
        <v>15</v>
      </c>
      <c r="I731" s="17">
        <v>100000</v>
      </c>
      <c r="J731" s="17">
        <f>IF(Gastos[[#This Row],[Divisa]]="$", I731*1, IF(Gastos[[#This Row],[Divisa]]="U$D", I731*$N$1, IF(Gastos[[#This Row],[Divisa]]="EUR", I731*$N$2, 0)))</f>
        <v>100000</v>
      </c>
      <c r="K731" s="54">
        <f>Gastos[[#This Row],[Importe AR$]]/$N$1</f>
        <v>64.102564102564102</v>
      </c>
      <c r="M731" s="69"/>
      <c r="N731" s="43" t="str">
        <f>IF(Gastos[[#This Row],[Fecha_Cheque]]&gt;0,WEEKNUM(Gastos[[#This Row],[Fecha_Cheque]]),MID(Gastos[[#This Row],[Semana]],6,2))</f>
        <v>51</v>
      </c>
      <c r="O731" t="s">
        <v>581</v>
      </c>
      <c r="P731" t="s">
        <v>27</v>
      </c>
    </row>
    <row r="732" spans="1:16" hidden="1" x14ac:dyDescent="0.25">
      <c r="A732" s="3" t="s">
        <v>44</v>
      </c>
      <c r="B732" t="s">
        <v>483</v>
      </c>
      <c r="C732" t="s">
        <v>582</v>
      </c>
      <c r="D732" t="s">
        <v>26</v>
      </c>
      <c r="E732" t="s">
        <v>31</v>
      </c>
      <c r="F732">
        <v>1</v>
      </c>
      <c r="G732" s="3" t="s">
        <v>32</v>
      </c>
      <c r="H732" s="46" t="s">
        <v>15</v>
      </c>
      <c r="I732" s="17">
        <v>1936000</v>
      </c>
      <c r="J732" s="17">
        <f>IF(Gastos[[#This Row],[Divisa]]="$", I732*1, IF(Gastos[[#This Row],[Divisa]]="U$D", I732*$N$1, IF(Gastos[[#This Row],[Divisa]]="EUR", I732*$N$2, 0)))</f>
        <v>1936000</v>
      </c>
      <c r="K732" s="54">
        <f>Gastos[[#This Row],[Importe AR$]]/$N$1</f>
        <v>1241.0256410256411</v>
      </c>
      <c r="M732" s="69"/>
      <c r="N732" s="43" t="str">
        <f>IF(Gastos[[#This Row],[Fecha_Cheque]]&gt;0,WEEKNUM(Gastos[[#This Row],[Fecha_Cheque]]),MID(Gastos[[#This Row],[Semana]],6,2))</f>
        <v>51</v>
      </c>
      <c r="O732" t="s">
        <v>583</v>
      </c>
      <c r="P732" t="s">
        <v>27</v>
      </c>
    </row>
    <row r="733" spans="1:16" hidden="1" x14ac:dyDescent="0.25">
      <c r="A733" s="3" t="s">
        <v>72</v>
      </c>
      <c r="B733" t="s">
        <v>483</v>
      </c>
      <c r="C733" t="s">
        <v>584</v>
      </c>
      <c r="D733" t="s">
        <v>26</v>
      </c>
      <c r="E733" t="s">
        <v>31</v>
      </c>
      <c r="F733">
        <v>1</v>
      </c>
      <c r="G733" s="3" t="s">
        <v>5</v>
      </c>
      <c r="H733" s="46" t="s">
        <v>15</v>
      </c>
      <c r="I733" s="17">
        <v>961506.21</v>
      </c>
      <c r="J733" s="17">
        <f>IF(Gastos[[#This Row],[Divisa]]="$", I733*1, IF(Gastos[[#This Row],[Divisa]]="U$D", I733*$N$1, IF(Gastos[[#This Row],[Divisa]]="EUR", I733*$N$2, 0)))</f>
        <v>961506.21</v>
      </c>
      <c r="K733" s="54">
        <f>Gastos[[#This Row],[Importe AR$]]/$N$1</f>
        <v>616.3501346153846</v>
      </c>
      <c r="M733" s="69"/>
      <c r="N733" s="43" t="str">
        <f>IF(Gastos[[#This Row],[Fecha_Cheque]]&gt;0,WEEKNUM(Gastos[[#This Row],[Fecha_Cheque]]),MID(Gastos[[#This Row],[Semana]],6,2))</f>
        <v>48</v>
      </c>
      <c r="O733" t="s">
        <v>585</v>
      </c>
      <c r="P733" t="s">
        <v>27</v>
      </c>
    </row>
    <row r="734" spans="1:16" hidden="1" x14ac:dyDescent="0.25">
      <c r="A734" s="3" t="s">
        <v>68</v>
      </c>
      <c r="B734" t="s">
        <v>483</v>
      </c>
      <c r="C734" t="s">
        <v>155</v>
      </c>
      <c r="D734" t="s">
        <v>26</v>
      </c>
      <c r="E734" t="s">
        <v>42</v>
      </c>
      <c r="F734">
        <v>1</v>
      </c>
      <c r="G734" s="3" t="s">
        <v>4</v>
      </c>
      <c r="H734" s="46" t="s">
        <v>15</v>
      </c>
      <c r="I734" s="17">
        <v>143005</v>
      </c>
      <c r="J734" s="17">
        <f>IF(Gastos[[#This Row],[Divisa]]="$", I734*1, IF(Gastos[[#This Row],[Divisa]]="U$D", I734*$N$1, IF(Gastos[[#This Row],[Divisa]]="EUR", I734*$N$2, 0)))</f>
        <v>143005</v>
      </c>
      <c r="K734" s="54">
        <f>Gastos[[#This Row],[Importe AR$]]/$N$1</f>
        <v>91.669871794871796</v>
      </c>
      <c r="M734" s="69"/>
      <c r="N734" s="43" t="str">
        <f>IF(Gastos[[#This Row],[Fecha_Cheque]]&gt;0,WEEKNUM(Gastos[[#This Row],[Fecha_Cheque]]),MID(Gastos[[#This Row],[Semana]],6,2))</f>
        <v>05</v>
      </c>
      <c r="O734" t="s">
        <v>586</v>
      </c>
      <c r="P734" t="s">
        <v>27</v>
      </c>
    </row>
    <row r="735" spans="1:16" hidden="1" x14ac:dyDescent="0.25">
      <c r="A735" s="3" t="s">
        <v>139</v>
      </c>
      <c r="B735" t="s">
        <v>483</v>
      </c>
      <c r="C735" t="s">
        <v>484</v>
      </c>
      <c r="D735" t="s">
        <v>26</v>
      </c>
      <c r="E735" t="s">
        <v>31</v>
      </c>
      <c r="F735">
        <v>1</v>
      </c>
      <c r="G735" s="3" t="s">
        <v>5</v>
      </c>
      <c r="H735" s="46" t="s">
        <v>15</v>
      </c>
      <c r="I735" s="17">
        <v>1936000</v>
      </c>
      <c r="J735" s="17">
        <f>IF(Gastos[[#This Row],[Divisa]]="$", I735*1, IF(Gastos[[#This Row],[Divisa]]="U$D", I735*$N$1, IF(Gastos[[#This Row],[Divisa]]="EUR", I735*$N$2, 0)))</f>
        <v>1936000</v>
      </c>
      <c r="K735" s="54">
        <f>Gastos[[#This Row],[Importe AR$]]/$N$1</f>
        <v>1241.0256410256411</v>
      </c>
      <c r="M735" s="69"/>
      <c r="N735" s="43" t="str">
        <f>IF(Gastos[[#This Row],[Fecha_Cheque]]&gt;0,WEEKNUM(Gastos[[#This Row],[Fecha_Cheque]]),MID(Gastos[[#This Row],[Semana]],6,2))</f>
        <v>08</v>
      </c>
      <c r="O735" t="s">
        <v>589</v>
      </c>
      <c r="P735" t="s">
        <v>27</v>
      </c>
    </row>
    <row r="736" spans="1:16" hidden="1" x14ac:dyDescent="0.25">
      <c r="A736" s="3" t="s">
        <v>2711</v>
      </c>
      <c r="B736" t="s">
        <v>483</v>
      </c>
      <c r="C736" t="s">
        <v>155</v>
      </c>
      <c r="D736" t="s">
        <v>26</v>
      </c>
      <c r="E736" t="s">
        <v>42</v>
      </c>
      <c r="F736">
        <v>1</v>
      </c>
      <c r="G736" s="3" t="s">
        <v>4</v>
      </c>
      <c r="H736" s="46" t="s">
        <v>15</v>
      </c>
      <c r="I736" s="17">
        <v>80011.27</v>
      </c>
      <c r="J736" s="17">
        <f>IF(Gastos[[#This Row],[Divisa]]="$", I736*1, IF(Gastos[[#This Row],[Divisa]]="U$D", I736*$N$1, IF(Gastos[[#This Row],[Divisa]]="EUR", I736*$N$2, 0)))</f>
        <v>80011.27</v>
      </c>
      <c r="K736" s="54">
        <f>Gastos[[#This Row],[Importe AR$]]/$N$1</f>
        <v>51.289275641025647</v>
      </c>
      <c r="M736" s="69"/>
      <c r="N736" s="43" t="str">
        <f>IF(Gastos[[#This Row],[Fecha_Cheque]]&gt;0,WEEKNUM(Gastos[[#This Row],[Fecha_Cheque]]),MID(Gastos[[#This Row],[Semana]],6,2))</f>
        <v>15</v>
      </c>
      <c r="O736" t="s">
        <v>2797</v>
      </c>
      <c r="P736" t="s">
        <v>27</v>
      </c>
    </row>
    <row r="737" spans="1:16" hidden="1" x14ac:dyDescent="0.25">
      <c r="A737" s="3" t="s">
        <v>2711</v>
      </c>
      <c r="B737" t="s">
        <v>483</v>
      </c>
      <c r="C737" t="s">
        <v>2798</v>
      </c>
      <c r="D737" t="s">
        <v>61</v>
      </c>
      <c r="E737" t="s">
        <v>31</v>
      </c>
      <c r="F737">
        <v>1</v>
      </c>
      <c r="G737" s="3" t="s">
        <v>5</v>
      </c>
      <c r="H737" s="44" t="s">
        <v>15</v>
      </c>
      <c r="I737" s="17">
        <v>2400000</v>
      </c>
      <c r="J737" s="17">
        <f>IF(Gastos[[#This Row],[Divisa]]="$", I737*1, IF(Gastos[[#This Row],[Divisa]]="U$D", I737*$N$1, IF(Gastos[[#This Row],[Divisa]]="EUR", I737*$N$2, 0)))</f>
        <v>2400000</v>
      </c>
      <c r="K737" s="54">
        <f>Gastos[[#This Row],[Importe AR$]]/$N$1</f>
        <v>1538.4615384615386</v>
      </c>
      <c r="M737" s="69"/>
      <c r="N737" s="43" t="str">
        <f>IF(Gastos[[#This Row],[Fecha_Cheque]]&gt;0,WEEKNUM(Gastos[[#This Row],[Fecha_Cheque]]),MID(Gastos[[#This Row],[Semana]],6,2))</f>
        <v>15</v>
      </c>
      <c r="O737" t="s">
        <v>2799</v>
      </c>
      <c r="P737" t="s">
        <v>27</v>
      </c>
    </row>
    <row r="738" spans="1:16" hidden="1" x14ac:dyDescent="0.25">
      <c r="A738" s="3" t="s">
        <v>2711</v>
      </c>
      <c r="B738" t="s">
        <v>483</v>
      </c>
      <c r="C738" t="s">
        <v>2798</v>
      </c>
      <c r="D738" t="s">
        <v>61</v>
      </c>
      <c r="E738" t="s">
        <v>31</v>
      </c>
      <c r="F738">
        <v>1</v>
      </c>
      <c r="G738" s="3" t="s">
        <v>5</v>
      </c>
      <c r="H738" s="44" t="s">
        <v>15</v>
      </c>
      <c r="I738" s="17">
        <v>38326.019999999997</v>
      </c>
      <c r="J738" s="17">
        <f>IF(Gastos[[#This Row],[Divisa]]="$", I738*1, IF(Gastos[[#This Row],[Divisa]]="U$D", I738*$N$1, IF(Gastos[[#This Row],[Divisa]]="EUR", I738*$N$2, 0)))</f>
        <v>38326.019999999997</v>
      </c>
      <c r="K738" s="54">
        <f>Gastos[[#This Row],[Importe AR$]]/$N$1</f>
        <v>24.567961538461535</v>
      </c>
      <c r="M738" s="69"/>
      <c r="N738" s="43" t="str">
        <f>IF(Gastos[[#This Row],[Fecha_Cheque]]&gt;0,WEEKNUM(Gastos[[#This Row],[Fecha_Cheque]]),MID(Gastos[[#This Row],[Semana]],6,2))</f>
        <v>15</v>
      </c>
      <c r="O738" t="s">
        <v>2799</v>
      </c>
      <c r="P738" t="s">
        <v>27</v>
      </c>
    </row>
    <row r="739" spans="1:16" hidden="1" x14ac:dyDescent="0.25">
      <c r="A739" s="3" t="s">
        <v>2740</v>
      </c>
      <c r="B739" t="s">
        <v>483</v>
      </c>
      <c r="C739" t="s">
        <v>155</v>
      </c>
      <c r="D739" t="s">
        <v>26</v>
      </c>
      <c r="E739" t="s">
        <v>42</v>
      </c>
      <c r="F739">
        <v>1</v>
      </c>
      <c r="G739" s="3" t="s">
        <v>4</v>
      </c>
      <c r="H739" s="46" t="s">
        <v>15</v>
      </c>
      <c r="I739" s="17">
        <v>40000.85</v>
      </c>
      <c r="J739" s="17">
        <f>IF(Gastos[[#This Row],[Divisa]]="$", I739*1, IF(Gastos[[#This Row],[Divisa]]="U$D", I739*$N$1, IF(Gastos[[#This Row],[Divisa]]="EUR", I739*$N$2, 0)))</f>
        <v>40000.85</v>
      </c>
      <c r="K739" s="54">
        <f>Gastos[[#This Row],[Importe AR$]]/$N$1</f>
        <v>25.641570512820511</v>
      </c>
      <c r="M739" s="69"/>
      <c r="N739" s="43" t="str">
        <f>IF(Gastos[[#This Row],[Fecha_Cheque]]&gt;0,WEEKNUM(Gastos[[#This Row],[Fecha_Cheque]]),MID(Gastos[[#This Row],[Semana]],6,2))</f>
        <v>16</v>
      </c>
      <c r="O739" t="s">
        <v>2844</v>
      </c>
      <c r="P739" t="s">
        <v>27</v>
      </c>
    </row>
    <row r="740" spans="1:16" hidden="1" x14ac:dyDescent="0.25">
      <c r="A740" s="3" t="s">
        <v>2740</v>
      </c>
      <c r="B740" t="s">
        <v>483</v>
      </c>
      <c r="C740" t="s">
        <v>155</v>
      </c>
      <c r="D740" t="s">
        <v>26</v>
      </c>
      <c r="E740" t="s">
        <v>42</v>
      </c>
      <c r="F740">
        <v>1</v>
      </c>
      <c r="G740" s="3" t="s">
        <v>4</v>
      </c>
      <c r="H740" s="44" t="s">
        <v>15</v>
      </c>
      <c r="I740" s="17">
        <v>159996.93</v>
      </c>
      <c r="J740" s="17">
        <f>IF(Gastos[[#This Row],[Divisa]]="$", I740*1, IF(Gastos[[#This Row],[Divisa]]="U$D", I740*$N$1, IF(Gastos[[#This Row],[Divisa]]="EUR", I740*$N$2, 0)))</f>
        <v>159996.93</v>
      </c>
      <c r="K740" s="54">
        <f>Gastos[[#This Row],[Importe AR$]]/$N$1</f>
        <v>102.56213461538461</v>
      </c>
      <c r="M740" s="69"/>
      <c r="N740" s="43" t="str">
        <f>IF(Gastos[[#This Row],[Fecha_Cheque]]&gt;0,WEEKNUM(Gastos[[#This Row],[Fecha_Cheque]]),MID(Gastos[[#This Row],[Semana]],6,2))</f>
        <v>16</v>
      </c>
      <c r="O740" t="s">
        <v>2848</v>
      </c>
      <c r="P740" t="s">
        <v>27</v>
      </c>
    </row>
    <row r="741" spans="1:16" hidden="1" x14ac:dyDescent="0.25">
      <c r="A741" s="3" t="s">
        <v>2740</v>
      </c>
      <c r="B741" t="s">
        <v>483</v>
      </c>
      <c r="C741" t="s">
        <v>155</v>
      </c>
      <c r="D741" t="s">
        <v>26</v>
      </c>
      <c r="E741" t="s">
        <v>42</v>
      </c>
      <c r="F741">
        <v>1</v>
      </c>
      <c r="G741" s="3" t="s">
        <v>4</v>
      </c>
      <c r="H741" s="44" t="s">
        <v>15</v>
      </c>
      <c r="I741" s="17">
        <v>161009.29999999999</v>
      </c>
      <c r="J741" s="17">
        <f>IF(Gastos[[#This Row],[Divisa]]="$", I741*1, IF(Gastos[[#This Row],[Divisa]]="U$D", I741*$N$1, IF(Gastos[[#This Row],[Divisa]]="EUR", I741*$N$2, 0)))</f>
        <v>161009.29999999999</v>
      </c>
      <c r="K741" s="54">
        <f>Gastos[[#This Row],[Importe AR$]]/$N$1</f>
        <v>103.21108974358974</v>
      </c>
      <c r="M741" s="69"/>
      <c r="N741" s="43" t="str">
        <f>IF(Gastos[[#This Row],[Fecha_Cheque]]&gt;0,WEEKNUM(Gastos[[#This Row],[Fecha_Cheque]]),MID(Gastos[[#This Row],[Semana]],6,2))</f>
        <v>16</v>
      </c>
      <c r="O741" t="s">
        <v>2851</v>
      </c>
      <c r="P741" t="s">
        <v>27</v>
      </c>
    </row>
    <row r="742" spans="1:16" hidden="1" x14ac:dyDescent="0.25">
      <c r="A742" s="3" t="s">
        <v>2804</v>
      </c>
      <c r="B742" t="s">
        <v>483</v>
      </c>
      <c r="C742" t="s">
        <v>155</v>
      </c>
      <c r="D742" t="s">
        <v>26</v>
      </c>
      <c r="E742" t="s">
        <v>42</v>
      </c>
      <c r="F742">
        <v>1</v>
      </c>
      <c r="G742" s="3" t="s">
        <v>4</v>
      </c>
      <c r="H742" s="46" t="s">
        <v>15</v>
      </c>
      <c r="I742" s="17">
        <v>20000.419999999998</v>
      </c>
      <c r="J742" s="17">
        <f>IF(Gastos[[#This Row],[Divisa]]="$", I742*1, IF(Gastos[[#This Row],[Divisa]]="U$D", I742*$N$1, IF(Gastos[[#This Row],[Divisa]]="EUR", I742*$N$2, 0)))</f>
        <v>20000.419999999998</v>
      </c>
      <c r="K742" s="54">
        <f>Gastos[[#This Row],[Importe AR$]]/$N$1</f>
        <v>12.82078205128205</v>
      </c>
      <c r="M742" s="69"/>
      <c r="N742" s="43" t="str">
        <f>IF(Gastos[[#This Row],[Fecha_Cheque]]&gt;0,WEEKNUM(Gastos[[#This Row],[Fecha_Cheque]]),MID(Gastos[[#This Row],[Semana]],6,2))</f>
        <v>19</v>
      </c>
      <c r="O742" t="s">
        <v>2903</v>
      </c>
      <c r="P742" t="s">
        <v>27</v>
      </c>
    </row>
    <row r="743" spans="1:16" hidden="1" x14ac:dyDescent="0.25">
      <c r="A743" s="3" t="s">
        <v>2804</v>
      </c>
      <c r="B743" t="s">
        <v>483</v>
      </c>
      <c r="C743" t="s">
        <v>155</v>
      </c>
      <c r="D743" t="s">
        <v>26</v>
      </c>
      <c r="E743" t="s">
        <v>42</v>
      </c>
      <c r="F743">
        <v>1</v>
      </c>
      <c r="G743" s="3" t="s">
        <v>4</v>
      </c>
      <c r="H743" s="46" t="s">
        <v>15</v>
      </c>
      <c r="I743" s="17">
        <v>169013.4</v>
      </c>
      <c r="J743" s="17">
        <f>IF(Gastos[[#This Row],[Divisa]]="$", I743*1, IF(Gastos[[#This Row],[Divisa]]="U$D", I743*$N$1, IF(Gastos[[#This Row],[Divisa]]="EUR", I743*$N$2, 0)))</f>
        <v>169013.4</v>
      </c>
      <c r="K743" s="54">
        <f>Gastos[[#This Row],[Importe AR$]]/$N$1</f>
        <v>108.34192307692307</v>
      </c>
      <c r="M743" s="69"/>
      <c r="N743" s="43" t="str">
        <f>IF(Gastos[[#This Row],[Fecha_Cheque]]&gt;0,WEEKNUM(Gastos[[#This Row],[Fecha_Cheque]]),MID(Gastos[[#This Row],[Semana]],6,2))</f>
        <v>19</v>
      </c>
      <c r="O743" t="s">
        <v>2907</v>
      </c>
      <c r="P743" t="s">
        <v>27</v>
      </c>
    </row>
    <row r="744" spans="1:16" hidden="1" x14ac:dyDescent="0.25">
      <c r="A744" s="3" t="s">
        <v>2804</v>
      </c>
      <c r="B744" t="s">
        <v>483</v>
      </c>
      <c r="C744" t="s">
        <v>155</v>
      </c>
      <c r="D744" t="s">
        <v>26</v>
      </c>
      <c r="E744" t="s">
        <v>42</v>
      </c>
      <c r="F744">
        <v>1</v>
      </c>
      <c r="G744" s="3" t="s">
        <v>4</v>
      </c>
      <c r="H744" s="46" t="s">
        <v>15</v>
      </c>
      <c r="I744" s="17">
        <v>50000.91</v>
      </c>
      <c r="J744" s="17">
        <f>IF(Gastos[[#This Row],[Divisa]]="$", I744*1, IF(Gastos[[#This Row],[Divisa]]="U$D", I744*$N$1, IF(Gastos[[#This Row],[Divisa]]="EUR", I744*$N$2, 0)))</f>
        <v>50000.91</v>
      </c>
      <c r="K744" s="54">
        <f>Gastos[[#This Row],[Importe AR$]]/$N$1</f>
        <v>32.05186538461539</v>
      </c>
      <c r="M744" s="69"/>
      <c r="N744" s="43" t="str">
        <f>IF(Gastos[[#This Row],[Fecha_Cheque]]&gt;0,WEEKNUM(Gastos[[#This Row],[Fecha_Cheque]]),MID(Gastos[[#This Row],[Semana]],6,2))</f>
        <v>19</v>
      </c>
      <c r="O744" t="s">
        <v>2920</v>
      </c>
      <c r="P744" t="s">
        <v>27</v>
      </c>
    </row>
    <row r="745" spans="1:16" hidden="1" x14ac:dyDescent="0.25">
      <c r="A745" s="3" t="s">
        <v>2773</v>
      </c>
      <c r="B745" t="s">
        <v>483</v>
      </c>
      <c r="C745" t="s">
        <v>155</v>
      </c>
      <c r="D745" t="s">
        <v>26</v>
      </c>
      <c r="E745" t="s">
        <v>42</v>
      </c>
      <c r="F745">
        <v>1</v>
      </c>
      <c r="G745" s="3" t="s">
        <v>4</v>
      </c>
      <c r="H745" s="46" t="s">
        <v>15</v>
      </c>
      <c r="I745" s="17">
        <v>150005.12</v>
      </c>
      <c r="J745" s="17">
        <f>IF(Gastos[[#This Row],[Divisa]]="$", I745*1, IF(Gastos[[#This Row],[Divisa]]="U$D", I745*$N$1, IF(Gastos[[#This Row],[Divisa]]="EUR", I745*$N$2, 0)))</f>
        <v>150005.12</v>
      </c>
      <c r="K745" s="54">
        <f>Gastos[[#This Row],[Importe AR$]]/$N$1</f>
        <v>96.157128205128203</v>
      </c>
      <c r="M745" s="69"/>
      <c r="N745" s="43" t="str">
        <f>IF(Gastos[[#This Row],[Fecha_Cheque]]&gt;0,WEEKNUM(Gastos[[#This Row],[Fecha_Cheque]]),MID(Gastos[[#This Row],[Semana]],6,2))</f>
        <v>20</v>
      </c>
      <c r="O745" t="s">
        <v>2992</v>
      </c>
      <c r="P745" t="s">
        <v>27</v>
      </c>
    </row>
    <row r="746" spans="1:16" hidden="1" x14ac:dyDescent="0.25">
      <c r="A746" s="3" t="s">
        <v>2773</v>
      </c>
      <c r="B746" t="s">
        <v>483</v>
      </c>
      <c r="C746" t="s">
        <v>155</v>
      </c>
      <c r="D746" t="s">
        <v>26</v>
      </c>
      <c r="E746" t="s">
        <v>42</v>
      </c>
      <c r="F746">
        <v>1</v>
      </c>
      <c r="G746" s="3" t="s">
        <v>4</v>
      </c>
      <c r="H746" s="46" t="s">
        <v>15</v>
      </c>
      <c r="I746" s="17">
        <v>150081.9</v>
      </c>
      <c r="J746" s="17">
        <f>IF(Gastos[[#This Row],[Divisa]]="$", I746*1, IF(Gastos[[#This Row],[Divisa]]="U$D", I746*$N$1, IF(Gastos[[#This Row],[Divisa]]="EUR", I746*$N$2, 0)))</f>
        <v>150081.9</v>
      </c>
      <c r="K746" s="54">
        <f>Gastos[[#This Row],[Importe AR$]]/$N$1</f>
        <v>96.206346153846155</v>
      </c>
      <c r="M746" s="69"/>
      <c r="N746" s="43" t="str">
        <f>IF(Gastos[[#This Row],[Fecha_Cheque]]&gt;0,WEEKNUM(Gastos[[#This Row],[Fecha_Cheque]]),MID(Gastos[[#This Row],[Semana]],6,2))</f>
        <v>20</v>
      </c>
      <c r="O746" t="s">
        <v>2993</v>
      </c>
      <c r="P746" t="s">
        <v>27</v>
      </c>
    </row>
    <row r="747" spans="1:16" hidden="1" x14ac:dyDescent="0.25">
      <c r="A747" s="3" t="s">
        <v>2773</v>
      </c>
      <c r="B747" t="s">
        <v>483</v>
      </c>
      <c r="C747" t="s">
        <v>155</v>
      </c>
      <c r="D747" t="s">
        <v>26</v>
      </c>
      <c r="E747" t="s">
        <v>42</v>
      </c>
      <c r="F747">
        <v>1</v>
      </c>
      <c r="G747" s="3" t="s">
        <v>4</v>
      </c>
      <c r="H747" s="46" t="s">
        <v>15</v>
      </c>
      <c r="I747" s="17">
        <v>99998.98</v>
      </c>
      <c r="J747" s="17">
        <f>IF(Gastos[[#This Row],[Divisa]]="$", I747*1, IF(Gastos[[#This Row],[Divisa]]="U$D", I747*$N$1, IF(Gastos[[#This Row],[Divisa]]="EUR", I747*$N$2, 0)))</f>
        <v>99998.98</v>
      </c>
      <c r="K747" s="54">
        <f>Gastos[[#This Row],[Importe AR$]]/$N$1</f>
        <v>64.10191025641025</v>
      </c>
      <c r="M747" s="69"/>
      <c r="N747" s="43" t="str">
        <f>IF(Gastos[[#This Row],[Fecha_Cheque]]&gt;0,WEEKNUM(Gastos[[#This Row],[Fecha_Cheque]]),MID(Gastos[[#This Row],[Semana]],6,2))</f>
        <v>20</v>
      </c>
      <c r="O747" t="s">
        <v>3003</v>
      </c>
      <c r="P747" t="s">
        <v>27</v>
      </c>
    </row>
    <row r="748" spans="1:16" hidden="1" x14ac:dyDescent="0.25">
      <c r="A748" s="3" t="s">
        <v>2773</v>
      </c>
      <c r="B748" t="s">
        <v>483</v>
      </c>
      <c r="C748" t="s">
        <v>155</v>
      </c>
      <c r="D748" t="s">
        <v>26</v>
      </c>
      <c r="E748" t="s">
        <v>42</v>
      </c>
      <c r="F748">
        <v>1</v>
      </c>
      <c r="G748" s="3" t="s">
        <v>4</v>
      </c>
      <c r="H748" s="46" t="s">
        <v>15</v>
      </c>
      <c r="I748" s="17">
        <v>14999.71</v>
      </c>
      <c r="J748" s="17">
        <f>IF(Gastos[[#This Row],[Divisa]]="$", I748*1, IF(Gastos[[#This Row],[Divisa]]="U$D", I748*$N$1, IF(Gastos[[#This Row],[Divisa]]="EUR", I748*$N$2, 0)))</f>
        <v>14999.71</v>
      </c>
      <c r="K748" s="54">
        <f>Gastos[[#This Row],[Importe AR$]]/$N$1</f>
        <v>9.6151987179487168</v>
      </c>
      <c r="M748" s="69"/>
      <c r="N748" s="43" t="str">
        <f>IF(Gastos[[#This Row],[Fecha_Cheque]]&gt;0,WEEKNUM(Gastos[[#This Row],[Fecha_Cheque]]),MID(Gastos[[#This Row],[Semana]],6,2))</f>
        <v>20</v>
      </c>
      <c r="O748" t="s">
        <v>3004</v>
      </c>
      <c r="P748" t="s">
        <v>27</v>
      </c>
    </row>
    <row r="749" spans="1:16" hidden="1" x14ac:dyDescent="0.25">
      <c r="A749" s="3" t="s">
        <v>3567</v>
      </c>
      <c r="B749" t="s">
        <v>483</v>
      </c>
      <c r="C749" t="s">
        <v>3442</v>
      </c>
      <c r="D749" t="s">
        <v>26</v>
      </c>
      <c r="E749" t="s">
        <v>42</v>
      </c>
      <c r="F749">
        <v>2</v>
      </c>
      <c r="G749" s="3" t="s">
        <v>4</v>
      </c>
      <c r="H749" s="44" t="s">
        <v>15</v>
      </c>
      <c r="I749" s="17">
        <v>1000000</v>
      </c>
      <c r="J749" s="17">
        <f>IF(Gastos[[#This Row],[Divisa]]="$", I749*1, IF(Gastos[[#This Row],[Divisa]]="U$D", I749*$N$1, IF(Gastos[[#This Row],[Divisa]]="EUR", I749*$N$2, 0)))</f>
        <v>1000000</v>
      </c>
      <c r="K749" s="54">
        <f>Gastos[[#This Row],[Importe AR$]]/$N$1</f>
        <v>641.02564102564099</v>
      </c>
      <c r="M749" s="69"/>
      <c r="N749" s="43" t="str">
        <f>IF(Gastos[[#This Row],[Fecha_Cheque]]&gt;0,WEEKNUM(Gastos[[#This Row],[Fecha_Cheque]]),MID(Gastos[[#This Row],[Semana]],6,2))</f>
        <v>26</v>
      </c>
      <c r="O749" t="s">
        <v>3605</v>
      </c>
      <c r="P749" t="s">
        <v>27</v>
      </c>
    </row>
    <row r="750" spans="1:16" hidden="1" x14ac:dyDescent="0.25">
      <c r="A750" s="3" t="s">
        <v>3617</v>
      </c>
      <c r="B750" t="s">
        <v>483</v>
      </c>
      <c r="C750" t="s">
        <v>155</v>
      </c>
      <c r="D750" t="s">
        <v>26</v>
      </c>
      <c r="E750" t="s">
        <v>42</v>
      </c>
      <c r="F750">
        <v>1</v>
      </c>
      <c r="G750" s="3" t="s">
        <v>4</v>
      </c>
      <c r="H750" s="46" t="s">
        <v>15</v>
      </c>
      <c r="I750" s="17">
        <v>65006.15</v>
      </c>
      <c r="J750" s="17">
        <f>IF(Gastos[[#This Row],[Divisa]]="$", I750*1, IF(Gastos[[#This Row],[Divisa]]="U$D", I750*$N$1, IF(Gastos[[#This Row],[Divisa]]="EUR", I750*$N$2, 0)))</f>
        <v>65006.15</v>
      </c>
      <c r="K750" s="54">
        <f>Gastos[[#This Row],[Importe AR$]]/$N$1</f>
        <v>41.670608974358977</v>
      </c>
      <c r="M750" s="69"/>
      <c r="N750" s="43" t="str">
        <f>IF(Gastos[[#This Row],[Fecha_Cheque]]&gt;0,WEEKNUM(Gastos[[#This Row],[Fecha_Cheque]]),MID(Gastos[[#This Row],[Semana]],6,2))</f>
        <v>27</v>
      </c>
      <c r="O750" t="s">
        <v>3701</v>
      </c>
      <c r="P750" t="s">
        <v>27</v>
      </c>
    </row>
    <row r="751" spans="1:16" hidden="1" x14ac:dyDescent="0.25">
      <c r="A751" s="3" t="s">
        <v>3617</v>
      </c>
      <c r="B751" t="s">
        <v>483</v>
      </c>
      <c r="C751" t="s">
        <v>155</v>
      </c>
      <c r="D751" t="s">
        <v>26</v>
      </c>
      <c r="E751" t="s">
        <v>42</v>
      </c>
      <c r="F751">
        <v>1</v>
      </c>
      <c r="G751" s="3" t="s">
        <v>4</v>
      </c>
      <c r="H751" s="46" t="s">
        <v>15</v>
      </c>
      <c r="I751" s="17">
        <v>49999.5</v>
      </c>
      <c r="J751" s="17">
        <f>IF(Gastos[[#This Row],[Divisa]]="$", I751*1, IF(Gastos[[#This Row],[Divisa]]="U$D", I751*$N$1, IF(Gastos[[#This Row],[Divisa]]="EUR", I751*$N$2, 0)))</f>
        <v>49999.5</v>
      </c>
      <c r="K751" s="54">
        <f>Gastos[[#This Row],[Importe AR$]]/$N$1</f>
        <v>32.050961538461536</v>
      </c>
      <c r="M751" s="69"/>
      <c r="N751" s="43" t="str">
        <f>IF(Gastos[[#This Row],[Fecha_Cheque]]&gt;0,WEEKNUM(Gastos[[#This Row],[Fecha_Cheque]]),MID(Gastos[[#This Row],[Semana]],6,2))</f>
        <v>27</v>
      </c>
      <c r="O751" t="s">
        <v>3701</v>
      </c>
      <c r="P751" t="s">
        <v>27</v>
      </c>
    </row>
    <row r="752" spans="1:16" hidden="1" x14ac:dyDescent="0.25">
      <c r="A752" s="3" t="s">
        <v>3617</v>
      </c>
      <c r="B752" t="s">
        <v>483</v>
      </c>
      <c r="C752" t="s">
        <v>155</v>
      </c>
      <c r="D752" t="s">
        <v>26</v>
      </c>
      <c r="E752" t="s">
        <v>42</v>
      </c>
      <c r="F752">
        <v>1</v>
      </c>
      <c r="G752" s="3" t="s">
        <v>4</v>
      </c>
      <c r="H752" s="46" t="s">
        <v>15</v>
      </c>
      <c r="I752" s="17">
        <v>30000.19</v>
      </c>
      <c r="J752" s="17">
        <f>IF(Gastos[[#This Row],[Divisa]]="$", I752*1, IF(Gastos[[#This Row],[Divisa]]="U$D", I752*$N$1, IF(Gastos[[#This Row],[Divisa]]="EUR", I752*$N$2, 0)))</f>
        <v>30000.19</v>
      </c>
      <c r="K752" s="54">
        <f>Gastos[[#This Row],[Importe AR$]]/$N$1</f>
        <v>19.230891025641025</v>
      </c>
      <c r="M752" s="69"/>
      <c r="N752" s="43" t="str">
        <f>IF(Gastos[[#This Row],[Fecha_Cheque]]&gt;0,WEEKNUM(Gastos[[#This Row],[Fecha_Cheque]]),MID(Gastos[[#This Row],[Semana]],6,2))</f>
        <v>27</v>
      </c>
      <c r="O752" t="s">
        <v>3701</v>
      </c>
      <c r="P752" t="s">
        <v>27</v>
      </c>
    </row>
    <row r="753" spans="1:16" hidden="1" x14ac:dyDescent="0.25">
      <c r="A753" s="3" t="s">
        <v>3617</v>
      </c>
      <c r="B753" t="s">
        <v>483</v>
      </c>
      <c r="C753" t="s">
        <v>155</v>
      </c>
      <c r="D753" t="s">
        <v>26</v>
      </c>
      <c r="E753" t="s">
        <v>42</v>
      </c>
      <c r="F753">
        <v>1</v>
      </c>
      <c r="G753" s="3" t="s">
        <v>4</v>
      </c>
      <c r="H753" s="46" t="s">
        <v>15</v>
      </c>
      <c r="I753" s="17">
        <v>40000.550000000003</v>
      </c>
      <c r="J753" s="17">
        <f>IF(Gastos[[#This Row],[Divisa]]="$", I753*1, IF(Gastos[[#This Row],[Divisa]]="U$D", I753*$N$1, IF(Gastos[[#This Row],[Divisa]]="EUR", I753*$N$2, 0)))</f>
        <v>40000.550000000003</v>
      </c>
      <c r="K753" s="54">
        <f>Gastos[[#This Row],[Importe AR$]]/$N$1</f>
        <v>25.641378205128206</v>
      </c>
      <c r="M753" s="69"/>
      <c r="N753" s="43" t="str">
        <f>IF(Gastos[[#This Row],[Fecha_Cheque]]&gt;0,WEEKNUM(Gastos[[#This Row],[Fecha_Cheque]]),MID(Gastos[[#This Row],[Semana]],6,2))</f>
        <v>27</v>
      </c>
      <c r="O753" t="s">
        <v>3701</v>
      </c>
      <c r="P753" t="s">
        <v>27</v>
      </c>
    </row>
    <row r="754" spans="1:16" hidden="1" x14ac:dyDescent="0.25">
      <c r="A754" s="3" t="s">
        <v>3617</v>
      </c>
      <c r="B754" t="s">
        <v>483</v>
      </c>
      <c r="C754" t="s">
        <v>155</v>
      </c>
      <c r="D754" t="s">
        <v>26</v>
      </c>
      <c r="E754" t="s">
        <v>42</v>
      </c>
      <c r="F754">
        <v>1</v>
      </c>
      <c r="G754" s="3" t="s">
        <v>4</v>
      </c>
      <c r="H754" s="46" t="s">
        <v>15</v>
      </c>
      <c r="I754" s="17">
        <v>40000.99</v>
      </c>
      <c r="J754" s="17">
        <f>IF(Gastos[[#This Row],[Divisa]]="$", I754*1, IF(Gastos[[#This Row],[Divisa]]="U$D", I754*$N$1, IF(Gastos[[#This Row],[Divisa]]="EUR", I754*$N$2, 0)))</f>
        <v>40000.99</v>
      </c>
      <c r="K754" s="54">
        <f>Gastos[[#This Row],[Importe AR$]]/$N$1</f>
        <v>25.641660256410255</v>
      </c>
      <c r="M754" s="69"/>
      <c r="N754" s="43" t="str">
        <f>IF(Gastos[[#This Row],[Fecha_Cheque]]&gt;0,WEEKNUM(Gastos[[#This Row],[Fecha_Cheque]]),MID(Gastos[[#This Row],[Semana]],6,2))</f>
        <v>27</v>
      </c>
      <c r="O754" t="s">
        <v>3701</v>
      </c>
      <c r="P754" t="s">
        <v>27</v>
      </c>
    </row>
    <row r="755" spans="1:16" hidden="1" x14ac:dyDescent="0.25">
      <c r="A755" s="3" t="s">
        <v>3617</v>
      </c>
      <c r="B755" t="s">
        <v>483</v>
      </c>
      <c r="C755" t="s">
        <v>155</v>
      </c>
      <c r="D755" t="s">
        <v>26</v>
      </c>
      <c r="E755" t="s">
        <v>42</v>
      </c>
      <c r="F755">
        <v>1</v>
      </c>
      <c r="G755" s="3" t="s">
        <v>4</v>
      </c>
      <c r="H755" s="46" t="s">
        <v>15</v>
      </c>
      <c r="I755" s="17">
        <v>49998.9</v>
      </c>
      <c r="J755" s="17">
        <f>IF(Gastos[[#This Row],[Divisa]]="$", I755*1, IF(Gastos[[#This Row],[Divisa]]="U$D", I755*$N$1, IF(Gastos[[#This Row],[Divisa]]="EUR", I755*$N$2, 0)))</f>
        <v>49998.9</v>
      </c>
      <c r="K755" s="54">
        <f>Gastos[[#This Row],[Importe AR$]]/$N$1</f>
        <v>32.050576923076925</v>
      </c>
      <c r="M755" s="69"/>
      <c r="N755" s="43" t="str">
        <f>IF(Gastos[[#This Row],[Fecha_Cheque]]&gt;0,WEEKNUM(Gastos[[#This Row],[Fecha_Cheque]]),MID(Gastos[[#This Row],[Semana]],6,2))</f>
        <v>27</v>
      </c>
      <c r="O755" t="s">
        <v>3701</v>
      </c>
      <c r="P755" t="s">
        <v>27</v>
      </c>
    </row>
    <row r="756" spans="1:16" hidden="1" x14ac:dyDescent="0.25">
      <c r="A756" s="3" t="s">
        <v>3617</v>
      </c>
      <c r="B756" t="s">
        <v>483</v>
      </c>
      <c r="C756" t="s">
        <v>3442</v>
      </c>
      <c r="D756" t="s">
        <v>26</v>
      </c>
      <c r="E756" t="s">
        <v>42</v>
      </c>
      <c r="F756">
        <v>2</v>
      </c>
      <c r="G756" s="3" t="s">
        <v>4</v>
      </c>
      <c r="H756" s="44" t="s">
        <v>15</v>
      </c>
      <c r="I756" s="17">
        <v>1000000</v>
      </c>
      <c r="J756" s="17">
        <f>IF(Gastos[[#This Row],[Divisa]]="$", I756*1, IF(Gastos[[#This Row],[Divisa]]="U$D", I756*$N$1, IF(Gastos[[#This Row],[Divisa]]="EUR", I756*$N$2, 0)))</f>
        <v>1000000</v>
      </c>
      <c r="K756" s="54">
        <f>Gastos[[#This Row],[Importe AR$]]/$N$1</f>
        <v>641.02564102564099</v>
      </c>
      <c r="M756" s="69"/>
      <c r="N756" s="43" t="str">
        <f>IF(Gastos[[#This Row],[Fecha_Cheque]]&gt;0,WEEKNUM(Gastos[[#This Row],[Fecha_Cheque]]),MID(Gastos[[#This Row],[Semana]],6,2))</f>
        <v>27</v>
      </c>
      <c r="O756" t="s">
        <v>3692</v>
      </c>
      <c r="P756" t="s">
        <v>27</v>
      </c>
    </row>
    <row r="757" spans="1:16" hidden="1" x14ac:dyDescent="0.25">
      <c r="A757" s="3" t="s">
        <v>3693</v>
      </c>
      <c r="B757" t="s">
        <v>483</v>
      </c>
      <c r="C757" t="s">
        <v>3442</v>
      </c>
      <c r="D757" t="s">
        <v>26</v>
      </c>
      <c r="E757" t="s">
        <v>42</v>
      </c>
      <c r="F757">
        <v>2</v>
      </c>
      <c r="G757" s="3" t="s">
        <v>4</v>
      </c>
      <c r="H757" s="44" t="s">
        <v>15</v>
      </c>
      <c r="I757" s="17">
        <v>1000000</v>
      </c>
      <c r="J757" s="17">
        <f>IF(Gastos[[#This Row],[Divisa]]="$", I757*1, IF(Gastos[[#This Row],[Divisa]]="U$D", I757*$N$1, IF(Gastos[[#This Row],[Divisa]]="EUR", I757*$N$2, 0)))</f>
        <v>1000000</v>
      </c>
      <c r="K757" s="54">
        <f>Gastos[[#This Row],[Importe AR$]]/$N$1</f>
        <v>641.02564102564099</v>
      </c>
      <c r="M757" s="69"/>
      <c r="N757" s="43" t="str">
        <f>IF(Gastos[[#This Row],[Fecha_Cheque]]&gt;0,WEEKNUM(Gastos[[#This Row],[Fecha_Cheque]]),MID(Gastos[[#This Row],[Semana]],6,2))</f>
        <v>28</v>
      </c>
      <c r="O757" t="s">
        <v>3746</v>
      </c>
      <c r="P757" t="s">
        <v>27</v>
      </c>
    </row>
    <row r="758" spans="1:16" hidden="1" x14ac:dyDescent="0.25">
      <c r="A758" s="3" t="s">
        <v>3754</v>
      </c>
      <c r="B758" t="s">
        <v>483</v>
      </c>
      <c r="C758" t="s">
        <v>3442</v>
      </c>
      <c r="D758" t="s">
        <v>26</v>
      </c>
      <c r="E758" t="s">
        <v>42</v>
      </c>
      <c r="F758">
        <v>2</v>
      </c>
      <c r="G758" s="3" t="s">
        <v>4</v>
      </c>
      <c r="H758" s="44" t="s">
        <v>15</v>
      </c>
      <c r="I758" s="17">
        <v>1000000</v>
      </c>
      <c r="J758" s="17">
        <f>IF(Gastos[[#This Row],[Divisa]]="$", I758*1, IF(Gastos[[#This Row],[Divisa]]="U$D", I758*$N$1, IF(Gastos[[#This Row],[Divisa]]="EUR", I758*$N$2, 0)))</f>
        <v>1000000</v>
      </c>
      <c r="K758" s="54">
        <f>Gastos[[#This Row],[Importe AR$]]/$N$1</f>
        <v>641.02564102564099</v>
      </c>
      <c r="M758" s="69"/>
      <c r="N758" s="43" t="str">
        <f>IF(Gastos[[#This Row],[Fecha_Cheque]]&gt;0,WEEKNUM(Gastos[[#This Row],[Fecha_Cheque]]),MID(Gastos[[#This Row],[Semana]],6,2))</f>
        <v>29</v>
      </c>
      <c r="O758" t="s">
        <v>3801</v>
      </c>
      <c r="P758" t="s">
        <v>27</v>
      </c>
    </row>
    <row r="759" spans="1:16" hidden="1" x14ac:dyDescent="0.25">
      <c r="A759" s="3" t="s">
        <v>2726</v>
      </c>
      <c r="B759" t="s">
        <v>483</v>
      </c>
      <c r="C759" t="s">
        <v>3442</v>
      </c>
      <c r="D759" t="s">
        <v>26</v>
      </c>
      <c r="E759" t="s">
        <v>42</v>
      </c>
      <c r="F759">
        <v>2</v>
      </c>
      <c r="G759" s="3" t="s">
        <v>4</v>
      </c>
      <c r="H759" s="44" t="s">
        <v>15</v>
      </c>
      <c r="I759" s="17">
        <v>500000</v>
      </c>
      <c r="J759" s="17">
        <f>IF(Gastos[[#This Row],[Divisa]]="$", I759*1, IF(Gastos[[#This Row],[Divisa]]="U$D", I759*$N$1, IF(Gastos[[#This Row],[Divisa]]="EUR", I759*$N$2, 0)))</f>
        <v>500000</v>
      </c>
      <c r="K759" s="54">
        <f>Gastos[[#This Row],[Importe AR$]]/$N$1</f>
        <v>320.5128205128205</v>
      </c>
      <c r="M759" s="69"/>
      <c r="N759" s="43" t="str">
        <f>IF(Gastos[[#This Row],[Fecha_Cheque]]&gt;0,WEEKNUM(Gastos[[#This Row],[Fecha_Cheque]]),MID(Gastos[[#This Row],[Semana]],6,2))</f>
        <v>24</v>
      </c>
      <c r="O759" t="s">
        <v>3443</v>
      </c>
      <c r="P759" t="s">
        <v>27</v>
      </c>
    </row>
    <row r="760" spans="1:16" hidden="1" x14ac:dyDescent="0.25">
      <c r="A760" s="3" t="s">
        <v>2726</v>
      </c>
      <c r="B760" t="s">
        <v>483</v>
      </c>
      <c r="C760" t="s">
        <v>3444</v>
      </c>
      <c r="D760" t="s">
        <v>26</v>
      </c>
      <c r="E760" t="s">
        <v>42</v>
      </c>
      <c r="F760">
        <v>2</v>
      </c>
      <c r="G760" s="3" t="s">
        <v>4</v>
      </c>
      <c r="H760" s="44" t="s">
        <v>15</v>
      </c>
      <c r="I760" s="17">
        <v>170000</v>
      </c>
      <c r="J760" s="17">
        <f>IF(Gastos[[#This Row],[Divisa]]="$", I760*1, IF(Gastos[[#This Row],[Divisa]]="U$D", I760*$N$1, IF(Gastos[[#This Row],[Divisa]]="EUR", I760*$N$2, 0)))</f>
        <v>170000</v>
      </c>
      <c r="K760" s="54">
        <f>Gastos[[#This Row],[Importe AR$]]/$N$1</f>
        <v>108.97435897435898</v>
      </c>
      <c r="M760" s="69"/>
      <c r="N760" s="43" t="str">
        <f>IF(Gastos[[#This Row],[Fecha_Cheque]]&gt;0,WEEKNUM(Gastos[[#This Row],[Fecha_Cheque]]),MID(Gastos[[#This Row],[Semana]],6,2))</f>
        <v>24</v>
      </c>
      <c r="O760" t="s">
        <v>3445</v>
      </c>
      <c r="P760" t="s">
        <v>27</v>
      </c>
    </row>
    <row r="761" spans="1:16" hidden="1" x14ac:dyDescent="0.25">
      <c r="A761" s="3" t="s">
        <v>3817</v>
      </c>
      <c r="B761" t="s">
        <v>483</v>
      </c>
      <c r="C761" t="s">
        <v>155</v>
      </c>
      <c r="D761" t="s">
        <v>26</v>
      </c>
      <c r="E761" t="s">
        <v>42</v>
      </c>
      <c r="F761">
        <v>1</v>
      </c>
      <c r="G761" s="3" t="s">
        <v>4</v>
      </c>
      <c r="H761" s="46" t="s">
        <v>15</v>
      </c>
      <c r="I761" s="17">
        <v>160008</v>
      </c>
      <c r="J761" s="17">
        <f>IF(Gastos[[#This Row],[Divisa]]="$", I761*1, IF(Gastos[[#This Row],[Divisa]]="U$D", I761*$N$1, IF(Gastos[[#This Row],[Divisa]]="EUR", I761*$N$2, 0)))</f>
        <v>160008</v>
      </c>
      <c r="K761" s="54">
        <f>Gastos[[#This Row],[Importe AR$]]/$N$1</f>
        <v>102.56923076923077</v>
      </c>
      <c r="L761" t="s">
        <v>3177</v>
      </c>
      <c r="M761" s="69"/>
      <c r="N761" s="43" t="str">
        <f>IF(Gastos[[#This Row],[Fecha_Cheque]]&gt;0,WEEKNUM(Gastos[[#This Row],[Fecha_Cheque]]),MID(Gastos[[#This Row],[Semana]],6,2))</f>
        <v>30</v>
      </c>
      <c r="O761" t="s">
        <v>3858</v>
      </c>
      <c r="P761" t="s">
        <v>27</v>
      </c>
    </row>
    <row r="762" spans="1:16" hidden="1" x14ac:dyDescent="0.25">
      <c r="A762" s="3" t="s">
        <v>3817</v>
      </c>
      <c r="B762" t="s">
        <v>483</v>
      </c>
      <c r="C762" t="s">
        <v>3442</v>
      </c>
      <c r="D762" t="s">
        <v>26</v>
      </c>
      <c r="E762" t="s">
        <v>42</v>
      </c>
      <c r="F762">
        <v>2</v>
      </c>
      <c r="G762" s="3" t="s">
        <v>4</v>
      </c>
      <c r="H762" s="44" t="s">
        <v>15</v>
      </c>
      <c r="I762" s="17">
        <v>1000000</v>
      </c>
      <c r="J762" s="17">
        <f>IF(Gastos[[#This Row],[Divisa]]="$", I762*1, IF(Gastos[[#This Row],[Divisa]]="U$D", I762*$N$1, IF(Gastos[[#This Row],[Divisa]]="EUR", I762*$N$2, 0)))</f>
        <v>1000000</v>
      </c>
      <c r="K762" s="54">
        <f>Gastos[[#This Row],[Importe AR$]]/$N$1</f>
        <v>641.02564102564099</v>
      </c>
      <c r="L762" s="8"/>
      <c r="M762" s="69"/>
      <c r="N762" s="43" t="str">
        <f>IF(Gastos[[#This Row],[Fecha_Cheque]]&gt;0,WEEKNUM(Gastos[[#This Row],[Fecha_Cheque]]),MID(Gastos[[#This Row],[Semana]],6,2))</f>
        <v>30</v>
      </c>
      <c r="O762" t="s">
        <v>3877</v>
      </c>
      <c r="P762" t="s">
        <v>27</v>
      </c>
    </row>
    <row r="763" spans="1:16" hidden="1" x14ac:dyDescent="0.25">
      <c r="A763" s="3" t="s">
        <v>3817</v>
      </c>
      <c r="B763" t="s">
        <v>483</v>
      </c>
      <c r="C763" t="s">
        <v>155</v>
      </c>
      <c r="D763" t="s">
        <v>26</v>
      </c>
      <c r="E763" t="s">
        <v>42</v>
      </c>
      <c r="F763">
        <v>1</v>
      </c>
      <c r="G763" s="3" t="s">
        <v>4</v>
      </c>
      <c r="H763" s="46" t="s">
        <v>15</v>
      </c>
      <c r="I763" s="17">
        <v>19999.21</v>
      </c>
      <c r="J763" s="17">
        <f>IF(Gastos[[#This Row],[Divisa]]="$", I763*1, IF(Gastos[[#This Row],[Divisa]]="U$D", I763*$N$1, IF(Gastos[[#This Row],[Divisa]]="EUR", I763*$N$2, 0)))</f>
        <v>19999.21</v>
      </c>
      <c r="K763" s="54">
        <f>Gastos[[#This Row],[Importe AR$]]/$N$1</f>
        <v>12.82000641025641</v>
      </c>
      <c r="M763" s="69"/>
      <c r="N763" s="43" t="str">
        <f>IF(Gastos[[#This Row],[Fecha_Cheque]]&gt;0,WEEKNUM(Gastos[[#This Row],[Fecha_Cheque]]),MID(Gastos[[#This Row],[Semana]],6,2))</f>
        <v>30</v>
      </c>
      <c r="O763" t="s">
        <v>3831</v>
      </c>
      <c r="P763" t="s">
        <v>27</v>
      </c>
    </row>
    <row r="764" spans="1:16" hidden="1" x14ac:dyDescent="0.25">
      <c r="A764" s="3" t="s">
        <v>3817</v>
      </c>
      <c r="B764" t="s">
        <v>483</v>
      </c>
      <c r="C764" t="s">
        <v>155</v>
      </c>
      <c r="D764" t="s">
        <v>26</v>
      </c>
      <c r="E764" t="s">
        <v>42</v>
      </c>
      <c r="F764">
        <v>1</v>
      </c>
      <c r="G764" s="3" t="s">
        <v>4</v>
      </c>
      <c r="H764" s="44" t="s">
        <v>15</v>
      </c>
      <c r="I764" s="17">
        <v>50000.75</v>
      </c>
      <c r="J764" s="17">
        <f>IF(Gastos[[#This Row],[Divisa]]="$", I764*1, IF(Gastos[[#This Row],[Divisa]]="U$D", I764*$N$1, IF(Gastos[[#This Row],[Divisa]]="EUR", I764*$N$2, 0)))</f>
        <v>50000.75</v>
      </c>
      <c r="K764" s="54">
        <f>Gastos[[#This Row],[Importe AR$]]/$N$1</f>
        <v>32.05176282051282</v>
      </c>
      <c r="M764" s="69"/>
      <c r="N764" s="43" t="str">
        <f>IF(Gastos[[#This Row],[Fecha_Cheque]]&gt;0,WEEKNUM(Gastos[[#This Row],[Fecha_Cheque]]),MID(Gastos[[#This Row],[Semana]],6,2))</f>
        <v>30</v>
      </c>
      <c r="O764" t="s">
        <v>3832</v>
      </c>
      <c r="P764" t="s">
        <v>27</v>
      </c>
    </row>
    <row r="765" spans="1:16" hidden="1" x14ac:dyDescent="0.25">
      <c r="A765" s="3" t="s">
        <v>3817</v>
      </c>
      <c r="B765" t="s">
        <v>483</v>
      </c>
      <c r="C765" t="s">
        <v>155</v>
      </c>
      <c r="D765" t="s">
        <v>26</v>
      </c>
      <c r="E765" t="s">
        <v>42</v>
      </c>
      <c r="F765">
        <v>1</v>
      </c>
      <c r="G765" s="3" t="s">
        <v>4</v>
      </c>
      <c r="H765" s="44" t="s">
        <v>15</v>
      </c>
      <c r="I765" s="17">
        <v>80002.69</v>
      </c>
      <c r="J765" s="17">
        <f>IF(Gastos[[#This Row],[Divisa]]="$", I765*1, IF(Gastos[[#This Row],[Divisa]]="U$D", I765*$N$1, IF(Gastos[[#This Row],[Divisa]]="EUR", I765*$N$2, 0)))</f>
        <v>80002.69</v>
      </c>
      <c r="K765" s="54">
        <f>Gastos[[#This Row],[Importe AR$]]/$N$1</f>
        <v>51.283775641025642</v>
      </c>
      <c r="M765" s="69"/>
      <c r="N765" s="43" t="str">
        <f>IF(Gastos[[#This Row],[Fecha_Cheque]]&gt;0,WEEKNUM(Gastos[[#This Row],[Fecha_Cheque]]),MID(Gastos[[#This Row],[Semana]],6,2))</f>
        <v>30</v>
      </c>
      <c r="O765" t="s">
        <v>3833</v>
      </c>
      <c r="P765" t="s">
        <v>27</v>
      </c>
    </row>
    <row r="766" spans="1:16" hidden="1" x14ac:dyDescent="0.25">
      <c r="A766" s="3" t="s">
        <v>3963</v>
      </c>
      <c r="B766" t="s">
        <v>483</v>
      </c>
      <c r="C766" t="s">
        <v>155</v>
      </c>
      <c r="D766" t="s">
        <v>26</v>
      </c>
      <c r="E766" t="s">
        <v>42</v>
      </c>
      <c r="F766">
        <v>1</v>
      </c>
      <c r="G766" s="3" t="s">
        <v>4</v>
      </c>
      <c r="H766" s="46" t="s">
        <v>15</v>
      </c>
      <c r="I766" s="17">
        <v>100000.02</v>
      </c>
      <c r="J766" s="17">
        <f>IF(Gastos[[#This Row],[Divisa]]="$", I766*1, IF(Gastos[[#This Row],[Divisa]]="U$D", I766*$N$1, IF(Gastos[[#This Row],[Divisa]]="EUR", I766*$N$2, 0)))</f>
        <v>100000.02</v>
      </c>
      <c r="K766" s="54">
        <f>Gastos[[#This Row],[Importe AR$]]/$N$1</f>
        <v>64.102576923076924</v>
      </c>
      <c r="M766" s="69"/>
      <c r="N766" s="43" t="str">
        <f>IF(Gastos[[#This Row],[Fecha_Cheque]]&gt;0,WEEKNUM(Gastos[[#This Row],[Fecha_Cheque]]),MID(Gastos[[#This Row],[Semana]],6,2))</f>
        <v>32</v>
      </c>
      <c r="O766" t="s">
        <v>3998</v>
      </c>
      <c r="P766" t="s">
        <v>27</v>
      </c>
    </row>
    <row r="767" spans="1:16" hidden="1" x14ac:dyDescent="0.25">
      <c r="A767" s="3" t="s">
        <v>4074</v>
      </c>
      <c r="B767" t="s">
        <v>483</v>
      </c>
      <c r="C767" t="s">
        <v>155</v>
      </c>
      <c r="D767" t="s">
        <v>26</v>
      </c>
      <c r="E767" t="s">
        <v>42</v>
      </c>
      <c r="F767">
        <v>1</v>
      </c>
      <c r="G767" s="3" t="s">
        <v>4</v>
      </c>
      <c r="H767" s="46" t="s">
        <v>15</v>
      </c>
      <c r="I767" s="17">
        <v>100000.1</v>
      </c>
      <c r="J767" s="17">
        <f>IF(Gastos[[#This Row],[Divisa]]="$", I767*1, IF(Gastos[[#This Row],[Divisa]]="U$D", I767*$N$1, IF(Gastos[[#This Row],[Divisa]]="EUR", I767*$N$2, 0)))</f>
        <v>100000.1</v>
      </c>
      <c r="K767" s="54">
        <f>Gastos[[#This Row],[Importe AR$]]/$N$1</f>
        <v>64.102628205128212</v>
      </c>
      <c r="M767" s="69"/>
      <c r="N767" s="43" t="str">
        <f>IF(Gastos[[#This Row],[Fecha_Cheque]]&gt;0,WEEKNUM(Gastos[[#This Row],[Fecha_Cheque]]),MID(Gastos[[#This Row],[Semana]],6,2))</f>
        <v>34</v>
      </c>
      <c r="O767" t="s">
        <v>4102</v>
      </c>
      <c r="P767" t="s">
        <v>27</v>
      </c>
    </row>
    <row r="768" spans="1:16" hidden="1" x14ac:dyDescent="0.25">
      <c r="A768" s="3" t="s">
        <v>4157</v>
      </c>
      <c r="B768" t="s">
        <v>483</v>
      </c>
      <c r="C768" t="s">
        <v>3442</v>
      </c>
      <c r="D768" t="s">
        <v>26</v>
      </c>
      <c r="E768" t="s">
        <v>42</v>
      </c>
      <c r="F768">
        <v>2</v>
      </c>
      <c r="G768" s="3" t="s">
        <v>4</v>
      </c>
      <c r="H768" s="44" t="s">
        <v>15</v>
      </c>
      <c r="I768" s="17">
        <v>500000</v>
      </c>
      <c r="J768" s="17">
        <f>IF(Gastos[[#This Row],[Divisa]]="$", I768*1, IF(Gastos[[#This Row],[Divisa]]="U$D", I768*$N$1, IF(Gastos[[#This Row],[Divisa]]="EUR", I768*$N$2, 0)))</f>
        <v>500000</v>
      </c>
      <c r="K768" s="54">
        <f>Gastos[[#This Row],[Importe AR$]]/$N$1</f>
        <v>320.5128205128205</v>
      </c>
      <c r="M768" s="69"/>
      <c r="N768" s="43" t="str">
        <f>IF(Gastos[[#This Row],[Fecha_Cheque]]&gt;0,WEEKNUM(Gastos[[#This Row],[Fecha_Cheque]]),MID(Gastos[[#This Row],[Semana]],6,2))</f>
        <v>36</v>
      </c>
      <c r="O768" t="s">
        <v>4203</v>
      </c>
      <c r="P768" t="s">
        <v>27</v>
      </c>
    </row>
    <row r="769" spans="1:16" hidden="1" x14ac:dyDescent="0.25">
      <c r="A769" s="3" t="s">
        <v>4119</v>
      </c>
      <c r="B769" t="s">
        <v>483</v>
      </c>
      <c r="C769" t="s">
        <v>4158</v>
      </c>
      <c r="D769" t="s">
        <v>26</v>
      </c>
      <c r="E769" t="s">
        <v>62</v>
      </c>
      <c r="F769">
        <v>2</v>
      </c>
      <c r="G769" s="3" t="s">
        <v>4</v>
      </c>
      <c r="H769" s="44" t="s">
        <v>15</v>
      </c>
      <c r="I769" s="17">
        <v>1000000</v>
      </c>
      <c r="J769" s="17">
        <f>IF(Gastos[[#This Row],[Divisa]]="$", I769*1, IF(Gastos[[#This Row],[Divisa]]="U$D", I769*$N$1, IF(Gastos[[#This Row],[Divisa]]="EUR", I769*$N$2, 0)))</f>
        <v>1000000</v>
      </c>
      <c r="K769" s="54">
        <f>Gastos[[#This Row],[Importe AR$]]/$N$1</f>
        <v>641.02564102564099</v>
      </c>
      <c r="M769" s="69"/>
      <c r="N769" s="43" t="str">
        <f>IF(Gastos[[#This Row],[Fecha_Cheque]]&gt;0,WEEKNUM(Gastos[[#This Row],[Fecha_Cheque]]),MID(Gastos[[#This Row],[Semana]],6,2))</f>
        <v>35</v>
      </c>
      <c r="O769" t="s">
        <v>4159</v>
      </c>
      <c r="P769" t="s">
        <v>27</v>
      </c>
    </row>
    <row r="770" spans="1:16" hidden="1" x14ac:dyDescent="0.25">
      <c r="A770" s="3" t="s">
        <v>4374</v>
      </c>
      <c r="B770" t="s">
        <v>483</v>
      </c>
      <c r="C770" t="s">
        <v>155</v>
      </c>
      <c r="D770" t="s">
        <v>26</v>
      </c>
      <c r="E770" t="s">
        <v>42</v>
      </c>
      <c r="F770">
        <v>1</v>
      </c>
      <c r="G770" s="3" t="s">
        <v>4</v>
      </c>
      <c r="H770" s="46" t="s">
        <v>15</v>
      </c>
      <c r="I770" s="17">
        <v>149999.59</v>
      </c>
      <c r="J770" s="17">
        <f>IF(Gastos[[#This Row],[Divisa]]="$", I770*1, IF(Gastos[[#This Row],[Divisa]]="U$D", I770*$N$1, IF(Gastos[[#This Row],[Divisa]]="EUR", I770*$N$2, 0)))</f>
        <v>149999.59</v>
      </c>
      <c r="K770" s="54">
        <f>Gastos[[#This Row],[Importe AR$]]/$N$1</f>
        <v>96.15358333333333</v>
      </c>
      <c r="M770" s="69"/>
      <c r="N770" s="43" t="str">
        <f>IF(Gastos[[#This Row],[Fecha_Cheque]]&gt;0,WEEKNUM(Gastos[[#This Row],[Fecha_Cheque]]),MID(Gastos[[#This Row],[Semana]],6,2))</f>
        <v>39</v>
      </c>
      <c r="O770" t="s">
        <v>4393</v>
      </c>
      <c r="P770" t="s">
        <v>27</v>
      </c>
    </row>
    <row r="771" spans="1:16" hidden="1" x14ac:dyDescent="0.25">
      <c r="A771" s="3" t="s">
        <v>4374</v>
      </c>
      <c r="B771" t="s">
        <v>483</v>
      </c>
      <c r="C771" t="s">
        <v>155</v>
      </c>
      <c r="D771" t="s">
        <v>26</v>
      </c>
      <c r="E771" t="s">
        <v>42</v>
      </c>
      <c r="F771">
        <v>1</v>
      </c>
      <c r="G771" s="3" t="s">
        <v>4</v>
      </c>
      <c r="H771" s="46" t="s">
        <v>15</v>
      </c>
      <c r="I771" s="17">
        <v>40005</v>
      </c>
      <c r="J771" s="17">
        <f>IF(Gastos[[#This Row],[Divisa]]="$", I771*1, IF(Gastos[[#This Row],[Divisa]]="U$D", I771*$N$1, IF(Gastos[[#This Row],[Divisa]]="EUR", I771*$N$2, 0)))</f>
        <v>40005</v>
      </c>
      <c r="K771" s="54">
        <f>Gastos[[#This Row],[Importe AR$]]/$N$1</f>
        <v>25.64423076923077</v>
      </c>
      <c r="M771" s="69"/>
      <c r="N771" s="43" t="str">
        <f>IF(Gastos[[#This Row],[Fecha_Cheque]]&gt;0,WEEKNUM(Gastos[[#This Row],[Fecha_Cheque]]),MID(Gastos[[#This Row],[Semana]],6,2))</f>
        <v>39</v>
      </c>
      <c r="O771" t="s">
        <v>4394</v>
      </c>
      <c r="P771" t="s">
        <v>27</v>
      </c>
    </row>
    <row r="772" spans="1:16" hidden="1" x14ac:dyDescent="0.25">
      <c r="A772" s="3" t="s">
        <v>4374</v>
      </c>
      <c r="B772" t="s">
        <v>483</v>
      </c>
      <c r="C772" t="s">
        <v>155</v>
      </c>
      <c r="D772" t="s">
        <v>26</v>
      </c>
      <c r="E772" t="s">
        <v>42</v>
      </c>
      <c r="F772">
        <v>1</v>
      </c>
      <c r="G772" s="3" t="s">
        <v>4</v>
      </c>
      <c r="H772" s="46" t="s">
        <v>15</v>
      </c>
      <c r="I772" s="17">
        <v>146018.6</v>
      </c>
      <c r="J772" s="17">
        <f>IF(Gastos[[#This Row],[Divisa]]="$", I772*1, IF(Gastos[[#This Row],[Divisa]]="U$D", I772*$N$1, IF(Gastos[[#This Row],[Divisa]]="EUR", I772*$N$2, 0)))</f>
        <v>146018.6</v>
      </c>
      <c r="K772" s="54">
        <f>Gastos[[#This Row],[Importe AR$]]/$N$1</f>
        <v>93.601666666666674</v>
      </c>
      <c r="M772" s="69"/>
      <c r="N772" s="43" t="str">
        <f>IF(Gastos[[#This Row],[Fecha_Cheque]]&gt;0,WEEKNUM(Gastos[[#This Row],[Fecha_Cheque]]),MID(Gastos[[#This Row],[Semana]],6,2))</f>
        <v>39</v>
      </c>
      <c r="O772" t="s">
        <v>4395</v>
      </c>
      <c r="P772" t="s">
        <v>27</v>
      </c>
    </row>
    <row r="773" spans="1:16" hidden="1" x14ac:dyDescent="0.25">
      <c r="A773" s="3" t="s">
        <v>4513</v>
      </c>
      <c r="B773" t="s">
        <v>483</v>
      </c>
      <c r="C773" t="s">
        <v>155</v>
      </c>
      <c r="D773" t="s">
        <v>26</v>
      </c>
      <c r="E773" t="s">
        <v>42</v>
      </c>
      <c r="F773">
        <v>1</v>
      </c>
      <c r="G773" s="3" t="s">
        <v>4</v>
      </c>
      <c r="H773" s="46" t="s">
        <v>15</v>
      </c>
      <c r="I773" s="17">
        <v>166002.97</v>
      </c>
      <c r="J773" s="17">
        <f>IF(Gastos[[#This Row],[Divisa]]="$", I773*1, IF(Gastos[[#This Row],[Divisa]]="U$D", I773*$N$1, IF(Gastos[[#This Row],[Divisa]]="EUR", I773*$N$2, 0)))</f>
        <v>166002.97</v>
      </c>
      <c r="K773" s="54">
        <f>Gastos[[#This Row],[Importe AR$]]/$N$1</f>
        <v>106.41216025641026</v>
      </c>
      <c r="L773" t="s">
        <v>3177</v>
      </c>
      <c r="M773" s="69"/>
      <c r="N773" s="43" t="str">
        <f>IF(Gastos[[#This Row],[Fecha_Cheque]]&gt;0,WEEKNUM(Gastos[[#This Row],[Fecha_Cheque]]),MID(Gastos[[#This Row],[Semana]],6,2))</f>
        <v>42</v>
      </c>
      <c r="O773" t="s">
        <v>4539</v>
      </c>
      <c r="P773" t="s">
        <v>27</v>
      </c>
    </row>
    <row r="774" spans="1:16" x14ac:dyDescent="0.25">
      <c r="A774" s="99" t="s">
        <v>4655</v>
      </c>
      <c r="B774" s="100" t="s">
        <v>4695</v>
      </c>
      <c r="C774" s="100" t="s">
        <v>4696</v>
      </c>
      <c r="D774" s="100" t="s">
        <v>26</v>
      </c>
      <c r="E774" s="100" t="s">
        <v>42</v>
      </c>
      <c r="F774" s="100">
        <v>1</v>
      </c>
      <c r="G774" s="99" t="s">
        <v>4</v>
      </c>
      <c r="H774" s="44" t="s">
        <v>15</v>
      </c>
      <c r="I774" s="17">
        <v>54450</v>
      </c>
      <c r="J774" s="17">
        <f>IF(Gastos[[#This Row],[Divisa]]="$", I774*1, IF(Gastos[[#This Row],[Divisa]]="U$D", I774*$N$1, IF(Gastos[[#This Row],[Divisa]]="EUR", I774*$N$2, 0)))</f>
        <v>54450</v>
      </c>
      <c r="K774" s="54">
        <f>Gastos[[#This Row],[Importe AR$]]/$N$1</f>
        <v>34.903846153846153</v>
      </c>
      <c r="L774" s="100"/>
      <c r="M774" s="101"/>
      <c r="N774" s="102" t="str">
        <f>IF(Gastos[[#This Row],[Fecha_Cheque]]&gt;0,WEEKNUM(Gastos[[#This Row],[Fecha_Cheque]]),MID(Gastos[[#This Row],[Semana]],6,2))</f>
        <v>44</v>
      </c>
      <c r="O774" s="100" t="s">
        <v>4697</v>
      </c>
      <c r="P774" s="100" t="s">
        <v>27</v>
      </c>
    </row>
    <row r="775" spans="1:16" x14ac:dyDescent="0.25">
      <c r="A775" s="3" t="s">
        <v>4655</v>
      </c>
      <c r="B775" t="s">
        <v>2890</v>
      </c>
      <c r="C775" t="s">
        <v>3005</v>
      </c>
      <c r="D775" t="s">
        <v>26</v>
      </c>
      <c r="E775" t="s">
        <v>62</v>
      </c>
      <c r="F775">
        <v>1</v>
      </c>
      <c r="G775" s="3" t="s">
        <v>32</v>
      </c>
      <c r="H775" s="44" t="s">
        <v>15</v>
      </c>
      <c r="I775" s="17">
        <v>137199</v>
      </c>
      <c r="J775" s="17">
        <f>IF(Gastos[[#This Row],[Divisa]]="$", I775*1, IF(Gastos[[#This Row],[Divisa]]="U$D", I775*$N$1, IF(Gastos[[#This Row],[Divisa]]="EUR", I775*$N$2, 0)))</f>
        <v>137199</v>
      </c>
      <c r="K775" s="54">
        <f>Gastos[[#This Row],[Importe AR$]]/$N$1</f>
        <v>87.948076923076925</v>
      </c>
      <c r="M775" s="69"/>
      <c r="N775" s="43" t="str">
        <f>IF(Gastos[[#This Row],[Fecha_Cheque]]&gt;0,WEEKNUM(Gastos[[#This Row],[Fecha_Cheque]]),MID(Gastos[[#This Row],[Semana]],6,2))</f>
        <v>44</v>
      </c>
      <c r="P775" t="s">
        <v>7</v>
      </c>
    </row>
    <row r="776" spans="1:16" x14ac:dyDescent="0.25">
      <c r="A776" s="3" t="s">
        <v>4655</v>
      </c>
      <c r="B776" t="s">
        <v>568</v>
      </c>
      <c r="C776" t="s">
        <v>569</v>
      </c>
      <c r="D776" t="s">
        <v>26</v>
      </c>
      <c r="E776" t="s">
        <v>62</v>
      </c>
      <c r="F776">
        <v>1</v>
      </c>
      <c r="G776" s="3" t="s">
        <v>32</v>
      </c>
      <c r="H776" s="46" t="s">
        <v>15</v>
      </c>
      <c r="I776" s="17">
        <v>15053191.1</v>
      </c>
      <c r="J776" s="17">
        <f>IF(Gastos[[#This Row],[Divisa]]="$", I776*1, IF(Gastos[[#This Row],[Divisa]]="U$D", I776*$N$1, IF(Gastos[[#This Row],[Divisa]]="EUR", I776*$N$2, 0)))</f>
        <v>15053191.1</v>
      </c>
      <c r="K776" s="54">
        <f>Gastos[[#This Row],[Importe AR$]]/$N$1</f>
        <v>9649.4814743589741</v>
      </c>
      <c r="M776" s="69"/>
      <c r="N776" s="43" t="str">
        <f>IF(Gastos[[#This Row],[Fecha_Cheque]]&gt;0,WEEKNUM(Gastos[[#This Row],[Fecha_Cheque]]),MID(Gastos[[#This Row],[Semana]],6,2))</f>
        <v>44</v>
      </c>
    </row>
    <row r="777" spans="1:16" x14ac:dyDescent="0.25">
      <c r="A777" s="3" t="s">
        <v>4655</v>
      </c>
      <c r="B777" t="s">
        <v>483</v>
      </c>
      <c r="C777" t="s">
        <v>155</v>
      </c>
      <c r="D777" t="s">
        <v>26</v>
      </c>
      <c r="E777" t="s">
        <v>42</v>
      </c>
      <c r="F777">
        <v>1</v>
      </c>
      <c r="G777" s="3" t="s">
        <v>4</v>
      </c>
      <c r="H777" s="46" t="s">
        <v>15</v>
      </c>
      <c r="I777" s="17">
        <v>26023.19</v>
      </c>
      <c r="J777" s="17">
        <f>IF(Gastos[[#This Row],[Divisa]]="$", I777*1, IF(Gastos[[#This Row],[Divisa]]="U$D", I777*$N$1, IF(Gastos[[#This Row],[Divisa]]="EUR", I777*$N$2, 0)))</f>
        <v>26023.19</v>
      </c>
      <c r="K777" s="54">
        <f>Gastos[[#This Row],[Importe AR$]]/$N$1</f>
        <v>16.681532051282051</v>
      </c>
      <c r="L777" t="s">
        <v>4397</v>
      </c>
      <c r="M777" s="69"/>
      <c r="N777" s="43" t="str">
        <f>IF(Gastos[[#This Row],[Fecha_Cheque]]&gt;0,WEEKNUM(Gastos[[#This Row],[Fecha_Cheque]]),MID(Gastos[[#This Row],[Semana]],6,2))</f>
        <v>44</v>
      </c>
    </row>
    <row r="778" spans="1:16" hidden="1" x14ac:dyDescent="0.25">
      <c r="A778" s="3" t="s">
        <v>397</v>
      </c>
      <c r="B778" t="s">
        <v>1343</v>
      </c>
      <c r="C778" t="s">
        <v>1344</v>
      </c>
      <c r="D778" t="s">
        <v>26</v>
      </c>
      <c r="E778" t="s">
        <v>42</v>
      </c>
      <c r="F778">
        <v>1</v>
      </c>
      <c r="G778" s="3" t="s">
        <v>4</v>
      </c>
      <c r="H778" s="44" t="s">
        <v>15</v>
      </c>
      <c r="I778" s="17">
        <v>50007</v>
      </c>
      <c r="J778" s="17">
        <f>IF(Gastos[[#This Row],[Divisa]]="$", I778*1, IF(Gastos[[#This Row],[Divisa]]="U$D", I778*$N$1, IF(Gastos[[#This Row],[Divisa]]="EUR", I778*$N$2, 0)))</f>
        <v>50007</v>
      </c>
      <c r="K778" s="54">
        <f>Gastos[[#This Row],[Importe AR$]]/$N$1</f>
        <v>32.055769230769229</v>
      </c>
      <c r="M778" s="69"/>
      <c r="N778" s="43" t="str">
        <f>IF(Gastos[[#This Row],[Fecha_Cheque]]&gt;0,WEEKNUM(Gastos[[#This Row],[Fecha_Cheque]]),MID(Gastos[[#This Row],[Semana]],6,2))</f>
        <v>11</v>
      </c>
      <c r="O778" t="s">
        <v>1345</v>
      </c>
      <c r="P778" t="s">
        <v>27</v>
      </c>
    </row>
    <row r="779" spans="1:16" hidden="1" x14ac:dyDescent="0.25">
      <c r="A779" s="3" t="s">
        <v>2711</v>
      </c>
      <c r="B779" t="s">
        <v>2801</v>
      </c>
      <c r="C779" t="s">
        <v>2802</v>
      </c>
      <c r="D779" t="s">
        <v>26</v>
      </c>
      <c r="E779" t="s">
        <v>31</v>
      </c>
      <c r="F779">
        <v>1</v>
      </c>
      <c r="G779" s="3" t="s">
        <v>32</v>
      </c>
      <c r="H779" s="44" t="s">
        <v>15</v>
      </c>
      <c r="I779" s="17">
        <v>982421.7</v>
      </c>
      <c r="J779" s="17">
        <f>IF(Gastos[[#This Row],[Divisa]]="$", I779*1, IF(Gastos[[#This Row],[Divisa]]="U$D", I779*$N$1, IF(Gastos[[#This Row],[Divisa]]="EUR", I779*$N$2, 0)))</f>
        <v>982421.7</v>
      </c>
      <c r="K779" s="54">
        <f>Gastos[[#This Row],[Importe AR$]]/$N$1</f>
        <v>629.75749999999994</v>
      </c>
      <c r="M779" s="69">
        <v>46134</v>
      </c>
      <c r="N779" s="43">
        <f>IF(Gastos[[#This Row],[Fecha_Cheque]]&gt;0,WEEKNUM(Gastos[[#This Row],[Fecha_Cheque]]),MID(Gastos[[#This Row],[Semana]],6,2))</f>
        <v>17</v>
      </c>
      <c r="O779" t="s">
        <v>2803</v>
      </c>
      <c r="P779" t="s">
        <v>27</v>
      </c>
    </row>
    <row r="780" spans="1:16" hidden="1" x14ac:dyDescent="0.25">
      <c r="A780" s="3" t="s">
        <v>2711</v>
      </c>
      <c r="B780" t="s">
        <v>2801</v>
      </c>
      <c r="C780" t="s">
        <v>2802</v>
      </c>
      <c r="D780" t="s">
        <v>26</v>
      </c>
      <c r="E780" t="s">
        <v>31</v>
      </c>
      <c r="F780">
        <v>1</v>
      </c>
      <c r="G780" s="3" t="s">
        <v>32</v>
      </c>
      <c r="H780" s="44" t="s">
        <v>15</v>
      </c>
      <c r="I780" s="17">
        <v>982421.7</v>
      </c>
      <c r="J780" s="17">
        <f>IF(Gastos[[#This Row],[Divisa]]="$", I780*1, IF(Gastos[[#This Row],[Divisa]]="U$D", I780*$N$1, IF(Gastos[[#This Row],[Divisa]]="EUR", I780*$N$2, 0)))</f>
        <v>982421.7</v>
      </c>
      <c r="K780" s="54">
        <f>Gastos[[#This Row],[Importe AR$]]/$N$1</f>
        <v>629.75749999999994</v>
      </c>
      <c r="M780" s="69">
        <v>46150</v>
      </c>
      <c r="N780" s="43">
        <f>IF(Gastos[[#This Row],[Fecha_Cheque]]&gt;0,WEEKNUM(Gastos[[#This Row],[Fecha_Cheque]]),MID(Gastos[[#This Row],[Semana]],6,2))</f>
        <v>19</v>
      </c>
      <c r="O780" t="s">
        <v>2803</v>
      </c>
      <c r="P780" t="s">
        <v>27</v>
      </c>
    </row>
    <row r="781" spans="1:16" hidden="1" x14ac:dyDescent="0.25">
      <c r="A781" s="3" t="s">
        <v>2711</v>
      </c>
      <c r="B781" t="s">
        <v>2801</v>
      </c>
      <c r="C781" t="s">
        <v>2802</v>
      </c>
      <c r="D781" t="s">
        <v>26</v>
      </c>
      <c r="E781" t="s">
        <v>31</v>
      </c>
      <c r="F781">
        <v>1</v>
      </c>
      <c r="G781" s="3" t="s">
        <v>32</v>
      </c>
      <c r="H781" s="44" t="s">
        <v>15</v>
      </c>
      <c r="I781" s="17">
        <v>31656.6</v>
      </c>
      <c r="J781" s="17">
        <f>IF(Gastos[[#This Row],[Divisa]]="$", I781*1, IF(Gastos[[#This Row],[Divisa]]="U$D", I781*$N$1, IF(Gastos[[#This Row],[Divisa]]="EUR", I781*$N$2, 0)))</f>
        <v>31656.6</v>
      </c>
      <c r="K781" s="54">
        <f>Gastos[[#This Row],[Importe AR$]]/$N$1</f>
        <v>20.292692307692306</v>
      </c>
      <c r="L781" t="s">
        <v>340</v>
      </c>
      <c r="M781" s="69"/>
      <c r="N781" s="43" t="str">
        <f>IF(Gastos[[#This Row],[Fecha_Cheque]]&gt;0,WEEKNUM(Gastos[[#This Row],[Fecha_Cheque]]),MID(Gastos[[#This Row],[Semana]],6,2))</f>
        <v>15</v>
      </c>
      <c r="O781" t="s">
        <v>2803</v>
      </c>
      <c r="P781" t="s">
        <v>27</v>
      </c>
    </row>
    <row r="782" spans="1:16" hidden="1" x14ac:dyDescent="0.25">
      <c r="A782" s="3" t="s">
        <v>34</v>
      </c>
      <c r="B782" t="s">
        <v>590</v>
      </c>
      <c r="C782" t="s">
        <v>591</v>
      </c>
      <c r="D782" t="s">
        <v>26</v>
      </c>
      <c r="E782" t="s">
        <v>31</v>
      </c>
      <c r="F782">
        <v>1</v>
      </c>
      <c r="G782" s="3" t="s">
        <v>5</v>
      </c>
      <c r="H782" s="46" t="s">
        <v>15</v>
      </c>
      <c r="I782" s="17">
        <v>330100</v>
      </c>
      <c r="J782" s="17">
        <f>IF(Gastos[[#This Row],[Divisa]]="$", I782*1, IF(Gastos[[#This Row],[Divisa]]="U$D", I782*$N$1, IF(Gastos[[#This Row],[Divisa]]="EUR", I782*$N$2, 0)))</f>
        <v>330100</v>
      </c>
      <c r="K782" s="54">
        <f>Gastos[[#This Row],[Importe AR$]]/$N$1</f>
        <v>211.60256410256412</v>
      </c>
      <c r="M782" s="69"/>
      <c r="N782" s="43" t="str">
        <f>IF(Gastos[[#This Row],[Fecha_Cheque]]&gt;0,WEEKNUM(Gastos[[#This Row],[Fecha_Cheque]]),MID(Gastos[[#This Row],[Semana]],6,2))</f>
        <v>32</v>
      </c>
      <c r="O782" t="s">
        <v>592</v>
      </c>
      <c r="P782" t="s">
        <v>27</v>
      </c>
    </row>
    <row r="783" spans="1:16" hidden="1" x14ac:dyDescent="0.25">
      <c r="A783" s="3" t="s">
        <v>89</v>
      </c>
      <c r="B783" t="s">
        <v>590</v>
      </c>
      <c r="C783" t="s">
        <v>593</v>
      </c>
      <c r="D783" t="s">
        <v>26</v>
      </c>
      <c r="E783" t="s">
        <v>31</v>
      </c>
      <c r="F783">
        <v>1</v>
      </c>
      <c r="G783" s="3" t="s">
        <v>5</v>
      </c>
      <c r="H783" s="46" t="s">
        <v>15</v>
      </c>
      <c r="I783" s="17">
        <v>63600</v>
      </c>
      <c r="J783" s="17">
        <f>IF(Gastos[[#This Row],[Divisa]]="$", I783*1, IF(Gastos[[#This Row],[Divisa]]="U$D", I783*$N$1, IF(Gastos[[#This Row],[Divisa]]="EUR", I783*$N$2, 0)))</f>
        <v>63600</v>
      </c>
      <c r="K783" s="54">
        <f>Gastos[[#This Row],[Importe AR$]]/$N$1</f>
        <v>40.769230769230766</v>
      </c>
      <c r="M783" s="69"/>
      <c r="N783" s="43" t="str">
        <f>IF(Gastos[[#This Row],[Fecha_Cheque]]&gt;0,WEEKNUM(Gastos[[#This Row],[Fecha_Cheque]]),MID(Gastos[[#This Row],[Semana]],6,2))</f>
        <v>39</v>
      </c>
      <c r="O783" t="s">
        <v>594</v>
      </c>
      <c r="P783" t="s">
        <v>27</v>
      </c>
    </row>
    <row r="784" spans="1:16" hidden="1" x14ac:dyDescent="0.25">
      <c r="A784" s="3" t="s">
        <v>89</v>
      </c>
      <c r="B784" t="s">
        <v>590</v>
      </c>
      <c r="D784" t="s">
        <v>26</v>
      </c>
      <c r="E784" t="s">
        <v>31</v>
      </c>
      <c r="F784">
        <v>1</v>
      </c>
      <c r="G784" s="3" t="s">
        <v>5</v>
      </c>
      <c r="H784" s="46" t="s">
        <v>15</v>
      </c>
      <c r="I784" s="17">
        <v>44700</v>
      </c>
      <c r="J784" s="17">
        <f>IF(Gastos[[#This Row],[Divisa]]="$", I784*1, IF(Gastos[[#This Row],[Divisa]]="U$D", I784*$N$1, IF(Gastos[[#This Row],[Divisa]]="EUR", I784*$N$2, 0)))</f>
        <v>44700</v>
      </c>
      <c r="K784" s="54">
        <f>Gastos[[#This Row],[Importe AR$]]/$N$1</f>
        <v>28.653846153846153</v>
      </c>
      <c r="M784" s="69"/>
      <c r="N784" s="43" t="str">
        <f>IF(Gastos[[#This Row],[Fecha_Cheque]]&gt;0,WEEKNUM(Gastos[[#This Row],[Fecha_Cheque]]),MID(Gastos[[#This Row],[Semana]],6,2))</f>
        <v>39</v>
      </c>
      <c r="O784" t="s">
        <v>595</v>
      </c>
      <c r="P784" t="s">
        <v>27</v>
      </c>
    </row>
    <row r="785" spans="1:16" hidden="1" x14ac:dyDescent="0.25">
      <c r="A785" s="3" t="s">
        <v>4419</v>
      </c>
      <c r="B785" t="s">
        <v>3888</v>
      </c>
      <c r="C785" t="s">
        <v>3889</v>
      </c>
      <c r="D785" t="s">
        <v>26</v>
      </c>
      <c r="E785" t="s">
        <v>31</v>
      </c>
      <c r="F785">
        <v>1</v>
      </c>
      <c r="G785" s="3" t="s">
        <v>32</v>
      </c>
      <c r="H785" s="44" t="s">
        <v>15</v>
      </c>
      <c r="I785" s="17">
        <v>101421716</v>
      </c>
      <c r="J785" s="17">
        <f>IF(Gastos[[#This Row],[Divisa]]="$", I785*1, IF(Gastos[[#This Row],[Divisa]]="U$D", I785*$N$1, IF(Gastos[[#This Row],[Divisa]]="EUR", I785*$N$2, 0)))</f>
        <v>101421716</v>
      </c>
      <c r="K785" s="54">
        <f>Gastos[[#This Row],[Importe AR$]]/$N$1</f>
        <v>65013.920512820514</v>
      </c>
      <c r="M785" s="69"/>
      <c r="N785" s="43" t="str">
        <f>IF(Gastos[[#This Row],[Fecha_Cheque]]&gt;0,WEEKNUM(Gastos[[#This Row],[Fecha_Cheque]]),MID(Gastos[[#This Row],[Semana]],6,2))</f>
        <v>00</v>
      </c>
    </row>
    <row r="786" spans="1:16" hidden="1" x14ac:dyDescent="0.25">
      <c r="A786" s="3" t="s">
        <v>72</v>
      </c>
      <c r="B786" t="s">
        <v>596</v>
      </c>
      <c r="C786" t="s">
        <v>597</v>
      </c>
      <c r="D786" t="s">
        <v>26</v>
      </c>
      <c r="E786" t="s">
        <v>31</v>
      </c>
      <c r="F786">
        <v>1</v>
      </c>
      <c r="G786" s="3" t="s">
        <v>5</v>
      </c>
      <c r="H786" s="46" t="s">
        <v>15</v>
      </c>
      <c r="I786" s="17">
        <v>105875</v>
      </c>
      <c r="J786" s="17">
        <f>IF(Gastos[[#This Row],[Divisa]]="$", I786*1, IF(Gastos[[#This Row],[Divisa]]="U$D", I786*$N$1, IF(Gastos[[#This Row],[Divisa]]="EUR", I786*$N$2, 0)))</f>
        <v>105875</v>
      </c>
      <c r="K786" s="54">
        <f>Gastos[[#This Row],[Importe AR$]]/$N$1</f>
        <v>67.868589743589737</v>
      </c>
      <c r="M786" s="69"/>
      <c r="N786" s="43" t="str">
        <f>IF(Gastos[[#This Row],[Fecha_Cheque]]&gt;0,WEEKNUM(Gastos[[#This Row],[Fecha_Cheque]]),MID(Gastos[[#This Row],[Semana]],6,2))</f>
        <v>48</v>
      </c>
      <c r="O786" t="s">
        <v>598</v>
      </c>
      <c r="P786" t="s">
        <v>27</v>
      </c>
    </row>
    <row r="787" spans="1:16" hidden="1" x14ac:dyDescent="0.25">
      <c r="A787" s="3" t="s">
        <v>85</v>
      </c>
      <c r="B787" t="s">
        <v>599</v>
      </c>
      <c r="C787" t="s">
        <v>600</v>
      </c>
      <c r="D787" t="s">
        <v>26</v>
      </c>
      <c r="E787" t="s">
        <v>31</v>
      </c>
      <c r="F787">
        <v>1</v>
      </c>
      <c r="G787" s="3" t="s">
        <v>5</v>
      </c>
      <c r="H787" s="46" t="s">
        <v>15</v>
      </c>
      <c r="I787" s="17">
        <v>101800</v>
      </c>
      <c r="J787" s="17">
        <f>IF(Gastos[[#This Row],[Divisa]]="$", I787*1, IF(Gastos[[#This Row],[Divisa]]="U$D", I787*$N$1, IF(Gastos[[#This Row],[Divisa]]="EUR", I787*$N$2, 0)))</f>
        <v>101800</v>
      </c>
      <c r="K787" s="54">
        <f>Gastos[[#This Row],[Importe AR$]]/$N$1</f>
        <v>65.256410256410263</v>
      </c>
      <c r="M787" s="69"/>
      <c r="N787" s="43" t="str">
        <f>IF(Gastos[[#This Row],[Fecha_Cheque]]&gt;0,WEEKNUM(Gastos[[#This Row],[Fecha_Cheque]]),MID(Gastos[[#This Row],[Semana]],6,2))</f>
        <v>26</v>
      </c>
      <c r="P787" t="s">
        <v>27</v>
      </c>
    </row>
    <row r="788" spans="1:16" hidden="1" x14ac:dyDescent="0.25">
      <c r="A788" s="3" t="s">
        <v>93</v>
      </c>
      <c r="B788" t="s">
        <v>601</v>
      </c>
      <c r="C788" t="s">
        <v>602</v>
      </c>
      <c r="D788" t="s">
        <v>26</v>
      </c>
      <c r="E788" t="s">
        <v>31</v>
      </c>
      <c r="F788">
        <v>1</v>
      </c>
      <c r="G788" s="3" t="s">
        <v>5</v>
      </c>
      <c r="H788" s="46" t="s">
        <v>15</v>
      </c>
      <c r="I788" s="17">
        <v>67760</v>
      </c>
      <c r="J788" s="17">
        <f>IF(Gastos[[#This Row],[Divisa]]="$", I788*1, IF(Gastos[[#This Row],[Divisa]]="U$D", I788*$N$1, IF(Gastos[[#This Row],[Divisa]]="EUR", I788*$N$2, 0)))</f>
        <v>67760</v>
      </c>
      <c r="K788" s="54">
        <f>Gastos[[#This Row],[Importe AR$]]/$N$1</f>
        <v>43.435897435897438</v>
      </c>
      <c r="M788" s="69"/>
      <c r="N788" s="43" t="str">
        <f>IF(Gastos[[#This Row],[Fecha_Cheque]]&gt;0,WEEKNUM(Gastos[[#This Row],[Fecha_Cheque]]),MID(Gastos[[#This Row],[Semana]],6,2))</f>
        <v>50</v>
      </c>
      <c r="O788" t="s">
        <v>603</v>
      </c>
      <c r="P788" t="s">
        <v>27</v>
      </c>
    </row>
    <row r="789" spans="1:16" hidden="1" x14ac:dyDescent="0.25">
      <c r="A789" s="3" t="s">
        <v>305</v>
      </c>
      <c r="B789" t="s">
        <v>604</v>
      </c>
      <c r="C789" t="s">
        <v>605</v>
      </c>
      <c r="D789" t="s">
        <v>26</v>
      </c>
      <c r="E789" t="s">
        <v>91</v>
      </c>
      <c r="F789">
        <v>1</v>
      </c>
      <c r="G789" s="3" t="s">
        <v>5</v>
      </c>
      <c r="H789" s="46" t="s">
        <v>15</v>
      </c>
      <c r="I789" s="17">
        <v>72600</v>
      </c>
      <c r="J789" s="17">
        <f>IF(Gastos[[#This Row],[Divisa]]="$", I789*1, IF(Gastos[[#This Row],[Divisa]]="U$D", I789*$N$1, IF(Gastos[[#This Row],[Divisa]]="EUR", I789*$N$2, 0)))</f>
        <v>72600</v>
      </c>
      <c r="K789" s="54">
        <f>Gastos[[#This Row],[Importe AR$]]/$N$1</f>
        <v>46.53846153846154</v>
      </c>
      <c r="M789" s="69"/>
      <c r="N789" s="43" t="str">
        <f>IF(Gastos[[#This Row],[Fecha_Cheque]]&gt;0,WEEKNUM(Gastos[[#This Row],[Fecha_Cheque]]),MID(Gastos[[#This Row],[Semana]],6,2))</f>
        <v>31</v>
      </c>
      <c r="O789" t="s">
        <v>606</v>
      </c>
      <c r="P789" t="s">
        <v>27</v>
      </c>
    </row>
    <row r="790" spans="1:16" hidden="1" x14ac:dyDescent="0.25">
      <c r="A790" s="3" t="s">
        <v>39</v>
      </c>
      <c r="B790" t="s">
        <v>801</v>
      </c>
      <c r="C790" t="s">
        <v>802</v>
      </c>
      <c r="D790" t="s">
        <v>26</v>
      </c>
      <c r="E790" t="s">
        <v>31</v>
      </c>
      <c r="F790">
        <v>1</v>
      </c>
      <c r="G790" s="3" t="s">
        <v>32</v>
      </c>
      <c r="H790" s="44" t="s">
        <v>15</v>
      </c>
      <c r="I790" s="17">
        <v>3457107.5</v>
      </c>
      <c r="J790" s="17">
        <f>IF(Gastos[[#This Row],[Divisa]]="$", I790*1, IF(Gastos[[#This Row],[Divisa]]="U$D", I790*$N$1, IF(Gastos[[#This Row],[Divisa]]="EUR", I790*$N$2, 0)))</f>
        <v>3457107.5</v>
      </c>
      <c r="K790" s="54">
        <f>Gastos[[#This Row],[Importe AR$]]/$N$1</f>
        <v>2216.0945512820513</v>
      </c>
      <c r="M790" s="69">
        <v>46142</v>
      </c>
      <c r="N790" s="43">
        <f>IF(Gastos[[#This Row],[Fecha_Cheque]]&gt;0,WEEKNUM(Gastos[[#This Row],[Fecha_Cheque]]),MID(Gastos[[#This Row],[Semana]],6,2))</f>
        <v>18</v>
      </c>
      <c r="O790" t="s">
        <v>803</v>
      </c>
      <c r="P790" t="s">
        <v>27</v>
      </c>
    </row>
    <row r="791" spans="1:16" hidden="1" x14ac:dyDescent="0.25">
      <c r="A791" s="3" t="s">
        <v>39</v>
      </c>
      <c r="B791" t="s">
        <v>801</v>
      </c>
      <c r="C791" t="s">
        <v>802</v>
      </c>
      <c r="D791" t="s">
        <v>26</v>
      </c>
      <c r="E791" t="s">
        <v>31</v>
      </c>
      <c r="F791">
        <v>1</v>
      </c>
      <c r="G791" s="3" t="s">
        <v>32</v>
      </c>
      <c r="H791" s="44" t="s">
        <v>15</v>
      </c>
      <c r="I791" s="17">
        <v>3457107.5</v>
      </c>
      <c r="J791" s="17">
        <f>IF(Gastos[[#This Row],[Divisa]]="$", I791*1, IF(Gastos[[#This Row],[Divisa]]="U$D", I791*$N$1, IF(Gastos[[#This Row],[Divisa]]="EUR", I791*$N$2, 0)))</f>
        <v>3457107.5</v>
      </c>
      <c r="K791" s="54">
        <f>Gastos[[#This Row],[Importe AR$]]/$N$1</f>
        <v>2216.0945512820513</v>
      </c>
      <c r="M791" s="69">
        <v>46157</v>
      </c>
      <c r="N791" s="43">
        <f>IF(Gastos[[#This Row],[Fecha_Cheque]]&gt;0,WEEKNUM(Gastos[[#This Row],[Fecha_Cheque]]),MID(Gastos[[#This Row],[Semana]],6,2))</f>
        <v>20</v>
      </c>
      <c r="O791" t="s">
        <v>803</v>
      </c>
      <c r="P791" t="s">
        <v>27</v>
      </c>
    </row>
    <row r="792" spans="1:16" hidden="1" x14ac:dyDescent="0.25">
      <c r="A792" s="3" t="s">
        <v>39</v>
      </c>
      <c r="B792" t="s">
        <v>801</v>
      </c>
      <c r="C792" t="s">
        <v>802</v>
      </c>
      <c r="D792" t="s">
        <v>26</v>
      </c>
      <c r="E792" t="s">
        <v>31</v>
      </c>
      <c r="F792">
        <v>1</v>
      </c>
      <c r="G792" s="3" t="s">
        <v>32</v>
      </c>
      <c r="H792" s="44" t="s">
        <v>15</v>
      </c>
      <c r="I792" s="17">
        <v>111650</v>
      </c>
      <c r="J792" s="17">
        <f>IF(Gastos[[#This Row],[Divisa]]="$", I792*1, IF(Gastos[[#This Row],[Divisa]]="U$D", I792*$N$1, IF(Gastos[[#This Row],[Divisa]]="EUR", I792*$N$2, 0)))</f>
        <v>111650</v>
      </c>
      <c r="K792" s="54">
        <f>Gastos[[#This Row],[Importe AR$]]/$N$1</f>
        <v>71.570512820512818</v>
      </c>
      <c r="L792" t="s">
        <v>340</v>
      </c>
      <c r="M792" s="69"/>
      <c r="N792" s="43" t="str">
        <f>IF(Gastos[[#This Row],[Fecha_Cheque]]&gt;0,WEEKNUM(Gastos[[#This Row],[Fecha_Cheque]]),MID(Gastos[[#This Row],[Semana]],6,2))</f>
        <v>14</v>
      </c>
      <c r="O792" t="s">
        <v>803</v>
      </c>
      <c r="P792" t="s">
        <v>27</v>
      </c>
    </row>
    <row r="793" spans="1:16" hidden="1" x14ac:dyDescent="0.25">
      <c r="A793" s="3" t="s">
        <v>2731</v>
      </c>
      <c r="B793" t="s">
        <v>801</v>
      </c>
      <c r="C793" t="s">
        <v>2864</v>
      </c>
      <c r="D793" t="s">
        <v>26</v>
      </c>
      <c r="E793" t="s">
        <v>31</v>
      </c>
      <c r="F793">
        <v>1</v>
      </c>
      <c r="G793" s="3" t="s">
        <v>32</v>
      </c>
      <c r="H793" s="44" t="s">
        <v>15</v>
      </c>
      <c r="I793" s="17">
        <v>111187.2</v>
      </c>
      <c r="J793" s="17">
        <f>IF(Gastos[[#This Row],[Divisa]]="$", I793*1, IF(Gastos[[#This Row],[Divisa]]="U$D", I793*$N$1, IF(Gastos[[#This Row],[Divisa]]="EUR", I793*$N$2, 0)))</f>
        <v>111187.2</v>
      </c>
      <c r="K793" s="54">
        <f>Gastos[[#This Row],[Importe AR$]]/$N$1</f>
        <v>71.273846153846151</v>
      </c>
      <c r="L793" t="s">
        <v>340</v>
      </c>
      <c r="M793" s="69"/>
      <c r="N793" s="43" t="str">
        <f>IF(Gastos[[#This Row],[Fecha_Cheque]]&gt;0,WEEKNUM(Gastos[[#This Row],[Fecha_Cheque]]),MID(Gastos[[#This Row],[Semana]],6,2))</f>
        <v>17</v>
      </c>
      <c r="O793" t="s">
        <v>2865</v>
      </c>
      <c r="P793" t="s">
        <v>27</v>
      </c>
    </row>
    <row r="794" spans="1:16" hidden="1" x14ac:dyDescent="0.25">
      <c r="A794" s="3" t="s">
        <v>2731</v>
      </c>
      <c r="B794" t="s">
        <v>801</v>
      </c>
      <c r="C794" t="s">
        <v>2864</v>
      </c>
      <c r="D794" t="s">
        <v>26</v>
      </c>
      <c r="E794" t="s">
        <v>31</v>
      </c>
      <c r="F794">
        <v>1</v>
      </c>
      <c r="G794" s="3" t="s">
        <v>32</v>
      </c>
      <c r="H794" s="44" t="s">
        <v>15</v>
      </c>
      <c r="I794" s="17">
        <v>3443339.2</v>
      </c>
      <c r="J794" s="17">
        <f>IF(Gastos[[#This Row],[Divisa]]="$", I794*1, IF(Gastos[[#This Row],[Divisa]]="U$D", I794*$N$1, IF(Gastos[[#This Row],[Divisa]]="EUR", I794*$N$2, 0)))</f>
        <v>3443339.2</v>
      </c>
      <c r="K794" s="54">
        <f>Gastos[[#This Row],[Importe AR$]]/$N$1</f>
        <v>2207.2687179487179</v>
      </c>
      <c r="M794" s="69">
        <v>46158</v>
      </c>
      <c r="N794" s="43">
        <f>IF(Gastos[[#This Row],[Fecha_Cheque]]&gt;0,WEEKNUM(Gastos[[#This Row],[Fecha_Cheque]]),MID(Gastos[[#This Row],[Semana]],6,2))</f>
        <v>20</v>
      </c>
      <c r="O794" t="s">
        <v>2865</v>
      </c>
      <c r="P794" t="s">
        <v>27</v>
      </c>
    </row>
    <row r="795" spans="1:16" hidden="1" x14ac:dyDescent="0.25">
      <c r="A795" s="3" t="s">
        <v>2731</v>
      </c>
      <c r="B795" t="s">
        <v>801</v>
      </c>
      <c r="C795" t="s">
        <v>2864</v>
      </c>
      <c r="D795" t="s">
        <v>26</v>
      </c>
      <c r="E795" t="s">
        <v>31</v>
      </c>
      <c r="F795">
        <v>1</v>
      </c>
      <c r="G795" s="3" t="s">
        <v>32</v>
      </c>
      <c r="H795" s="44" t="s">
        <v>15</v>
      </c>
      <c r="I795" s="17">
        <v>3443339.2</v>
      </c>
      <c r="J795" s="17">
        <f>IF(Gastos[[#This Row],[Divisa]]="$", I795*1, IF(Gastos[[#This Row],[Divisa]]="U$D", I795*$N$1, IF(Gastos[[#This Row],[Divisa]]="EUR", I795*$N$2, 0)))</f>
        <v>3443339.2</v>
      </c>
      <c r="K795" s="54">
        <f>Gastos[[#This Row],[Importe AR$]]/$N$1</f>
        <v>2207.2687179487179</v>
      </c>
      <c r="M795" s="69">
        <v>46174</v>
      </c>
      <c r="N795" s="43">
        <f>IF(Gastos[[#This Row],[Fecha_Cheque]]&gt;0,WEEKNUM(Gastos[[#This Row],[Fecha_Cheque]]),MID(Gastos[[#This Row],[Semana]],6,2))</f>
        <v>23</v>
      </c>
      <c r="O795" t="s">
        <v>2865</v>
      </c>
      <c r="P795" t="s">
        <v>27</v>
      </c>
    </row>
    <row r="796" spans="1:16" hidden="1" x14ac:dyDescent="0.25">
      <c r="A796" s="3" t="s">
        <v>93</v>
      </c>
      <c r="B796" t="s">
        <v>607</v>
      </c>
      <c r="C796" t="s">
        <v>608</v>
      </c>
      <c r="D796" t="s">
        <v>26</v>
      </c>
      <c r="E796" t="s">
        <v>62</v>
      </c>
      <c r="F796">
        <v>1</v>
      </c>
      <c r="G796" s="3" t="s">
        <v>5</v>
      </c>
      <c r="H796" s="46" t="s">
        <v>15</v>
      </c>
      <c r="I796" s="17">
        <v>15695939.279999999</v>
      </c>
      <c r="J796" s="17">
        <f>IF(Gastos[[#This Row],[Divisa]]="$", I796*1, IF(Gastos[[#This Row],[Divisa]]="U$D", I796*$N$1, IF(Gastos[[#This Row],[Divisa]]="EUR", I796*$N$2, 0)))</f>
        <v>15695939.279999999</v>
      </c>
      <c r="K796" s="54">
        <f>Gastos[[#This Row],[Importe AR$]]/$N$1</f>
        <v>10061.499538461538</v>
      </c>
      <c r="M796" s="69"/>
      <c r="N796" s="43" t="str">
        <f>IF(Gastos[[#This Row],[Fecha_Cheque]]&gt;0,WEEKNUM(Gastos[[#This Row],[Fecha_Cheque]]),MID(Gastos[[#This Row],[Semana]],6,2))</f>
        <v>50</v>
      </c>
      <c r="O796" t="s">
        <v>609</v>
      </c>
      <c r="P796" t="s">
        <v>27</v>
      </c>
    </row>
    <row r="797" spans="1:16" hidden="1" x14ac:dyDescent="0.25">
      <c r="A797" s="3" t="s">
        <v>93</v>
      </c>
      <c r="B797" t="s">
        <v>607</v>
      </c>
      <c r="C797" t="s">
        <v>608</v>
      </c>
      <c r="D797" t="s">
        <v>26</v>
      </c>
      <c r="E797" t="s">
        <v>62</v>
      </c>
      <c r="F797">
        <v>1</v>
      </c>
      <c r="G797" s="3" t="s">
        <v>5</v>
      </c>
      <c r="H797" s="46" t="s">
        <v>15</v>
      </c>
      <c r="I797" s="17">
        <v>14744046.24</v>
      </c>
      <c r="J797" s="17">
        <f>IF(Gastos[[#This Row],[Divisa]]="$", I797*1, IF(Gastos[[#This Row],[Divisa]]="U$D", I797*$N$1, IF(Gastos[[#This Row],[Divisa]]="EUR", I797*$N$2, 0)))</f>
        <v>14744046.24</v>
      </c>
      <c r="K797" s="54">
        <f>Gastos[[#This Row],[Importe AR$]]/$N$1</f>
        <v>9451.3116923076923</v>
      </c>
      <c r="M797" s="69"/>
      <c r="N797" s="43" t="str">
        <f>IF(Gastos[[#This Row],[Fecha_Cheque]]&gt;0,WEEKNUM(Gastos[[#This Row],[Fecha_Cheque]]),MID(Gastos[[#This Row],[Semana]],6,2))</f>
        <v>50</v>
      </c>
      <c r="O797" t="s">
        <v>610</v>
      </c>
      <c r="P797" t="s">
        <v>27</v>
      </c>
    </row>
    <row r="798" spans="1:16" hidden="1" x14ac:dyDescent="0.25">
      <c r="A798" s="3" t="s">
        <v>99</v>
      </c>
      <c r="B798" t="s">
        <v>607</v>
      </c>
      <c r="C798" t="s">
        <v>611</v>
      </c>
      <c r="D798" t="s">
        <v>26</v>
      </c>
      <c r="E798" t="s">
        <v>31</v>
      </c>
      <c r="F798">
        <v>1</v>
      </c>
      <c r="G798" s="3" t="s">
        <v>5</v>
      </c>
      <c r="H798" s="46" t="s">
        <v>15</v>
      </c>
      <c r="I798" s="17">
        <v>6958041.9199999999</v>
      </c>
      <c r="J798" s="17">
        <f>IF(Gastos[[#This Row],[Divisa]]="$", I798*1, IF(Gastos[[#This Row],[Divisa]]="U$D", I798*$N$1, IF(Gastos[[#This Row],[Divisa]]="EUR", I798*$N$2, 0)))</f>
        <v>6958041.9199999999</v>
      </c>
      <c r="K798" s="54">
        <f>Gastos[[#This Row],[Importe AR$]]/$N$1</f>
        <v>4460.2832820512822</v>
      </c>
      <c r="M798" s="69"/>
      <c r="N798" s="43" t="str">
        <f>IF(Gastos[[#This Row],[Fecha_Cheque]]&gt;0,WEEKNUM(Gastos[[#This Row],[Fecha_Cheque]]),MID(Gastos[[#This Row],[Semana]],6,2))</f>
        <v>28</v>
      </c>
      <c r="O798" t="s">
        <v>612</v>
      </c>
      <c r="P798" t="s">
        <v>27</v>
      </c>
    </row>
    <row r="799" spans="1:16" hidden="1" x14ac:dyDescent="0.25">
      <c r="A799" s="3" t="s">
        <v>99</v>
      </c>
      <c r="B799" t="s">
        <v>607</v>
      </c>
      <c r="C799" t="s">
        <v>611</v>
      </c>
      <c r="D799" t="s">
        <v>26</v>
      </c>
      <c r="E799" t="s">
        <v>31</v>
      </c>
      <c r="F799">
        <v>1</v>
      </c>
      <c r="G799" s="3" t="s">
        <v>5</v>
      </c>
      <c r="H799" s="46" t="s">
        <v>15</v>
      </c>
      <c r="I799" s="17">
        <v>7415887.7599999998</v>
      </c>
      <c r="J799" s="17">
        <f>IF(Gastos[[#This Row],[Divisa]]="$", I799*1, IF(Gastos[[#This Row],[Divisa]]="U$D", I799*$N$1, IF(Gastos[[#This Row],[Divisa]]="EUR", I799*$N$2, 0)))</f>
        <v>7415887.7599999998</v>
      </c>
      <c r="K799" s="54">
        <f>Gastos[[#This Row],[Importe AR$]]/$N$1</f>
        <v>4753.7742051282048</v>
      </c>
      <c r="M799" s="69"/>
      <c r="N799" s="43" t="s">
        <v>613</v>
      </c>
      <c r="O799" t="s">
        <v>614</v>
      </c>
      <c r="P799" t="s">
        <v>27</v>
      </c>
    </row>
    <row r="800" spans="1:16" hidden="1" x14ac:dyDescent="0.25">
      <c r="A800" s="3" t="s">
        <v>99</v>
      </c>
      <c r="B800" t="s">
        <v>607</v>
      </c>
      <c r="C800" t="s">
        <v>611</v>
      </c>
      <c r="D800" t="s">
        <v>26</v>
      </c>
      <c r="E800" t="s">
        <v>31</v>
      </c>
      <c r="F800">
        <v>1</v>
      </c>
      <c r="G800" s="3" t="s">
        <v>5</v>
      </c>
      <c r="H800" s="46" t="s">
        <v>15</v>
      </c>
      <c r="I800" s="17">
        <v>6958041.9199999999</v>
      </c>
      <c r="J800" s="17">
        <f>IF(Gastos[[#This Row],[Divisa]]="$", I800*1, IF(Gastos[[#This Row],[Divisa]]="U$D", I800*$N$1, IF(Gastos[[#This Row],[Divisa]]="EUR", I800*$N$2, 0)))</f>
        <v>6958041.9199999999</v>
      </c>
      <c r="K800" s="54">
        <f>Gastos[[#This Row],[Importe AR$]]/$N$1</f>
        <v>4460.2832820512822</v>
      </c>
      <c r="M800" s="69"/>
      <c r="N800" s="43" t="str">
        <f>IF(Gastos[[#This Row],[Fecha_Cheque]]&gt;0,WEEKNUM(Gastos[[#This Row],[Fecha_Cheque]]),MID(Gastos[[#This Row],[Semana]],6,2))</f>
        <v>28</v>
      </c>
      <c r="O800" t="s">
        <v>615</v>
      </c>
      <c r="P800" t="s">
        <v>27</v>
      </c>
    </row>
    <row r="801" spans="1:16" hidden="1" x14ac:dyDescent="0.25">
      <c r="A801" s="3" t="s">
        <v>99</v>
      </c>
      <c r="B801" t="s">
        <v>607</v>
      </c>
      <c r="C801" t="s">
        <v>611</v>
      </c>
      <c r="D801" t="s">
        <v>26</v>
      </c>
      <c r="E801" t="s">
        <v>31</v>
      </c>
      <c r="F801">
        <v>1</v>
      </c>
      <c r="G801" s="3" t="s">
        <v>5</v>
      </c>
      <c r="H801" s="46" t="s">
        <v>15</v>
      </c>
      <c r="I801" s="17">
        <v>7415887.7599999998</v>
      </c>
      <c r="J801" s="17">
        <f>IF(Gastos[[#This Row],[Divisa]]="$", I801*1, IF(Gastos[[#This Row],[Divisa]]="U$D", I801*$N$1, IF(Gastos[[#This Row],[Divisa]]="EUR", I801*$N$2, 0)))</f>
        <v>7415887.7599999998</v>
      </c>
      <c r="K801" s="54">
        <f>Gastos[[#This Row],[Importe AR$]]/$N$1</f>
        <v>4753.7742051282048</v>
      </c>
      <c r="M801" s="69"/>
      <c r="N801" s="43" t="str">
        <f>IF(Gastos[[#This Row],[Fecha_Cheque]]&gt;0,WEEKNUM(Gastos[[#This Row],[Fecha_Cheque]]),MID(Gastos[[#This Row],[Semana]],6,2))</f>
        <v>28</v>
      </c>
      <c r="O801" t="s">
        <v>616</v>
      </c>
      <c r="P801" t="s">
        <v>27</v>
      </c>
    </row>
    <row r="802" spans="1:16" hidden="1" x14ac:dyDescent="0.25">
      <c r="A802" s="3" t="s">
        <v>217</v>
      </c>
      <c r="B802" t="s">
        <v>607</v>
      </c>
      <c r="C802" t="s">
        <v>617</v>
      </c>
      <c r="D802" t="s">
        <v>26</v>
      </c>
      <c r="E802" t="s">
        <v>31</v>
      </c>
      <c r="F802">
        <v>1</v>
      </c>
      <c r="G802" s="3" t="s">
        <v>5</v>
      </c>
      <c r="H802" s="46" t="s">
        <v>15</v>
      </c>
      <c r="I802" s="17">
        <v>1355775</v>
      </c>
      <c r="J802" s="17">
        <f>IF(Gastos[[#This Row],[Divisa]]="$", I802*1, IF(Gastos[[#This Row],[Divisa]]="U$D", I802*$N$1, IF(Gastos[[#This Row],[Divisa]]="EUR", I802*$N$2, 0)))</f>
        <v>1355775</v>
      </c>
      <c r="K802" s="54">
        <f>Gastos[[#This Row],[Importe AR$]]/$N$1</f>
        <v>869.08653846153845</v>
      </c>
      <c r="M802" s="69"/>
      <c r="N802" s="43" t="str">
        <f>IF(Gastos[[#This Row],[Fecha_Cheque]]&gt;0,WEEKNUM(Gastos[[#This Row],[Fecha_Cheque]]),MID(Gastos[[#This Row],[Semana]],6,2))</f>
        <v>30</v>
      </c>
      <c r="O802" t="s">
        <v>618</v>
      </c>
      <c r="P802" t="s">
        <v>27</v>
      </c>
    </row>
    <row r="803" spans="1:16" x14ac:dyDescent="0.25">
      <c r="A803" s="3" t="s">
        <v>4655</v>
      </c>
      <c r="B803" t="s">
        <v>483</v>
      </c>
      <c r="C803" t="s">
        <v>155</v>
      </c>
      <c r="D803" t="s">
        <v>26</v>
      </c>
      <c r="E803" t="s">
        <v>42</v>
      </c>
      <c r="F803">
        <v>1</v>
      </c>
      <c r="G803" s="3" t="s">
        <v>4</v>
      </c>
      <c r="H803" s="46" t="s">
        <v>15</v>
      </c>
      <c r="I803" s="17">
        <v>200000</v>
      </c>
      <c r="J803" s="17">
        <f>IF(Gastos[[#This Row],[Divisa]]="$", I803*1, IF(Gastos[[#This Row],[Divisa]]="U$D", I803*$N$1, IF(Gastos[[#This Row],[Divisa]]="EUR", I803*$N$2, 0)))</f>
        <v>200000</v>
      </c>
      <c r="K803" s="54">
        <f>Gastos[[#This Row],[Importe AR$]]/$N$1</f>
        <v>128.2051282051282</v>
      </c>
      <c r="M803" s="69"/>
      <c r="N803" s="43" t="str">
        <f>IF(Gastos[[#This Row],[Fecha_Cheque]]&gt;0,WEEKNUM(Gastos[[#This Row],[Fecha_Cheque]]),MID(Gastos[[#This Row],[Semana]],6,2))</f>
        <v>44</v>
      </c>
      <c r="P803" t="s">
        <v>7</v>
      </c>
    </row>
    <row r="804" spans="1:16" hidden="1" x14ac:dyDescent="0.25">
      <c r="A804" s="3" t="s">
        <v>4211</v>
      </c>
      <c r="B804" t="s">
        <v>4289</v>
      </c>
      <c r="C804" t="s">
        <v>4290</v>
      </c>
      <c r="D804" t="s">
        <v>26</v>
      </c>
      <c r="E804" t="s">
        <v>62</v>
      </c>
      <c r="F804">
        <v>1</v>
      </c>
      <c r="G804" s="3" t="s">
        <v>5</v>
      </c>
      <c r="H804" s="44" t="s">
        <v>15</v>
      </c>
      <c r="I804" s="17">
        <v>1084589.54</v>
      </c>
      <c r="J804" s="17">
        <f>IF(Gastos[[#This Row],[Divisa]]="$", I804*1, IF(Gastos[[#This Row],[Divisa]]="U$D", I804*$N$1, IF(Gastos[[#This Row],[Divisa]]="EUR", I804*$N$2, 0)))</f>
        <v>1084589.54</v>
      </c>
      <c r="K804" s="54">
        <f>Gastos[[#This Row],[Importe AR$]]/$N$1</f>
        <v>695.24970512820516</v>
      </c>
      <c r="M804" s="69"/>
      <c r="N804" s="43" t="str">
        <f>IF(Gastos[[#This Row],[Fecha_Cheque]]&gt;0,WEEKNUM(Gastos[[#This Row],[Fecha_Cheque]]),MID(Gastos[[#This Row],[Semana]],6,2))</f>
        <v>37</v>
      </c>
      <c r="O804" t="s">
        <v>4291</v>
      </c>
      <c r="P804" t="s">
        <v>27</v>
      </c>
    </row>
    <row r="805" spans="1:16" hidden="1" x14ac:dyDescent="0.25">
      <c r="A805" s="3" t="s">
        <v>4211</v>
      </c>
      <c r="B805" t="s">
        <v>4289</v>
      </c>
      <c r="C805" t="s">
        <v>4292</v>
      </c>
      <c r="D805" t="s">
        <v>26</v>
      </c>
      <c r="E805" t="s">
        <v>62</v>
      </c>
      <c r="F805">
        <v>1</v>
      </c>
      <c r="G805" s="3" t="s">
        <v>5</v>
      </c>
      <c r="H805" s="44" t="s">
        <v>15</v>
      </c>
      <c r="I805" s="17">
        <v>1476410.22</v>
      </c>
      <c r="J805" s="17">
        <f>IF(Gastos[[#This Row],[Divisa]]="$", I805*1, IF(Gastos[[#This Row],[Divisa]]="U$D", I805*$N$1, IF(Gastos[[#This Row],[Divisa]]="EUR", I805*$N$2, 0)))</f>
        <v>1476410.22</v>
      </c>
      <c r="K805" s="54">
        <f>Gastos[[#This Row],[Importe AR$]]/$N$1</f>
        <v>946.41680769230766</v>
      </c>
      <c r="M805" s="69"/>
      <c r="N805" s="43" t="str">
        <f>IF(Gastos[[#This Row],[Fecha_Cheque]]&gt;0,WEEKNUM(Gastos[[#This Row],[Fecha_Cheque]]),MID(Gastos[[#This Row],[Semana]],6,2))</f>
        <v>37</v>
      </c>
      <c r="O805" t="s">
        <v>4293</v>
      </c>
      <c r="P805" t="s">
        <v>27</v>
      </c>
    </row>
    <row r="806" spans="1:16" hidden="1" x14ac:dyDescent="0.25">
      <c r="A806" s="3" t="s">
        <v>397</v>
      </c>
      <c r="B806" t="s">
        <v>1794</v>
      </c>
      <c r="C806" t="s">
        <v>1795</v>
      </c>
      <c r="D806" t="s">
        <v>26</v>
      </c>
      <c r="E806" t="s">
        <v>31</v>
      </c>
      <c r="F806">
        <v>1</v>
      </c>
      <c r="G806" s="3" t="s">
        <v>32</v>
      </c>
      <c r="H806" s="44" t="s">
        <v>15</v>
      </c>
      <c r="I806" s="17">
        <v>110950</v>
      </c>
      <c r="J806" s="17">
        <f>IF(Gastos[[#This Row],[Divisa]]="$", I806*1, IF(Gastos[[#This Row],[Divisa]]="U$D", I806*$N$1, IF(Gastos[[#This Row],[Divisa]]="EUR", I806*$N$2, 0)))</f>
        <v>110950</v>
      </c>
      <c r="K806" s="54">
        <f>Gastos[[#This Row],[Importe AR$]]/$N$1</f>
        <v>71.121794871794876</v>
      </c>
      <c r="L806" s="57"/>
      <c r="M806" s="69">
        <v>46081</v>
      </c>
      <c r="N806" s="43">
        <f>IF(Gastos[[#This Row],[Fecha_Cheque]]&gt;0,WEEKNUM(Gastos[[#This Row],[Fecha_Cheque]]),MID(Gastos[[#This Row],[Semana]],6,2))</f>
        <v>9</v>
      </c>
      <c r="O806" t="s">
        <v>1796</v>
      </c>
      <c r="P806" t="s">
        <v>27</v>
      </c>
    </row>
    <row r="807" spans="1:16" hidden="1" x14ac:dyDescent="0.25">
      <c r="A807" s="3" t="s">
        <v>397</v>
      </c>
      <c r="B807" t="s">
        <v>1794</v>
      </c>
      <c r="C807" t="s">
        <v>1795</v>
      </c>
      <c r="D807" t="s">
        <v>26</v>
      </c>
      <c r="E807" t="s">
        <v>31</v>
      </c>
      <c r="F807">
        <v>1</v>
      </c>
      <c r="G807" s="3" t="s">
        <v>32</v>
      </c>
      <c r="H807" s="44" t="s">
        <v>15</v>
      </c>
      <c r="I807" s="17">
        <v>1700000</v>
      </c>
      <c r="J807" s="17">
        <f>IF(Gastos[[#This Row],[Divisa]]="$", I807*1, IF(Gastos[[#This Row],[Divisa]]="U$D", I807*$N$1, IF(Gastos[[#This Row],[Divisa]]="EUR", I807*$N$2, 0)))</f>
        <v>1700000</v>
      </c>
      <c r="K807" s="54">
        <f>Gastos[[#This Row],[Importe AR$]]/$N$1</f>
        <v>1089.7435897435898</v>
      </c>
      <c r="L807" s="57"/>
      <c r="M807" s="69">
        <v>45930</v>
      </c>
      <c r="N807" s="43">
        <f>IF(Gastos[[#This Row],[Fecha_Cheque]]&gt;0,WEEKNUM(Gastos[[#This Row],[Fecha_Cheque]]),MID(Gastos[[#This Row],[Semana]],6,2))</f>
        <v>40</v>
      </c>
      <c r="O807" t="s">
        <v>1796</v>
      </c>
      <c r="P807" t="s">
        <v>27</v>
      </c>
    </row>
    <row r="808" spans="1:16" hidden="1" x14ac:dyDescent="0.25">
      <c r="A808" s="3" t="s">
        <v>397</v>
      </c>
      <c r="B808" t="s">
        <v>1794</v>
      </c>
      <c r="C808" t="s">
        <v>1795</v>
      </c>
      <c r="D808" t="s">
        <v>26</v>
      </c>
      <c r="E808" t="s">
        <v>31</v>
      </c>
      <c r="F808">
        <v>1</v>
      </c>
      <c r="G808" s="3" t="s">
        <v>32</v>
      </c>
      <c r="H808" s="44" t="s">
        <v>15</v>
      </c>
      <c r="I808" s="17">
        <v>8764667</v>
      </c>
      <c r="J808" s="17">
        <f>IF(Gastos[[#This Row],[Divisa]]="$", I808*1, IF(Gastos[[#This Row],[Divisa]]="U$D", I808*$N$1, IF(Gastos[[#This Row],[Divisa]]="EUR", I808*$N$2, 0)))</f>
        <v>8764667</v>
      </c>
      <c r="K808" s="54">
        <f>Gastos[[#This Row],[Importe AR$]]/$N$1</f>
        <v>5618.376282051282</v>
      </c>
      <c r="L808" s="57"/>
      <c r="M808" s="69">
        <v>46081</v>
      </c>
      <c r="N808" s="43">
        <f>IF(Gastos[[#This Row],[Fecha_Cheque]]&gt;0,WEEKNUM(Gastos[[#This Row],[Fecha_Cheque]]),MID(Gastos[[#This Row],[Semana]],6,2))</f>
        <v>9</v>
      </c>
      <c r="O808" t="s">
        <v>1796</v>
      </c>
      <c r="P808" t="s">
        <v>27</v>
      </c>
    </row>
    <row r="809" spans="1:16" hidden="1" x14ac:dyDescent="0.25">
      <c r="A809" s="3" t="s">
        <v>397</v>
      </c>
      <c r="B809" t="s">
        <v>1794</v>
      </c>
      <c r="C809" t="s">
        <v>1795</v>
      </c>
      <c r="D809" t="s">
        <v>26</v>
      </c>
      <c r="E809" t="s">
        <v>31</v>
      </c>
      <c r="F809">
        <v>1</v>
      </c>
      <c r="G809" s="3" t="s">
        <v>32</v>
      </c>
      <c r="H809" s="44" t="s">
        <v>15</v>
      </c>
      <c r="I809" s="17">
        <v>10000000</v>
      </c>
      <c r="J809" s="17">
        <f>IF(Gastos[[#This Row],[Divisa]]="$", I809*1, IF(Gastos[[#This Row],[Divisa]]="U$D", I809*$N$1, IF(Gastos[[#This Row],[Divisa]]="EUR", I809*$N$2, 0)))</f>
        <v>10000000</v>
      </c>
      <c r="K809" s="54">
        <f>Gastos[[#This Row],[Importe AR$]]/$N$1</f>
        <v>6410.2564102564102</v>
      </c>
      <c r="L809" s="57"/>
      <c r="M809" s="69">
        <v>46060</v>
      </c>
      <c r="N809" s="43">
        <f>IF(Gastos[[#This Row],[Fecha_Cheque]]&gt;0,WEEKNUM(Gastos[[#This Row],[Fecha_Cheque]]),MID(Gastos[[#This Row],[Semana]],6,2))</f>
        <v>6</v>
      </c>
      <c r="O809" t="s">
        <v>1796</v>
      </c>
      <c r="P809" t="s">
        <v>27</v>
      </c>
    </row>
    <row r="810" spans="1:16" hidden="1" x14ac:dyDescent="0.25">
      <c r="A810" s="3" t="s">
        <v>397</v>
      </c>
      <c r="B810" t="s">
        <v>1794</v>
      </c>
      <c r="C810" t="s">
        <v>1795</v>
      </c>
      <c r="D810" t="s">
        <v>26</v>
      </c>
      <c r="E810" t="s">
        <v>31</v>
      </c>
      <c r="F810">
        <v>1</v>
      </c>
      <c r="G810" s="3" t="s">
        <v>32</v>
      </c>
      <c r="H810" s="44" t="s">
        <v>15</v>
      </c>
      <c r="I810" s="17">
        <v>371065.96</v>
      </c>
      <c r="J810" s="17">
        <f>IF(Gastos[[#This Row],[Divisa]]="$", I810*1, IF(Gastos[[#This Row],[Divisa]]="U$D", I810*$N$1, IF(Gastos[[#This Row],[Divisa]]="EUR", I810*$N$2, 0)))</f>
        <v>371065.96</v>
      </c>
      <c r="K810" s="54">
        <f>Gastos[[#This Row],[Importe AR$]]/$N$1</f>
        <v>237.86279487179488</v>
      </c>
      <c r="M810" s="69"/>
      <c r="N810" s="43" t="str">
        <f>IF(Gastos[[#This Row],[Fecha_Cheque]]&gt;0,WEEKNUM(Gastos[[#This Row],[Fecha_Cheque]]),MID(Gastos[[#This Row],[Semana]],6,2))</f>
        <v>11</v>
      </c>
      <c r="O810" t="s">
        <v>1796</v>
      </c>
      <c r="P810" t="s">
        <v>27</v>
      </c>
    </row>
    <row r="811" spans="1:16" hidden="1" x14ac:dyDescent="0.25">
      <c r="A811" s="3" t="s">
        <v>2804</v>
      </c>
      <c r="B811" t="s">
        <v>1794</v>
      </c>
      <c r="C811" t="s">
        <v>1795</v>
      </c>
      <c r="D811" t="s">
        <v>26</v>
      </c>
      <c r="E811" t="s">
        <v>62</v>
      </c>
      <c r="F811">
        <v>1</v>
      </c>
      <c r="G811" s="3" t="s">
        <v>32</v>
      </c>
      <c r="H811" s="44" t="s">
        <v>15</v>
      </c>
      <c r="I811" s="17">
        <v>5373450</v>
      </c>
      <c r="J811" s="17">
        <f>IF(Gastos[[#This Row],[Divisa]]="$", I811*1, IF(Gastos[[#This Row],[Divisa]]="U$D", I811*$N$1, IF(Gastos[[#This Row],[Divisa]]="EUR", I811*$N$2, 0)))</f>
        <v>5373450</v>
      </c>
      <c r="K811" s="54">
        <f>Gastos[[#This Row],[Importe AR$]]/$N$1</f>
        <v>3444.5192307692309</v>
      </c>
      <c r="M811" s="69">
        <v>46151</v>
      </c>
      <c r="N811" s="43">
        <f>IF(Gastos[[#This Row],[Fecha_Cheque]]&gt;0,WEEKNUM(Gastos[[#This Row],[Fecha_Cheque]]),MID(Gastos[[#This Row],[Semana]],6,2))</f>
        <v>19</v>
      </c>
      <c r="O811" t="s">
        <v>2927</v>
      </c>
      <c r="P811" t="s">
        <v>27</v>
      </c>
    </row>
    <row r="812" spans="1:16" hidden="1" x14ac:dyDescent="0.25">
      <c r="A812" s="3" t="s">
        <v>2804</v>
      </c>
      <c r="B812" t="s">
        <v>1794</v>
      </c>
      <c r="C812" t="s">
        <v>1795</v>
      </c>
      <c r="D812" t="s">
        <v>26</v>
      </c>
      <c r="E812" t="s">
        <v>62</v>
      </c>
      <c r="F812">
        <v>1</v>
      </c>
      <c r="G812" s="3" t="s">
        <v>32</v>
      </c>
      <c r="H812" s="44" t="s">
        <v>15</v>
      </c>
      <c r="I812" s="17">
        <v>95913.61</v>
      </c>
      <c r="J812" s="17">
        <f>IF(Gastos[[#This Row],[Divisa]]="$", I812*1, IF(Gastos[[#This Row],[Divisa]]="U$D", I812*$N$1, IF(Gastos[[#This Row],[Divisa]]="EUR", I812*$N$2, 0)))</f>
        <v>95913.61</v>
      </c>
      <c r="K812" s="54">
        <f>Gastos[[#This Row],[Importe AR$]]/$N$1</f>
        <v>61.483083333333333</v>
      </c>
      <c r="L812" t="s">
        <v>340</v>
      </c>
      <c r="M812" s="69"/>
      <c r="N812" s="43" t="str">
        <f>IF(Gastos[[#This Row],[Fecha_Cheque]]&gt;0,WEEKNUM(Gastos[[#This Row],[Fecha_Cheque]]),MID(Gastos[[#This Row],[Semana]],6,2))</f>
        <v>19</v>
      </c>
      <c r="O812" t="s">
        <v>2927</v>
      </c>
      <c r="P812" t="s">
        <v>27</v>
      </c>
    </row>
    <row r="813" spans="1:16" hidden="1" x14ac:dyDescent="0.25">
      <c r="A813" s="3" t="s">
        <v>2792</v>
      </c>
      <c r="B813" t="s">
        <v>1794</v>
      </c>
      <c r="C813" t="s">
        <v>1795</v>
      </c>
      <c r="D813" t="s">
        <v>26</v>
      </c>
      <c r="E813" t="s">
        <v>62</v>
      </c>
      <c r="F813">
        <v>1</v>
      </c>
      <c r="G813" s="3" t="s">
        <v>32</v>
      </c>
      <c r="H813" s="44" t="s">
        <v>15</v>
      </c>
      <c r="I813" s="17">
        <v>800000</v>
      </c>
      <c r="J813" s="17">
        <f>IF(Gastos[[#This Row],[Divisa]]="$", I813*1, IF(Gastos[[#This Row],[Divisa]]="U$D", I813*$N$1, IF(Gastos[[#This Row],[Divisa]]="EUR", I813*$N$2, 0)))</f>
        <v>800000</v>
      </c>
      <c r="K813" s="54">
        <f>Gastos[[#This Row],[Importe AR$]]/$N$1</f>
        <v>512.82051282051282</v>
      </c>
      <c r="M813" s="69">
        <v>46179</v>
      </c>
      <c r="N813" s="43">
        <f>IF(Gastos[[#This Row],[Fecha_Cheque]]&gt;0,WEEKNUM(Gastos[[#This Row],[Fecha_Cheque]]),MID(Gastos[[#This Row],[Semana]],6,2))</f>
        <v>23</v>
      </c>
      <c r="O813" t="s">
        <v>3023</v>
      </c>
      <c r="P813" t="s">
        <v>27</v>
      </c>
    </row>
    <row r="814" spans="1:16" hidden="1" x14ac:dyDescent="0.25">
      <c r="A814" s="3" t="s">
        <v>2792</v>
      </c>
      <c r="B814" t="s">
        <v>1794</v>
      </c>
      <c r="C814" t="s">
        <v>1795</v>
      </c>
      <c r="D814" t="s">
        <v>26</v>
      </c>
      <c r="E814" t="s">
        <v>62</v>
      </c>
      <c r="F814">
        <v>1</v>
      </c>
      <c r="G814" s="3" t="s">
        <v>32</v>
      </c>
      <c r="H814" s="44" t="s">
        <v>15</v>
      </c>
      <c r="I814" s="17">
        <v>617866</v>
      </c>
      <c r="J814" s="17">
        <f>IF(Gastos[[#This Row],[Divisa]]="$", I814*1, IF(Gastos[[#This Row],[Divisa]]="U$D", I814*$N$1, IF(Gastos[[#This Row],[Divisa]]="EUR", I814*$N$2, 0)))</f>
        <v>617866</v>
      </c>
      <c r="K814" s="54">
        <f>Gastos[[#This Row],[Importe AR$]]/$N$1</f>
        <v>396.0679487179487</v>
      </c>
      <c r="M814" s="69">
        <v>46186</v>
      </c>
      <c r="N814" s="43">
        <f>IF(Gastos[[#This Row],[Fecha_Cheque]]&gt;0,WEEKNUM(Gastos[[#This Row],[Fecha_Cheque]]),MID(Gastos[[#This Row],[Semana]],6,2))</f>
        <v>24</v>
      </c>
      <c r="O814" t="s">
        <v>3023</v>
      </c>
      <c r="P814" t="s">
        <v>27</v>
      </c>
    </row>
    <row r="815" spans="1:16" hidden="1" x14ac:dyDescent="0.25">
      <c r="A815" s="3" t="s">
        <v>2792</v>
      </c>
      <c r="B815" t="s">
        <v>1794</v>
      </c>
      <c r="C815" t="s">
        <v>1795</v>
      </c>
      <c r="D815" t="s">
        <v>26</v>
      </c>
      <c r="E815" t="s">
        <v>62</v>
      </c>
      <c r="F815">
        <v>1</v>
      </c>
      <c r="G815" s="3" t="s">
        <v>32</v>
      </c>
      <c r="H815" s="44" t="s">
        <v>15</v>
      </c>
      <c r="I815" s="17">
        <v>627129.16</v>
      </c>
      <c r="J815" s="17">
        <f>IF(Gastos[[#This Row],[Divisa]]="$", I815*1, IF(Gastos[[#This Row],[Divisa]]="U$D", I815*$N$1, IF(Gastos[[#This Row],[Divisa]]="EUR", I815*$N$2, 0)))</f>
        <v>627129.16</v>
      </c>
      <c r="K815" s="54">
        <f>Gastos[[#This Row],[Importe AR$]]/$N$1</f>
        <v>402.00587179487184</v>
      </c>
      <c r="M815" s="69">
        <v>46165</v>
      </c>
      <c r="N815" s="43">
        <f>IF(Gastos[[#This Row],[Fecha_Cheque]]&gt;0,WEEKNUM(Gastos[[#This Row],[Fecha_Cheque]]),MID(Gastos[[#This Row],[Semana]],6,2))</f>
        <v>21</v>
      </c>
      <c r="O815" t="s">
        <v>3023</v>
      </c>
      <c r="P815" t="s">
        <v>27</v>
      </c>
    </row>
    <row r="816" spans="1:16" hidden="1" x14ac:dyDescent="0.25">
      <c r="A816" s="3" t="s">
        <v>2792</v>
      </c>
      <c r="B816" t="s">
        <v>1794</v>
      </c>
      <c r="C816" t="s">
        <v>1795</v>
      </c>
      <c r="D816" t="s">
        <v>26</v>
      </c>
      <c r="E816" t="s">
        <v>62</v>
      </c>
      <c r="F816">
        <v>1</v>
      </c>
      <c r="G816" s="3" t="s">
        <v>32</v>
      </c>
      <c r="H816" s="44" t="s">
        <v>15</v>
      </c>
      <c r="I816" s="17">
        <v>38749.49</v>
      </c>
      <c r="J816" s="17">
        <f>IF(Gastos[[#This Row],[Divisa]]="$", I816*1, IF(Gastos[[#This Row],[Divisa]]="U$D", I816*$N$1, IF(Gastos[[#This Row],[Divisa]]="EUR", I816*$N$2, 0)))</f>
        <v>38749.49</v>
      </c>
      <c r="K816" s="54">
        <f>Gastos[[#This Row],[Importe AR$]]/$N$1</f>
        <v>24.839416666666665</v>
      </c>
      <c r="L816" t="s">
        <v>340</v>
      </c>
      <c r="M816" s="69"/>
      <c r="N816" s="43" t="str">
        <f>IF(Gastos[[#This Row],[Fecha_Cheque]]&gt;0,WEEKNUM(Gastos[[#This Row],[Fecha_Cheque]]),MID(Gastos[[#This Row],[Semana]],6,2))</f>
        <v>21</v>
      </c>
      <c r="O816" t="s">
        <v>3023</v>
      </c>
      <c r="P816" t="s">
        <v>27</v>
      </c>
    </row>
    <row r="817" spans="1:16" hidden="1" x14ac:dyDescent="0.25">
      <c r="A817" s="3" t="s">
        <v>50</v>
      </c>
      <c r="B817" t="s">
        <v>623</v>
      </c>
      <c r="C817" t="s">
        <v>624</v>
      </c>
      <c r="D817" t="s">
        <v>26</v>
      </c>
      <c r="E817" t="s">
        <v>91</v>
      </c>
      <c r="F817">
        <v>2</v>
      </c>
      <c r="G817" s="3" t="s">
        <v>32</v>
      </c>
      <c r="H817" s="46" t="s">
        <v>15</v>
      </c>
      <c r="I817" s="17">
        <v>1510804</v>
      </c>
      <c r="J817" s="17">
        <f>IF(Gastos[[#This Row],[Divisa]]="$", I817*1, IF(Gastos[[#This Row],[Divisa]]="U$D", I817*$N$1, IF(Gastos[[#This Row],[Divisa]]="EUR", I817*$N$2, 0)))</f>
        <v>1510804</v>
      </c>
      <c r="K817" s="54">
        <f>Gastos[[#This Row],[Importe AR$]]/$N$1</f>
        <v>968.46410256410252</v>
      </c>
      <c r="L817" t="s">
        <v>625</v>
      </c>
      <c r="M817" s="69">
        <v>45838</v>
      </c>
      <c r="N817" s="43">
        <f>IF(Gastos[[#This Row],[Fecha_Cheque]]&gt;0,WEEKNUM(Gastos[[#This Row],[Fecha_Cheque]]),MID(Gastos[[#This Row],[Semana]],6,2))</f>
        <v>27</v>
      </c>
      <c r="P817" t="s">
        <v>27</v>
      </c>
    </row>
    <row r="818" spans="1:16" hidden="1" x14ac:dyDescent="0.25">
      <c r="A818" s="3" t="s">
        <v>114</v>
      </c>
      <c r="B818" t="s">
        <v>623</v>
      </c>
      <c r="C818" t="s">
        <v>626</v>
      </c>
      <c r="D818" t="s">
        <v>26</v>
      </c>
      <c r="E818" t="s">
        <v>91</v>
      </c>
      <c r="F818">
        <v>1</v>
      </c>
      <c r="G818" s="3" t="s">
        <v>5</v>
      </c>
      <c r="H818" s="46" t="s">
        <v>15</v>
      </c>
      <c r="I818" s="17">
        <v>1240250</v>
      </c>
      <c r="J818" s="17">
        <f>IF(Gastos[[#This Row],[Divisa]]="$", I818*1, IF(Gastos[[#This Row],[Divisa]]="U$D", I818*$N$1, IF(Gastos[[#This Row],[Divisa]]="EUR", I818*$N$2, 0)))</f>
        <v>1240250</v>
      </c>
      <c r="K818" s="54">
        <f>Gastos[[#This Row],[Importe AR$]]/$N$1</f>
        <v>795.03205128205127</v>
      </c>
      <c r="M818" s="69"/>
      <c r="N818" s="43" t="str">
        <f>IF(Gastos[[#This Row],[Fecha_Cheque]]&gt;0,WEEKNUM(Gastos[[#This Row],[Fecha_Cheque]]),MID(Gastos[[#This Row],[Semana]],6,2))</f>
        <v>29</v>
      </c>
      <c r="O818" t="s">
        <v>627</v>
      </c>
      <c r="P818" t="s">
        <v>27</v>
      </c>
    </row>
    <row r="819" spans="1:16" hidden="1" x14ac:dyDescent="0.25">
      <c r="A819" s="3" t="s">
        <v>53</v>
      </c>
      <c r="B819" t="s">
        <v>623</v>
      </c>
      <c r="C819" t="s">
        <v>628</v>
      </c>
      <c r="D819" t="s">
        <v>26</v>
      </c>
      <c r="E819" t="s">
        <v>91</v>
      </c>
      <c r="F819">
        <v>1</v>
      </c>
      <c r="G819" s="3" t="s">
        <v>5</v>
      </c>
      <c r="H819" s="46" t="s">
        <v>15</v>
      </c>
      <c r="I819" s="17">
        <v>1150000</v>
      </c>
      <c r="J819" s="17">
        <f>IF(Gastos[[#This Row],[Divisa]]="$", I819*1, IF(Gastos[[#This Row],[Divisa]]="U$D", I819*$N$1, IF(Gastos[[#This Row],[Divisa]]="EUR", I819*$N$2, 0)))</f>
        <v>1150000</v>
      </c>
      <c r="K819" s="54">
        <f>Gastos[[#This Row],[Importe AR$]]/$N$1</f>
        <v>737.17948717948718</v>
      </c>
      <c r="M819" s="69"/>
      <c r="N819" s="43" t="str">
        <f>IF(Gastos[[#This Row],[Fecha_Cheque]]&gt;0,WEEKNUM(Gastos[[#This Row],[Fecha_Cheque]]),MID(Gastos[[#This Row],[Semana]],6,2))</f>
        <v>34</v>
      </c>
      <c r="P819" t="s">
        <v>27</v>
      </c>
    </row>
    <row r="820" spans="1:16" hidden="1" x14ac:dyDescent="0.25">
      <c r="A820" s="3" t="s">
        <v>89</v>
      </c>
      <c r="B820" t="s">
        <v>623</v>
      </c>
      <c r="C820" t="s">
        <v>629</v>
      </c>
      <c r="D820" t="s">
        <v>26</v>
      </c>
      <c r="E820" t="s">
        <v>91</v>
      </c>
      <c r="F820">
        <v>1</v>
      </c>
      <c r="G820" s="3" t="s">
        <v>5</v>
      </c>
      <c r="H820" s="46" t="s">
        <v>15</v>
      </c>
      <c r="I820" s="17">
        <v>1150000</v>
      </c>
      <c r="J820" s="17">
        <f>IF(Gastos[[#This Row],[Divisa]]="$", I820*1, IF(Gastos[[#This Row],[Divisa]]="U$D", I820*$N$1, IF(Gastos[[#This Row],[Divisa]]="EUR", I820*$N$2, 0)))</f>
        <v>1150000</v>
      </c>
      <c r="K820" s="54">
        <f>Gastos[[#This Row],[Importe AR$]]/$N$1</f>
        <v>737.17948717948718</v>
      </c>
      <c r="M820" s="69"/>
      <c r="N820" s="43" t="str">
        <f>IF(Gastos[[#This Row],[Fecha_Cheque]]&gt;0,WEEKNUM(Gastos[[#This Row],[Fecha_Cheque]]),MID(Gastos[[#This Row],[Semana]],6,2))</f>
        <v>39</v>
      </c>
      <c r="O820" t="s">
        <v>630</v>
      </c>
      <c r="P820" t="s">
        <v>27</v>
      </c>
    </row>
    <row r="821" spans="1:16" hidden="1" x14ac:dyDescent="0.25">
      <c r="A821" s="3" t="s">
        <v>122</v>
      </c>
      <c r="B821" t="s">
        <v>623</v>
      </c>
      <c r="C821" t="s">
        <v>631</v>
      </c>
      <c r="D821" t="s">
        <v>26</v>
      </c>
      <c r="E821" t="s">
        <v>31</v>
      </c>
      <c r="F821">
        <v>1</v>
      </c>
      <c r="G821" s="3" t="s">
        <v>5</v>
      </c>
      <c r="H821" s="46" t="s">
        <v>15</v>
      </c>
      <c r="I821" s="17">
        <v>1150000</v>
      </c>
      <c r="J821" s="17">
        <f>IF(Gastos[[#This Row],[Divisa]]="$", I821*1, IF(Gastos[[#This Row],[Divisa]]="U$D", I821*$N$1, IF(Gastos[[#This Row],[Divisa]]="EUR", I821*$N$2, 0)))</f>
        <v>1150000</v>
      </c>
      <c r="K821" s="54">
        <f>Gastos[[#This Row],[Importe AR$]]/$N$1</f>
        <v>737.17948717948718</v>
      </c>
      <c r="M821" s="69"/>
      <c r="N821" s="43" t="str">
        <f>IF(Gastos[[#This Row],[Fecha_Cheque]]&gt;0,WEEKNUM(Gastos[[#This Row],[Fecha_Cheque]]),MID(Gastos[[#This Row],[Semana]],6,2))</f>
        <v>40</v>
      </c>
      <c r="O821" t="s">
        <v>632</v>
      </c>
      <c r="P821" t="s">
        <v>27</v>
      </c>
    </row>
    <row r="822" spans="1:16" hidden="1" x14ac:dyDescent="0.25">
      <c r="A822" s="3" t="s">
        <v>53</v>
      </c>
      <c r="B822" t="s">
        <v>623</v>
      </c>
      <c r="C822" t="s">
        <v>633</v>
      </c>
      <c r="D822" t="s">
        <v>26</v>
      </c>
      <c r="E822" t="s">
        <v>91</v>
      </c>
      <c r="F822">
        <v>1</v>
      </c>
      <c r="G822" s="3" t="s">
        <v>5</v>
      </c>
      <c r="H822" s="46" t="s">
        <v>15</v>
      </c>
      <c r="I822" s="17">
        <v>1150000</v>
      </c>
      <c r="J822" s="17">
        <f>IF(Gastos[[#This Row],[Divisa]]="$", I822*1, IF(Gastos[[#This Row],[Divisa]]="U$D", I822*$N$1, IF(Gastos[[#This Row],[Divisa]]="EUR", I822*$N$2, 0)))</f>
        <v>1150000</v>
      </c>
      <c r="K822" s="54">
        <f>Gastos[[#This Row],[Importe AR$]]/$N$1</f>
        <v>737.17948717948718</v>
      </c>
      <c r="M822" s="69"/>
      <c r="N822" s="43" t="str">
        <f>IF(Gastos[[#This Row],[Fecha_Cheque]]&gt;0,WEEKNUM(Gastos[[#This Row],[Fecha_Cheque]]),MID(Gastos[[#This Row],[Semana]],6,2))</f>
        <v>34</v>
      </c>
      <c r="P822" t="s">
        <v>27</v>
      </c>
    </row>
    <row r="823" spans="1:16" hidden="1" x14ac:dyDescent="0.25">
      <c r="A823" s="3" t="s">
        <v>128</v>
      </c>
      <c r="B823" t="s">
        <v>623</v>
      </c>
      <c r="C823" t="s">
        <v>634</v>
      </c>
      <c r="D823" t="s">
        <v>26</v>
      </c>
      <c r="E823" t="s">
        <v>91</v>
      </c>
      <c r="F823">
        <v>1</v>
      </c>
      <c r="G823" s="3" t="s">
        <v>5</v>
      </c>
      <c r="H823" s="46" t="s">
        <v>15</v>
      </c>
      <c r="I823" s="17">
        <v>1150000</v>
      </c>
      <c r="J823" s="17">
        <f>IF(Gastos[[#This Row],[Divisa]]="$", I823*1, IF(Gastos[[#This Row],[Divisa]]="U$D", I823*$N$1, IF(Gastos[[#This Row],[Divisa]]="EUR", I823*$N$2, 0)))</f>
        <v>1150000</v>
      </c>
      <c r="K823" s="54">
        <f>Gastos[[#This Row],[Importe AR$]]/$N$1</f>
        <v>737.17948717948718</v>
      </c>
      <c r="M823" s="69"/>
      <c r="N823" s="43" t="str">
        <f>IF(Gastos[[#This Row],[Fecha_Cheque]]&gt;0,WEEKNUM(Gastos[[#This Row],[Fecha_Cheque]]),MID(Gastos[[#This Row],[Semana]],6,2))</f>
        <v>43</v>
      </c>
      <c r="O823" t="s">
        <v>635</v>
      </c>
      <c r="P823" t="s">
        <v>27</v>
      </c>
    </row>
    <row r="824" spans="1:16" hidden="1" x14ac:dyDescent="0.25">
      <c r="A824" s="3" t="s">
        <v>60</v>
      </c>
      <c r="B824" t="s">
        <v>623</v>
      </c>
      <c r="C824" t="s">
        <v>634</v>
      </c>
      <c r="D824" t="s">
        <v>26</v>
      </c>
      <c r="E824" t="s">
        <v>91</v>
      </c>
      <c r="F824">
        <v>1</v>
      </c>
      <c r="G824" s="3" t="s">
        <v>5</v>
      </c>
      <c r="H824" s="46" t="s">
        <v>15</v>
      </c>
      <c r="I824" s="17">
        <v>1150000</v>
      </c>
      <c r="J824" s="17">
        <f>IF(Gastos[[#This Row],[Divisa]]="$", I824*1, IF(Gastos[[#This Row],[Divisa]]="U$D", I824*$N$1, IF(Gastos[[#This Row],[Divisa]]="EUR", I824*$N$2, 0)))</f>
        <v>1150000</v>
      </c>
      <c r="K824" s="54">
        <f>Gastos[[#This Row],[Importe AR$]]/$N$1</f>
        <v>737.17948717948718</v>
      </c>
      <c r="M824" s="69"/>
      <c r="N824" s="43" t="str">
        <f>IF(Gastos[[#This Row],[Fecha_Cheque]]&gt;0,WEEKNUM(Gastos[[#This Row],[Fecha_Cheque]]),MID(Gastos[[#This Row],[Semana]],6,2))</f>
        <v>46</v>
      </c>
      <c r="O824" t="s">
        <v>636</v>
      </c>
      <c r="P824" t="s">
        <v>27</v>
      </c>
    </row>
    <row r="825" spans="1:16" hidden="1" x14ac:dyDescent="0.25">
      <c r="A825" s="3" t="s">
        <v>93</v>
      </c>
      <c r="B825" t="s">
        <v>623</v>
      </c>
      <c r="C825" t="s">
        <v>637</v>
      </c>
      <c r="D825" t="s">
        <v>26</v>
      </c>
      <c r="E825" t="s">
        <v>91</v>
      </c>
      <c r="F825">
        <v>1</v>
      </c>
      <c r="G825" s="3" t="s">
        <v>5</v>
      </c>
      <c r="H825" s="46" t="s">
        <v>15</v>
      </c>
      <c r="I825" s="17">
        <v>1150000</v>
      </c>
      <c r="J825" s="17">
        <f>IF(Gastos[[#This Row],[Divisa]]="$", I825*1, IF(Gastos[[#This Row],[Divisa]]="U$D", I825*$N$1, IF(Gastos[[#This Row],[Divisa]]="EUR", I825*$N$2, 0)))</f>
        <v>1150000</v>
      </c>
      <c r="K825" s="54">
        <f>Gastos[[#This Row],[Importe AR$]]/$N$1</f>
        <v>737.17948717948718</v>
      </c>
      <c r="M825" s="69"/>
      <c r="N825" s="43" t="str">
        <f>IF(Gastos[[#This Row],[Fecha_Cheque]]&gt;0,WEEKNUM(Gastos[[#This Row],[Fecha_Cheque]]),MID(Gastos[[#This Row],[Semana]],6,2))</f>
        <v>50</v>
      </c>
      <c r="O825" t="s">
        <v>638</v>
      </c>
      <c r="P825" t="s">
        <v>27</v>
      </c>
    </row>
    <row r="826" spans="1:16" hidden="1" x14ac:dyDescent="0.25">
      <c r="A826" s="3" t="s">
        <v>75</v>
      </c>
      <c r="B826" t="s">
        <v>623</v>
      </c>
      <c r="C826" t="s">
        <v>639</v>
      </c>
      <c r="D826" t="s">
        <v>26</v>
      </c>
      <c r="E826" t="s">
        <v>91</v>
      </c>
      <c r="F826">
        <v>1</v>
      </c>
      <c r="G826" s="3" t="s">
        <v>5</v>
      </c>
      <c r="H826" s="46" t="s">
        <v>15</v>
      </c>
      <c r="I826" s="17">
        <v>650000</v>
      </c>
      <c r="J826" s="17">
        <f>IF(Gastos[[#This Row],[Divisa]]="$", I826*1, IF(Gastos[[#This Row],[Divisa]]="U$D", I826*$N$1, IF(Gastos[[#This Row],[Divisa]]="EUR", I826*$N$2, 0)))</f>
        <v>650000</v>
      </c>
      <c r="K826" s="54">
        <f>Gastos[[#This Row],[Importe AR$]]/$N$1</f>
        <v>416.66666666666669</v>
      </c>
      <c r="M826" s="69"/>
      <c r="N826" s="43" t="str">
        <f>IF(Gastos[[#This Row],[Fecha_Cheque]]&gt;0,WEEKNUM(Gastos[[#This Row],[Fecha_Cheque]]),MID(Gastos[[#This Row],[Semana]],6,2))</f>
        <v>07</v>
      </c>
      <c r="O826" t="s">
        <v>640</v>
      </c>
      <c r="P826" t="s">
        <v>27</v>
      </c>
    </row>
    <row r="827" spans="1:16" hidden="1" x14ac:dyDescent="0.25">
      <c r="A827" s="3" t="s">
        <v>28</v>
      </c>
      <c r="B827" t="s">
        <v>623</v>
      </c>
      <c r="C827" t="s">
        <v>422</v>
      </c>
      <c r="D827" t="s">
        <v>26</v>
      </c>
      <c r="E827" t="s">
        <v>31</v>
      </c>
      <c r="F827">
        <v>1</v>
      </c>
      <c r="G827" s="3" t="s">
        <v>5</v>
      </c>
      <c r="H827" s="46" t="s">
        <v>15</v>
      </c>
      <c r="I827" s="17">
        <v>1240250</v>
      </c>
      <c r="J827" s="17">
        <f>IF(Gastos[[#This Row],[Divisa]]="$", I827*1, IF(Gastos[[#This Row],[Divisa]]="U$D", I827*$N$1, IF(Gastos[[#This Row],[Divisa]]="EUR", I827*$N$2, 0)))</f>
        <v>1240250</v>
      </c>
      <c r="K827" s="54">
        <f>Gastos[[#This Row],[Importe AR$]]/$N$1</f>
        <v>795.03205128205127</v>
      </c>
      <c r="M827" s="69"/>
      <c r="N827" s="43" t="str">
        <f>IF(Gastos[[#This Row],[Fecha_Cheque]]&gt;0,WEEKNUM(Gastos[[#This Row],[Fecha_Cheque]]),MID(Gastos[[#This Row],[Semana]],6,2))</f>
        <v>21</v>
      </c>
      <c r="P827" t="s">
        <v>27</v>
      </c>
    </row>
    <row r="828" spans="1:16" hidden="1" x14ac:dyDescent="0.25">
      <c r="A828" s="3" t="s">
        <v>2711</v>
      </c>
      <c r="B828" t="s">
        <v>623</v>
      </c>
      <c r="C828" t="s">
        <v>2809</v>
      </c>
      <c r="D828" t="s">
        <v>26</v>
      </c>
      <c r="E828" t="s">
        <v>91</v>
      </c>
      <c r="F828">
        <v>1</v>
      </c>
      <c r="G828" s="3" t="s">
        <v>32</v>
      </c>
      <c r="H828" s="44" t="s">
        <v>15</v>
      </c>
      <c r="I828" s="17">
        <v>701679</v>
      </c>
      <c r="J828" s="17">
        <f>IF(Gastos[[#This Row],[Divisa]]="$", I828*1, IF(Gastos[[#This Row],[Divisa]]="U$D", I828*$N$1, IF(Gastos[[#This Row],[Divisa]]="EUR", I828*$N$2, 0)))</f>
        <v>701679</v>
      </c>
      <c r="K828" s="54">
        <f>Gastos[[#This Row],[Importe AR$]]/$N$1</f>
        <v>449.79423076923075</v>
      </c>
      <c r="M828" s="69">
        <v>46137</v>
      </c>
      <c r="N828" s="43">
        <f>IF(Gastos[[#This Row],[Fecha_Cheque]]&gt;0,WEEKNUM(Gastos[[#This Row],[Fecha_Cheque]]),MID(Gastos[[#This Row],[Semana]],6,2))</f>
        <v>17</v>
      </c>
      <c r="O828" t="s">
        <v>2810</v>
      </c>
      <c r="P828" t="s">
        <v>27</v>
      </c>
    </row>
    <row r="829" spans="1:16" hidden="1" x14ac:dyDescent="0.25">
      <c r="A829" s="3" t="s">
        <v>2711</v>
      </c>
      <c r="B829" t="s">
        <v>623</v>
      </c>
      <c r="C829" t="s">
        <v>2809</v>
      </c>
      <c r="D829" t="s">
        <v>26</v>
      </c>
      <c r="E829" t="s">
        <v>42</v>
      </c>
      <c r="F829">
        <v>1</v>
      </c>
      <c r="G829" s="3" t="s">
        <v>4</v>
      </c>
      <c r="H829" s="44" t="s">
        <v>15</v>
      </c>
      <c r="I829" s="17">
        <v>598321</v>
      </c>
      <c r="J829" s="17">
        <f>IF(Gastos[[#This Row],[Divisa]]="$", I829*1, IF(Gastos[[#This Row],[Divisa]]="U$D", I829*$N$1, IF(Gastos[[#This Row],[Divisa]]="EUR", I829*$N$2, 0)))</f>
        <v>598321</v>
      </c>
      <c r="K829" s="54">
        <f>Gastos[[#This Row],[Importe AR$]]/$N$1</f>
        <v>383.53910256410256</v>
      </c>
      <c r="M829" s="69"/>
      <c r="N829" s="43" t="str">
        <f>IF(Gastos[[#This Row],[Fecha_Cheque]]&gt;0,WEEKNUM(Gastos[[#This Row],[Fecha_Cheque]]),MID(Gastos[[#This Row],[Semana]],6,2))</f>
        <v>15</v>
      </c>
      <c r="O829" t="s">
        <v>2810</v>
      </c>
      <c r="P829" t="s">
        <v>27</v>
      </c>
    </row>
    <row r="830" spans="1:16" hidden="1" x14ac:dyDescent="0.25">
      <c r="A830" s="3" t="s">
        <v>2711</v>
      </c>
      <c r="B830" t="s">
        <v>623</v>
      </c>
      <c r="C830" t="s">
        <v>2823</v>
      </c>
      <c r="D830" t="s">
        <v>26</v>
      </c>
      <c r="E830" t="s">
        <v>31</v>
      </c>
      <c r="F830">
        <v>1</v>
      </c>
      <c r="G830" s="3" t="s">
        <v>5</v>
      </c>
      <c r="H830" s="44" t="s">
        <v>15</v>
      </c>
      <c r="I830" s="17">
        <v>211599</v>
      </c>
      <c r="J830" s="17">
        <f>IF(Gastos[[#This Row],[Divisa]]="$", I830*1, IF(Gastos[[#This Row],[Divisa]]="U$D", I830*$N$1, IF(Gastos[[#This Row],[Divisa]]="EUR", I830*$N$2, 0)))</f>
        <v>211599</v>
      </c>
      <c r="K830" s="54">
        <f>Gastos[[#This Row],[Importe AR$]]/$N$1</f>
        <v>135.64038461538462</v>
      </c>
      <c r="M830" s="69"/>
      <c r="N830" s="43" t="str">
        <f>IF(Gastos[[#This Row],[Fecha_Cheque]]&gt;0,WEEKNUM(Gastos[[#This Row],[Fecha_Cheque]]),MID(Gastos[[#This Row],[Semana]],6,2))</f>
        <v>15</v>
      </c>
      <c r="O830" t="s">
        <v>2824</v>
      </c>
      <c r="P830" t="s">
        <v>27</v>
      </c>
    </row>
    <row r="831" spans="1:16" hidden="1" x14ac:dyDescent="0.25">
      <c r="A831" s="3" t="s">
        <v>2731</v>
      </c>
      <c r="B831" t="s">
        <v>623</v>
      </c>
      <c r="C831" t="s">
        <v>2823</v>
      </c>
      <c r="D831" t="s">
        <v>26</v>
      </c>
      <c r="E831" t="s">
        <v>91</v>
      </c>
      <c r="F831">
        <v>1</v>
      </c>
      <c r="G831" s="3" t="s">
        <v>5</v>
      </c>
      <c r="H831" s="44" t="s">
        <v>15</v>
      </c>
      <c r="I831" s="17">
        <v>91800</v>
      </c>
      <c r="J831" s="17">
        <f>IF(Gastos[[#This Row],[Divisa]]="$", I831*1, IF(Gastos[[#This Row],[Divisa]]="U$D", I831*$N$1, IF(Gastos[[#This Row],[Divisa]]="EUR", I831*$N$2, 0)))</f>
        <v>91800</v>
      </c>
      <c r="K831" s="54">
        <f>Gastos[[#This Row],[Importe AR$]]/$N$1</f>
        <v>58.846153846153847</v>
      </c>
      <c r="M831" s="69"/>
      <c r="N831" s="43" t="str">
        <f>IF(Gastos[[#This Row],[Fecha_Cheque]]&gt;0,WEEKNUM(Gastos[[#This Row],[Fecha_Cheque]]),MID(Gastos[[#This Row],[Semana]],6,2))</f>
        <v>17</v>
      </c>
      <c r="P831" t="s">
        <v>27</v>
      </c>
    </row>
    <row r="832" spans="1:16" hidden="1" x14ac:dyDescent="0.25">
      <c r="A832" s="3" t="s">
        <v>2763</v>
      </c>
      <c r="B832" t="s">
        <v>623</v>
      </c>
      <c r="C832" t="s">
        <v>422</v>
      </c>
      <c r="D832" t="s">
        <v>26</v>
      </c>
      <c r="E832" t="s">
        <v>91</v>
      </c>
      <c r="F832">
        <v>1</v>
      </c>
      <c r="G832" s="3" t="s">
        <v>5</v>
      </c>
      <c r="H832" s="44" t="s">
        <v>15</v>
      </c>
      <c r="I832" s="17">
        <v>620000</v>
      </c>
      <c r="J832" s="17">
        <f>IF(Gastos[[#This Row],[Divisa]]="$", I832*1, IF(Gastos[[#This Row],[Divisa]]="U$D", I832*$N$1, IF(Gastos[[#This Row],[Divisa]]="EUR", I832*$N$2, 0)))</f>
        <v>620000</v>
      </c>
      <c r="K832" s="54">
        <f>Gastos[[#This Row],[Importe AR$]]/$N$1</f>
        <v>397.43589743589746</v>
      </c>
      <c r="M832" s="69"/>
      <c r="N832" s="43" t="str">
        <f>IF(Gastos[[#This Row],[Fecha_Cheque]]&gt;0,WEEKNUM(Gastos[[#This Row],[Fecha_Cheque]]),MID(Gastos[[#This Row],[Semana]],6,2))</f>
        <v>23</v>
      </c>
      <c r="O832" t="s">
        <v>3161</v>
      </c>
      <c r="P832" t="s">
        <v>27</v>
      </c>
    </row>
    <row r="833" spans="1:16" hidden="1" x14ac:dyDescent="0.25">
      <c r="A833" s="3" t="s">
        <v>2763</v>
      </c>
      <c r="B833" t="s">
        <v>623</v>
      </c>
      <c r="C833" t="s">
        <v>3162</v>
      </c>
      <c r="D833" t="s">
        <v>26</v>
      </c>
      <c r="E833" t="s">
        <v>31</v>
      </c>
      <c r="F833">
        <v>1</v>
      </c>
      <c r="G833" s="3" t="s">
        <v>5</v>
      </c>
      <c r="H833" s="44" t="s">
        <v>15</v>
      </c>
      <c r="I833" s="17">
        <v>728170</v>
      </c>
      <c r="J833" s="17">
        <f>IF(Gastos[[#This Row],[Divisa]]="$", I833*1, IF(Gastos[[#This Row],[Divisa]]="U$D", I833*$N$1, IF(Gastos[[#This Row],[Divisa]]="EUR", I833*$N$2, 0)))</f>
        <v>728170</v>
      </c>
      <c r="K833" s="54">
        <f>Gastos[[#This Row],[Importe AR$]]/$N$1</f>
        <v>466.77564102564105</v>
      </c>
      <c r="M833" s="69"/>
      <c r="N833" s="43" t="str">
        <f>IF(Gastos[[#This Row],[Fecha_Cheque]]&gt;0,WEEKNUM(Gastos[[#This Row],[Fecha_Cheque]]),MID(Gastos[[#This Row],[Semana]],6,2))</f>
        <v>23</v>
      </c>
      <c r="O833" t="s">
        <v>3163</v>
      </c>
      <c r="P833" t="s">
        <v>27</v>
      </c>
    </row>
    <row r="834" spans="1:16" hidden="1" x14ac:dyDescent="0.25">
      <c r="A834" s="3" t="s">
        <v>3439</v>
      </c>
      <c r="B834" t="s">
        <v>623</v>
      </c>
      <c r="C834" t="s">
        <v>693</v>
      </c>
      <c r="D834" t="s">
        <v>26</v>
      </c>
      <c r="E834" t="s">
        <v>91</v>
      </c>
      <c r="F834">
        <v>1</v>
      </c>
      <c r="G834" s="3" t="s">
        <v>5</v>
      </c>
      <c r="H834" s="44" t="s">
        <v>15</v>
      </c>
      <c r="I834" s="17">
        <v>500000</v>
      </c>
      <c r="J834" s="17">
        <f>IF(Gastos[[#This Row],[Divisa]]="$", I834*1, IF(Gastos[[#This Row],[Divisa]]="U$D", I834*$N$1, IF(Gastos[[#This Row],[Divisa]]="EUR", I834*$N$2, 0)))</f>
        <v>500000</v>
      </c>
      <c r="K834" s="54">
        <f>Gastos[[#This Row],[Importe AR$]]/$N$1</f>
        <v>320.5128205128205</v>
      </c>
      <c r="M834" s="69"/>
      <c r="N834" s="43" t="str">
        <f>IF(Gastos[[#This Row],[Fecha_Cheque]]&gt;0,WEEKNUM(Gastos[[#This Row],[Fecha_Cheque]]),MID(Gastos[[#This Row],[Semana]],6,2))</f>
        <v>25</v>
      </c>
      <c r="O834" t="s">
        <v>3536</v>
      </c>
      <c r="P834" t="s">
        <v>27</v>
      </c>
    </row>
    <row r="835" spans="1:16" hidden="1" x14ac:dyDescent="0.25">
      <c r="A835" s="3" t="s">
        <v>3617</v>
      </c>
      <c r="B835" t="s">
        <v>623</v>
      </c>
      <c r="C835" t="s">
        <v>3637</v>
      </c>
      <c r="D835" t="s">
        <v>26</v>
      </c>
      <c r="E835" t="s">
        <v>31</v>
      </c>
      <c r="F835">
        <v>1</v>
      </c>
      <c r="G835" s="3" t="s">
        <v>5</v>
      </c>
      <c r="H835" s="44" t="s">
        <v>15</v>
      </c>
      <c r="I835" s="17">
        <v>183600</v>
      </c>
      <c r="J835" s="17">
        <f>IF(Gastos[[#This Row],[Divisa]]="$", I835*1, IF(Gastos[[#This Row],[Divisa]]="U$D", I835*$N$1, IF(Gastos[[#This Row],[Divisa]]="EUR", I835*$N$2, 0)))</f>
        <v>183600</v>
      </c>
      <c r="K835" s="54">
        <f>Gastos[[#This Row],[Importe AR$]]/$N$1</f>
        <v>117.69230769230769</v>
      </c>
      <c r="M835" s="69"/>
      <c r="N835" s="43" t="str">
        <f>IF(Gastos[[#This Row],[Fecha_Cheque]]&gt;0,WEEKNUM(Gastos[[#This Row],[Fecha_Cheque]]),MID(Gastos[[#This Row],[Semana]],6,2))</f>
        <v>27</v>
      </c>
      <c r="O835" t="s">
        <v>3636</v>
      </c>
      <c r="P835" t="s">
        <v>27</v>
      </c>
    </row>
    <row r="836" spans="1:16" hidden="1" x14ac:dyDescent="0.25">
      <c r="A836" s="3" t="s">
        <v>3693</v>
      </c>
      <c r="B836" t="s">
        <v>623</v>
      </c>
      <c r="C836" t="s">
        <v>693</v>
      </c>
      <c r="D836" t="s">
        <v>26</v>
      </c>
      <c r="E836" t="s">
        <v>91</v>
      </c>
      <c r="F836">
        <v>1</v>
      </c>
      <c r="G836" s="3" t="s">
        <v>5</v>
      </c>
      <c r="H836" s="44" t="s">
        <v>15</v>
      </c>
      <c r="I836" s="17">
        <v>1120000</v>
      </c>
      <c r="J836" s="17">
        <f>IF(Gastos[[#This Row],[Divisa]]="$", I836*1, IF(Gastos[[#This Row],[Divisa]]="U$D", I836*$N$1, IF(Gastos[[#This Row],[Divisa]]="EUR", I836*$N$2, 0)))</f>
        <v>1120000</v>
      </c>
      <c r="K836" s="54">
        <f>Gastos[[#This Row],[Importe AR$]]/$N$1</f>
        <v>717.9487179487179</v>
      </c>
      <c r="M836" s="69"/>
      <c r="N836" s="43" t="str">
        <f>IF(Gastos[[#This Row],[Fecha_Cheque]]&gt;0,WEEKNUM(Gastos[[#This Row],[Fecha_Cheque]]),MID(Gastos[[#This Row],[Semana]],6,2))</f>
        <v>28</v>
      </c>
      <c r="O836" t="s">
        <v>3738</v>
      </c>
      <c r="P836" t="s">
        <v>27</v>
      </c>
    </row>
    <row r="837" spans="1:16" hidden="1" x14ac:dyDescent="0.25">
      <c r="A837" s="3" t="s">
        <v>3693</v>
      </c>
      <c r="B837" t="s">
        <v>3729</v>
      </c>
      <c r="C837" t="s">
        <v>155</v>
      </c>
      <c r="D837" t="s">
        <v>26</v>
      </c>
      <c r="E837" t="s">
        <v>42</v>
      </c>
      <c r="F837">
        <v>1</v>
      </c>
      <c r="G837" s="3" t="s">
        <v>4</v>
      </c>
      <c r="H837" s="44" t="s">
        <v>15</v>
      </c>
      <c r="I837" s="17">
        <v>60000.06</v>
      </c>
      <c r="J837" s="17">
        <f>IF(Gastos[[#This Row],[Divisa]]="$", I837*1, IF(Gastos[[#This Row],[Divisa]]="U$D", I837*$N$1, IF(Gastos[[#This Row],[Divisa]]="EUR", I837*$N$2, 0)))</f>
        <v>60000.06</v>
      </c>
      <c r="K837" s="54">
        <f>Gastos[[#This Row],[Importe AR$]]/$N$1</f>
        <v>38.461576923076919</v>
      </c>
      <c r="M837" s="69"/>
      <c r="N837" s="43" t="str">
        <f>IF(Gastos[[#This Row],[Fecha_Cheque]]&gt;0,WEEKNUM(Gastos[[#This Row],[Fecha_Cheque]]),MID(Gastos[[#This Row],[Semana]],6,2))</f>
        <v>28</v>
      </c>
      <c r="O837" t="s">
        <v>3730</v>
      </c>
      <c r="P837" t="s">
        <v>27</v>
      </c>
    </row>
    <row r="838" spans="1:16" hidden="1" x14ac:dyDescent="0.25">
      <c r="A838" s="3" t="s">
        <v>3963</v>
      </c>
      <c r="B838" t="s">
        <v>3729</v>
      </c>
      <c r="C838" t="s">
        <v>155</v>
      </c>
      <c r="D838" t="s">
        <v>26</v>
      </c>
      <c r="E838" t="s">
        <v>42</v>
      </c>
      <c r="F838">
        <v>1</v>
      </c>
      <c r="G838" s="3" t="s">
        <v>4</v>
      </c>
      <c r="H838" s="44" t="s">
        <v>15</v>
      </c>
      <c r="I838" s="17">
        <v>49999.98</v>
      </c>
      <c r="J838" s="17">
        <f>IF(Gastos[[#This Row],[Divisa]]="$", I838*1, IF(Gastos[[#This Row],[Divisa]]="U$D", I838*$N$1, IF(Gastos[[#This Row],[Divisa]]="EUR", I838*$N$2, 0)))</f>
        <v>49999.98</v>
      </c>
      <c r="K838" s="54">
        <f>Gastos[[#This Row],[Importe AR$]]/$N$1</f>
        <v>32.051269230769236</v>
      </c>
      <c r="M838" s="69"/>
      <c r="N838" s="43" t="str">
        <f>IF(Gastos[[#This Row],[Fecha_Cheque]]&gt;0,WEEKNUM(Gastos[[#This Row],[Fecha_Cheque]]),MID(Gastos[[#This Row],[Semana]],6,2))</f>
        <v>32</v>
      </c>
      <c r="O838" t="s">
        <v>3986</v>
      </c>
      <c r="P838" t="s">
        <v>27</v>
      </c>
    </row>
    <row r="839" spans="1:16" hidden="1" x14ac:dyDescent="0.25">
      <c r="A839" s="3" t="s">
        <v>3963</v>
      </c>
      <c r="B839" t="s">
        <v>3729</v>
      </c>
      <c r="C839" t="s">
        <v>155</v>
      </c>
      <c r="D839" t="s">
        <v>26</v>
      </c>
      <c r="E839" t="s">
        <v>42</v>
      </c>
      <c r="F839">
        <v>1</v>
      </c>
      <c r="G839" s="3" t="s">
        <v>4</v>
      </c>
      <c r="H839" s="44" t="s">
        <v>15</v>
      </c>
      <c r="I839" s="17">
        <v>20011.240000000002</v>
      </c>
      <c r="J839" s="17">
        <f>IF(Gastos[[#This Row],[Divisa]]="$", I839*1, IF(Gastos[[#This Row],[Divisa]]="U$D", I839*$N$1, IF(Gastos[[#This Row],[Divisa]]="EUR", I839*$N$2, 0)))</f>
        <v>20011.240000000002</v>
      </c>
      <c r="K839" s="54">
        <f>Gastos[[#This Row],[Importe AR$]]/$N$1</f>
        <v>12.82771794871795</v>
      </c>
      <c r="M839" s="69"/>
      <c r="N839" s="43" t="str">
        <f>IF(Gastos[[#This Row],[Fecha_Cheque]]&gt;0,WEEKNUM(Gastos[[#This Row],[Fecha_Cheque]]),MID(Gastos[[#This Row],[Semana]],6,2))</f>
        <v>32</v>
      </c>
      <c r="O839" t="s">
        <v>3999</v>
      </c>
      <c r="P839" t="s">
        <v>27</v>
      </c>
    </row>
    <row r="840" spans="1:16" hidden="1" x14ac:dyDescent="0.25">
      <c r="A840" s="3" t="s">
        <v>4157</v>
      </c>
      <c r="B840" t="s">
        <v>3729</v>
      </c>
      <c r="C840" t="s">
        <v>155</v>
      </c>
      <c r="D840" t="s">
        <v>26</v>
      </c>
      <c r="E840" t="s">
        <v>42</v>
      </c>
      <c r="F840">
        <v>1</v>
      </c>
      <c r="G840" s="3" t="s">
        <v>4</v>
      </c>
      <c r="H840" s="44" t="s">
        <v>15</v>
      </c>
      <c r="I840" s="17">
        <v>29999.94</v>
      </c>
      <c r="J840" s="17">
        <f>IF(Gastos[[#This Row],[Divisa]]="$", I840*1, IF(Gastos[[#This Row],[Divisa]]="U$D", I840*$N$1, IF(Gastos[[#This Row],[Divisa]]="EUR", I840*$N$2, 0)))</f>
        <v>29999.94</v>
      </c>
      <c r="K840" s="54">
        <f>Gastos[[#This Row],[Importe AR$]]/$N$1</f>
        <v>19.230730769230767</v>
      </c>
      <c r="L840" t="s">
        <v>4189</v>
      </c>
      <c r="M840" s="69"/>
      <c r="N840" s="43" t="str">
        <f>IF(Gastos[[#This Row],[Fecha_Cheque]]&gt;0,WEEKNUM(Gastos[[#This Row],[Fecha_Cheque]]),MID(Gastos[[#This Row],[Semana]],6,2))</f>
        <v>36</v>
      </c>
      <c r="O840" t="s">
        <v>4188</v>
      </c>
      <c r="P840" t="s">
        <v>27</v>
      </c>
    </row>
    <row r="841" spans="1:16" hidden="1" x14ac:dyDescent="0.25">
      <c r="A841" s="3" t="s">
        <v>4211</v>
      </c>
      <c r="B841" t="s">
        <v>3729</v>
      </c>
      <c r="C841" t="s">
        <v>155</v>
      </c>
      <c r="D841" t="s">
        <v>26</v>
      </c>
      <c r="E841" t="s">
        <v>42</v>
      </c>
      <c r="F841">
        <v>1</v>
      </c>
      <c r="G841" s="3" t="s">
        <v>4</v>
      </c>
      <c r="H841" s="44" t="s">
        <v>15</v>
      </c>
      <c r="I841" s="17">
        <v>46799.92</v>
      </c>
      <c r="J841" s="17">
        <f>IF(Gastos[[#This Row],[Divisa]]="$", I841*1, IF(Gastos[[#This Row],[Divisa]]="U$D", I841*$N$1, IF(Gastos[[#This Row],[Divisa]]="EUR", I841*$N$2, 0)))</f>
        <v>46799.92</v>
      </c>
      <c r="K841" s="54">
        <f>Gastos[[#This Row],[Importe AR$]]/$N$1</f>
        <v>29.999948717948715</v>
      </c>
      <c r="M841" s="69"/>
      <c r="N841" s="43" t="str">
        <f>IF(Gastos[[#This Row],[Fecha_Cheque]]&gt;0,WEEKNUM(Gastos[[#This Row],[Fecha_Cheque]]),MID(Gastos[[#This Row],[Semana]],6,2))</f>
        <v>37</v>
      </c>
      <c r="O841" t="s">
        <v>4294</v>
      </c>
      <c r="P841" t="s">
        <v>27</v>
      </c>
    </row>
    <row r="842" spans="1:16" hidden="1" x14ac:dyDescent="0.25">
      <c r="A842" s="3" t="s">
        <v>4322</v>
      </c>
      <c r="B842" t="s">
        <v>3729</v>
      </c>
      <c r="C842" t="s">
        <v>155</v>
      </c>
      <c r="D842" t="s">
        <v>26</v>
      </c>
      <c r="E842" t="s">
        <v>42</v>
      </c>
      <c r="F842">
        <v>1</v>
      </c>
      <c r="G842" s="3" t="s">
        <v>4</v>
      </c>
      <c r="H842" s="44" t="s">
        <v>15</v>
      </c>
      <c r="I842" s="17">
        <v>30000.080000000002</v>
      </c>
      <c r="J842" s="17">
        <f>IF(Gastos[[#This Row],[Divisa]]="$", I842*1, IF(Gastos[[#This Row],[Divisa]]="U$D", I842*$N$1, IF(Gastos[[#This Row],[Divisa]]="EUR", I842*$N$2, 0)))</f>
        <v>30000.080000000002</v>
      </c>
      <c r="K842" s="54">
        <f>Gastos[[#This Row],[Importe AR$]]/$N$1</f>
        <v>19.230820512820515</v>
      </c>
      <c r="M842" s="69"/>
      <c r="N842" s="43" t="str">
        <f>IF(Gastos[[#This Row],[Fecha_Cheque]]&gt;0,WEEKNUM(Gastos[[#This Row],[Fecha_Cheque]]),MID(Gastos[[#This Row],[Semana]],6,2))</f>
        <v>38</v>
      </c>
      <c r="O842" t="s">
        <v>4324</v>
      </c>
      <c r="P842" t="s">
        <v>27</v>
      </c>
    </row>
    <row r="843" spans="1:16" hidden="1" x14ac:dyDescent="0.25">
      <c r="A843" s="3" t="s">
        <v>4322</v>
      </c>
      <c r="B843" t="s">
        <v>3729</v>
      </c>
      <c r="C843" t="s">
        <v>155</v>
      </c>
      <c r="D843" t="s">
        <v>26</v>
      </c>
      <c r="E843" t="s">
        <v>42</v>
      </c>
      <c r="F843">
        <v>1</v>
      </c>
      <c r="G843" s="3" t="s">
        <v>4</v>
      </c>
      <c r="H843" s="44" t="s">
        <v>15</v>
      </c>
      <c r="I843" s="17">
        <v>49999.9</v>
      </c>
      <c r="J843" s="17">
        <f>IF(Gastos[[#This Row],[Divisa]]="$", I843*1, IF(Gastos[[#This Row],[Divisa]]="U$D", I843*$N$1, IF(Gastos[[#This Row],[Divisa]]="EUR", I843*$N$2, 0)))</f>
        <v>49999.9</v>
      </c>
      <c r="K843" s="54">
        <f>Gastos[[#This Row],[Importe AR$]]/$N$1</f>
        <v>32.051217948717948</v>
      </c>
      <c r="M843" s="69"/>
      <c r="N843" s="43" t="str">
        <f>IF(Gastos[[#This Row],[Fecha_Cheque]]&gt;0,WEEKNUM(Gastos[[#This Row],[Fecha_Cheque]]),MID(Gastos[[#This Row],[Semana]],6,2))</f>
        <v>38</v>
      </c>
      <c r="O843" t="s">
        <v>4327</v>
      </c>
      <c r="P843" t="s">
        <v>27</v>
      </c>
    </row>
    <row r="844" spans="1:16" hidden="1" x14ac:dyDescent="0.25">
      <c r="A844" s="3" t="s">
        <v>4322</v>
      </c>
      <c r="B844" t="s">
        <v>3729</v>
      </c>
      <c r="C844" t="s">
        <v>155</v>
      </c>
      <c r="D844" t="s">
        <v>26</v>
      </c>
      <c r="E844" t="s">
        <v>42</v>
      </c>
      <c r="F844">
        <v>1</v>
      </c>
      <c r="G844" s="3" t="s">
        <v>4</v>
      </c>
      <c r="H844" s="44" t="s">
        <v>15</v>
      </c>
      <c r="I844" s="17">
        <v>30000.080000000002</v>
      </c>
      <c r="J844" s="17">
        <f>IF(Gastos[[#This Row],[Divisa]]="$", I844*1, IF(Gastos[[#This Row],[Divisa]]="U$D", I844*$N$1, IF(Gastos[[#This Row],[Divisa]]="EUR", I844*$N$2, 0)))</f>
        <v>30000.080000000002</v>
      </c>
      <c r="K844" s="54">
        <f>Gastos[[#This Row],[Importe AR$]]/$N$1</f>
        <v>19.230820512820515</v>
      </c>
      <c r="M844" s="69"/>
      <c r="N844" s="43" t="str">
        <f>IF(Gastos[[#This Row],[Fecha_Cheque]]&gt;0,WEEKNUM(Gastos[[#This Row],[Fecha_Cheque]]),MID(Gastos[[#This Row],[Semana]],6,2))</f>
        <v>38</v>
      </c>
      <c r="O844" t="s">
        <v>4324</v>
      </c>
      <c r="P844" t="s">
        <v>27</v>
      </c>
    </row>
    <row r="845" spans="1:16" hidden="1" x14ac:dyDescent="0.25">
      <c r="A845" s="3" t="s">
        <v>4322</v>
      </c>
      <c r="B845" t="s">
        <v>3729</v>
      </c>
      <c r="C845" t="s">
        <v>155</v>
      </c>
      <c r="D845" t="s">
        <v>26</v>
      </c>
      <c r="E845" t="s">
        <v>42</v>
      </c>
      <c r="F845">
        <v>1</v>
      </c>
      <c r="G845" s="3" t="s">
        <v>4</v>
      </c>
      <c r="H845" s="44" t="s">
        <v>15</v>
      </c>
      <c r="I845" s="17">
        <v>40000</v>
      </c>
      <c r="J845" s="17">
        <f>IF(Gastos[[#This Row],[Divisa]]="$", I845*1, IF(Gastos[[#This Row],[Divisa]]="U$D", I845*$N$1, IF(Gastos[[#This Row],[Divisa]]="EUR", I845*$N$2, 0)))</f>
        <v>40000</v>
      </c>
      <c r="K845" s="54">
        <f>Gastos[[#This Row],[Importe AR$]]/$N$1</f>
        <v>25.641025641025642</v>
      </c>
      <c r="M845" s="69"/>
      <c r="N845" s="43" t="str">
        <f>IF(Gastos[[#This Row],[Fecha_Cheque]]&gt;0,WEEKNUM(Gastos[[#This Row],[Fecha_Cheque]]),MID(Gastos[[#This Row],[Semana]],6,2))</f>
        <v>38</v>
      </c>
      <c r="O845" t="s">
        <v>4353</v>
      </c>
      <c r="P845" t="s">
        <v>27</v>
      </c>
    </row>
    <row r="846" spans="1:16" hidden="1" x14ac:dyDescent="0.25">
      <c r="A846" s="3" t="s">
        <v>75</v>
      </c>
      <c r="B846" t="s">
        <v>641</v>
      </c>
      <c r="D846" t="s">
        <v>26</v>
      </c>
      <c r="E846" t="s">
        <v>31</v>
      </c>
      <c r="F846">
        <v>2</v>
      </c>
      <c r="G846" s="3" t="s">
        <v>32</v>
      </c>
      <c r="H846" s="46" t="s">
        <v>15</v>
      </c>
      <c r="I846" s="17">
        <v>500000</v>
      </c>
      <c r="J846" s="17">
        <f>IF(Gastos[[#This Row],[Divisa]]="$", I846*1, IF(Gastos[[#This Row],[Divisa]]="U$D", I846*$N$1, IF(Gastos[[#This Row],[Divisa]]="EUR", I846*$N$2, 0)))</f>
        <v>500000</v>
      </c>
      <c r="K846" s="54">
        <f>Gastos[[#This Row],[Importe AR$]]/$N$1</f>
        <v>320.5128205128205</v>
      </c>
      <c r="M846" s="69">
        <v>46057</v>
      </c>
      <c r="N846" s="43">
        <f>IF(Gastos[[#This Row],[Fecha_Cheque]]&gt;0,WEEKNUM(Gastos[[#This Row],[Fecha_Cheque]]),MID(Gastos[[#This Row],[Semana]],6,2))</f>
        <v>6</v>
      </c>
      <c r="O846" t="s">
        <v>642</v>
      </c>
      <c r="P846" t="s">
        <v>27</v>
      </c>
    </row>
    <row r="847" spans="1:16" hidden="1" x14ac:dyDescent="0.25">
      <c r="A847" s="3" t="s">
        <v>75</v>
      </c>
      <c r="B847" t="s">
        <v>641</v>
      </c>
      <c r="D847" t="s">
        <v>26</v>
      </c>
      <c r="E847" t="s">
        <v>31</v>
      </c>
      <c r="F847">
        <v>2</v>
      </c>
      <c r="G847" s="3" t="s">
        <v>32</v>
      </c>
      <c r="H847" s="46" t="s">
        <v>15</v>
      </c>
      <c r="I847" s="17">
        <v>100000</v>
      </c>
      <c r="J847" s="17">
        <f>IF(Gastos[[#This Row],[Divisa]]="$", I847*1, IF(Gastos[[#This Row],[Divisa]]="U$D", I847*$N$1, IF(Gastos[[#This Row],[Divisa]]="EUR", I847*$N$2, 0)))</f>
        <v>100000</v>
      </c>
      <c r="K847" s="54">
        <f>Gastos[[#This Row],[Importe AR$]]/$N$1</f>
        <v>64.102564102564102</v>
      </c>
      <c r="M847" s="69">
        <v>46095</v>
      </c>
      <c r="N847" s="43">
        <f>IF(Gastos[[#This Row],[Fecha_Cheque]]&gt;0,WEEKNUM(Gastos[[#This Row],[Fecha_Cheque]]),MID(Gastos[[#This Row],[Semana]],6,2))</f>
        <v>11</v>
      </c>
      <c r="O847" t="s">
        <v>642</v>
      </c>
      <c r="P847" t="s">
        <v>27</v>
      </c>
    </row>
    <row r="848" spans="1:16" hidden="1" x14ac:dyDescent="0.25">
      <c r="A848" s="3" t="s">
        <v>75</v>
      </c>
      <c r="B848" t="s">
        <v>641</v>
      </c>
      <c r="D848" t="s">
        <v>26</v>
      </c>
      <c r="E848" t="s">
        <v>31</v>
      </c>
      <c r="F848">
        <v>2</v>
      </c>
      <c r="G848" s="3" t="s">
        <v>32</v>
      </c>
      <c r="H848" s="46" t="s">
        <v>15</v>
      </c>
      <c r="I848" s="17">
        <v>281000</v>
      </c>
      <c r="J848" s="17">
        <f>IF(Gastos[[#This Row],[Divisa]]="$", I848*1, IF(Gastos[[#This Row],[Divisa]]="U$D", I848*$N$1, IF(Gastos[[#This Row],[Divisa]]="EUR", I848*$N$2, 0)))</f>
        <v>281000</v>
      </c>
      <c r="K848" s="54">
        <f>Gastos[[#This Row],[Importe AR$]]/$N$1</f>
        <v>180.12820512820514</v>
      </c>
      <c r="M848" s="69">
        <v>46092</v>
      </c>
      <c r="N848" s="43">
        <f>IF(Gastos[[#This Row],[Fecha_Cheque]]&gt;0,WEEKNUM(Gastos[[#This Row],[Fecha_Cheque]]),MID(Gastos[[#This Row],[Semana]],6,2))</f>
        <v>11</v>
      </c>
      <c r="O848" t="s">
        <v>642</v>
      </c>
      <c r="P848" t="s">
        <v>27</v>
      </c>
    </row>
    <row r="849" spans="1:16" hidden="1" x14ac:dyDescent="0.25">
      <c r="A849" s="3" t="s">
        <v>75</v>
      </c>
      <c r="B849" t="s">
        <v>641</v>
      </c>
      <c r="D849" t="s">
        <v>26</v>
      </c>
      <c r="E849" t="s">
        <v>31</v>
      </c>
      <c r="F849">
        <v>2</v>
      </c>
      <c r="G849" s="3" t="s">
        <v>32</v>
      </c>
      <c r="H849" s="46" t="s">
        <v>15</v>
      </c>
      <c r="I849" s="17">
        <v>350000</v>
      </c>
      <c r="J849" s="17">
        <f>IF(Gastos[[#This Row],[Divisa]]="$", I849*1, IF(Gastos[[#This Row],[Divisa]]="U$D", I849*$N$1, IF(Gastos[[#This Row],[Divisa]]="EUR", I849*$N$2, 0)))</f>
        <v>350000</v>
      </c>
      <c r="K849" s="54">
        <f>Gastos[[#This Row],[Importe AR$]]/$N$1</f>
        <v>224.35897435897436</v>
      </c>
      <c r="M849" s="69">
        <v>46091</v>
      </c>
      <c r="N849" s="43">
        <f>IF(Gastos[[#This Row],[Fecha_Cheque]]&gt;0,WEEKNUM(Gastos[[#This Row],[Fecha_Cheque]]),MID(Gastos[[#This Row],[Semana]],6,2))</f>
        <v>11</v>
      </c>
      <c r="O849" t="s">
        <v>642</v>
      </c>
      <c r="P849" t="s">
        <v>27</v>
      </c>
    </row>
    <row r="850" spans="1:16" hidden="1" x14ac:dyDescent="0.25">
      <c r="A850" s="3" t="s">
        <v>75</v>
      </c>
      <c r="B850" t="s">
        <v>641</v>
      </c>
      <c r="D850" t="s">
        <v>26</v>
      </c>
      <c r="E850" t="s">
        <v>31</v>
      </c>
      <c r="F850">
        <v>2</v>
      </c>
      <c r="G850" s="3" t="s">
        <v>32</v>
      </c>
      <c r="H850" s="46" t="s">
        <v>15</v>
      </c>
      <c r="I850" s="17">
        <v>466000</v>
      </c>
      <c r="J850" s="17">
        <f>IF(Gastos[[#This Row],[Divisa]]="$", I850*1, IF(Gastos[[#This Row],[Divisa]]="U$D", I850*$N$1, IF(Gastos[[#This Row],[Divisa]]="EUR", I850*$N$2, 0)))</f>
        <v>466000</v>
      </c>
      <c r="K850" s="54">
        <f>Gastos[[#This Row],[Importe AR$]]/$N$1</f>
        <v>298.71794871794873</v>
      </c>
      <c r="M850" s="69">
        <v>46081</v>
      </c>
      <c r="N850" s="43">
        <f>IF(Gastos[[#This Row],[Fecha_Cheque]]&gt;0,WEEKNUM(Gastos[[#This Row],[Fecha_Cheque]]),MID(Gastos[[#This Row],[Semana]],6,2))</f>
        <v>9</v>
      </c>
      <c r="O850" t="s">
        <v>642</v>
      </c>
      <c r="P850" t="s">
        <v>27</v>
      </c>
    </row>
    <row r="851" spans="1:16" hidden="1" x14ac:dyDescent="0.25">
      <c r="A851" s="3" t="s">
        <v>75</v>
      </c>
      <c r="B851" t="s">
        <v>641</v>
      </c>
      <c r="D851" t="s">
        <v>26</v>
      </c>
      <c r="E851" t="s">
        <v>31</v>
      </c>
      <c r="F851">
        <v>2</v>
      </c>
      <c r="G851" s="3" t="s">
        <v>32</v>
      </c>
      <c r="H851" s="46" t="s">
        <v>15</v>
      </c>
      <c r="I851" s="17">
        <v>110740</v>
      </c>
      <c r="J851" s="17">
        <f>IF(Gastos[[#This Row],[Divisa]]="$", I851*1, IF(Gastos[[#This Row],[Divisa]]="U$D", I851*$N$1, IF(Gastos[[#This Row],[Divisa]]="EUR", I851*$N$2, 0)))</f>
        <v>110740</v>
      </c>
      <c r="K851" s="54">
        <f>Gastos[[#This Row],[Importe AR$]]/$N$1</f>
        <v>70.987179487179489</v>
      </c>
      <c r="M851" s="69">
        <v>46064</v>
      </c>
      <c r="N851" s="43">
        <f>IF(Gastos[[#This Row],[Fecha_Cheque]]&gt;0,WEEKNUM(Gastos[[#This Row],[Fecha_Cheque]]),MID(Gastos[[#This Row],[Semana]],6,2))</f>
        <v>7</v>
      </c>
      <c r="O851" t="s">
        <v>642</v>
      </c>
      <c r="P851" t="s">
        <v>27</v>
      </c>
    </row>
    <row r="852" spans="1:16" hidden="1" x14ac:dyDescent="0.25">
      <c r="A852" s="3" t="s">
        <v>180</v>
      </c>
      <c r="B852" t="s">
        <v>641</v>
      </c>
      <c r="C852" t="s">
        <v>841</v>
      </c>
      <c r="D852" t="s">
        <v>26</v>
      </c>
      <c r="E852" t="s">
        <v>42</v>
      </c>
      <c r="F852">
        <v>2</v>
      </c>
      <c r="G852" s="3" t="s">
        <v>4</v>
      </c>
      <c r="H852" s="46" t="s">
        <v>15</v>
      </c>
      <c r="I852" s="17">
        <v>110740</v>
      </c>
      <c r="J852" s="17">
        <f>IF(Gastos[[#This Row],[Divisa]]="$", I852*1, IF(Gastos[[#This Row],[Divisa]]="U$D", I852*$N$1, IF(Gastos[[#This Row],[Divisa]]="EUR", I852*$N$2, 0)))</f>
        <v>110740</v>
      </c>
      <c r="K852" s="54">
        <f>Gastos[[#This Row],[Importe AR$]]/$N$1</f>
        <v>70.987179487179489</v>
      </c>
      <c r="M852" s="69"/>
      <c r="N852" s="43" t="str">
        <f>IF(Gastos[[#This Row],[Fecha_Cheque]]&gt;0,WEEKNUM(Gastos[[#This Row],[Fecha_Cheque]]),MID(Gastos[[#This Row],[Semana]],6,2))</f>
        <v>09</v>
      </c>
      <c r="O852" t="s">
        <v>642</v>
      </c>
      <c r="P852" t="s">
        <v>27</v>
      </c>
    </row>
    <row r="853" spans="1:16" hidden="1" x14ac:dyDescent="0.25">
      <c r="A853" s="3" t="s">
        <v>180</v>
      </c>
      <c r="B853" t="s">
        <v>641</v>
      </c>
      <c r="C853" t="s">
        <v>841</v>
      </c>
      <c r="D853" t="s">
        <v>26</v>
      </c>
      <c r="E853" t="s">
        <v>42</v>
      </c>
      <c r="F853">
        <v>2</v>
      </c>
      <c r="G853" s="3" t="s">
        <v>32</v>
      </c>
      <c r="H853" s="46" t="s">
        <v>15</v>
      </c>
      <c r="I853" s="17">
        <v>500000</v>
      </c>
      <c r="J853" s="17">
        <f>IF(Gastos[[#This Row],[Divisa]]="$", I853*1, IF(Gastos[[#This Row],[Divisa]]="U$D", I853*$N$1, IF(Gastos[[#This Row],[Divisa]]="EUR", I853*$N$2, 0)))</f>
        <v>500000</v>
      </c>
      <c r="K853" s="54">
        <f>Gastos[[#This Row],[Importe AR$]]/$N$1</f>
        <v>320.5128205128205</v>
      </c>
      <c r="M853" s="69">
        <v>46057</v>
      </c>
      <c r="N853" s="43">
        <f>IF(Gastos[[#This Row],[Fecha_Cheque]]&gt;0,WEEKNUM(Gastos[[#This Row],[Fecha_Cheque]]),MID(Gastos[[#This Row],[Semana]],6,2))</f>
        <v>6</v>
      </c>
      <c r="O853" t="s">
        <v>642</v>
      </c>
      <c r="P853" t="s">
        <v>27</v>
      </c>
    </row>
    <row r="854" spans="1:16" hidden="1" x14ac:dyDescent="0.25">
      <c r="A854" s="3" t="s">
        <v>180</v>
      </c>
      <c r="B854" t="s">
        <v>641</v>
      </c>
      <c r="C854" t="s">
        <v>841</v>
      </c>
      <c r="D854" t="s">
        <v>26</v>
      </c>
      <c r="E854" t="s">
        <v>42</v>
      </c>
      <c r="F854">
        <v>2</v>
      </c>
      <c r="G854" s="3" t="s">
        <v>32</v>
      </c>
      <c r="H854" s="46" t="s">
        <v>15</v>
      </c>
      <c r="I854" s="17">
        <v>100000</v>
      </c>
      <c r="J854" s="17">
        <f>IF(Gastos[[#This Row],[Divisa]]="$", I854*1, IF(Gastos[[#This Row],[Divisa]]="U$D", I854*$N$1, IF(Gastos[[#This Row],[Divisa]]="EUR", I854*$N$2, 0)))</f>
        <v>100000</v>
      </c>
      <c r="K854" s="54">
        <f>Gastos[[#This Row],[Importe AR$]]/$N$1</f>
        <v>64.102564102564102</v>
      </c>
      <c r="M854" s="69">
        <v>46095</v>
      </c>
      <c r="N854" s="43">
        <f>IF(Gastos[[#This Row],[Fecha_Cheque]]&gt;0,WEEKNUM(Gastos[[#This Row],[Fecha_Cheque]]),MID(Gastos[[#This Row],[Semana]],6,2))</f>
        <v>11</v>
      </c>
      <c r="O854" t="s">
        <v>642</v>
      </c>
      <c r="P854" t="s">
        <v>27</v>
      </c>
    </row>
    <row r="855" spans="1:16" hidden="1" x14ac:dyDescent="0.25">
      <c r="A855" s="3" t="s">
        <v>180</v>
      </c>
      <c r="B855" t="s">
        <v>641</v>
      </c>
      <c r="C855" t="s">
        <v>841</v>
      </c>
      <c r="D855" t="s">
        <v>26</v>
      </c>
      <c r="E855" t="s">
        <v>42</v>
      </c>
      <c r="F855">
        <v>2</v>
      </c>
      <c r="G855" s="3" t="s">
        <v>32</v>
      </c>
      <c r="H855" s="46" t="s">
        <v>15</v>
      </c>
      <c r="I855" s="17">
        <v>281000</v>
      </c>
      <c r="J855" s="17">
        <f>IF(Gastos[[#This Row],[Divisa]]="$", I855*1, IF(Gastos[[#This Row],[Divisa]]="U$D", I855*$N$1, IF(Gastos[[#This Row],[Divisa]]="EUR", I855*$N$2, 0)))</f>
        <v>281000</v>
      </c>
      <c r="K855" s="54">
        <f>Gastos[[#This Row],[Importe AR$]]/$N$1</f>
        <v>180.12820512820514</v>
      </c>
      <c r="M855" s="69">
        <v>46092</v>
      </c>
      <c r="N855" s="43">
        <f>IF(Gastos[[#This Row],[Fecha_Cheque]]&gt;0,WEEKNUM(Gastos[[#This Row],[Fecha_Cheque]]),MID(Gastos[[#This Row],[Semana]],6,2))</f>
        <v>11</v>
      </c>
      <c r="O855" t="s">
        <v>642</v>
      </c>
      <c r="P855" t="s">
        <v>27</v>
      </c>
    </row>
    <row r="856" spans="1:16" hidden="1" x14ac:dyDescent="0.25">
      <c r="A856" s="3" t="s">
        <v>180</v>
      </c>
      <c r="B856" t="s">
        <v>641</v>
      </c>
      <c r="C856" t="s">
        <v>841</v>
      </c>
      <c r="D856" t="s">
        <v>26</v>
      </c>
      <c r="E856" t="s">
        <v>42</v>
      </c>
      <c r="F856">
        <v>2</v>
      </c>
      <c r="G856" s="3" t="s">
        <v>32</v>
      </c>
      <c r="H856" s="46" t="s">
        <v>15</v>
      </c>
      <c r="I856" s="17">
        <v>350000</v>
      </c>
      <c r="J856" s="17">
        <f>IF(Gastos[[#This Row],[Divisa]]="$", I856*1, IF(Gastos[[#This Row],[Divisa]]="U$D", I856*$N$1, IF(Gastos[[#This Row],[Divisa]]="EUR", I856*$N$2, 0)))</f>
        <v>350000</v>
      </c>
      <c r="K856" s="54">
        <f>Gastos[[#This Row],[Importe AR$]]/$N$1</f>
        <v>224.35897435897436</v>
      </c>
      <c r="M856" s="69">
        <v>46091</v>
      </c>
      <c r="N856" s="43">
        <f>IF(Gastos[[#This Row],[Fecha_Cheque]]&gt;0,WEEKNUM(Gastos[[#This Row],[Fecha_Cheque]]),MID(Gastos[[#This Row],[Semana]],6,2))</f>
        <v>11</v>
      </c>
      <c r="O856" t="s">
        <v>642</v>
      </c>
      <c r="P856" t="s">
        <v>27</v>
      </c>
    </row>
    <row r="857" spans="1:16" hidden="1" x14ac:dyDescent="0.25">
      <c r="A857" s="3" t="s">
        <v>180</v>
      </c>
      <c r="B857" t="s">
        <v>641</v>
      </c>
      <c r="C857" t="s">
        <v>841</v>
      </c>
      <c r="D857" t="s">
        <v>26</v>
      </c>
      <c r="E857" t="s">
        <v>42</v>
      </c>
      <c r="F857">
        <v>2</v>
      </c>
      <c r="G857" s="3" t="s">
        <v>32</v>
      </c>
      <c r="H857" s="46" t="s">
        <v>15</v>
      </c>
      <c r="I857" s="17">
        <v>466260</v>
      </c>
      <c r="J857" s="17">
        <f>IF(Gastos[[#This Row],[Divisa]]="$", I857*1, IF(Gastos[[#This Row],[Divisa]]="U$D", I857*$N$1, IF(Gastos[[#This Row],[Divisa]]="EUR", I857*$N$2, 0)))</f>
        <v>466260</v>
      </c>
      <c r="K857" s="54">
        <f>Gastos[[#This Row],[Importe AR$]]/$N$1</f>
        <v>298.88461538461536</v>
      </c>
      <c r="M857" s="69">
        <v>46081</v>
      </c>
      <c r="N857" s="43">
        <f>IF(Gastos[[#This Row],[Fecha_Cheque]]&gt;0,WEEKNUM(Gastos[[#This Row],[Fecha_Cheque]]),MID(Gastos[[#This Row],[Semana]],6,2))</f>
        <v>9</v>
      </c>
      <c r="O857" t="s">
        <v>642</v>
      </c>
      <c r="P857" t="s">
        <v>27</v>
      </c>
    </row>
    <row r="858" spans="1:16" hidden="1" x14ac:dyDescent="0.25">
      <c r="A858" s="3" t="s">
        <v>310</v>
      </c>
      <c r="B858" t="s">
        <v>643</v>
      </c>
      <c r="C858" t="s">
        <v>155</v>
      </c>
      <c r="D858" t="s">
        <v>26</v>
      </c>
      <c r="E858" t="s">
        <v>31</v>
      </c>
      <c r="F858">
        <v>1</v>
      </c>
      <c r="G858" s="3" t="s">
        <v>32</v>
      </c>
      <c r="H858" s="46" t="s">
        <v>15</v>
      </c>
      <c r="I858" s="17">
        <v>166300</v>
      </c>
      <c r="J858" s="17">
        <f>IF(Gastos[[#This Row],[Divisa]]="$", I858*1, IF(Gastos[[#This Row],[Divisa]]="U$D", I858*$N$1, IF(Gastos[[#This Row],[Divisa]]="EUR", I858*$N$2, 0)))</f>
        <v>166300</v>
      </c>
      <c r="K858" s="54">
        <f>Gastos[[#This Row],[Importe AR$]]/$N$1</f>
        <v>106.6025641025641</v>
      </c>
      <c r="M858" s="69">
        <v>45919</v>
      </c>
      <c r="N858" s="43">
        <f>IF(Gastos[[#This Row],[Fecha_Cheque]]&gt;0,WEEKNUM(Gastos[[#This Row],[Fecha_Cheque]]),MID(Gastos[[#This Row],[Semana]],6,2))</f>
        <v>38</v>
      </c>
      <c r="O858" t="s">
        <v>123</v>
      </c>
      <c r="P858" t="s">
        <v>27</v>
      </c>
    </row>
    <row r="859" spans="1:16" hidden="1" x14ac:dyDescent="0.25">
      <c r="A859" s="3" t="s">
        <v>310</v>
      </c>
      <c r="B859" t="s">
        <v>643</v>
      </c>
      <c r="C859" t="s">
        <v>155</v>
      </c>
      <c r="D859" t="s">
        <v>26</v>
      </c>
      <c r="E859" t="s">
        <v>31</v>
      </c>
      <c r="F859">
        <v>1</v>
      </c>
      <c r="G859" s="3" t="s">
        <v>32</v>
      </c>
      <c r="H859" s="46" t="s">
        <v>15</v>
      </c>
      <c r="I859" s="17">
        <v>200000</v>
      </c>
      <c r="J859" s="17">
        <f>IF(Gastos[[#This Row],[Divisa]]="$", I859*1, IF(Gastos[[#This Row],[Divisa]]="U$D", I859*$N$1, IF(Gastos[[#This Row],[Divisa]]="EUR", I859*$N$2, 0)))</f>
        <v>200000</v>
      </c>
      <c r="K859" s="54">
        <f>Gastos[[#This Row],[Importe AR$]]/$N$1</f>
        <v>128.2051282051282</v>
      </c>
      <c r="M859" s="69">
        <v>45913</v>
      </c>
      <c r="N859" s="43">
        <f>IF(Gastos[[#This Row],[Fecha_Cheque]]&gt;0,WEEKNUM(Gastos[[#This Row],[Fecha_Cheque]]),MID(Gastos[[#This Row],[Semana]],6,2))</f>
        <v>37</v>
      </c>
      <c r="P859" t="s">
        <v>27</v>
      </c>
    </row>
    <row r="860" spans="1:16" hidden="1" x14ac:dyDescent="0.25">
      <c r="A860" s="3" t="s">
        <v>310</v>
      </c>
      <c r="B860" t="s">
        <v>643</v>
      </c>
      <c r="C860" t="s">
        <v>155</v>
      </c>
      <c r="D860" t="s">
        <v>26</v>
      </c>
      <c r="E860" t="s">
        <v>31</v>
      </c>
      <c r="F860">
        <v>1</v>
      </c>
      <c r="G860" s="3" t="s">
        <v>32</v>
      </c>
      <c r="H860" s="46" t="s">
        <v>15</v>
      </c>
      <c r="I860" s="17">
        <v>255000</v>
      </c>
      <c r="J860" s="17">
        <f>IF(Gastos[[#This Row],[Divisa]]="$", I860*1, IF(Gastos[[#This Row],[Divisa]]="U$D", I860*$N$1, IF(Gastos[[#This Row],[Divisa]]="EUR", I860*$N$2, 0)))</f>
        <v>255000</v>
      </c>
      <c r="K860" s="54">
        <f>Gastos[[#This Row],[Importe AR$]]/$N$1</f>
        <v>163.46153846153845</v>
      </c>
      <c r="M860" s="69">
        <v>45915</v>
      </c>
      <c r="N860" s="43">
        <f>IF(Gastos[[#This Row],[Fecha_Cheque]]&gt;0,WEEKNUM(Gastos[[#This Row],[Fecha_Cheque]]),MID(Gastos[[#This Row],[Semana]],6,2))</f>
        <v>38</v>
      </c>
      <c r="P860" t="s">
        <v>27</v>
      </c>
    </row>
    <row r="861" spans="1:16" hidden="1" x14ac:dyDescent="0.25">
      <c r="A861" s="3" t="s">
        <v>310</v>
      </c>
      <c r="B861" t="s">
        <v>643</v>
      </c>
      <c r="C861" t="s">
        <v>155</v>
      </c>
      <c r="D861" t="s">
        <v>26</v>
      </c>
      <c r="E861" t="s">
        <v>31</v>
      </c>
      <c r="F861">
        <v>1</v>
      </c>
      <c r="G861" s="3" t="s">
        <v>32</v>
      </c>
      <c r="H861" s="46" t="s">
        <v>15</v>
      </c>
      <c r="I861" s="17">
        <v>300000</v>
      </c>
      <c r="J861" s="17">
        <f>IF(Gastos[[#This Row],[Divisa]]="$", I861*1, IF(Gastos[[#This Row],[Divisa]]="U$D", I861*$N$1, IF(Gastos[[#This Row],[Divisa]]="EUR", I861*$N$2, 0)))</f>
        <v>300000</v>
      </c>
      <c r="K861" s="54">
        <f>Gastos[[#This Row],[Importe AR$]]/$N$1</f>
        <v>192.30769230769232</v>
      </c>
      <c r="M861" s="69">
        <v>45911</v>
      </c>
      <c r="N861" s="43">
        <f>IF(Gastos[[#This Row],[Fecha_Cheque]]&gt;0,WEEKNUM(Gastos[[#This Row],[Fecha_Cheque]]),MID(Gastos[[#This Row],[Semana]],6,2))</f>
        <v>37</v>
      </c>
      <c r="O861" t="s">
        <v>644</v>
      </c>
      <c r="P861" t="s">
        <v>27</v>
      </c>
    </row>
    <row r="862" spans="1:16" hidden="1" x14ac:dyDescent="0.25">
      <c r="A862" s="3" t="s">
        <v>310</v>
      </c>
      <c r="B862" t="s">
        <v>643</v>
      </c>
      <c r="C862" t="s">
        <v>155</v>
      </c>
      <c r="D862" t="s">
        <v>26</v>
      </c>
      <c r="E862" t="s">
        <v>31</v>
      </c>
      <c r="F862">
        <v>1</v>
      </c>
      <c r="G862" s="3" t="s">
        <v>32</v>
      </c>
      <c r="H862" s="46" t="s">
        <v>15</v>
      </c>
      <c r="I862" s="17">
        <v>308454</v>
      </c>
      <c r="J862" s="17">
        <f>IF(Gastos[[#This Row],[Divisa]]="$", I862*1, IF(Gastos[[#This Row],[Divisa]]="U$D", I862*$N$1, IF(Gastos[[#This Row],[Divisa]]="EUR", I862*$N$2, 0)))</f>
        <v>308454</v>
      </c>
      <c r="K862" s="54">
        <f>Gastos[[#This Row],[Importe AR$]]/$N$1</f>
        <v>197.72692307692307</v>
      </c>
      <c r="M862" s="69">
        <v>45915</v>
      </c>
      <c r="N862" s="43">
        <f>IF(Gastos[[#This Row],[Fecha_Cheque]]&gt;0,WEEKNUM(Gastos[[#This Row],[Fecha_Cheque]]),MID(Gastos[[#This Row],[Semana]],6,2))</f>
        <v>38</v>
      </c>
      <c r="O862" t="s">
        <v>644</v>
      </c>
      <c r="P862" t="s">
        <v>27</v>
      </c>
    </row>
    <row r="863" spans="1:16" hidden="1" x14ac:dyDescent="0.25">
      <c r="A863" s="3" t="s">
        <v>310</v>
      </c>
      <c r="B863" t="s">
        <v>643</v>
      </c>
      <c r="C863" t="s">
        <v>155</v>
      </c>
      <c r="D863" t="s">
        <v>26</v>
      </c>
      <c r="E863" t="s">
        <v>31</v>
      </c>
      <c r="F863">
        <v>1</v>
      </c>
      <c r="G863" s="3" t="s">
        <v>32</v>
      </c>
      <c r="H863" s="46" t="s">
        <v>15</v>
      </c>
      <c r="I863" s="17">
        <v>350000</v>
      </c>
      <c r="J863" s="17">
        <f>IF(Gastos[[#This Row],[Divisa]]="$", I863*1, IF(Gastos[[#This Row],[Divisa]]="U$D", I863*$N$1, IF(Gastos[[#This Row],[Divisa]]="EUR", I863*$N$2, 0)))</f>
        <v>350000</v>
      </c>
      <c r="K863" s="54">
        <f>Gastos[[#This Row],[Importe AR$]]/$N$1</f>
        <v>224.35897435897436</v>
      </c>
      <c r="M863" s="69">
        <v>45910</v>
      </c>
      <c r="N863" s="43">
        <f>IF(Gastos[[#This Row],[Fecha_Cheque]]&gt;0,WEEKNUM(Gastos[[#This Row],[Fecha_Cheque]]),MID(Gastos[[#This Row],[Semana]],6,2))</f>
        <v>37</v>
      </c>
      <c r="O863" t="s">
        <v>644</v>
      </c>
      <c r="P863" t="s">
        <v>27</v>
      </c>
    </row>
    <row r="864" spans="1:16" hidden="1" x14ac:dyDescent="0.25">
      <c r="A864" s="3" t="s">
        <v>310</v>
      </c>
      <c r="B864" t="s">
        <v>643</v>
      </c>
      <c r="C864" t="s">
        <v>155</v>
      </c>
      <c r="D864" t="s">
        <v>26</v>
      </c>
      <c r="E864" t="s">
        <v>31</v>
      </c>
      <c r="F864">
        <v>1</v>
      </c>
      <c r="G864" s="3" t="s">
        <v>32</v>
      </c>
      <c r="H864" s="46" t="s">
        <v>15</v>
      </c>
      <c r="I864" s="17">
        <v>440000</v>
      </c>
      <c r="J864" s="17">
        <f>IF(Gastos[[#This Row],[Divisa]]="$", I864*1, IF(Gastos[[#This Row],[Divisa]]="U$D", I864*$N$1, IF(Gastos[[#This Row],[Divisa]]="EUR", I864*$N$2, 0)))</f>
        <v>440000</v>
      </c>
      <c r="K864" s="54">
        <f>Gastos[[#This Row],[Importe AR$]]/$N$1</f>
        <v>282.05128205128204</v>
      </c>
      <c r="M864" s="69">
        <v>45915</v>
      </c>
      <c r="N864" s="43">
        <f>IF(Gastos[[#This Row],[Fecha_Cheque]]&gt;0,WEEKNUM(Gastos[[#This Row],[Fecha_Cheque]]),MID(Gastos[[#This Row],[Semana]],6,2))</f>
        <v>38</v>
      </c>
      <c r="O864" t="s">
        <v>644</v>
      </c>
      <c r="P864" t="s">
        <v>27</v>
      </c>
    </row>
    <row r="865" spans="1:16" hidden="1" x14ac:dyDescent="0.25">
      <c r="A865" s="3" t="s">
        <v>310</v>
      </c>
      <c r="B865" t="s">
        <v>643</v>
      </c>
      <c r="C865" t="s">
        <v>155</v>
      </c>
      <c r="D865" t="s">
        <v>26</v>
      </c>
      <c r="E865" t="s">
        <v>31</v>
      </c>
      <c r="F865">
        <v>1</v>
      </c>
      <c r="G865" s="3" t="s">
        <v>32</v>
      </c>
      <c r="H865" s="46" t="s">
        <v>15</v>
      </c>
      <c r="I865" s="17">
        <v>457000</v>
      </c>
      <c r="J865" s="17">
        <f>IF(Gastos[[#This Row],[Divisa]]="$", I865*1, IF(Gastos[[#This Row],[Divisa]]="U$D", I865*$N$1, IF(Gastos[[#This Row],[Divisa]]="EUR", I865*$N$2, 0)))</f>
        <v>457000</v>
      </c>
      <c r="K865" s="54">
        <f>Gastos[[#This Row],[Importe AR$]]/$N$1</f>
        <v>292.94871794871796</v>
      </c>
      <c r="M865" s="69">
        <v>45915</v>
      </c>
      <c r="N865" s="43">
        <f>IF(Gastos[[#This Row],[Fecha_Cheque]]&gt;0,WEEKNUM(Gastos[[#This Row],[Fecha_Cheque]]),MID(Gastos[[#This Row],[Semana]],6,2))</f>
        <v>38</v>
      </c>
      <c r="O865" t="s">
        <v>644</v>
      </c>
      <c r="P865" t="s">
        <v>27</v>
      </c>
    </row>
    <row r="866" spans="1:16" hidden="1" x14ac:dyDescent="0.25">
      <c r="A866" s="3" t="s">
        <v>310</v>
      </c>
      <c r="B866" t="s">
        <v>643</v>
      </c>
      <c r="C866" t="s">
        <v>155</v>
      </c>
      <c r="D866" t="s">
        <v>26</v>
      </c>
      <c r="E866" t="s">
        <v>31</v>
      </c>
      <c r="F866">
        <v>1</v>
      </c>
      <c r="G866" s="3" t="s">
        <v>32</v>
      </c>
      <c r="H866" s="46" t="s">
        <v>15</v>
      </c>
      <c r="I866" s="17">
        <v>472000</v>
      </c>
      <c r="J866" s="17">
        <f>IF(Gastos[[#This Row],[Divisa]]="$", I866*1, IF(Gastos[[#This Row],[Divisa]]="U$D", I866*$N$1, IF(Gastos[[#This Row],[Divisa]]="EUR", I866*$N$2, 0)))</f>
        <v>472000</v>
      </c>
      <c r="K866" s="54">
        <f>Gastos[[#This Row],[Importe AR$]]/$N$1</f>
        <v>302.56410256410254</v>
      </c>
      <c r="M866" s="69">
        <v>45918</v>
      </c>
      <c r="N866" s="43">
        <f>IF(Gastos[[#This Row],[Fecha_Cheque]]&gt;0,WEEKNUM(Gastos[[#This Row],[Fecha_Cheque]]),MID(Gastos[[#This Row],[Semana]],6,2))</f>
        <v>38</v>
      </c>
      <c r="O866" t="s">
        <v>644</v>
      </c>
      <c r="P866" t="s">
        <v>27</v>
      </c>
    </row>
    <row r="867" spans="1:16" hidden="1" x14ac:dyDescent="0.25">
      <c r="A867" s="3" t="s">
        <v>310</v>
      </c>
      <c r="B867" t="s">
        <v>643</v>
      </c>
      <c r="C867" t="s">
        <v>155</v>
      </c>
      <c r="D867" t="s">
        <v>26</v>
      </c>
      <c r="E867" t="s">
        <v>31</v>
      </c>
      <c r="F867">
        <v>1</v>
      </c>
      <c r="G867" s="3" t="s">
        <v>32</v>
      </c>
      <c r="H867" s="46" t="s">
        <v>15</v>
      </c>
      <c r="I867" s="17">
        <v>472000</v>
      </c>
      <c r="J867" s="17">
        <f>IF(Gastos[[#This Row],[Divisa]]="$", I867*1, IF(Gastos[[#This Row],[Divisa]]="U$D", I867*$N$1, IF(Gastos[[#This Row],[Divisa]]="EUR", I867*$N$2, 0)))</f>
        <v>472000</v>
      </c>
      <c r="K867" s="54">
        <f>Gastos[[#This Row],[Importe AR$]]/$N$1</f>
        <v>302.56410256410254</v>
      </c>
      <c r="M867" s="69">
        <v>45924</v>
      </c>
      <c r="N867" s="43">
        <f>IF(Gastos[[#This Row],[Fecha_Cheque]]&gt;0,WEEKNUM(Gastos[[#This Row],[Fecha_Cheque]]),MID(Gastos[[#This Row],[Semana]],6,2))</f>
        <v>39</v>
      </c>
      <c r="O867" t="s">
        <v>644</v>
      </c>
      <c r="P867" t="s">
        <v>27</v>
      </c>
    </row>
    <row r="868" spans="1:16" hidden="1" x14ac:dyDescent="0.25">
      <c r="A868" s="3" t="s">
        <v>290</v>
      </c>
      <c r="B868" t="s">
        <v>643</v>
      </c>
      <c r="C868" t="s">
        <v>155</v>
      </c>
      <c r="D868" t="s">
        <v>61</v>
      </c>
      <c r="E868" t="s">
        <v>62</v>
      </c>
      <c r="F868">
        <v>1</v>
      </c>
      <c r="G868" s="3" t="s">
        <v>32</v>
      </c>
      <c r="H868" s="46" t="s">
        <v>15</v>
      </c>
      <c r="I868" s="17">
        <v>6985000</v>
      </c>
      <c r="J868" s="17">
        <f>IF(Gastos[[#This Row],[Divisa]]="$", I868*1, IF(Gastos[[#This Row],[Divisa]]="U$D", I868*$N$1, IF(Gastos[[#This Row],[Divisa]]="EUR", I868*$N$2, 0)))</f>
        <v>6985000</v>
      </c>
      <c r="K868" s="54">
        <f>Gastos[[#This Row],[Importe AR$]]/$N$1</f>
        <v>4477.5641025641025</v>
      </c>
      <c r="L868" t="s">
        <v>645</v>
      </c>
      <c r="M868" s="69">
        <v>45840</v>
      </c>
      <c r="N868" s="43">
        <f>IF(Gastos[[#This Row],[Fecha_Cheque]]&gt;0,WEEKNUM(Gastos[[#This Row],[Fecha_Cheque]]),MID(Gastos[[#This Row],[Semana]],6,2))</f>
        <v>27</v>
      </c>
      <c r="O868" t="s">
        <v>646</v>
      </c>
      <c r="P868" t="s">
        <v>27</v>
      </c>
    </row>
    <row r="869" spans="1:16" hidden="1" x14ac:dyDescent="0.25">
      <c r="A869" s="3" t="s">
        <v>85</v>
      </c>
      <c r="B869" t="s">
        <v>643</v>
      </c>
      <c r="C869" t="s">
        <v>647</v>
      </c>
      <c r="D869" t="s">
        <v>26</v>
      </c>
      <c r="E869" t="s">
        <v>31</v>
      </c>
      <c r="F869">
        <v>1</v>
      </c>
      <c r="G869" s="3" t="s">
        <v>32</v>
      </c>
      <c r="H869" s="46" t="s">
        <v>15</v>
      </c>
      <c r="I869" s="17">
        <f>1288533.89+5120000</f>
        <v>6408533.8899999997</v>
      </c>
      <c r="J869" s="17">
        <f>IF(Gastos[[#This Row],[Divisa]]="$", I869*1, IF(Gastos[[#This Row],[Divisa]]="U$D", I869*$N$1, IF(Gastos[[#This Row],[Divisa]]="EUR", I869*$N$2, 0)))</f>
        <v>6408533.8899999997</v>
      </c>
      <c r="K869" s="54">
        <f>Gastos[[#This Row],[Importe AR$]]/$N$1</f>
        <v>4108.0345448717944</v>
      </c>
      <c r="L869" t="s">
        <v>215</v>
      </c>
      <c r="M869" s="69">
        <v>45863</v>
      </c>
      <c r="N869" s="43">
        <f>IF(Gastos[[#This Row],[Fecha_Cheque]]&gt;0,WEEKNUM(Gastos[[#This Row],[Fecha_Cheque]]),MID(Gastos[[#This Row],[Semana]],6,2))</f>
        <v>30</v>
      </c>
      <c r="P869" t="s">
        <v>27</v>
      </c>
    </row>
    <row r="870" spans="1:16" hidden="1" x14ac:dyDescent="0.25">
      <c r="A870" s="3" t="s">
        <v>34</v>
      </c>
      <c r="B870" t="s">
        <v>643</v>
      </c>
      <c r="C870" t="s">
        <v>648</v>
      </c>
      <c r="D870" t="s">
        <v>26</v>
      </c>
      <c r="E870" t="s">
        <v>31</v>
      </c>
      <c r="F870">
        <v>1</v>
      </c>
      <c r="G870" s="3" t="s">
        <v>32</v>
      </c>
      <c r="H870" s="46" t="s">
        <v>15</v>
      </c>
      <c r="I870" s="17">
        <v>144100</v>
      </c>
      <c r="J870" s="17">
        <f>IF(Gastos[[#This Row],[Divisa]]="$", I870*1, IF(Gastos[[#This Row],[Divisa]]="U$D", I870*$N$1, IF(Gastos[[#This Row],[Divisa]]="EUR", I870*$N$2, 0)))</f>
        <v>144100</v>
      </c>
      <c r="K870" s="54">
        <f>Gastos[[#This Row],[Importe AR$]]/$N$1</f>
        <v>92.371794871794876</v>
      </c>
      <c r="M870" s="69">
        <v>45884</v>
      </c>
      <c r="N870" s="43">
        <f>IF(Gastos[[#This Row],[Fecha_Cheque]]&gt;0,WEEKNUM(Gastos[[#This Row],[Fecha_Cheque]]),MID(Gastos[[#This Row],[Semana]],6,2))</f>
        <v>33</v>
      </c>
      <c r="O870" t="s">
        <v>649</v>
      </c>
      <c r="P870" t="s">
        <v>27</v>
      </c>
    </row>
    <row r="871" spans="1:16" hidden="1" x14ac:dyDescent="0.25">
      <c r="A871" s="3" t="s">
        <v>34</v>
      </c>
      <c r="B871" t="s">
        <v>643</v>
      </c>
      <c r="C871" t="s">
        <v>648</v>
      </c>
      <c r="D871" t="s">
        <v>26</v>
      </c>
      <c r="E871" t="s">
        <v>31</v>
      </c>
      <c r="F871">
        <v>1</v>
      </c>
      <c r="G871" s="3" t="s">
        <v>32</v>
      </c>
      <c r="H871" s="46" t="s">
        <v>15</v>
      </c>
      <c r="I871" s="17">
        <v>1000000</v>
      </c>
      <c r="J871" s="17">
        <f>IF(Gastos[[#This Row],[Divisa]]="$", I871*1, IF(Gastos[[#This Row],[Divisa]]="U$D", I871*$N$1, IF(Gastos[[#This Row],[Divisa]]="EUR", I871*$N$2, 0)))</f>
        <v>1000000</v>
      </c>
      <c r="K871" s="54">
        <f>Gastos[[#This Row],[Importe AR$]]/$N$1</f>
        <v>641.02564102564099</v>
      </c>
      <c r="M871" s="69">
        <v>45873</v>
      </c>
      <c r="N871" s="43">
        <f>IF(Gastos[[#This Row],[Fecha_Cheque]]&gt;0,WEEKNUM(Gastos[[#This Row],[Fecha_Cheque]]),MID(Gastos[[#This Row],[Semana]],6,2))</f>
        <v>32</v>
      </c>
      <c r="O871" t="s">
        <v>649</v>
      </c>
      <c r="P871" t="s">
        <v>27</v>
      </c>
    </row>
    <row r="872" spans="1:16" hidden="1" x14ac:dyDescent="0.25">
      <c r="A872" s="3" t="s">
        <v>34</v>
      </c>
      <c r="B872" t="s">
        <v>643</v>
      </c>
      <c r="C872" t="s">
        <v>648</v>
      </c>
      <c r="D872" t="s">
        <v>26</v>
      </c>
      <c r="E872" t="s">
        <v>31</v>
      </c>
      <c r="F872">
        <v>1</v>
      </c>
      <c r="G872" s="3" t="s">
        <v>32</v>
      </c>
      <c r="H872" s="46" t="s">
        <v>15</v>
      </c>
      <c r="I872" s="17">
        <v>1387804.7</v>
      </c>
      <c r="J872" s="17">
        <f>IF(Gastos[[#This Row],[Divisa]]="$", I872*1, IF(Gastos[[#This Row],[Divisa]]="U$D", I872*$N$1, IF(Gastos[[#This Row],[Divisa]]="EUR", I872*$N$2, 0)))</f>
        <v>1387804.7</v>
      </c>
      <c r="K872" s="54">
        <f>Gastos[[#This Row],[Importe AR$]]/$N$1</f>
        <v>889.61839743589735</v>
      </c>
      <c r="M872" s="69">
        <v>45884</v>
      </c>
      <c r="N872" s="43">
        <f>IF(Gastos[[#This Row],[Fecha_Cheque]]&gt;0,WEEKNUM(Gastos[[#This Row],[Fecha_Cheque]]),MID(Gastos[[#This Row],[Semana]],6,2))</f>
        <v>33</v>
      </c>
      <c r="O872" t="s">
        <v>649</v>
      </c>
      <c r="P872" t="s">
        <v>27</v>
      </c>
    </row>
    <row r="873" spans="1:16" hidden="1" x14ac:dyDescent="0.25">
      <c r="A873" s="3" t="s">
        <v>34</v>
      </c>
      <c r="B873" t="s">
        <v>643</v>
      </c>
      <c r="C873" t="s">
        <v>648</v>
      </c>
      <c r="D873" t="s">
        <v>26</v>
      </c>
      <c r="E873" t="s">
        <v>31</v>
      </c>
      <c r="F873">
        <v>1</v>
      </c>
      <c r="G873" s="3" t="s">
        <v>32</v>
      </c>
      <c r="H873" s="46" t="s">
        <v>15</v>
      </c>
      <c r="I873" s="17">
        <v>1562500</v>
      </c>
      <c r="J873" s="17">
        <f>IF(Gastos[[#This Row],[Divisa]]="$", I873*1, IF(Gastos[[#This Row],[Divisa]]="U$D", I873*$N$1, IF(Gastos[[#This Row],[Divisa]]="EUR", I873*$N$2, 0)))</f>
        <v>1562500</v>
      </c>
      <c r="K873" s="54">
        <f>Gastos[[#This Row],[Importe AR$]]/$N$1</f>
        <v>1001.6025641025641</v>
      </c>
      <c r="M873" s="69">
        <v>45884</v>
      </c>
      <c r="N873" s="43">
        <f>IF(Gastos[[#This Row],[Fecha_Cheque]]&gt;0,WEEKNUM(Gastos[[#This Row],[Fecha_Cheque]]),MID(Gastos[[#This Row],[Semana]],6,2))</f>
        <v>33</v>
      </c>
      <c r="O873" t="s">
        <v>649</v>
      </c>
      <c r="P873" t="s">
        <v>27</v>
      </c>
    </row>
    <row r="874" spans="1:16" hidden="1" x14ac:dyDescent="0.25">
      <c r="A874" s="3" t="s">
        <v>34</v>
      </c>
      <c r="B874" t="s">
        <v>643</v>
      </c>
      <c r="C874" t="s">
        <v>648</v>
      </c>
      <c r="D874" t="s">
        <v>26</v>
      </c>
      <c r="E874" t="s">
        <v>31</v>
      </c>
      <c r="F874">
        <v>1</v>
      </c>
      <c r="G874" s="3" t="s">
        <v>32</v>
      </c>
      <c r="H874" s="46" t="s">
        <v>15</v>
      </c>
      <c r="I874" s="17">
        <v>1600000</v>
      </c>
      <c r="J874" s="17">
        <f>IF(Gastos[[#This Row],[Divisa]]="$", I874*1, IF(Gastos[[#This Row],[Divisa]]="U$D", I874*$N$1, IF(Gastos[[#This Row],[Divisa]]="EUR", I874*$N$2, 0)))</f>
        <v>1600000</v>
      </c>
      <c r="K874" s="54">
        <f>Gastos[[#This Row],[Importe AR$]]/$N$1</f>
        <v>1025.6410256410256</v>
      </c>
      <c r="M874" s="69">
        <v>45891</v>
      </c>
      <c r="N874" s="43">
        <f>IF(Gastos[[#This Row],[Fecha_Cheque]]&gt;0,WEEKNUM(Gastos[[#This Row],[Fecha_Cheque]]),MID(Gastos[[#This Row],[Semana]],6,2))</f>
        <v>34</v>
      </c>
      <c r="O874" t="s">
        <v>649</v>
      </c>
      <c r="P874" t="s">
        <v>27</v>
      </c>
    </row>
    <row r="875" spans="1:16" hidden="1" x14ac:dyDescent="0.25">
      <c r="A875" s="3" t="s">
        <v>124</v>
      </c>
      <c r="B875" t="s">
        <v>643</v>
      </c>
      <c r="C875" t="s">
        <v>648</v>
      </c>
      <c r="D875" t="s">
        <v>26</v>
      </c>
      <c r="E875" t="s">
        <v>31</v>
      </c>
      <c r="F875">
        <v>1</v>
      </c>
      <c r="G875" s="3" t="s">
        <v>32</v>
      </c>
      <c r="H875" s="46" t="s">
        <v>15</v>
      </c>
      <c r="I875" s="17">
        <v>1250000</v>
      </c>
      <c r="J875" s="17">
        <f>IF(Gastos[[#This Row],[Divisa]]="$", I875*1, IF(Gastos[[#This Row],[Divisa]]="U$D", I875*$N$1, IF(Gastos[[#This Row],[Divisa]]="EUR", I875*$N$2, 0)))</f>
        <v>1250000</v>
      </c>
      <c r="K875" s="54">
        <f>Gastos[[#This Row],[Importe AR$]]/$N$1</f>
        <v>801.28205128205127</v>
      </c>
      <c r="M875" s="69">
        <v>45989</v>
      </c>
      <c r="N875" s="43">
        <f>IF(Gastos[[#This Row],[Fecha_Cheque]]&gt;0,WEEKNUM(Gastos[[#This Row],[Fecha_Cheque]]),MID(Gastos[[#This Row],[Semana]],6,2))</f>
        <v>48</v>
      </c>
      <c r="O875" t="s">
        <v>650</v>
      </c>
      <c r="P875" t="s">
        <v>27</v>
      </c>
    </row>
    <row r="876" spans="1:16" hidden="1" x14ac:dyDescent="0.25">
      <c r="A876" s="3" t="s">
        <v>232</v>
      </c>
      <c r="B876" t="s">
        <v>643</v>
      </c>
      <c r="C876" t="s">
        <v>648</v>
      </c>
      <c r="D876" t="s">
        <v>26</v>
      </c>
      <c r="E876" t="s">
        <v>62</v>
      </c>
      <c r="F876">
        <v>1</v>
      </c>
      <c r="G876" s="3" t="s">
        <v>32</v>
      </c>
      <c r="H876" s="46" t="s">
        <v>15</v>
      </c>
      <c r="I876" s="17">
        <v>464023.32</v>
      </c>
      <c r="J876" s="17">
        <f>IF(Gastos[[#This Row],[Divisa]]="$", I876*1, IF(Gastos[[#This Row],[Divisa]]="U$D", I876*$N$1, IF(Gastos[[#This Row],[Divisa]]="EUR", I876*$N$2, 0)))</f>
        <v>464023.32</v>
      </c>
      <c r="K876" s="54">
        <f>Gastos[[#This Row],[Importe AR$]]/$N$1</f>
        <v>297.45084615384616</v>
      </c>
      <c r="M876" s="69">
        <v>45996</v>
      </c>
      <c r="N876" s="43">
        <f>IF(Gastos[[#This Row],[Fecha_Cheque]]&gt;0,WEEKNUM(Gastos[[#This Row],[Fecha_Cheque]]),MID(Gastos[[#This Row],[Semana]],6,2))</f>
        <v>49</v>
      </c>
      <c r="O876" t="s">
        <v>651</v>
      </c>
      <c r="P876" t="s">
        <v>27</v>
      </c>
    </row>
    <row r="877" spans="1:16" hidden="1" x14ac:dyDescent="0.25">
      <c r="A877" s="3" t="s">
        <v>232</v>
      </c>
      <c r="B877" t="s">
        <v>643</v>
      </c>
      <c r="C877" t="s">
        <v>648</v>
      </c>
      <c r="D877" t="s">
        <v>26</v>
      </c>
      <c r="E877" t="s">
        <v>62</v>
      </c>
      <c r="F877">
        <v>1</v>
      </c>
      <c r="G877" s="3" t="s">
        <v>32</v>
      </c>
      <c r="H877" s="46" t="s">
        <v>15</v>
      </c>
      <c r="I877" s="17">
        <v>970855.65</v>
      </c>
      <c r="J877" s="17">
        <f>IF(Gastos[[#This Row],[Divisa]]="$", I877*1, IF(Gastos[[#This Row],[Divisa]]="U$D", I877*$N$1, IF(Gastos[[#This Row],[Divisa]]="EUR", I877*$N$2, 0)))</f>
        <v>970855.65</v>
      </c>
      <c r="K877" s="54">
        <f>Gastos[[#This Row],[Importe AR$]]/$N$1</f>
        <v>622.34336538461537</v>
      </c>
      <c r="M877" s="69">
        <v>45996</v>
      </c>
      <c r="N877" s="43">
        <f>IF(Gastos[[#This Row],[Fecha_Cheque]]&gt;0,WEEKNUM(Gastos[[#This Row],[Fecha_Cheque]]),MID(Gastos[[#This Row],[Semana]],6,2))</f>
        <v>49</v>
      </c>
      <c r="O877" t="s">
        <v>651</v>
      </c>
      <c r="P877" t="s">
        <v>27</v>
      </c>
    </row>
    <row r="878" spans="1:16" hidden="1" x14ac:dyDescent="0.25">
      <c r="A878" s="3" t="s">
        <v>232</v>
      </c>
      <c r="B878" t="s">
        <v>643</v>
      </c>
      <c r="C878" t="s">
        <v>648</v>
      </c>
      <c r="D878" t="s">
        <v>26</v>
      </c>
      <c r="E878" t="s">
        <v>62</v>
      </c>
      <c r="F878">
        <v>1</v>
      </c>
      <c r="G878" s="3" t="s">
        <v>32</v>
      </c>
      <c r="H878" s="46" t="s">
        <v>15</v>
      </c>
      <c r="I878" s="17">
        <v>3034102.76</v>
      </c>
      <c r="J878" s="17">
        <f>IF(Gastos[[#This Row],[Divisa]]="$", I878*1, IF(Gastos[[#This Row],[Divisa]]="U$D", I878*$N$1, IF(Gastos[[#This Row],[Divisa]]="EUR", I878*$N$2, 0)))</f>
        <v>3034102.76</v>
      </c>
      <c r="K878" s="54">
        <f>Gastos[[#This Row],[Importe AR$]]/$N$1</f>
        <v>1944.9376666666665</v>
      </c>
      <c r="M878" s="69">
        <v>45996</v>
      </c>
      <c r="N878" s="43">
        <f>IF(Gastos[[#This Row],[Fecha_Cheque]]&gt;0,WEEKNUM(Gastos[[#This Row],[Fecha_Cheque]]),MID(Gastos[[#This Row],[Semana]],6,2))</f>
        <v>49</v>
      </c>
      <c r="O878" t="s">
        <v>651</v>
      </c>
      <c r="P878" t="s">
        <v>27</v>
      </c>
    </row>
    <row r="879" spans="1:16" hidden="1" x14ac:dyDescent="0.25">
      <c r="A879" s="3" t="s">
        <v>232</v>
      </c>
      <c r="B879" t="s">
        <v>643</v>
      </c>
      <c r="C879" t="s">
        <v>648</v>
      </c>
      <c r="D879" t="s">
        <v>26</v>
      </c>
      <c r="E879" t="s">
        <v>62</v>
      </c>
      <c r="F879">
        <v>1</v>
      </c>
      <c r="G879" s="3" t="s">
        <v>5</v>
      </c>
      <c r="H879" s="46" t="s">
        <v>15</v>
      </c>
      <c r="I879" s="17">
        <v>64756.59</v>
      </c>
      <c r="J879" s="17">
        <f>IF(Gastos[[#This Row],[Divisa]]="$", I879*1, IF(Gastos[[#This Row],[Divisa]]="U$D", I879*$N$1, IF(Gastos[[#This Row],[Divisa]]="EUR", I879*$N$2, 0)))</f>
        <v>64756.59</v>
      </c>
      <c r="K879" s="54">
        <f>Gastos[[#This Row],[Importe AR$]]/$N$1</f>
        <v>41.51063461538461</v>
      </c>
      <c r="M879" s="69"/>
      <c r="N879" s="43" t="str">
        <f>IF(Gastos[[#This Row],[Fecha_Cheque]]&gt;0,WEEKNUM(Gastos[[#This Row],[Fecha_Cheque]]),MID(Gastos[[#This Row],[Semana]],6,2))</f>
        <v>44</v>
      </c>
      <c r="O879" t="s">
        <v>651</v>
      </c>
      <c r="P879" t="s">
        <v>27</v>
      </c>
    </row>
    <row r="880" spans="1:16" hidden="1" x14ac:dyDescent="0.25">
      <c r="A880" s="3" t="s">
        <v>416</v>
      </c>
      <c r="B880" t="s">
        <v>643</v>
      </c>
      <c r="C880" t="s">
        <v>648</v>
      </c>
      <c r="D880" t="s">
        <v>26</v>
      </c>
      <c r="E880" t="s">
        <v>62</v>
      </c>
      <c r="F880">
        <v>1</v>
      </c>
      <c r="G880" s="3" t="s">
        <v>32</v>
      </c>
      <c r="H880" s="46" t="s">
        <v>15</v>
      </c>
      <c r="I880" s="17">
        <v>500000</v>
      </c>
      <c r="J880" s="17">
        <f>IF(Gastos[[#This Row],[Divisa]]="$", I880*1, IF(Gastos[[#This Row],[Divisa]]="U$D", I880*$N$1, IF(Gastos[[#This Row],[Divisa]]="EUR", I880*$N$2, 0)))</f>
        <v>500000</v>
      </c>
      <c r="K880" s="54">
        <f>Gastos[[#This Row],[Importe AR$]]/$N$1</f>
        <v>320.5128205128205</v>
      </c>
      <c r="M880" s="69">
        <v>46011</v>
      </c>
      <c r="N880" s="43">
        <f>IF(Gastos[[#This Row],[Fecha_Cheque]]&gt;0,WEEKNUM(Gastos[[#This Row],[Fecha_Cheque]]),MID(Gastos[[#This Row],[Semana]],6,2))</f>
        <v>51</v>
      </c>
      <c r="O880" t="s">
        <v>652</v>
      </c>
      <c r="P880" t="s">
        <v>27</v>
      </c>
    </row>
    <row r="881" spans="1:16" hidden="1" x14ac:dyDescent="0.25">
      <c r="A881" s="3" t="s">
        <v>416</v>
      </c>
      <c r="B881" t="s">
        <v>643</v>
      </c>
      <c r="C881" t="s">
        <v>648</v>
      </c>
      <c r="D881" t="s">
        <v>26</v>
      </c>
      <c r="E881" t="s">
        <v>62</v>
      </c>
      <c r="F881">
        <v>1</v>
      </c>
      <c r="G881" s="3" t="s">
        <v>32</v>
      </c>
      <c r="H881" s="46" t="s">
        <v>15</v>
      </c>
      <c r="I881" s="17">
        <v>525696</v>
      </c>
      <c r="J881" s="17">
        <f>IF(Gastos[[#This Row],[Divisa]]="$", I881*1, IF(Gastos[[#This Row],[Divisa]]="U$D", I881*$N$1, IF(Gastos[[#This Row],[Divisa]]="EUR", I881*$N$2, 0)))</f>
        <v>525696</v>
      </c>
      <c r="K881" s="54">
        <f>Gastos[[#This Row],[Importe AR$]]/$N$1</f>
        <v>336.98461538461538</v>
      </c>
      <c r="M881" s="69">
        <v>46013</v>
      </c>
      <c r="N881" s="43">
        <f>IF(Gastos[[#This Row],[Fecha_Cheque]]&gt;0,WEEKNUM(Gastos[[#This Row],[Fecha_Cheque]]),MID(Gastos[[#This Row],[Semana]],6,2))</f>
        <v>52</v>
      </c>
      <c r="O881" t="s">
        <v>652</v>
      </c>
      <c r="P881" t="s">
        <v>27</v>
      </c>
    </row>
    <row r="882" spans="1:16" hidden="1" x14ac:dyDescent="0.25">
      <c r="A882" s="3" t="s">
        <v>416</v>
      </c>
      <c r="B882" t="s">
        <v>643</v>
      </c>
      <c r="C882" t="s">
        <v>648</v>
      </c>
      <c r="D882" t="s">
        <v>26</v>
      </c>
      <c r="E882" t="s">
        <v>62</v>
      </c>
      <c r="F882">
        <v>1</v>
      </c>
      <c r="G882" s="3" t="s">
        <v>32</v>
      </c>
      <c r="H882" s="46" t="s">
        <v>15</v>
      </c>
      <c r="I882" s="17">
        <v>1100000</v>
      </c>
      <c r="J882" s="17">
        <f>IF(Gastos[[#This Row],[Divisa]]="$", I882*1, IF(Gastos[[#This Row],[Divisa]]="U$D", I882*$N$1, IF(Gastos[[#This Row],[Divisa]]="EUR", I882*$N$2, 0)))</f>
        <v>1100000</v>
      </c>
      <c r="K882" s="54">
        <f>Gastos[[#This Row],[Importe AR$]]/$N$1</f>
        <v>705.12820512820508</v>
      </c>
      <c r="M882" s="69">
        <v>46032</v>
      </c>
      <c r="N882" s="43">
        <f>IF(Gastos[[#This Row],[Fecha_Cheque]]&gt;0,WEEKNUM(Gastos[[#This Row],[Fecha_Cheque]]),MID(Gastos[[#This Row],[Semana]],6,2))</f>
        <v>2</v>
      </c>
      <c r="O882" t="s">
        <v>652</v>
      </c>
      <c r="P882" t="s">
        <v>27</v>
      </c>
    </row>
    <row r="883" spans="1:16" hidden="1" x14ac:dyDescent="0.25">
      <c r="A883" s="3" t="s">
        <v>416</v>
      </c>
      <c r="B883" t="s">
        <v>643</v>
      </c>
      <c r="C883" t="s">
        <v>648</v>
      </c>
      <c r="D883" t="s">
        <v>26</v>
      </c>
      <c r="E883" t="s">
        <v>62</v>
      </c>
      <c r="F883">
        <v>1</v>
      </c>
      <c r="G883" s="3" t="s">
        <v>32</v>
      </c>
      <c r="H883" s="46" t="s">
        <v>15</v>
      </c>
      <c r="I883" s="17">
        <v>1500000</v>
      </c>
      <c r="J883" s="17">
        <f>IF(Gastos[[#This Row],[Divisa]]="$", I883*1, IF(Gastos[[#This Row],[Divisa]]="U$D", I883*$N$1, IF(Gastos[[#This Row],[Divisa]]="EUR", I883*$N$2, 0)))</f>
        <v>1500000</v>
      </c>
      <c r="K883" s="54">
        <f>Gastos[[#This Row],[Importe AR$]]/$N$1</f>
        <v>961.53846153846155</v>
      </c>
      <c r="M883" s="69">
        <v>46007</v>
      </c>
      <c r="N883" s="43">
        <f>IF(Gastos[[#This Row],[Fecha_Cheque]]&gt;0,WEEKNUM(Gastos[[#This Row],[Fecha_Cheque]]),MID(Gastos[[#This Row],[Semana]],6,2))</f>
        <v>51</v>
      </c>
      <c r="O883" t="s">
        <v>652</v>
      </c>
      <c r="P883" t="s">
        <v>27</v>
      </c>
    </row>
    <row r="884" spans="1:16" hidden="1" x14ac:dyDescent="0.25">
      <c r="A884" s="3" t="s">
        <v>416</v>
      </c>
      <c r="B884" t="s">
        <v>643</v>
      </c>
      <c r="C884" t="s">
        <v>648</v>
      </c>
      <c r="D884" t="s">
        <v>26</v>
      </c>
      <c r="E884" t="s">
        <v>62</v>
      </c>
      <c r="F884">
        <v>1</v>
      </c>
      <c r="G884" s="3" t="s">
        <v>32</v>
      </c>
      <c r="H884" s="46" t="s">
        <v>15</v>
      </c>
      <c r="I884" s="17">
        <v>700000</v>
      </c>
      <c r="J884" s="17">
        <f>IF(Gastos[[#This Row],[Divisa]]="$", I884*1, IF(Gastos[[#This Row],[Divisa]]="U$D", I884*$N$1, IF(Gastos[[#This Row],[Divisa]]="EUR", I884*$N$2, 0)))</f>
        <v>700000</v>
      </c>
      <c r="K884" s="54">
        <f>Gastos[[#This Row],[Importe AR$]]/$N$1</f>
        <v>448.71794871794873</v>
      </c>
      <c r="M884" s="69">
        <v>46013</v>
      </c>
      <c r="N884" s="43">
        <f>IF(Gastos[[#This Row],[Fecha_Cheque]]&gt;0,WEEKNUM(Gastos[[#This Row],[Fecha_Cheque]]),MID(Gastos[[#This Row],[Semana]],6,2))</f>
        <v>52</v>
      </c>
      <c r="O884" t="s">
        <v>652</v>
      </c>
      <c r="P884" t="s">
        <v>27</v>
      </c>
    </row>
    <row r="885" spans="1:16" hidden="1" x14ac:dyDescent="0.25">
      <c r="A885" s="3" t="s">
        <v>416</v>
      </c>
      <c r="B885" t="s">
        <v>643</v>
      </c>
      <c r="C885" t="s">
        <v>648</v>
      </c>
      <c r="D885" t="s">
        <v>26</v>
      </c>
      <c r="E885" t="s">
        <v>62</v>
      </c>
      <c r="F885">
        <v>1</v>
      </c>
      <c r="G885" s="3" t="s">
        <v>32</v>
      </c>
      <c r="H885" s="46" t="s">
        <v>15</v>
      </c>
      <c r="I885" s="17">
        <v>325000</v>
      </c>
      <c r="J885" s="17">
        <f>IF(Gastos[[#This Row],[Divisa]]="$", I885*1, IF(Gastos[[#This Row],[Divisa]]="U$D", I885*$N$1, IF(Gastos[[#This Row],[Divisa]]="EUR", I885*$N$2, 0)))</f>
        <v>325000</v>
      </c>
      <c r="K885" s="54">
        <f>Gastos[[#This Row],[Importe AR$]]/$N$1</f>
        <v>208.33333333333334</v>
      </c>
      <c r="M885" s="69">
        <v>46020</v>
      </c>
      <c r="N885" s="43">
        <f>IF(Gastos[[#This Row],[Fecha_Cheque]]&gt;0,WEEKNUM(Gastos[[#This Row],[Fecha_Cheque]]),MID(Gastos[[#This Row],[Semana]],6,2))</f>
        <v>53</v>
      </c>
      <c r="O885" t="s">
        <v>652</v>
      </c>
      <c r="P885" t="s">
        <v>27</v>
      </c>
    </row>
    <row r="886" spans="1:16" hidden="1" x14ac:dyDescent="0.25">
      <c r="A886" s="3" t="s">
        <v>332</v>
      </c>
      <c r="B886" t="s">
        <v>643</v>
      </c>
      <c r="C886" t="s">
        <v>648</v>
      </c>
      <c r="D886" t="s">
        <v>26</v>
      </c>
      <c r="E886" t="s">
        <v>62</v>
      </c>
      <c r="F886">
        <v>1</v>
      </c>
      <c r="G886" s="3" t="s">
        <v>32</v>
      </c>
      <c r="H886" s="46" t="s">
        <v>15</v>
      </c>
      <c r="I886" s="17">
        <v>94135.919999999925</v>
      </c>
      <c r="J886" s="17">
        <f>IF(Gastos[[#This Row],[Divisa]]="$", I886*1, IF(Gastos[[#This Row],[Divisa]]="U$D", I886*$N$1, IF(Gastos[[#This Row],[Divisa]]="EUR", I886*$N$2, 0)))</f>
        <v>94135.919999999925</v>
      </c>
      <c r="K886" s="54">
        <f>Gastos[[#This Row],[Importe AR$]]/$N$1</f>
        <v>60.343538461538415</v>
      </c>
      <c r="M886" s="69">
        <v>46140</v>
      </c>
      <c r="N886" s="43">
        <f>IF(Gastos[[#This Row],[Fecha_Cheque]]&gt;0,WEEKNUM(Gastos[[#This Row],[Fecha_Cheque]]),MID(Gastos[[#This Row],[Semana]],6,2))</f>
        <v>18</v>
      </c>
      <c r="O886" t="s">
        <v>1909</v>
      </c>
      <c r="P886" t="s">
        <v>27</v>
      </c>
    </row>
    <row r="887" spans="1:16" hidden="1" x14ac:dyDescent="0.25">
      <c r="A887" s="3" t="s">
        <v>332</v>
      </c>
      <c r="B887" t="s">
        <v>643</v>
      </c>
      <c r="C887" t="s">
        <v>648</v>
      </c>
      <c r="D887" t="s">
        <v>26</v>
      </c>
      <c r="E887" t="s">
        <v>62</v>
      </c>
      <c r="F887">
        <v>1</v>
      </c>
      <c r="G887" s="3" t="s">
        <v>32</v>
      </c>
      <c r="H887" s="46" t="s">
        <v>15</v>
      </c>
      <c r="I887" s="17">
        <v>2000000</v>
      </c>
      <c r="J887" s="17">
        <f>IF(Gastos[[#This Row],[Divisa]]="$", I887*1, IF(Gastos[[#This Row],[Divisa]]="U$D", I887*$N$1, IF(Gastos[[#This Row],[Divisa]]="EUR", I887*$N$2, 0)))</f>
        <v>2000000</v>
      </c>
      <c r="K887" s="54">
        <f>Gastos[[#This Row],[Importe AR$]]/$N$1</f>
        <v>1282.051282051282</v>
      </c>
      <c r="M887" s="69"/>
      <c r="N887" s="43" t="str">
        <f>IF(Gastos[[#This Row],[Fecha_Cheque]]&gt;0,WEEKNUM(Gastos[[#This Row],[Fecha_Cheque]]),MID(Gastos[[#This Row],[Semana]],6,2))</f>
        <v>12</v>
      </c>
      <c r="O887" t="s">
        <v>1909</v>
      </c>
      <c r="P887" t="s">
        <v>27</v>
      </c>
    </row>
    <row r="888" spans="1:16" hidden="1" x14ac:dyDescent="0.25">
      <c r="A888" s="3" t="s">
        <v>3754</v>
      </c>
      <c r="B888" t="s">
        <v>643</v>
      </c>
      <c r="C888" t="s">
        <v>1442</v>
      </c>
      <c r="D888" t="s">
        <v>26</v>
      </c>
      <c r="E888" t="s">
        <v>31</v>
      </c>
      <c r="F888">
        <v>1</v>
      </c>
      <c r="G888" s="3" t="s">
        <v>32</v>
      </c>
      <c r="H888" s="44" t="s">
        <v>15</v>
      </c>
      <c r="I888" s="17">
        <v>1562981.2</v>
      </c>
      <c r="J888" s="17">
        <f>IF(Gastos[[#This Row],[Divisa]]="$", I888*1, IF(Gastos[[#This Row],[Divisa]]="U$D", I888*$N$1, IF(Gastos[[#This Row],[Divisa]]="EUR", I888*$N$2, 0)))</f>
        <v>1562981.2</v>
      </c>
      <c r="K888" s="54">
        <f>Gastos[[#This Row],[Importe AR$]]/$N$1</f>
        <v>1001.9110256410256</v>
      </c>
      <c r="M888" s="69">
        <v>46266</v>
      </c>
      <c r="N888" s="43">
        <f>IF(Gastos[[#This Row],[Fecha_Cheque]]&gt;0,WEEKNUM(Gastos[[#This Row],[Fecha_Cheque]]),MID(Gastos[[#This Row],[Semana]],6,2))</f>
        <v>36</v>
      </c>
      <c r="O888" t="s">
        <v>3804</v>
      </c>
      <c r="P888" t="s">
        <v>27</v>
      </c>
    </row>
    <row r="889" spans="1:16" hidden="1" x14ac:dyDescent="0.25">
      <c r="A889" s="3" t="s">
        <v>3754</v>
      </c>
      <c r="B889" t="s">
        <v>643</v>
      </c>
      <c r="C889" t="s">
        <v>1442</v>
      </c>
      <c r="D889" t="s">
        <v>26</v>
      </c>
      <c r="E889" t="s">
        <v>42</v>
      </c>
      <c r="F889">
        <v>1</v>
      </c>
      <c r="G889" s="3" t="s">
        <v>4</v>
      </c>
      <c r="H889" s="44" t="s">
        <v>15</v>
      </c>
      <c r="I889" s="17">
        <v>53626.3</v>
      </c>
      <c r="J889" s="17">
        <f>IF(Gastos[[#This Row],[Divisa]]="$", I889*1, IF(Gastos[[#This Row],[Divisa]]="U$D", I889*$N$1, IF(Gastos[[#This Row],[Divisa]]="EUR", I889*$N$2, 0)))</f>
        <v>53626.3</v>
      </c>
      <c r="K889" s="54">
        <f>Gastos[[#This Row],[Importe AR$]]/$N$1</f>
        <v>34.375833333333333</v>
      </c>
      <c r="M889" s="69"/>
      <c r="N889" s="43" t="str">
        <f>IF(Gastos[[#This Row],[Fecha_Cheque]]&gt;0,WEEKNUM(Gastos[[#This Row],[Fecha_Cheque]]),MID(Gastos[[#This Row],[Semana]],6,2))</f>
        <v>29</v>
      </c>
      <c r="O889" t="s">
        <v>3804</v>
      </c>
      <c r="P889" t="s">
        <v>27</v>
      </c>
    </row>
    <row r="890" spans="1:16" hidden="1" x14ac:dyDescent="0.25">
      <c r="A890" s="3" t="s">
        <v>3754</v>
      </c>
      <c r="B890" t="s">
        <v>643</v>
      </c>
      <c r="C890" t="s">
        <v>1442</v>
      </c>
      <c r="D890" t="s">
        <v>26</v>
      </c>
      <c r="E890" t="s">
        <v>31</v>
      </c>
      <c r="F890">
        <v>1</v>
      </c>
      <c r="G890" s="3" t="s">
        <v>32</v>
      </c>
      <c r="H890" s="44" t="s">
        <v>15</v>
      </c>
      <c r="I890" s="17">
        <v>23392.5</v>
      </c>
      <c r="J890" s="17">
        <f>IF(Gastos[[#This Row],[Divisa]]="$", I890*1, IF(Gastos[[#This Row],[Divisa]]="U$D", I890*$N$1, IF(Gastos[[#This Row],[Divisa]]="EUR", I890*$N$2, 0)))</f>
        <v>23392.5</v>
      </c>
      <c r="K890" s="54">
        <f>Gastos[[#This Row],[Importe AR$]]/$N$1</f>
        <v>14.995192307692308</v>
      </c>
      <c r="L890" t="s">
        <v>340</v>
      </c>
      <c r="M890" s="69"/>
      <c r="N890" s="43" t="str">
        <f>IF(Gastos[[#This Row],[Fecha_Cheque]]&gt;0,WEEKNUM(Gastos[[#This Row],[Fecha_Cheque]]),MID(Gastos[[#This Row],[Semana]],6,2))</f>
        <v>29</v>
      </c>
      <c r="O890" t="s">
        <v>3804</v>
      </c>
      <c r="P890" t="s">
        <v>27</v>
      </c>
    </row>
    <row r="891" spans="1:16" x14ac:dyDescent="0.25">
      <c r="A891" s="3" t="s">
        <v>4655</v>
      </c>
      <c r="B891" t="s">
        <v>483</v>
      </c>
      <c r="C891" t="s">
        <v>155</v>
      </c>
      <c r="D891" t="s">
        <v>26</v>
      </c>
      <c r="E891" t="s">
        <v>42</v>
      </c>
      <c r="F891">
        <v>1</v>
      </c>
      <c r="G891" s="3" t="s">
        <v>4</v>
      </c>
      <c r="H891" s="46" t="s">
        <v>15</v>
      </c>
      <c r="I891" s="17">
        <v>60000.32</v>
      </c>
      <c r="J891" s="17">
        <f>IF(Gastos[[#This Row],[Divisa]]="$", I891*1, IF(Gastos[[#This Row],[Divisa]]="U$D", I891*$N$1, IF(Gastos[[#This Row],[Divisa]]="EUR", I891*$N$2, 0)))</f>
        <v>60000.32</v>
      </c>
      <c r="K891" s="54">
        <f>Gastos[[#This Row],[Importe AR$]]/$N$1</f>
        <v>38.461743589743591</v>
      </c>
      <c r="L891" t="s">
        <v>4396</v>
      </c>
      <c r="M891" s="69"/>
      <c r="N891" s="43" t="str">
        <f>IF(Gastos[[#This Row],[Fecha_Cheque]]&gt;0,WEEKNUM(Gastos[[#This Row],[Fecha_Cheque]]),MID(Gastos[[#This Row],[Semana]],6,2))</f>
        <v>44</v>
      </c>
    </row>
    <row r="892" spans="1:16" x14ac:dyDescent="0.25">
      <c r="A892" s="3" t="s">
        <v>4655</v>
      </c>
      <c r="B892" t="s">
        <v>483</v>
      </c>
      <c r="C892" t="s">
        <v>3442</v>
      </c>
      <c r="D892" t="s">
        <v>26</v>
      </c>
      <c r="E892" t="s">
        <v>42</v>
      </c>
      <c r="F892">
        <v>2</v>
      </c>
      <c r="G892" s="3" t="s">
        <v>4</v>
      </c>
      <c r="H892" s="44" t="s">
        <v>15</v>
      </c>
      <c r="I892" s="17">
        <v>0</v>
      </c>
      <c r="J892" s="17">
        <f>IF(Gastos[[#This Row],[Divisa]]="$", I892*1, IF(Gastos[[#This Row],[Divisa]]="U$D", I892*$N$1, IF(Gastos[[#This Row],[Divisa]]="EUR", I892*$N$2, 0)))</f>
        <v>0</v>
      </c>
      <c r="K892" s="54">
        <f>Gastos[[#This Row],[Importe AR$]]/$N$1</f>
        <v>0</v>
      </c>
      <c r="L892" s="17"/>
      <c r="M892" s="69"/>
      <c r="N892" s="43" t="str">
        <f>IF(Gastos[[#This Row],[Fecha_Cheque]]&gt;0,WEEKNUM(Gastos[[#This Row],[Fecha_Cheque]]),MID(Gastos[[#This Row],[Semana]],6,2))</f>
        <v>44</v>
      </c>
    </row>
    <row r="893" spans="1:16" hidden="1" x14ac:dyDescent="0.25">
      <c r="A893" s="3" t="s">
        <v>128</v>
      </c>
      <c r="B893" t="s">
        <v>655</v>
      </c>
      <c r="D893" t="s">
        <v>26</v>
      </c>
      <c r="E893" t="s">
        <v>91</v>
      </c>
      <c r="F893">
        <v>1</v>
      </c>
      <c r="G893" s="3" t="s">
        <v>5</v>
      </c>
      <c r="H893" s="46" t="s">
        <v>15</v>
      </c>
      <c r="I893" s="17">
        <v>546848.41</v>
      </c>
      <c r="J893" s="17">
        <f>IF(Gastos[[#This Row],[Divisa]]="$", I893*1, IF(Gastos[[#This Row],[Divisa]]="U$D", I893*$N$1, IF(Gastos[[#This Row],[Divisa]]="EUR", I893*$N$2, 0)))</f>
        <v>546848.41</v>
      </c>
      <c r="K893" s="54">
        <f>Gastos[[#This Row],[Importe AR$]]/$N$1</f>
        <v>350.54385256410256</v>
      </c>
      <c r="M893" s="69"/>
      <c r="N893" s="43" t="str">
        <f>IF(Gastos[[#This Row],[Fecha_Cheque]]&gt;0,WEEKNUM(Gastos[[#This Row],[Fecha_Cheque]]),MID(Gastos[[#This Row],[Semana]],6,2))</f>
        <v>43</v>
      </c>
      <c r="O893" t="s">
        <v>438</v>
      </c>
      <c r="P893" t="s">
        <v>27</v>
      </c>
    </row>
    <row r="894" spans="1:16" hidden="1" x14ac:dyDescent="0.25">
      <c r="A894" s="3" t="s">
        <v>60</v>
      </c>
      <c r="B894" t="s">
        <v>655</v>
      </c>
      <c r="D894" t="s">
        <v>26</v>
      </c>
      <c r="E894" t="s">
        <v>91</v>
      </c>
      <c r="F894">
        <v>1</v>
      </c>
      <c r="G894" s="3" t="s">
        <v>5</v>
      </c>
      <c r="H894" s="46" t="s">
        <v>15</v>
      </c>
      <c r="I894" s="17">
        <v>47869.05</v>
      </c>
      <c r="J894" s="17">
        <f>IF(Gastos[[#This Row],[Divisa]]="$", I894*1, IF(Gastos[[#This Row],[Divisa]]="U$D", I894*$N$1, IF(Gastos[[#This Row],[Divisa]]="EUR", I894*$N$2, 0)))</f>
        <v>47869.05</v>
      </c>
      <c r="K894" s="54">
        <f>Gastos[[#This Row],[Importe AR$]]/$N$1</f>
        <v>30.685288461538462</v>
      </c>
      <c r="M894" s="69"/>
      <c r="N894" s="43" t="str">
        <f>IF(Gastos[[#This Row],[Fecha_Cheque]]&gt;0,WEEKNUM(Gastos[[#This Row],[Fecha_Cheque]]),MID(Gastos[[#This Row],[Semana]],6,2))</f>
        <v>46</v>
      </c>
      <c r="O894" t="s">
        <v>656</v>
      </c>
      <c r="P894" t="s">
        <v>27</v>
      </c>
    </row>
    <row r="895" spans="1:16" hidden="1" x14ac:dyDescent="0.25">
      <c r="A895" s="3" t="s">
        <v>2711</v>
      </c>
      <c r="B895" t="s">
        <v>655</v>
      </c>
      <c r="C895" t="s">
        <v>2827</v>
      </c>
      <c r="D895" t="s">
        <v>26</v>
      </c>
      <c r="E895" t="s">
        <v>91</v>
      </c>
      <c r="F895">
        <v>1</v>
      </c>
      <c r="G895" s="3" t="s">
        <v>5</v>
      </c>
      <c r="H895" s="44" t="s">
        <v>15</v>
      </c>
      <c r="I895" s="17">
        <v>394490.11</v>
      </c>
      <c r="J895" s="17">
        <f>IF(Gastos[[#This Row],[Divisa]]="$", I895*1, IF(Gastos[[#This Row],[Divisa]]="U$D", I895*$N$1, IF(Gastos[[#This Row],[Divisa]]="EUR", I895*$N$2, 0)))</f>
        <v>394490.11</v>
      </c>
      <c r="K895" s="54">
        <f>Gastos[[#This Row],[Importe AR$]]/$N$1</f>
        <v>252.87827564102562</v>
      </c>
      <c r="M895" s="69"/>
      <c r="N895" s="43" t="str">
        <f>IF(Gastos[[#This Row],[Fecha_Cheque]]&gt;0,WEEKNUM(Gastos[[#This Row],[Fecha_Cheque]]),MID(Gastos[[#This Row],[Semana]],6,2))</f>
        <v>15</v>
      </c>
      <c r="O895" t="s">
        <v>2828</v>
      </c>
      <c r="P895" t="s">
        <v>27</v>
      </c>
    </row>
    <row r="896" spans="1:16" hidden="1" x14ac:dyDescent="0.25">
      <c r="A896" s="3" t="s">
        <v>2711</v>
      </c>
      <c r="B896" t="s">
        <v>655</v>
      </c>
      <c r="C896" t="s">
        <v>2827</v>
      </c>
      <c r="D896" t="s">
        <v>26</v>
      </c>
      <c r="E896" t="s">
        <v>91</v>
      </c>
      <c r="F896">
        <v>1</v>
      </c>
      <c r="G896" s="3" t="s">
        <v>5</v>
      </c>
      <c r="H896" s="44" t="s">
        <v>15</v>
      </c>
      <c r="I896" s="17">
        <v>5289.41</v>
      </c>
      <c r="J896" s="17">
        <f>IF(Gastos[[#This Row],[Divisa]]="$", I896*1, IF(Gastos[[#This Row],[Divisa]]="U$D", I896*$N$1, IF(Gastos[[#This Row],[Divisa]]="EUR", I896*$N$2, 0)))</f>
        <v>5289.41</v>
      </c>
      <c r="K896" s="54">
        <f>Gastos[[#This Row],[Importe AR$]]/$N$1</f>
        <v>3.3906474358974359</v>
      </c>
      <c r="L896" t="s">
        <v>340</v>
      </c>
      <c r="M896" s="69"/>
      <c r="N896" s="43" t="str">
        <f>IF(Gastos[[#This Row],[Fecha_Cheque]]&gt;0,WEEKNUM(Gastos[[#This Row],[Fecha_Cheque]]),MID(Gastos[[#This Row],[Semana]],6,2))</f>
        <v>15</v>
      </c>
      <c r="O896" t="s">
        <v>2828</v>
      </c>
      <c r="P896" t="s">
        <v>27</v>
      </c>
    </row>
    <row r="897" spans="1:16" x14ac:dyDescent="0.25">
      <c r="A897" s="3" t="s">
        <v>4655</v>
      </c>
      <c r="B897" t="s">
        <v>607</v>
      </c>
      <c r="C897" t="s">
        <v>3196</v>
      </c>
      <c r="D897" t="s">
        <v>26</v>
      </c>
      <c r="E897" t="s">
        <v>62</v>
      </c>
      <c r="F897">
        <v>1</v>
      </c>
      <c r="G897" s="3" t="s">
        <v>32</v>
      </c>
      <c r="H897" s="44" t="s">
        <v>3</v>
      </c>
      <c r="I897" s="17">
        <v>79085.14</v>
      </c>
      <c r="J897" s="17">
        <f>IF(Gastos[[#This Row],[Divisa]]="$", I897*1, IF(Gastos[[#This Row],[Divisa]]="U$D", I897*$N$1, IF(Gastos[[#This Row],[Divisa]]="EUR", I897*$N$2, 0)))</f>
        <v>140771549.19999999</v>
      </c>
      <c r="K897" s="54">
        <f>Gastos[[#This Row],[Importe AR$]]/$N$1</f>
        <v>90238.172564102555</v>
      </c>
      <c r="L897">
        <v>79085.14</v>
      </c>
      <c r="M897" s="69"/>
      <c r="N897" s="43" t="str">
        <f>IF(Gastos[[#This Row],[Fecha_Cheque]]&gt;0,WEEKNUM(Gastos[[#This Row],[Fecha_Cheque]]),MID(Gastos[[#This Row],[Semana]],6,2))</f>
        <v>44</v>
      </c>
    </row>
    <row r="898" spans="1:16" hidden="1" x14ac:dyDescent="0.25">
      <c r="A898" s="3" t="s">
        <v>2740</v>
      </c>
      <c r="B898" t="s">
        <v>3185</v>
      </c>
      <c r="C898" t="s">
        <v>3186</v>
      </c>
      <c r="D898" t="s">
        <v>26</v>
      </c>
      <c r="E898" t="s">
        <v>31</v>
      </c>
      <c r="F898">
        <v>1</v>
      </c>
      <c r="G898" s="3" t="s">
        <v>5</v>
      </c>
      <c r="H898" s="44" t="s">
        <v>15</v>
      </c>
      <c r="I898" s="17">
        <v>3032500</v>
      </c>
      <c r="J898" s="17">
        <f>IF(Gastos[[#This Row],[Divisa]]="$", I898*1, IF(Gastos[[#This Row],[Divisa]]="U$D", I898*$N$1, IF(Gastos[[#This Row],[Divisa]]="EUR", I898*$N$2, 0)))</f>
        <v>3032500</v>
      </c>
      <c r="K898" s="54">
        <f>Gastos[[#This Row],[Importe AR$]]/$N$1</f>
        <v>1943.9102564102564</v>
      </c>
      <c r="M898" s="69"/>
      <c r="N898" s="43" t="str">
        <f>IF(Gastos[[#This Row],[Fecha_Cheque]]&gt;0,WEEKNUM(Gastos[[#This Row],[Fecha_Cheque]]),MID(Gastos[[#This Row],[Semana]],6,2))</f>
        <v>16</v>
      </c>
      <c r="O898" t="s">
        <v>3187</v>
      </c>
      <c r="P898" t="s">
        <v>27</v>
      </c>
    </row>
    <row r="899" spans="1:16" hidden="1" x14ac:dyDescent="0.25">
      <c r="A899" s="3" t="s">
        <v>81</v>
      </c>
      <c r="B899" t="s">
        <v>657</v>
      </c>
      <c r="C899" t="s">
        <v>658</v>
      </c>
      <c r="D899" t="s">
        <v>26</v>
      </c>
      <c r="E899" t="s">
        <v>42</v>
      </c>
      <c r="F899">
        <v>1</v>
      </c>
      <c r="G899" s="3" t="s">
        <v>4</v>
      </c>
      <c r="H899" s="46" t="s">
        <v>15</v>
      </c>
      <c r="I899" s="17">
        <v>95747.3</v>
      </c>
      <c r="J899" s="17">
        <f>IF(Gastos[[#This Row],[Divisa]]="$", I899*1, IF(Gastos[[#This Row],[Divisa]]="U$D", I899*$N$1, IF(Gastos[[#This Row],[Divisa]]="EUR", I899*$N$2, 0)))</f>
        <v>95747.3</v>
      </c>
      <c r="K899" s="54">
        <f>Gastos[[#This Row],[Importe AR$]]/$N$1</f>
        <v>61.376474358974363</v>
      </c>
      <c r="M899" s="69"/>
      <c r="N899" s="43" t="str">
        <f>IF(Gastos[[#This Row],[Fecha_Cheque]]&gt;0,WEEKNUM(Gastos[[#This Row],[Fecha_Cheque]]),MID(Gastos[[#This Row],[Semana]],6,2))</f>
        <v>49</v>
      </c>
      <c r="O899" t="s">
        <v>659</v>
      </c>
      <c r="P899" t="s">
        <v>27</v>
      </c>
    </row>
    <row r="900" spans="1:16" hidden="1" x14ac:dyDescent="0.25">
      <c r="A900" s="3" t="s">
        <v>378</v>
      </c>
      <c r="B900" t="s">
        <v>657</v>
      </c>
      <c r="C900" t="s">
        <v>660</v>
      </c>
      <c r="D900" t="s">
        <v>26</v>
      </c>
      <c r="E900" t="s">
        <v>42</v>
      </c>
      <c r="F900">
        <v>1</v>
      </c>
      <c r="G900" s="3" t="s">
        <v>4</v>
      </c>
      <c r="H900" s="46" t="s">
        <v>15</v>
      </c>
      <c r="I900" s="17">
        <v>13600</v>
      </c>
      <c r="J900" s="17">
        <f>IF(Gastos[[#This Row],[Divisa]]="$", I900*1, IF(Gastos[[#This Row],[Divisa]]="U$D", I900*$N$1, IF(Gastos[[#This Row],[Divisa]]="EUR", I900*$N$2, 0)))</f>
        <v>13600</v>
      </c>
      <c r="K900" s="54">
        <f>Gastos[[#This Row],[Importe AR$]]/$N$1</f>
        <v>8.7179487179487172</v>
      </c>
      <c r="M900" s="69"/>
      <c r="N900" s="43" t="str">
        <f>IF(Gastos[[#This Row],[Fecha_Cheque]]&gt;0,WEEKNUM(Gastos[[#This Row],[Fecha_Cheque]]),MID(Gastos[[#This Row],[Semana]],6,2))</f>
        <v>03</v>
      </c>
      <c r="O900" t="s">
        <v>661</v>
      </c>
      <c r="P900" t="s">
        <v>27</v>
      </c>
    </row>
    <row r="901" spans="1:16" hidden="1" x14ac:dyDescent="0.25">
      <c r="A901" s="3" t="s">
        <v>378</v>
      </c>
      <c r="B901" t="s">
        <v>657</v>
      </c>
      <c r="C901" t="s">
        <v>662</v>
      </c>
      <c r="D901" t="s">
        <v>26</v>
      </c>
      <c r="E901" t="s">
        <v>31</v>
      </c>
      <c r="F901">
        <v>1</v>
      </c>
      <c r="G901" s="3" t="s">
        <v>5</v>
      </c>
      <c r="H901" s="46" t="s">
        <v>15</v>
      </c>
      <c r="I901" s="17">
        <v>292053.24</v>
      </c>
      <c r="J901" s="17">
        <f>IF(Gastos[[#This Row],[Divisa]]="$", I901*1, IF(Gastos[[#This Row],[Divisa]]="U$D", I901*$N$1, IF(Gastos[[#This Row],[Divisa]]="EUR", I901*$N$2, 0)))</f>
        <v>292053.24</v>
      </c>
      <c r="K901" s="54">
        <f>Gastos[[#This Row],[Importe AR$]]/$N$1</f>
        <v>187.21361538461537</v>
      </c>
      <c r="M901" s="69"/>
      <c r="N901" s="43" t="str">
        <f>IF(Gastos[[#This Row],[Fecha_Cheque]]&gt;0,WEEKNUM(Gastos[[#This Row],[Fecha_Cheque]]),MID(Gastos[[#This Row],[Semana]],6,2))</f>
        <v>03</v>
      </c>
      <c r="O901" t="s">
        <v>663</v>
      </c>
      <c r="P901" t="s">
        <v>27</v>
      </c>
    </row>
    <row r="902" spans="1:16" hidden="1" x14ac:dyDescent="0.25">
      <c r="A902" s="3" t="s">
        <v>68</v>
      </c>
      <c r="B902" t="s">
        <v>657</v>
      </c>
      <c r="C902" t="s">
        <v>664</v>
      </c>
      <c r="D902" t="s">
        <v>26</v>
      </c>
      <c r="E902" t="s">
        <v>31</v>
      </c>
      <c r="F902">
        <v>1</v>
      </c>
      <c r="G902" s="3" t="s">
        <v>32</v>
      </c>
      <c r="H902" s="46" t="s">
        <v>15</v>
      </c>
      <c r="I902" s="17">
        <v>465116.44</v>
      </c>
      <c r="J902" s="17">
        <f>IF(Gastos[[#This Row],[Divisa]]="$", I902*1, IF(Gastos[[#This Row],[Divisa]]="U$D", I902*$N$1, IF(Gastos[[#This Row],[Divisa]]="EUR", I902*$N$2, 0)))</f>
        <v>465116.44</v>
      </c>
      <c r="K902" s="54">
        <f>Gastos[[#This Row],[Importe AR$]]/$N$1</f>
        <v>298.15156410256412</v>
      </c>
      <c r="M902" s="69">
        <v>46079</v>
      </c>
      <c r="N902" s="43">
        <f>IF(Gastos[[#This Row],[Fecha_Cheque]]&gt;0,WEEKNUM(Gastos[[#This Row],[Fecha_Cheque]]),MID(Gastos[[#This Row],[Semana]],6,2))</f>
        <v>9</v>
      </c>
      <c r="O902" t="s">
        <v>665</v>
      </c>
      <c r="P902" t="s">
        <v>27</v>
      </c>
    </row>
    <row r="903" spans="1:16" hidden="1" x14ac:dyDescent="0.25">
      <c r="A903" s="3" t="s">
        <v>68</v>
      </c>
      <c r="B903" t="s">
        <v>657</v>
      </c>
      <c r="C903" t="s">
        <v>666</v>
      </c>
      <c r="D903" t="s">
        <v>26</v>
      </c>
      <c r="E903" t="s">
        <v>42</v>
      </c>
      <c r="F903">
        <v>1</v>
      </c>
      <c r="G903" s="3" t="s">
        <v>4</v>
      </c>
      <c r="H903" s="46" t="s">
        <v>15</v>
      </c>
      <c r="I903" s="17">
        <v>39764</v>
      </c>
      <c r="J903" s="17">
        <f>IF(Gastos[[#This Row],[Divisa]]="$", I903*1, IF(Gastos[[#This Row],[Divisa]]="U$D", I903*$N$1, IF(Gastos[[#This Row],[Divisa]]="EUR", I903*$N$2, 0)))</f>
        <v>39764</v>
      </c>
      <c r="K903" s="54">
        <f>Gastos[[#This Row],[Importe AR$]]/$N$1</f>
        <v>25.48974358974359</v>
      </c>
      <c r="M903" s="69"/>
      <c r="N903" s="43" t="str">
        <f>IF(Gastos[[#This Row],[Fecha_Cheque]]&gt;0,WEEKNUM(Gastos[[#This Row],[Fecha_Cheque]]),MID(Gastos[[#This Row],[Semana]],6,2))</f>
        <v>05</v>
      </c>
      <c r="O903" t="s">
        <v>667</v>
      </c>
      <c r="P903" t="s">
        <v>27</v>
      </c>
    </row>
    <row r="904" spans="1:16" hidden="1" x14ac:dyDescent="0.25">
      <c r="A904" s="3" t="s">
        <v>64</v>
      </c>
      <c r="B904" t="s">
        <v>657</v>
      </c>
      <c r="C904" t="s">
        <v>668</v>
      </c>
      <c r="D904" t="s">
        <v>26</v>
      </c>
      <c r="E904" t="s">
        <v>31</v>
      </c>
      <c r="F904">
        <v>1</v>
      </c>
      <c r="G904" s="3" t="s">
        <v>32</v>
      </c>
      <c r="H904" s="46" t="s">
        <v>15</v>
      </c>
      <c r="I904" s="17">
        <v>3693682</v>
      </c>
      <c r="J904" s="17">
        <f>IF(Gastos[[#This Row],[Divisa]]="$", I904*1, IF(Gastos[[#This Row],[Divisa]]="U$D", I904*$N$1, IF(Gastos[[#This Row],[Divisa]]="EUR", I904*$N$2, 0)))</f>
        <v>3693682</v>
      </c>
      <c r="K904" s="54">
        <f>Gastos[[#This Row],[Importe AR$]]/$N$1</f>
        <v>2367.7448717948719</v>
      </c>
      <c r="M904" s="69">
        <v>45912</v>
      </c>
      <c r="N904" s="43">
        <f>IF(Gastos[[#This Row],[Fecha_Cheque]]&gt;0,WEEKNUM(Gastos[[#This Row],[Fecha_Cheque]]),MID(Gastos[[#This Row],[Semana]],6,2))</f>
        <v>37</v>
      </c>
      <c r="O904" t="s">
        <v>669</v>
      </c>
      <c r="P904" t="s">
        <v>27</v>
      </c>
    </row>
    <row r="905" spans="1:16" hidden="1" x14ac:dyDescent="0.25">
      <c r="A905" s="3" t="s">
        <v>171</v>
      </c>
      <c r="B905" t="s">
        <v>657</v>
      </c>
      <c r="C905" t="s">
        <v>670</v>
      </c>
      <c r="D905" t="s">
        <v>26</v>
      </c>
      <c r="E905" t="s">
        <v>42</v>
      </c>
      <c r="F905">
        <v>1</v>
      </c>
      <c r="G905" s="3" t="s">
        <v>4</v>
      </c>
      <c r="H905" s="46" t="s">
        <v>15</v>
      </c>
      <c r="I905" s="17">
        <v>214508</v>
      </c>
      <c r="J905" s="17">
        <f>IF(Gastos[[#This Row],[Divisa]]="$", I905*1, IF(Gastos[[#This Row],[Divisa]]="U$D", I905*$N$1, IF(Gastos[[#This Row],[Divisa]]="EUR", I905*$N$2, 0)))</f>
        <v>214508</v>
      </c>
      <c r="K905" s="54">
        <f>Gastos[[#This Row],[Importe AR$]]/$N$1</f>
        <v>137.50512820512822</v>
      </c>
      <c r="M905" s="69"/>
      <c r="N905" s="43" t="str">
        <f>IF(Gastos[[#This Row],[Fecha_Cheque]]&gt;0,WEEKNUM(Gastos[[#This Row],[Fecha_Cheque]]),MID(Gastos[[#This Row],[Semana]],6,2))</f>
        <v>38</v>
      </c>
      <c r="O905" t="s">
        <v>123</v>
      </c>
      <c r="P905" t="s">
        <v>27</v>
      </c>
    </row>
    <row r="906" spans="1:16" hidden="1" x14ac:dyDescent="0.25">
      <c r="A906" s="3" t="s">
        <v>171</v>
      </c>
      <c r="B906" t="s">
        <v>657</v>
      </c>
      <c r="C906" t="s">
        <v>670</v>
      </c>
      <c r="D906" t="s">
        <v>26</v>
      </c>
      <c r="E906" t="s">
        <v>42</v>
      </c>
      <c r="F906">
        <v>1</v>
      </c>
      <c r="G906" s="3" t="s">
        <v>4</v>
      </c>
      <c r="H906" s="46" t="s">
        <v>15</v>
      </c>
      <c r="I906" s="17">
        <v>350000</v>
      </c>
      <c r="J906" s="17">
        <f>IF(Gastos[[#This Row],[Divisa]]="$", I906*1, IF(Gastos[[#This Row],[Divisa]]="U$D", I906*$N$1, IF(Gastos[[#This Row],[Divisa]]="EUR", I906*$N$2, 0)))</f>
        <v>350000</v>
      </c>
      <c r="K906" s="54">
        <f>Gastos[[#This Row],[Importe AR$]]/$N$1</f>
        <v>224.35897435897436</v>
      </c>
      <c r="M906" s="69"/>
      <c r="N906" s="43" t="str">
        <f>IF(Gastos[[#This Row],[Fecha_Cheque]]&gt;0,WEEKNUM(Gastos[[#This Row],[Fecha_Cheque]]),MID(Gastos[[#This Row],[Semana]],6,2))</f>
        <v>38</v>
      </c>
      <c r="O906" t="s">
        <v>671</v>
      </c>
      <c r="P906" t="s">
        <v>27</v>
      </c>
    </row>
    <row r="907" spans="1:16" hidden="1" x14ac:dyDescent="0.25">
      <c r="A907" s="3" t="s">
        <v>89</v>
      </c>
      <c r="B907" t="s">
        <v>657</v>
      </c>
      <c r="C907" t="s">
        <v>672</v>
      </c>
      <c r="D907" t="s">
        <v>26</v>
      </c>
      <c r="E907" t="s">
        <v>31</v>
      </c>
      <c r="F907">
        <v>1</v>
      </c>
      <c r="G907" s="3" t="s">
        <v>4</v>
      </c>
      <c r="H907" s="46" t="s">
        <v>15</v>
      </c>
      <c r="I907" s="17">
        <v>173011</v>
      </c>
      <c r="J907" s="17">
        <f>IF(Gastos[[#This Row],[Divisa]]="$", I907*1, IF(Gastos[[#This Row],[Divisa]]="U$D", I907*$N$1, IF(Gastos[[#This Row],[Divisa]]="EUR", I907*$N$2, 0)))</f>
        <v>173011</v>
      </c>
      <c r="K907" s="54">
        <f>Gastos[[#This Row],[Importe AR$]]/$N$1</f>
        <v>110.90448717948718</v>
      </c>
      <c r="M907" s="69"/>
      <c r="N907" s="43" t="str">
        <f>IF(Gastos[[#This Row],[Fecha_Cheque]]&gt;0,WEEKNUM(Gastos[[#This Row],[Fecha_Cheque]]),MID(Gastos[[#This Row],[Semana]],6,2))</f>
        <v>39</v>
      </c>
      <c r="O907" t="s">
        <v>673</v>
      </c>
      <c r="P907" t="s">
        <v>27</v>
      </c>
    </row>
    <row r="908" spans="1:16" hidden="1" x14ac:dyDescent="0.25">
      <c r="A908" s="3" t="s">
        <v>89</v>
      </c>
      <c r="B908" t="s">
        <v>657</v>
      </c>
      <c r="C908" t="s">
        <v>674</v>
      </c>
      <c r="D908" t="s">
        <v>26</v>
      </c>
      <c r="E908" t="s">
        <v>31</v>
      </c>
      <c r="F908">
        <v>1</v>
      </c>
      <c r="G908" s="3" t="s">
        <v>4</v>
      </c>
      <c r="H908" s="46" t="s">
        <v>15</v>
      </c>
      <c r="I908" s="17">
        <v>147123</v>
      </c>
      <c r="J908" s="17">
        <f>IF(Gastos[[#This Row],[Divisa]]="$", I908*1, IF(Gastos[[#This Row],[Divisa]]="U$D", I908*$N$1, IF(Gastos[[#This Row],[Divisa]]="EUR", I908*$N$2, 0)))</f>
        <v>147123</v>
      </c>
      <c r="K908" s="54">
        <f>Gastos[[#This Row],[Importe AR$]]/$N$1</f>
        <v>94.309615384615384</v>
      </c>
      <c r="M908" s="69"/>
      <c r="N908" s="43" t="str">
        <f>IF(Gastos[[#This Row],[Fecha_Cheque]]&gt;0,WEEKNUM(Gastos[[#This Row],[Fecha_Cheque]]),MID(Gastos[[#This Row],[Semana]],6,2))</f>
        <v>39</v>
      </c>
      <c r="O908" t="s">
        <v>673</v>
      </c>
      <c r="P908" t="s">
        <v>27</v>
      </c>
    </row>
    <row r="909" spans="1:16" hidden="1" x14ac:dyDescent="0.25">
      <c r="A909" s="3" t="s">
        <v>122</v>
      </c>
      <c r="B909" t="s">
        <v>657</v>
      </c>
      <c r="C909" t="s">
        <v>675</v>
      </c>
      <c r="D909" t="s">
        <v>26</v>
      </c>
      <c r="E909" t="s">
        <v>42</v>
      </c>
      <c r="F909">
        <v>1</v>
      </c>
      <c r="G909" s="3" t="s">
        <v>4</v>
      </c>
      <c r="H909" s="46" t="s">
        <v>15</v>
      </c>
      <c r="I909" s="17">
        <v>34000</v>
      </c>
      <c r="J909" s="17">
        <f>IF(Gastos[[#This Row],[Divisa]]="$", I909*1, IF(Gastos[[#This Row],[Divisa]]="U$D", I909*$N$1, IF(Gastos[[#This Row],[Divisa]]="EUR", I909*$N$2, 0)))</f>
        <v>34000</v>
      </c>
      <c r="K909" s="54">
        <f>Gastos[[#This Row],[Importe AR$]]/$N$1</f>
        <v>21.794871794871796</v>
      </c>
      <c r="M909" s="69"/>
      <c r="N909" s="43" t="str">
        <f>IF(Gastos[[#This Row],[Fecha_Cheque]]&gt;0,WEEKNUM(Gastos[[#This Row],[Fecha_Cheque]]),MID(Gastos[[#This Row],[Semana]],6,2))</f>
        <v>40</v>
      </c>
      <c r="O909" t="s">
        <v>676</v>
      </c>
      <c r="P909" t="s">
        <v>27</v>
      </c>
    </row>
    <row r="910" spans="1:16" hidden="1" x14ac:dyDescent="0.25">
      <c r="A910" s="3" t="s">
        <v>79</v>
      </c>
      <c r="B910" t="s">
        <v>657</v>
      </c>
      <c r="C910" t="s">
        <v>677</v>
      </c>
      <c r="D910" t="s">
        <v>26</v>
      </c>
      <c r="E910" t="s">
        <v>31</v>
      </c>
      <c r="F910">
        <v>1</v>
      </c>
      <c r="G910" s="3" t="s">
        <v>5</v>
      </c>
      <c r="H910" s="46" t="s">
        <v>15</v>
      </c>
      <c r="I910" s="17">
        <v>177216</v>
      </c>
      <c r="J910" s="17">
        <f>IF(Gastos[[#This Row],[Divisa]]="$", I910*1, IF(Gastos[[#This Row],[Divisa]]="U$D", I910*$N$1, IF(Gastos[[#This Row],[Divisa]]="EUR", I910*$N$2, 0)))</f>
        <v>177216</v>
      </c>
      <c r="K910" s="54">
        <f>Gastos[[#This Row],[Importe AR$]]/$N$1</f>
        <v>113.6</v>
      </c>
      <c r="M910" s="69"/>
      <c r="N910" s="43" t="str">
        <f>IF(Gastos[[#This Row],[Fecha_Cheque]]&gt;0,WEEKNUM(Gastos[[#This Row],[Fecha_Cheque]]),MID(Gastos[[#This Row],[Semana]],6,2))</f>
        <v>47</v>
      </c>
      <c r="O910" t="s">
        <v>678</v>
      </c>
      <c r="P910" t="s">
        <v>27</v>
      </c>
    </row>
    <row r="911" spans="1:16" hidden="1" x14ac:dyDescent="0.25">
      <c r="A911" s="3" t="s">
        <v>416</v>
      </c>
      <c r="B911" t="s">
        <v>657</v>
      </c>
      <c r="C911" t="s">
        <v>679</v>
      </c>
      <c r="D911" t="s">
        <v>26</v>
      </c>
      <c r="E911" t="s">
        <v>42</v>
      </c>
      <c r="F911">
        <v>1</v>
      </c>
      <c r="G911" s="3" t="s">
        <v>4</v>
      </c>
      <c r="H911" s="46" t="s">
        <v>15</v>
      </c>
      <c r="I911" s="17">
        <v>10500</v>
      </c>
      <c r="J911" s="17">
        <f>IF(Gastos[[#This Row],[Divisa]]="$", I911*1, IF(Gastos[[#This Row],[Divisa]]="U$D", I911*$N$1, IF(Gastos[[#This Row],[Divisa]]="EUR", I911*$N$2, 0)))</f>
        <v>10500</v>
      </c>
      <c r="K911" s="54">
        <f>Gastos[[#This Row],[Importe AR$]]/$N$1</f>
        <v>6.7307692307692308</v>
      </c>
      <c r="M911" s="69"/>
      <c r="N911" s="43" t="str">
        <f>IF(Gastos[[#This Row],[Fecha_Cheque]]&gt;0,WEEKNUM(Gastos[[#This Row],[Fecha_Cheque]]),MID(Gastos[[#This Row],[Semana]],6,2))</f>
        <v>52</v>
      </c>
      <c r="O911" t="s">
        <v>680</v>
      </c>
      <c r="P911" t="s">
        <v>27</v>
      </c>
    </row>
    <row r="912" spans="1:16" hidden="1" x14ac:dyDescent="0.25">
      <c r="A912" s="3" t="s">
        <v>619</v>
      </c>
      <c r="B912" t="s">
        <v>657</v>
      </c>
      <c r="C912" t="s">
        <v>1186</v>
      </c>
      <c r="D912" t="s">
        <v>26</v>
      </c>
      <c r="E912" t="s">
        <v>31</v>
      </c>
      <c r="F912">
        <v>1</v>
      </c>
      <c r="G912" s="3" t="s">
        <v>32</v>
      </c>
      <c r="H912" s="46" t="s">
        <v>15</v>
      </c>
      <c r="I912" s="17">
        <v>117097</v>
      </c>
      <c r="J912" s="17">
        <f>IF(Gastos[[#This Row],[Divisa]]="$", I912*1, IF(Gastos[[#This Row],[Divisa]]="U$D", I912*$N$1, IF(Gastos[[#This Row],[Divisa]]="EUR", I912*$N$2, 0)))</f>
        <v>117097</v>
      </c>
      <c r="K912" s="54">
        <f>Gastos[[#This Row],[Importe AR$]]/$N$1</f>
        <v>75.062179487179492</v>
      </c>
      <c r="M912" s="69">
        <v>46116</v>
      </c>
      <c r="N912" s="43">
        <f>IF(Gastos[[#This Row],[Fecha_Cheque]]&gt;0,WEEKNUM(Gastos[[#This Row],[Fecha_Cheque]]),MID(Gastos[[#This Row],[Semana]],6,2))</f>
        <v>14</v>
      </c>
      <c r="O912" t="s">
        <v>1187</v>
      </c>
      <c r="P912" t="s">
        <v>27</v>
      </c>
    </row>
    <row r="913" spans="1:16" hidden="1" x14ac:dyDescent="0.25">
      <c r="A913" s="3" t="s">
        <v>2740</v>
      </c>
      <c r="B913" t="s">
        <v>657</v>
      </c>
      <c r="C913" t="s">
        <v>2869</v>
      </c>
      <c r="D913" t="s">
        <v>26</v>
      </c>
      <c r="E913" t="s">
        <v>31</v>
      </c>
      <c r="F913">
        <v>1</v>
      </c>
      <c r="G913" s="3" t="s">
        <v>32</v>
      </c>
      <c r="H913" s="44" t="s">
        <v>15</v>
      </c>
      <c r="I913" s="17">
        <v>505963.29</v>
      </c>
      <c r="J913" s="17">
        <f>IF(Gastos[[#This Row],[Divisa]]="$", I913*1, IF(Gastos[[#This Row],[Divisa]]="U$D", I913*$N$1, IF(Gastos[[#This Row],[Divisa]]="EUR", I913*$N$2, 0)))</f>
        <v>505963.29</v>
      </c>
      <c r="K913" s="54">
        <f>Gastos[[#This Row],[Importe AR$]]/$N$1</f>
        <v>324.33544230769229</v>
      </c>
      <c r="M913" s="69">
        <v>46156</v>
      </c>
      <c r="N913" s="43">
        <f>IF(Gastos[[#This Row],[Fecha_Cheque]]&gt;0,WEEKNUM(Gastos[[#This Row],[Fecha_Cheque]]),MID(Gastos[[#This Row],[Semana]],6,2))</f>
        <v>20</v>
      </c>
      <c r="O913" t="s">
        <v>2870</v>
      </c>
      <c r="P913" t="s">
        <v>27</v>
      </c>
    </row>
    <row r="914" spans="1:16" hidden="1" x14ac:dyDescent="0.25">
      <c r="A914" s="3" t="s">
        <v>2740</v>
      </c>
      <c r="B914" t="s">
        <v>657</v>
      </c>
      <c r="C914" t="s">
        <v>2869</v>
      </c>
      <c r="D914" t="s">
        <v>26</v>
      </c>
      <c r="E914" t="s">
        <v>31</v>
      </c>
      <c r="F914">
        <v>1</v>
      </c>
      <c r="G914" s="3" t="s">
        <v>32</v>
      </c>
      <c r="H914" s="44" t="s">
        <v>15</v>
      </c>
      <c r="I914" s="17">
        <v>3946.61</v>
      </c>
      <c r="J914" s="17">
        <f>IF(Gastos[[#This Row],[Divisa]]="$", I914*1, IF(Gastos[[#This Row],[Divisa]]="U$D", I914*$N$1, IF(Gastos[[#This Row],[Divisa]]="EUR", I914*$N$2, 0)))</f>
        <v>3946.61</v>
      </c>
      <c r="K914" s="54">
        <f>Gastos[[#This Row],[Importe AR$]]/$N$1</f>
        <v>2.5298782051282052</v>
      </c>
      <c r="L914" t="s">
        <v>340</v>
      </c>
      <c r="M914" s="69"/>
      <c r="N914" s="43" t="str">
        <f>IF(Gastos[[#This Row],[Fecha_Cheque]]&gt;0,WEEKNUM(Gastos[[#This Row],[Fecha_Cheque]]),MID(Gastos[[#This Row],[Semana]],6,2))</f>
        <v>16</v>
      </c>
      <c r="O914" t="s">
        <v>2870</v>
      </c>
      <c r="P914" t="s">
        <v>27</v>
      </c>
    </row>
    <row r="915" spans="1:16" hidden="1" x14ac:dyDescent="0.25">
      <c r="A915" s="3" t="s">
        <v>2773</v>
      </c>
      <c r="B915" t="s">
        <v>657</v>
      </c>
      <c r="C915" t="s">
        <v>3028</v>
      </c>
      <c r="D915" t="s">
        <v>26</v>
      </c>
      <c r="E915" t="s">
        <v>31</v>
      </c>
      <c r="F915">
        <v>1</v>
      </c>
      <c r="G915" s="3" t="s">
        <v>32</v>
      </c>
      <c r="H915" s="44" t="s">
        <v>15</v>
      </c>
      <c r="I915" s="17">
        <v>200000</v>
      </c>
      <c r="J915" s="17">
        <f>IF(Gastos[[#This Row],[Divisa]]="$", I915*1, IF(Gastos[[#This Row],[Divisa]]="U$D", I915*$N$1, IF(Gastos[[#This Row],[Divisa]]="EUR", I915*$N$2, 0)))</f>
        <v>200000</v>
      </c>
      <c r="K915" s="54">
        <f>Gastos[[#This Row],[Importe AR$]]/$N$1</f>
        <v>128.2051282051282</v>
      </c>
      <c r="M915" s="69">
        <v>46180</v>
      </c>
      <c r="N915" s="43">
        <f>IF(Gastos[[#This Row],[Fecha_Cheque]]&gt;0,WEEKNUM(Gastos[[#This Row],[Fecha_Cheque]]),MID(Gastos[[#This Row],[Semana]],6,2))</f>
        <v>24</v>
      </c>
      <c r="O915" t="s">
        <v>3029</v>
      </c>
      <c r="P915" t="s">
        <v>27</v>
      </c>
    </row>
    <row r="916" spans="1:16" hidden="1" x14ac:dyDescent="0.25">
      <c r="A916" s="3" t="s">
        <v>3439</v>
      </c>
      <c r="B916" t="s">
        <v>3527</v>
      </c>
      <c r="C916" t="s">
        <v>3528</v>
      </c>
      <c r="D916" t="s">
        <v>26</v>
      </c>
      <c r="E916" t="s">
        <v>42</v>
      </c>
      <c r="F916">
        <v>1</v>
      </c>
      <c r="G916" s="3" t="s">
        <v>4</v>
      </c>
      <c r="H916" s="44" t="s">
        <v>15</v>
      </c>
      <c r="I916" s="17">
        <v>49999.98</v>
      </c>
      <c r="J916" s="17">
        <f>IF(Gastos[[#This Row],[Divisa]]="$", I916*1, IF(Gastos[[#This Row],[Divisa]]="U$D", I916*$N$1, IF(Gastos[[#This Row],[Divisa]]="EUR", I916*$N$2, 0)))</f>
        <v>49999.98</v>
      </c>
      <c r="K916" s="54">
        <f>Gastos[[#This Row],[Importe AR$]]/$N$1</f>
        <v>32.051269230769236</v>
      </c>
      <c r="M916" s="69"/>
      <c r="N916" s="43" t="str">
        <f>IF(Gastos[[#This Row],[Fecha_Cheque]]&gt;0,WEEKNUM(Gastos[[#This Row],[Fecha_Cheque]]),MID(Gastos[[#This Row],[Semana]],6,2))</f>
        <v>25</v>
      </c>
      <c r="O916" t="s">
        <v>3529</v>
      </c>
      <c r="P916" t="s">
        <v>27</v>
      </c>
    </row>
    <row r="917" spans="1:16" hidden="1" x14ac:dyDescent="0.25">
      <c r="A917" s="3" t="s">
        <v>378</v>
      </c>
      <c r="B917" t="s">
        <v>681</v>
      </c>
      <c r="C917" t="s">
        <v>682</v>
      </c>
      <c r="D917" t="s">
        <v>26</v>
      </c>
      <c r="E917" t="s">
        <v>31</v>
      </c>
      <c r="F917">
        <v>1</v>
      </c>
      <c r="G917" s="3" t="s">
        <v>5</v>
      </c>
      <c r="H917" s="46" t="s">
        <v>15</v>
      </c>
      <c r="I917" s="17">
        <v>273000</v>
      </c>
      <c r="J917" s="17">
        <f>IF(Gastos[[#This Row],[Divisa]]="$", I917*1, IF(Gastos[[#This Row],[Divisa]]="U$D", I917*$N$1, IF(Gastos[[#This Row],[Divisa]]="EUR", I917*$N$2, 0)))</f>
        <v>273000</v>
      </c>
      <c r="K917" s="54">
        <f>Gastos[[#This Row],[Importe AR$]]/$N$1</f>
        <v>175</v>
      </c>
      <c r="M917" s="69"/>
      <c r="N917" s="43" t="str">
        <f>IF(Gastos[[#This Row],[Fecha_Cheque]]&gt;0,WEEKNUM(Gastos[[#This Row],[Fecha_Cheque]]),MID(Gastos[[#This Row],[Semana]],6,2))</f>
        <v>03</v>
      </c>
      <c r="O917" t="s">
        <v>683</v>
      </c>
      <c r="P917" t="s">
        <v>27</v>
      </c>
    </row>
    <row r="918" spans="1:16" hidden="1" x14ac:dyDescent="0.25">
      <c r="A918" s="3" t="s">
        <v>2792</v>
      </c>
      <c r="B918" t="s">
        <v>3068</v>
      </c>
      <c r="C918" t="s">
        <v>91</v>
      </c>
      <c r="D918" t="s">
        <v>26</v>
      </c>
      <c r="E918" t="s">
        <v>31</v>
      </c>
      <c r="F918">
        <v>1</v>
      </c>
      <c r="G918" s="3" t="s">
        <v>32</v>
      </c>
      <c r="H918" s="44" t="s">
        <v>15</v>
      </c>
      <c r="I918" s="17">
        <v>549000</v>
      </c>
      <c r="J918" s="17">
        <f>IF(Gastos[[#This Row],[Divisa]]="$", I918*1, IF(Gastos[[#This Row],[Divisa]]="U$D", I918*$N$1, IF(Gastos[[#This Row],[Divisa]]="EUR", I918*$N$2, 0)))</f>
        <v>549000</v>
      </c>
      <c r="K918" s="54">
        <f>Gastos[[#This Row],[Importe AR$]]/$N$1</f>
        <v>351.92307692307691</v>
      </c>
      <c r="M918" s="69">
        <v>46171</v>
      </c>
      <c r="N918" s="43">
        <f>IF(Gastos[[#This Row],[Fecha_Cheque]]&gt;0,WEEKNUM(Gastos[[#This Row],[Fecha_Cheque]]),MID(Gastos[[#This Row],[Semana]],6,2))</f>
        <v>22</v>
      </c>
      <c r="O918" t="s">
        <v>3069</v>
      </c>
      <c r="P918" t="s">
        <v>27</v>
      </c>
    </row>
    <row r="919" spans="1:16" hidden="1" x14ac:dyDescent="0.25">
      <c r="A919" s="3" t="s">
        <v>4211</v>
      </c>
      <c r="B919" t="s">
        <v>4286</v>
      </c>
      <c r="C919" t="s">
        <v>4287</v>
      </c>
      <c r="D919" t="s">
        <v>26</v>
      </c>
      <c r="E919" t="s">
        <v>62</v>
      </c>
      <c r="F919">
        <v>1</v>
      </c>
      <c r="G919" s="3" t="s">
        <v>5</v>
      </c>
      <c r="H919" s="44" t="s">
        <v>15</v>
      </c>
      <c r="I919" s="17">
        <v>328200</v>
      </c>
      <c r="J919" s="17">
        <f>IF(Gastos[[#This Row],[Divisa]]="$", I919*1, IF(Gastos[[#This Row],[Divisa]]="U$D", I919*$N$1, IF(Gastos[[#This Row],[Divisa]]="EUR", I919*$N$2, 0)))</f>
        <v>328200</v>
      </c>
      <c r="K919" s="54">
        <f>Gastos[[#This Row],[Importe AR$]]/$N$1</f>
        <v>210.38461538461539</v>
      </c>
      <c r="M919" s="69"/>
      <c r="N919" s="43" t="str">
        <f>IF(Gastos[[#This Row],[Fecha_Cheque]]&gt;0,WEEKNUM(Gastos[[#This Row],[Fecha_Cheque]]),MID(Gastos[[#This Row],[Semana]],6,2))</f>
        <v>37</v>
      </c>
      <c r="O919" t="s">
        <v>4288</v>
      </c>
      <c r="P919" t="s">
        <v>27</v>
      </c>
    </row>
    <row r="920" spans="1:16" hidden="1" x14ac:dyDescent="0.25">
      <c r="A920" s="3" t="s">
        <v>52</v>
      </c>
      <c r="B920" t="s">
        <v>684</v>
      </c>
      <c r="C920" t="s">
        <v>685</v>
      </c>
      <c r="D920" t="s">
        <v>26</v>
      </c>
      <c r="E920" t="s">
        <v>31</v>
      </c>
      <c r="F920">
        <v>2</v>
      </c>
      <c r="G920" s="3" t="s">
        <v>4</v>
      </c>
      <c r="H920" s="46" t="s">
        <v>15</v>
      </c>
      <c r="I920" s="19">
        <v>295000</v>
      </c>
      <c r="J920" s="17">
        <f>IF(Gastos[[#This Row],[Divisa]]="$", I920*1, IF(Gastos[[#This Row],[Divisa]]="U$D", I920*$N$1, IF(Gastos[[#This Row],[Divisa]]="EUR", I920*$N$2, 0)))</f>
        <v>295000</v>
      </c>
      <c r="K920" s="55">
        <f>Gastos[[#This Row],[Importe AR$]]/$N$1</f>
        <v>189.10256410256412</v>
      </c>
      <c r="M920" s="69"/>
      <c r="N920" s="43" t="str">
        <f>IF(Gastos[[#This Row],[Fecha_Cheque]]&gt;0,WEEKNUM(Gastos[[#This Row],[Fecha_Cheque]]),MID(Gastos[[#This Row],[Semana]],6,2))</f>
        <v>12</v>
      </c>
      <c r="P920" t="s">
        <v>27</v>
      </c>
    </row>
    <row r="921" spans="1:16" hidden="1" x14ac:dyDescent="0.25">
      <c r="A921" s="3" t="s">
        <v>23</v>
      </c>
      <c r="B921" t="s">
        <v>684</v>
      </c>
      <c r="C921" t="s">
        <v>106</v>
      </c>
      <c r="D921" t="s">
        <v>61</v>
      </c>
      <c r="E921" t="s">
        <v>132</v>
      </c>
      <c r="F921">
        <v>2</v>
      </c>
      <c r="G921" s="3" t="s">
        <v>4</v>
      </c>
      <c r="H921" s="46" t="s">
        <v>15</v>
      </c>
      <c r="I921" s="17">
        <v>800000</v>
      </c>
      <c r="J921" s="17">
        <f>IF(Gastos[[#This Row],[Divisa]]="$", I921*1, IF(Gastos[[#This Row],[Divisa]]="U$D", I921*$N$1, IF(Gastos[[#This Row],[Divisa]]="EUR", I921*$N$2, 0)))</f>
        <v>800000</v>
      </c>
      <c r="K921" s="54">
        <f>Gastos[[#This Row],[Importe AR$]]/$N$1</f>
        <v>512.82051282051282</v>
      </c>
      <c r="M921" s="69"/>
      <c r="N921" s="43" t="str">
        <f>IF(Gastos[[#This Row],[Fecha_Cheque]]&gt;0,WEEKNUM(Gastos[[#This Row],[Fecha_Cheque]]),MID(Gastos[[#This Row],[Semana]],6,2))</f>
        <v>22</v>
      </c>
      <c r="O921" t="s">
        <v>686</v>
      </c>
      <c r="P921" t="s">
        <v>27</v>
      </c>
    </row>
    <row r="922" spans="1:16" hidden="1" x14ac:dyDescent="0.25">
      <c r="A922" s="3" t="s">
        <v>290</v>
      </c>
      <c r="B922" t="s">
        <v>684</v>
      </c>
      <c r="C922" t="s">
        <v>106</v>
      </c>
      <c r="D922" t="s">
        <v>61</v>
      </c>
      <c r="E922" t="s">
        <v>132</v>
      </c>
      <c r="F922">
        <v>2</v>
      </c>
      <c r="G922" s="3" t="s">
        <v>4</v>
      </c>
      <c r="H922" s="46" t="s">
        <v>15</v>
      </c>
      <c r="I922" s="17">
        <v>1000000</v>
      </c>
      <c r="J922" s="17">
        <f>IF(Gastos[[#This Row],[Divisa]]="$", I922*1, IF(Gastos[[#This Row],[Divisa]]="U$D", I922*$N$1, IF(Gastos[[#This Row],[Divisa]]="EUR", I922*$N$2, 0)))</f>
        <v>1000000</v>
      </c>
      <c r="K922" s="54">
        <f>Gastos[[#This Row],[Importe AR$]]/$N$1</f>
        <v>641.02564102564099</v>
      </c>
      <c r="M922" s="69"/>
      <c r="N922" s="43" t="str">
        <f>IF(Gastos[[#This Row],[Fecha_Cheque]]&gt;0,WEEKNUM(Gastos[[#This Row],[Fecha_Cheque]]),MID(Gastos[[#This Row],[Semana]],6,2))</f>
        <v>23</v>
      </c>
      <c r="O922" t="s">
        <v>687</v>
      </c>
      <c r="P922" t="s">
        <v>27</v>
      </c>
    </row>
    <row r="923" spans="1:16" hidden="1" x14ac:dyDescent="0.25">
      <c r="A923" s="3" t="s">
        <v>85</v>
      </c>
      <c r="B923" t="s">
        <v>684</v>
      </c>
      <c r="C923" t="s">
        <v>106</v>
      </c>
      <c r="D923" t="s">
        <v>61</v>
      </c>
      <c r="E923" t="s">
        <v>132</v>
      </c>
      <c r="F923">
        <v>2</v>
      </c>
      <c r="G923" s="3" t="s">
        <v>4</v>
      </c>
      <c r="H923" s="46" t="s">
        <v>15</v>
      </c>
      <c r="I923" s="17">
        <v>500000</v>
      </c>
      <c r="J923" s="17">
        <f>IF(Gastos[[#This Row],[Divisa]]="$", I923*1, IF(Gastos[[#This Row],[Divisa]]="U$D", I923*$N$1, IF(Gastos[[#This Row],[Divisa]]="EUR", I923*$N$2, 0)))</f>
        <v>500000</v>
      </c>
      <c r="K923" s="54">
        <f>Gastos[[#This Row],[Importe AR$]]/$N$1</f>
        <v>320.5128205128205</v>
      </c>
      <c r="M923" s="69"/>
      <c r="N923" s="43" t="str">
        <f>IF(Gastos[[#This Row],[Fecha_Cheque]]&gt;0,WEEKNUM(Gastos[[#This Row],[Fecha_Cheque]]),MID(Gastos[[#This Row],[Semana]],6,2))</f>
        <v>26</v>
      </c>
      <c r="O923" t="s">
        <v>688</v>
      </c>
      <c r="P923" t="s">
        <v>27</v>
      </c>
    </row>
    <row r="924" spans="1:16" hidden="1" x14ac:dyDescent="0.25">
      <c r="A924" s="3" t="s">
        <v>34</v>
      </c>
      <c r="B924" t="s">
        <v>684</v>
      </c>
      <c r="C924" t="s">
        <v>689</v>
      </c>
      <c r="D924" t="s">
        <v>26</v>
      </c>
      <c r="E924" t="s">
        <v>132</v>
      </c>
      <c r="F924">
        <v>2</v>
      </c>
      <c r="G924" s="3" t="s">
        <v>4</v>
      </c>
      <c r="H924" s="46" t="s">
        <v>15</v>
      </c>
      <c r="I924" s="17">
        <v>1985594.85</v>
      </c>
      <c r="J924" s="17">
        <f>IF(Gastos[[#This Row],[Divisa]]="$", I924*1, IF(Gastos[[#This Row],[Divisa]]="U$D", I924*$N$1, IF(Gastos[[#This Row],[Divisa]]="EUR", I924*$N$2, 0)))</f>
        <v>1985594.85</v>
      </c>
      <c r="K924" s="54">
        <f>Gastos[[#This Row],[Importe AR$]]/$N$1</f>
        <v>1272.8172115384616</v>
      </c>
      <c r="M924" s="69"/>
      <c r="N924" s="43" t="str">
        <f>IF(Gastos[[#This Row],[Fecha_Cheque]]&gt;0,WEEKNUM(Gastos[[#This Row],[Fecha_Cheque]]),MID(Gastos[[#This Row],[Semana]],6,2))</f>
        <v>32</v>
      </c>
      <c r="O924" t="s">
        <v>690</v>
      </c>
      <c r="P924" t="s">
        <v>27</v>
      </c>
    </row>
    <row r="925" spans="1:16" hidden="1" x14ac:dyDescent="0.25">
      <c r="A925" s="3" t="s">
        <v>34</v>
      </c>
      <c r="B925" t="s">
        <v>684</v>
      </c>
      <c r="C925" t="s">
        <v>689</v>
      </c>
      <c r="D925" t="s">
        <v>26</v>
      </c>
      <c r="E925" t="s">
        <v>132</v>
      </c>
      <c r="F925">
        <v>2</v>
      </c>
      <c r="G925" s="3" t="s">
        <v>4</v>
      </c>
      <c r="H925" s="46" t="s">
        <v>15</v>
      </c>
      <c r="I925" s="17">
        <v>1730000</v>
      </c>
      <c r="J925" s="17">
        <f>IF(Gastos[[#This Row],[Divisa]]="$", I925*1, IF(Gastos[[#This Row],[Divisa]]="U$D", I925*$N$1, IF(Gastos[[#This Row],[Divisa]]="EUR", I925*$N$2, 0)))</f>
        <v>1730000</v>
      </c>
      <c r="K925" s="54">
        <f>Gastos[[#This Row],[Importe AR$]]/$N$1</f>
        <v>1108.9743589743589</v>
      </c>
      <c r="M925" s="69"/>
      <c r="N925" s="43" t="str">
        <f>IF(Gastos[[#This Row],[Fecha_Cheque]]&gt;0,WEEKNUM(Gastos[[#This Row],[Fecha_Cheque]]),MID(Gastos[[#This Row],[Semana]],6,2))</f>
        <v>32</v>
      </c>
      <c r="O925" t="s">
        <v>691</v>
      </c>
      <c r="P925" t="s">
        <v>27</v>
      </c>
    </row>
    <row r="926" spans="1:16" hidden="1" x14ac:dyDescent="0.25">
      <c r="A926" s="3" t="s">
        <v>290</v>
      </c>
      <c r="B926" t="s">
        <v>692</v>
      </c>
      <c r="C926" t="s">
        <v>693</v>
      </c>
      <c r="D926" t="s">
        <v>26</v>
      </c>
      <c r="E926" t="s">
        <v>91</v>
      </c>
      <c r="F926">
        <v>1</v>
      </c>
      <c r="G926" s="3" t="s">
        <v>5</v>
      </c>
      <c r="H926" s="46" t="s">
        <v>15</v>
      </c>
      <c r="I926" s="17">
        <v>78584</v>
      </c>
      <c r="J926" s="17">
        <f>IF(Gastos[[#This Row],[Divisa]]="$", I926*1, IF(Gastos[[#This Row],[Divisa]]="U$D", I926*$N$1, IF(Gastos[[#This Row],[Divisa]]="EUR", I926*$N$2, 0)))</f>
        <v>78584</v>
      </c>
      <c r="K926" s="54">
        <f>Gastos[[#This Row],[Importe AR$]]/$N$1</f>
        <v>50.374358974358977</v>
      </c>
      <c r="M926" s="69"/>
      <c r="N926" s="43" t="str">
        <f>IF(Gastos[[#This Row],[Fecha_Cheque]]&gt;0,WEEKNUM(Gastos[[#This Row],[Fecha_Cheque]]),MID(Gastos[[#This Row],[Semana]],6,2))</f>
        <v>23</v>
      </c>
      <c r="O926" t="s">
        <v>694</v>
      </c>
      <c r="P926" t="s">
        <v>27</v>
      </c>
    </row>
    <row r="927" spans="1:16" x14ac:dyDescent="0.25">
      <c r="A927" s="3" t="s">
        <v>4655</v>
      </c>
      <c r="B927" t="s">
        <v>643</v>
      </c>
      <c r="C927" t="s">
        <v>648</v>
      </c>
      <c r="D927" t="s">
        <v>26</v>
      </c>
      <c r="E927" t="s">
        <v>62</v>
      </c>
      <c r="F927">
        <v>1</v>
      </c>
      <c r="G927" s="3" t="s">
        <v>32</v>
      </c>
      <c r="H927" s="46" t="s">
        <v>15</v>
      </c>
      <c r="I927" s="17">
        <v>500000</v>
      </c>
      <c r="J927" s="17">
        <f>IF(Gastos[[#This Row],[Divisa]]="$", I927*1, IF(Gastos[[#This Row],[Divisa]]="U$D", I927*$N$1, IF(Gastos[[#This Row],[Divisa]]="EUR", I927*$N$2, 0)))</f>
        <v>500000</v>
      </c>
      <c r="K927" s="54">
        <f>Gastos[[#This Row],[Importe AR$]]/$N$1</f>
        <v>320.5128205128205</v>
      </c>
      <c r="M927" s="69"/>
      <c r="N927" s="43" t="str">
        <f>IF(Gastos[[#This Row],[Fecha_Cheque]]&gt;0,WEEKNUM(Gastos[[#This Row],[Fecha_Cheque]]),MID(Gastos[[#This Row],[Semana]],6,2))</f>
        <v>44</v>
      </c>
    </row>
    <row r="928" spans="1:16" hidden="1" x14ac:dyDescent="0.25">
      <c r="A928" s="3" t="s">
        <v>4569</v>
      </c>
      <c r="B928" t="s">
        <v>692</v>
      </c>
      <c r="C928" t="s">
        <v>422</v>
      </c>
      <c r="D928" t="s">
        <v>26</v>
      </c>
      <c r="E928" t="s">
        <v>62</v>
      </c>
      <c r="F928">
        <v>1</v>
      </c>
      <c r="G928" s="3" t="s">
        <v>5</v>
      </c>
      <c r="H928" s="44" t="s">
        <v>15</v>
      </c>
      <c r="I928" s="17">
        <v>75985.86</v>
      </c>
      <c r="J928" s="17">
        <f>IF(Gastos[[#This Row],[Divisa]]="$", I928*1, IF(Gastos[[#This Row],[Divisa]]="U$D", I928*$N$1, IF(Gastos[[#This Row],[Divisa]]="EUR", I928*$N$2, 0)))</f>
        <v>75985.86</v>
      </c>
      <c r="K928" s="54">
        <f>Gastos[[#This Row],[Importe AR$]]/$N$1</f>
        <v>48.708884615384619</v>
      </c>
      <c r="M928" s="69"/>
      <c r="N928" s="43" t="str">
        <f>IF(Gastos[[#This Row],[Fecha_Cheque]]&gt;0,WEEKNUM(Gastos[[#This Row],[Fecha_Cheque]]),MID(Gastos[[#This Row],[Semana]],6,2))</f>
        <v>43</v>
      </c>
      <c r="O928" t="s">
        <v>4619</v>
      </c>
      <c r="P928" t="s">
        <v>27</v>
      </c>
    </row>
    <row r="929" spans="1:16" hidden="1" x14ac:dyDescent="0.25">
      <c r="A929" s="3" t="s">
        <v>2763</v>
      </c>
      <c r="B929" t="s">
        <v>3192</v>
      </c>
      <c r="C929" t="s">
        <v>3193</v>
      </c>
      <c r="D929" t="s">
        <v>26</v>
      </c>
      <c r="E929" t="s">
        <v>42</v>
      </c>
      <c r="F929">
        <v>1</v>
      </c>
      <c r="G929" s="3" t="s">
        <v>4</v>
      </c>
      <c r="H929" s="44" t="s">
        <v>15</v>
      </c>
      <c r="I929" s="17">
        <v>29400</v>
      </c>
      <c r="J929" s="17">
        <f>IF(Gastos[[#This Row],[Divisa]]="$", I929*1, IF(Gastos[[#This Row],[Divisa]]="U$D", I929*$N$1, IF(Gastos[[#This Row],[Divisa]]="EUR", I929*$N$2, 0)))</f>
        <v>29400</v>
      </c>
      <c r="K929" s="54">
        <f>Gastos[[#This Row],[Importe AR$]]/$N$1</f>
        <v>18.846153846153847</v>
      </c>
      <c r="M929" s="69"/>
      <c r="N929" s="43" t="str">
        <f>IF(Gastos[[#This Row],[Fecha_Cheque]]&gt;0,WEEKNUM(Gastos[[#This Row],[Fecha_Cheque]]),MID(Gastos[[#This Row],[Semana]],6,2))</f>
        <v>23</v>
      </c>
      <c r="O929" t="s">
        <v>3194</v>
      </c>
      <c r="P929" t="s">
        <v>27</v>
      </c>
    </row>
    <row r="930" spans="1:16" hidden="1" x14ac:dyDescent="0.25">
      <c r="A930" s="3" t="s">
        <v>2763</v>
      </c>
      <c r="B930" t="s">
        <v>3192</v>
      </c>
      <c r="C930" t="s">
        <v>3193</v>
      </c>
      <c r="D930" t="s">
        <v>26</v>
      </c>
      <c r="E930" t="s">
        <v>42</v>
      </c>
      <c r="F930">
        <v>1</v>
      </c>
      <c r="G930" s="3" t="s">
        <v>4</v>
      </c>
      <c r="H930" s="44" t="s">
        <v>15</v>
      </c>
      <c r="I930" s="17">
        <v>18750</v>
      </c>
      <c r="J930" s="17">
        <f>IF(Gastos[[#This Row],[Divisa]]="$", I930*1, IF(Gastos[[#This Row],[Divisa]]="U$D", I930*$N$1, IF(Gastos[[#This Row],[Divisa]]="EUR", I930*$N$2, 0)))</f>
        <v>18750</v>
      </c>
      <c r="K930" s="54">
        <f>Gastos[[#This Row],[Importe AR$]]/$N$1</f>
        <v>12.01923076923077</v>
      </c>
      <c r="M930" s="69"/>
      <c r="N930" s="43" t="str">
        <f>IF(Gastos[[#This Row],[Fecha_Cheque]]&gt;0,WEEKNUM(Gastos[[#This Row],[Fecha_Cheque]]),MID(Gastos[[#This Row],[Semana]],6,2))</f>
        <v>23</v>
      </c>
      <c r="O930" t="s">
        <v>3195</v>
      </c>
      <c r="P930" t="s">
        <v>27</v>
      </c>
    </row>
    <row r="931" spans="1:16" hidden="1" x14ac:dyDescent="0.25">
      <c r="A931" s="3" t="s">
        <v>2726</v>
      </c>
      <c r="B931" t="s">
        <v>3192</v>
      </c>
      <c r="C931" t="s">
        <v>3231</v>
      </c>
      <c r="D931" t="s">
        <v>26</v>
      </c>
      <c r="E931" t="s">
        <v>42</v>
      </c>
      <c r="F931">
        <v>1</v>
      </c>
      <c r="G931" s="3" t="s">
        <v>4</v>
      </c>
      <c r="H931" s="44" t="s">
        <v>15</v>
      </c>
      <c r="I931" s="17">
        <v>139400</v>
      </c>
      <c r="J931" s="17">
        <f>IF(Gastos[[#This Row],[Divisa]]="$", I931*1, IF(Gastos[[#This Row],[Divisa]]="U$D", I931*$N$1, IF(Gastos[[#This Row],[Divisa]]="EUR", I931*$N$2, 0)))</f>
        <v>139400</v>
      </c>
      <c r="K931" s="54">
        <f>Gastos[[#This Row],[Importe AR$]]/$N$1</f>
        <v>89.358974358974365</v>
      </c>
      <c r="M931" s="69"/>
      <c r="N931" s="43" t="str">
        <f>IF(Gastos[[#This Row],[Fecha_Cheque]]&gt;0,WEEKNUM(Gastos[[#This Row],[Fecha_Cheque]]),MID(Gastos[[#This Row],[Semana]],6,2))</f>
        <v>24</v>
      </c>
      <c r="O931" t="s">
        <v>3232</v>
      </c>
      <c r="P931" t="s">
        <v>27</v>
      </c>
    </row>
    <row r="932" spans="1:16" hidden="1" x14ac:dyDescent="0.25">
      <c r="A932" s="3" t="s">
        <v>4005</v>
      </c>
      <c r="B932" t="s">
        <v>3192</v>
      </c>
      <c r="C932" t="s">
        <v>4046</v>
      </c>
      <c r="D932" t="s">
        <v>26</v>
      </c>
      <c r="E932" t="s">
        <v>42</v>
      </c>
      <c r="F932">
        <v>1</v>
      </c>
      <c r="G932" s="3" t="s">
        <v>4</v>
      </c>
      <c r="H932" s="44" t="s">
        <v>15</v>
      </c>
      <c r="I932" s="17">
        <v>19900</v>
      </c>
      <c r="J932" s="17">
        <f>IF(Gastos[[#This Row],[Divisa]]="$", I932*1, IF(Gastos[[#This Row],[Divisa]]="U$D", I932*$N$1, IF(Gastos[[#This Row],[Divisa]]="EUR", I932*$N$2, 0)))</f>
        <v>19900</v>
      </c>
      <c r="K932" s="54">
        <f>Gastos[[#This Row],[Importe AR$]]/$N$1</f>
        <v>12.756410256410257</v>
      </c>
      <c r="M932" s="69"/>
      <c r="N932" s="43" t="str">
        <f>IF(Gastos[[#This Row],[Fecha_Cheque]]&gt;0,WEEKNUM(Gastos[[#This Row],[Fecha_Cheque]]),MID(Gastos[[#This Row],[Semana]],6,2))</f>
        <v>33</v>
      </c>
      <c r="O932" t="s">
        <v>4047</v>
      </c>
      <c r="P932" t="s">
        <v>27</v>
      </c>
    </row>
    <row r="933" spans="1:16" hidden="1" x14ac:dyDescent="0.25">
      <c r="A933" s="3" t="s">
        <v>4119</v>
      </c>
      <c r="B933" t="s">
        <v>3192</v>
      </c>
      <c r="C933" t="s">
        <v>4145</v>
      </c>
      <c r="D933" t="s">
        <v>26</v>
      </c>
      <c r="E933" t="s">
        <v>42</v>
      </c>
      <c r="F933">
        <v>1</v>
      </c>
      <c r="G933" s="3" t="s">
        <v>4</v>
      </c>
      <c r="H933" s="44" t="s">
        <v>15</v>
      </c>
      <c r="I933" s="17">
        <v>62100</v>
      </c>
      <c r="J933" s="17">
        <f>IF(Gastos[[#This Row],[Divisa]]="$", I933*1, IF(Gastos[[#This Row],[Divisa]]="U$D", I933*$N$1, IF(Gastos[[#This Row],[Divisa]]="EUR", I933*$N$2, 0)))</f>
        <v>62100</v>
      </c>
      <c r="K933" s="54">
        <f>Gastos[[#This Row],[Importe AR$]]/$N$1</f>
        <v>39.807692307692307</v>
      </c>
      <c r="M933" s="69"/>
      <c r="N933" s="43" t="str">
        <f>IF(Gastos[[#This Row],[Fecha_Cheque]]&gt;0,WEEKNUM(Gastos[[#This Row],[Fecha_Cheque]]),MID(Gastos[[#This Row],[Semana]],6,2))</f>
        <v>35</v>
      </c>
      <c r="O933" t="s">
        <v>4146</v>
      </c>
      <c r="P933" t="s">
        <v>27</v>
      </c>
    </row>
    <row r="934" spans="1:16" hidden="1" x14ac:dyDescent="0.25">
      <c r="A934" s="3" t="s">
        <v>4211</v>
      </c>
      <c r="B934" t="s">
        <v>3192</v>
      </c>
      <c r="C934" t="s">
        <v>4223</v>
      </c>
      <c r="D934" t="s">
        <v>26</v>
      </c>
      <c r="E934" t="s">
        <v>42</v>
      </c>
      <c r="F934">
        <v>1</v>
      </c>
      <c r="G934" s="3" t="s">
        <v>4</v>
      </c>
      <c r="H934" s="44" t="s">
        <v>15</v>
      </c>
      <c r="I934" s="17">
        <v>45200</v>
      </c>
      <c r="J934" s="17">
        <f>IF(Gastos[[#This Row],[Divisa]]="$", I934*1, IF(Gastos[[#This Row],[Divisa]]="U$D", I934*$N$1, IF(Gastos[[#This Row],[Divisa]]="EUR", I934*$N$2, 0)))</f>
        <v>45200</v>
      </c>
      <c r="K934" s="54">
        <f>Gastos[[#This Row],[Importe AR$]]/$N$1</f>
        <v>28.974358974358974</v>
      </c>
      <c r="M934" s="69"/>
      <c r="N934" s="43" t="str">
        <f>IF(Gastos[[#This Row],[Fecha_Cheque]]&gt;0,WEEKNUM(Gastos[[#This Row],[Fecha_Cheque]]),MID(Gastos[[#This Row],[Semana]],6,2))</f>
        <v>37</v>
      </c>
      <c r="O934" t="s">
        <v>4224</v>
      </c>
      <c r="P934" t="s">
        <v>27</v>
      </c>
    </row>
    <row r="935" spans="1:16" hidden="1" x14ac:dyDescent="0.25">
      <c r="A935" s="3" t="s">
        <v>4374</v>
      </c>
      <c r="B935" t="s">
        <v>3192</v>
      </c>
      <c r="C935" t="s">
        <v>4379</v>
      </c>
      <c r="D935" t="s">
        <v>26</v>
      </c>
      <c r="E935" t="s">
        <v>42</v>
      </c>
      <c r="F935">
        <v>1</v>
      </c>
      <c r="G935" s="3" t="s">
        <v>4</v>
      </c>
      <c r="H935" s="44" t="s">
        <v>15</v>
      </c>
      <c r="I935" s="17">
        <v>38900</v>
      </c>
      <c r="J935" s="17">
        <f>IF(Gastos[[#This Row],[Divisa]]="$", I935*1, IF(Gastos[[#This Row],[Divisa]]="U$D", I935*$N$1, IF(Gastos[[#This Row],[Divisa]]="EUR", I935*$N$2, 0)))</f>
        <v>38900</v>
      </c>
      <c r="K935" s="54">
        <f>Gastos[[#This Row],[Importe AR$]]/$N$1</f>
        <v>24.935897435897434</v>
      </c>
      <c r="M935" s="69"/>
      <c r="N935" s="43" t="str">
        <f>IF(Gastos[[#This Row],[Fecha_Cheque]]&gt;0,WEEKNUM(Gastos[[#This Row],[Fecha_Cheque]]),MID(Gastos[[#This Row],[Semana]],6,2))</f>
        <v>39</v>
      </c>
      <c r="O935" t="s">
        <v>4380</v>
      </c>
      <c r="P935" t="s">
        <v>27</v>
      </c>
    </row>
    <row r="936" spans="1:16" hidden="1" x14ac:dyDescent="0.25">
      <c r="A936" s="3" t="s">
        <v>4569</v>
      </c>
      <c r="B936" t="s">
        <v>4611</v>
      </c>
      <c r="C936" t="s">
        <v>4612</v>
      </c>
      <c r="D936" t="s">
        <v>26</v>
      </c>
      <c r="E936" t="s">
        <v>42</v>
      </c>
      <c r="F936">
        <v>1</v>
      </c>
      <c r="G936" s="3" t="s">
        <v>4</v>
      </c>
      <c r="H936" s="44" t="s">
        <v>15</v>
      </c>
      <c r="I936" s="17">
        <v>26400</v>
      </c>
      <c r="J936" s="17">
        <f>IF(Gastos[[#This Row],[Divisa]]="$", I936*1, IF(Gastos[[#This Row],[Divisa]]="U$D", I936*$N$1, IF(Gastos[[#This Row],[Divisa]]="EUR", I936*$N$2, 0)))</f>
        <v>26400</v>
      </c>
      <c r="K936" s="54">
        <f>Gastos[[#This Row],[Importe AR$]]/$N$1</f>
        <v>16.923076923076923</v>
      </c>
      <c r="M936" s="69"/>
      <c r="N936" s="43" t="str">
        <f>IF(Gastos[[#This Row],[Fecha_Cheque]]&gt;0,WEEKNUM(Gastos[[#This Row],[Fecha_Cheque]]),MID(Gastos[[#This Row],[Semana]],6,2))</f>
        <v>43</v>
      </c>
      <c r="O936" t="s">
        <v>4613</v>
      </c>
      <c r="P936" t="s">
        <v>27</v>
      </c>
    </row>
    <row r="937" spans="1:16" hidden="1" x14ac:dyDescent="0.25">
      <c r="A937" s="3" t="s">
        <v>2792</v>
      </c>
      <c r="B937" t="s">
        <v>3306</v>
      </c>
      <c r="C937" t="s">
        <v>3307</v>
      </c>
      <c r="D937" t="s">
        <v>26</v>
      </c>
      <c r="E937" t="s">
        <v>31</v>
      </c>
      <c r="F937">
        <v>1</v>
      </c>
      <c r="G937" s="3" t="s">
        <v>32</v>
      </c>
      <c r="H937" s="44" t="s">
        <v>15</v>
      </c>
      <c r="I937" s="17">
        <v>757000</v>
      </c>
      <c r="J937" s="17">
        <f>IF(Gastos[[#This Row],[Divisa]]="$", I937*1, IF(Gastos[[#This Row],[Divisa]]="U$D", I937*$N$1, IF(Gastos[[#This Row],[Divisa]]="EUR", I937*$N$2, 0)))</f>
        <v>757000</v>
      </c>
      <c r="K937" s="54">
        <f>Gastos[[#This Row],[Importe AR$]]/$N$1</f>
        <v>485.25641025641028</v>
      </c>
      <c r="M937" s="69">
        <v>46187</v>
      </c>
      <c r="N937" s="43">
        <f>IF(Gastos[[#This Row],[Fecha_Cheque]]&gt;0,WEEKNUM(Gastos[[#This Row],[Fecha_Cheque]]),MID(Gastos[[#This Row],[Semana]],6,2))</f>
        <v>25</v>
      </c>
      <c r="O937" t="s">
        <v>3308</v>
      </c>
      <c r="P937" t="s">
        <v>27</v>
      </c>
    </row>
    <row r="938" spans="1:16" hidden="1" x14ac:dyDescent="0.25">
      <c r="A938" s="3" t="s">
        <v>2792</v>
      </c>
      <c r="B938" t="s">
        <v>3306</v>
      </c>
      <c r="C938" t="s">
        <v>3307</v>
      </c>
      <c r="D938" t="s">
        <v>26</v>
      </c>
      <c r="E938" t="s">
        <v>31</v>
      </c>
      <c r="F938">
        <v>1</v>
      </c>
      <c r="G938" s="3" t="s">
        <v>32</v>
      </c>
      <c r="H938" s="44" t="s">
        <v>15</v>
      </c>
      <c r="I938" s="17">
        <v>15230.34</v>
      </c>
      <c r="J938" s="17">
        <f>IF(Gastos[[#This Row],[Divisa]]="$", I938*1, IF(Gastos[[#This Row],[Divisa]]="U$D", I938*$N$1, IF(Gastos[[#This Row],[Divisa]]="EUR", I938*$N$2, 0)))</f>
        <v>15230.34</v>
      </c>
      <c r="K938" s="54">
        <f>Gastos[[#This Row],[Importe AR$]]/$N$1</f>
        <v>9.7630384615384624</v>
      </c>
      <c r="M938" s="69"/>
      <c r="N938" s="43" t="str">
        <f>IF(Gastos[[#This Row],[Fecha_Cheque]]&gt;0,WEEKNUM(Gastos[[#This Row],[Fecha_Cheque]]),MID(Gastos[[#This Row],[Semana]],6,2))</f>
        <v>21</v>
      </c>
      <c r="O938" t="s">
        <v>3308</v>
      </c>
      <c r="P938" t="s">
        <v>27</v>
      </c>
    </row>
    <row r="939" spans="1:16" hidden="1" x14ac:dyDescent="0.25">
      <c r="A939" s="3" t="s">
        <v>2731</v>
      </c>
      <c r="B939" t="s">
        <v>2875</v>
      </c>
      <c r="C939" t="s">
        <v>2876</v>
      </c>
      <c r="D939" t="s">
        <v>26</v>
      </c>
      <c r="E939" t="s">
        <v>42</v>
      </c>
      <c r="F939">
        <v>1</v>
      </c>
      <c r="G939" s="3" t="s">
        <v>4</v>
      </c>
      <c r="H939" s="44" t="s">
        <v>15</v>
      </c>
      <c r="I939" s="17">
        <v>62856</v>
      </c>
      <c r="J939" s="17">
        <f>IF(Gastos[[#This Row],[Divisa]]="$", I939*1, IF(Gastos[[#This Row],[Divisa]]="U$D", I939*$N$1, IF(Gastos[[#This Row],[Divisa]]="EUR", I939*$N$2, 0)))</f>
        <v>62856</v>
      </c>
      <c r="K939" s="54">
        <f>Gastos[[#This Row],[Importe AR$]]/$N$1</f>
        <v>40.292307692307695</v>
      </c>
      <c r="M939" s="69"/>
      <c r="N939" s="43" t="str">
        <f>IF(Gastos[[#This Row],[Fecha_Cheque]]&gt;0,WEEKNUM(Gastos[[#This Row],[Fecha_Cheque]]),MID(Gastos[[#This Row],[Semana]],6,2))</f>
        <v>17</v>
      </c>
      <c r="O939" t="s">
        <v>2877</v>
      </c>
      <c r="P939" t="s">
        <v>27</v>
      </c>
    </row>
    <row r="940" spans="1:16" hidden="1" x14ac:dyDescent="0.25">
      <c r="A940" s="3" t="s">
        <v>3439</v>
      </c>
      <c r="B940" t="s">
        <v>2875</v>
      </c>
      <c r="C940" t="s">
        <v>3537</v>
      </c>
      <c r="D940" t="s">
        <v>26</v>
      </c>
      <c r="E940" t="s">
        <v>31</v>
      </c>
      <c r="F940">
        <v>1</v>
      </c>
      <c r="G940" s="3" t="s">
        <v>4</v>
      </c>
      <c r="H940" s="44" t="s">
        <v>15</v>
      </c>
      <c r="I940" s="17">
        <v>59334</v>
      </c>
      <c r="J940" s="17">
        <f>IF(Gastos[[#This Row],[Divisa]]="$", I940*1, IF(Gastos[[#This Row],[Divisa]]="U$D", I940*$N$1, IF(Gastos[[#This Row],[Divisa]]="EUR", I940*$N$2, 0)))</f>
        <v>59334</v>
      </c>
      <c r="K940" s="54">
        <f>Gastos[[#This Row],[Importe AR$]]/$N$1</f>
        <v>38.034615384615385</v>
      </c>
      <c r="M940" s="69"/>
      <c r="N940" s="43" t="str">
        <f>IF(Gastos[[#This Row],[Fecha_Cheque]]&gt;0,WEEKNUM(Gastos[[#This Row],[Fecha_Cheque]]),MID(Gastos[[#This Row],[Semana]],6,2))</f>
        <v>25</v>
      </c>
      <c r="O940" t="s">
        <v>3538</v>
      </c>
      <c r="P940" t="s">
        <v>27</v>
      </c>
    </row>
    <row r="941" spans="1:16" hidden="1" x14ac:dyDescent="0.25">
      <c r="A941" s="3" t="s">
        <v>3567</v>
      </c>
      <c r="B941" t="s">
        <v>2875</v>
      </c>
      <c r="C941" t="s">
        <v>3537</v>
      </c>
      <c r="D941" t="s">
        <v>26</v>
      </c>
      <c r="E941" t="s">
        <v>42</v>
      </c>
      <c r="F941">
        <v>1</v>
      </c>
      <c r="G941" s="3" t="s">
        <v>4</v>
      </c>
      <c r="H941" s="44" t="s">
        <v>15</v>
      </c>
      <c r="I941" s="17">
        <v>4796</v>
      </c>
      <c r="J941" s="17">
        <f>IF(Gastos[[#This Row],[Divisa]]="$", I941*1, IF(Gastos[[#This Row],[Divisa]]="U$D", I941*$N$1, IF(Gastos[[#This Row],[Divisa]]="EUR", I941*$N$2, 0)))</f>
        <v>4796</v>
      </c>
      <c r="K941" s="54">
        <f>Gastos[[#This Row],[Importe AR$]]/$N$1</f>
        <v>3.0743589743589745</v>
      </c>
      <c r="M941" s="69"/>
      <c r="N941" s="43" t="str">
        <f>IF(Gastos[[#This Row],[Fecha_Cheque]]&gt;0,WEEKNUM(Gastos[[#This Row],[Fecha_Cheque]]),MID(Gastos[[#This Row],[Semana]],6,2))</f>
        <v>26</v>
      </c>
      <c r="O941" t="s">
        <v>3574</v>
      </c>
      <c r="P941" t="s">
        <v>27</v>
      </c>
    </row>
    <row r="942" spans="1:16" hidden="1" x14ac:dyDescent="0.25">
      <c r="A942" s="3" t="s">
        <v>3567</v>
      </c>
      <c r="B942" t="s">
        <v>2875</v>
      </c>
      <c r="C942" t="s">
        <v>3597</v>
      </c>
      <c r="D942" t="s">
        <v>26</v>
      </c>
      <c r="E942" t="s">
        <v>42</v>
      </c>
      <c r="F942">
        <v>1</v>
      </c>
      <c r="G942" s="3" t="s">
        <v>4</v>
      </c>
      <c r="H942" s="44" t="s">
        <v>15</v>
      </c>
      <c r="I942" s="17">
        <v>1620</v>
      </c>
      <c r="J942" s="17">
        <f>IF(Gastos[[#This Row],[Divisa]]="$", I942*1, IF(Gastos[[#This Row],[Divisa]]="U$D", I942*$N$1, IF(Gastos[[#This Row],[Divisa]]="EUR", I942*$N$2, 0)))</f>
        <v>1620</v>
      </c>
      <c r="K942" s="54">
        <f>Gastos[[#This Row],[Importe AR$]]/$N$1</f>
        <v>1.0384615384615385</v>
      </c>
      <c r="M942" s="69"/>
      <c r="N942" s="43" t="str">
        <f>IF(Gastos[[#This Row],[Fecha_Cheque]]&gt;0,WEEKNUM(Gastos[[#This Row],[Fecha_Cheque]]),MID(Gastos[[#This Row],[Semana]],6,2))</f>
        <v>26</v>
      </c>
      <c r="O942" t="s">
        <v>3598</v>
      </c>
      <c r="P942" t="s">
        <v>27</v>
      </c>
    </row>
    <row r="943" spans="1:16" hidden="1" x14ac:dyDescent="0.25">
      <c r="A943" s="3" t="s">
        <v>3882</v>
      </c>
      <c r="B943" t="s">
        <v>2875</v>
      </c>
      <c r="C943" t="s">
        <v>3946</v>
      </c>
      <c r="D943" t="s">
        <v>26</v>
      </c>
      <c r="E943" t="s">
        <v>42</v>
      </c>
      <c r="F943">
        <v>1</v>
      </c>
      <c r="G943" s="3" t="s">
        <v>4</v>
      </c>
      <c r="H943" s="44" t="s">
        <v>15</v>
      </c>
      <c r="I943" s="17">
        <v>158565</v>
      </c>
      <c r="J943" s="17">
        <f>IF(Gastos[[#This Row],[Divisa]]="$", I943*1, IF(Gastos[[#This Row],[Divisa]]="U$D", I943*$N$1, IF(Gastos[[#This Row],[Divisa]]="EUR", I943*$N$2, 0)))</f>
        <v>158565</v>
      </c>
      <c r="K943" s="54">
        <f>Gastos[[#This Row],[Importe AR$]]/$N$1</f>
        <v>101.64423076923077</v>
      </c>
      <c r="M943" s="69"/>
      <c r="N943" s="43" t="str">
        <f>IF(Gastos[[#This Row],[Fecha_Cheque]]&gt;0,WEEKNUM(Gastos[[#This Row],[Fecha_Cheque]]),MID(Gastos[[#This Row],[Semana]],6,2))</f>
        <v>31</v>
      </c>
      <c r="O943" t="s">
        <v>3947</v>
      </c>
      <c r="P943" t="s">
        <v>27</v>
      </c>
    </row>
    <row r="944" spans="1:16" hidden="1" x14ac:dyDescent="0.25">
      <c r="A944" s="3" t="s">
        <v>4005</v>
      </c>
      <c r="B944" t="s">
        <v>2875</v>
      </c>
      <c r="C944" t="s">
        <v>4052</v>
      </c>
      <c r="D944" t="s">
        <v>26</v>
      </c>
      <c r="E944" t="s">
        <v>42</v>
      </c>
      <c r="F944">
        <v>1</v>
      </c>
      <c r="G944" s="3" t="s">
        <v>4</v>
      </c>
      <c r="H944" s="44" t="s">
        <v>15</v>
      </c>
      <c r="I944" s="17">
        <v>1605</v>
      </c>
      <c r="J944" s="17">
        <f>IF(Gastos[[#This Row],[Divisa]]="$", I944*1, IF(Gastos[[#This Row],[Divisa]]="U$D", I944*$N$1, IF(Gastos[[#This Row],[Divisa]]="EUR", I944*$N$2, 0)))</f>
        <v>1605</v>
      </c>
      <c r="K944" s="54">
        <f>Gastos[[#This Row],[Importe AR$]]/$N$1</f>
        <v>1.0288461538461537</v>
      </c>
      <c r="M944" s="69"/>
      <c r="N944" s="43" t="str">
        <f>IF(Gastos[[#This Row],[Fecha_Cheque]]&gt;0,WEEKNUM(Gastos[[#This Row],[Fecha_Cheque]]),MID(Gastos[[#This Row],[Semana]],6,2))</f>
        <v>33</v>
      </c>
      <c r="O944" t="s">
        <v>4053</v>
      </c>
      <c r="P944" t="s">
        <v>27</v>
      </c>
    </row>
    <row r="945" spans="1:16" hidden="1" x14ac:dyDescent="0.25">
      <c r="A945" s="3" t="s">
        <v>4157</v>
      </c>
      <c r="B945" t="s">
        <v>2875</v>
      </c>
      <c r="C945" t="s">
        <v>4168</v>
      </c>
      <c r="D945" t="s">
        <v>26</v>
      </c>
      <c r="E945" t="s">
        <v>31</v>
      </c>
      <c r="F945">
        <v>1</v>
      </c>
      <c r="G945" s="3" t="s">
        <v>5</v>
      </c>
      <c r="H945" s="44" t="s">
        <v>15</v>
      </c>
      <c r="I945" s="17">
        <v>105550</v>
      </c>
      <c r="J945" s="17">
        <f>IF(Gastos[[#This Row],[Divisa]]="$", I945*1, IF(Gastos[[#This Row],[Divisa]]="U$D", I945*$N$1, IF(Gastos[[#This Row],[Divisa]]="EUR", I945*$N$2, 0)))</f>
        <v>105550</v>
      </c>
      <c r="K945" s="54">
        <f>Gastos[[#This Row],[Importe AR$]]/$N$1</f>
        <v>67.660256410256409</v>
      </c>
      <c r="M945" s="69"/>
      <c r="N945" s="43" t="str">
        <f>IF(Gastos[[#This Row],[Fecha_Cheque]]&gt;0,WEEKNUM(Gastos[[#This Row],[Fecha_Cheque]]),MID(Gastos[[#This Row],[Semana]],6,2))</f>
        <v>36</v>
      </c>
      <c r="O945" t="s">
        <v>4160</v>
      </c>
      <c r="P945" t="s">
        <v>27</v>
      </c>
    </row>
    <row r="946" spans="1:16" hidden="1" x14ac:dyDescent="0.25">
      <c r="A946" s="3" t="s">
        <v>4211</v>
      </c>
      <c r="B946" t="s">
        <v>2875</v>
      </c>
      <c r="C946" t="s">
        <v>4231</v>
      </c>
      <c r="D946" t="s">
        <v>26</v>
      </c>
      <c r="E946" t="s">
        <v>42</v>
      </c>
      <c r="F946">
        <v>1</v>
      </c>
      <c r="G946" s="3" t="s">
        <v>4</v>
      </c>
      <c r="H946" s="44" t="s">
        <v>15</v>
      </c>
      <c r="I946" s="17">
        <v>15200</v>
      </c>
      <c r="J946" s="17">
        <f>IF(Gastos[[#This Row],[Divisa]]="$", I946*1, IF(Gastos[[#This Row],[Divisa]]="U$D", I946*$N$1, IF(Gastos[[#This Row],[Divisa]]="EUR", I946*$N$2, 0)))</f>
        <v>15200</v>
      </c>
      <c r="K946" s="54">
        <f>Gastos[[#This Row],[Importe AR$]]/$N$1</f>
        <v>9.7435897435897427</v>
      </c>
      <c r="M946" s="69"/>
      <c r="N946" s="43" t="str">
        <f>IF(Gastos[[#This Row],[Fecha_Cheque]]&gt;0,WEEKNUM(Gastos[[#This Row],[Fecha_Cheque]]),MID(Gastos[[#This Row],[Semana]],6,2))</f>
        <v>37</v>
      </c>
      <c r="O946" t="s">
        <v>4232</v>
      </c>
      <c r="P946" t="s">
        <v>27</v>
      </c>
    </row>
    <row r="947" spans="1:16" hidden="1" x14ac:dyDescent="0.25">
      <c r="A947" s="3" t="s">
        <v>53</v>
      </c>
      <c r="B947" t="s">
        <v>695</v>
      </c>
      <c r="C947" t="s">
        <v>696</v>
      </c>
      <c r="D947" t="s">
        <v>26</v>
      </c>
      <c r="E947" t="s">
        <v>42</v>
      </c>
      <c r="F947">
        <v>1</v>
      </c>
      <c r="G947" s="3" t="s">
        <v>4</v>
      </c>
      <c r="H947" s="46" t="s">
        <v>15</v>
      </c>
      <c r="I947" s="17">
        <v>2918</v>
      </c>
      <c r="J947" s="17">
        <f>IF(Gastos[[#This Row],[Divisa]]="$", I947*1, IF(Gastos[[#This Row],[Divisa]]="U$D", I947*$N$1, IF(Gastos[[#This Row],[Divisa]]="EUR", I947*$N$2, 0)))</f>
        <v>2918</v>
      </c>
      <c r="K947" s="54">
        <f>Gastos[[#This Row],[Importe AR$]]/$N$1</f>
        <v>1.8705128205128205</v>
      </c>
      <c r="M947" s="69"/>
      <c r="N947" s="43" t="str">
        <f>IF(Gastos[[#This Row],[Fecha_Cheque]]&gt;0,WEEKNUM(Gastos[[#This Row],[Fecha_Cheque]]),MID(Gastos[[#This Row],[Semana]],6,2))</f>
        <v>34</v>
      </c>
      <c r="P947" t="s">
        <v>27</v>
      </c>
    </row>
    <row r="948" spans="1:16" hidden="1" x14ac:dyDescent="0.25">
      <c r="A948" s="3" t="s">
        <v>117</v>
      </c>
      <c r="B948" t="s">
        <v>695</v>
      </c>
      <c r="C948" t="s">
        <v>697</v>
      </c>
      <c r="D948" t="s">
        <v>26</v>
      </c>
      <c r="E948" t="s">
        <v>31</v>
      </c>
      <c r="F948">
        <v>1</v>
      </c>
      <c r="G948" s="3" t="s">
        <v>5</v>
      </c>
      <c r="H948" s="46" t="s">
        <v>15</v>
      </c>
      <c r="I948" s="17">
        <v>243577.18</v>
      </c>
      <c r="J948" s="17">
        <f>IF(Gastos[[#This Row],[Divisa]]="$", I948*1, IF(Gastos[[#This Row],[Divisa]]="U$D", I948*$N$1, IF(Gastos[[#This Row],[Divisa]]="EUR", I948*$N$2, 0)))</f>
        <v>243577.18</v>
      </c>
      <c r="K948" s="54">
        <f>Gastos[[#This Row],[Importe AR$]]/$N$1</f>
        <v>156.13921794871794</v>
      </c>
      <c r="M948" s="69"/>
      <c r="N948" s="43" t="str">
        <f>IF(Gastos[[#This Row],[Fecha_Cheque]]&gt;0,WEEKNUM(Gastos[[#This Row],[Fecha_Cheque]]),MID(Gastos[[#This Row],[Semana]],6,2))</f>
        <v>35</v>
      </c>
      <c r="P948" t="s">
        <v>27</v>
      </c>
    </row>
    <row r="949" spans="1:16" hidden="1" x14ac:dyDescent="0.25">
      <c r="A949" s="3" t="s">
        <v>4569</v>
      </c>
      <c r="B949" t="s">
        <v>695</v>
      </c>
      <c r="C949" t="s">
        <v>4575</v>
      </c>
      <c r="D949" t="s">
        <v>26</v>
      </c>
      <c r="E949" t="s">
        <v>42</v>
      </c>
      <c r="F949">
        <v>1</v>
      </c>
      <c r="G949" s="3" t="s">
        <v>4</v>
      </c>
      <c r="H949" s="44" t="s">
        <v>15</v>
      </c>
      <c r="I949" s="17">
        <v>27747</v>
      </c>
      <c r="J949" s="17">
        <f>IF(Gastos[[#This Row],[Divisa]]="$", I949*1, IF(Gastos[[#This Row],[Divisa]]="U$D", I949*$N$1, IF(Gastos[[#This Row],[Divisa]]="EUR", I949*$N$2, 0)))</f>
        <v>27747</v>
      </c>
      <c r="K949" s="54">
        <f>Gastos[[#This Row],[Importe AR$]]/$N$1</f>
        <v>17.786538461538463</v>
      </c>
      <c r="M949" s="69"/>
      <c r="N949" s="43" t="str">
        <f>IF(Gastos[[#This Row],[Fecha_Cheque]]&gt;0,WEEKNUM(Gastos[[#This Row],[Fecha_Cheque]]),MID(Gastos[[#This Row],[Semana]],6,2))</f>
        <v>43</v>
      </c>
      <c r="O949" t="s">
        <v>4576</v>
      </c>
      <c r="P949" t="s">
        <v>27</v>
      </c>
    </row>
    <row r="950" spans="1:16" hidden="1" x14ac:dyDescent="0.25">
      <c r="A950" s="3" t="s">
        <v>93</v>
      </c>
      <c r="B950" t="s">
        <v>698</v>
      </c>
      <c r="C950" t="s">
        <v>699</v>
      </c>
      <c r="D950" t="s">
        <v>26</v>
      </c>
      <c r="E950" t="s">
        <v>31</v>
      </c>
      <c r="F950">
        <v>1</v>
      </c>
      <c r="G950" s="3" t="s">
        <v>5</v>
      </c>
      <c r="H950" s="46" t="s">
        <v>15</v>
      </c>
      <c r="I950" s="17">
        <v>86600</v>
      </c>
      <c r="J950" s="17">
        <f>IF(Gastos[[#This Row],[Divisa]]="$", I950*1, IF(Gastos[[#This Row],[Divisa]]="U$D", I950*$N$1, IF(Gastos[[#This Row],[Divisa]]="EUR", I950*$N$2, 0)))</f>
        <v>86600</v>
      </c>
      <c r="K950" s="54">
        <f>Gastos[[#This Row],[Importe AR$]]/$N$1</f>
        <v>55.512820512820511</v>
      </c>
      <c r="M950" s="69"/>
      <c r="N950" s="43" t="str">
        <f>IF(Gastos[[#This Row],[Fecha_Cheque]]&gt;0,WEEKNUM(Gastos[[#This Row],[Fecha_Cheque]]),MID(Gastos[[#This Row],[Semana]],6,2))</f>
        <v>50</v>
      </c>
      <c r="O950" t="s">
        <v>700</v>
      </c>
      <c r="P950" t="s">
        <v>27</v>
      </c>
    </row>
    <row r="951" spans="1:16" hidden="1" x14ac:dyDescent="0.25">
      <c r="A951" s="3" t="s">
        <v>3693</v>
      </c>
      <c r="B951" t="s">
        <v>698</v>
      </c>
      <c r="C951" t="s">
        <v>3695</v>
      </c>
      <c r="D951" t="s">
        <v>26</v>
      </c>
      <c r="E951" t="s">
        <v>42</v>
      </c>
      <c r="F951">
        <v>1</v>
      </c>
      <c r="G951" s="3" t="s">
        <v>4</v>
      </c>
      <c r="H951" s="44" t="s">
        <v>15</v>
      </c>
      <c r="I951" s="17">
        <v>35500.01</v>
      </c>
      <c r="J951" s="17">
        <f>IF(Gastos[[#This Row],[Divisa]]="$", I951*1, IF(Gastos[[#This Row],[Divisa]]="U$D", I951*$N$1, IF(Gastos[[#This Row],[Divisa]]="EUR", I951*$N$2, 0)))</f>
        <v>35500.01</v>
      </c>
      <c r="K951" s="54">
        <f>Gastos[[#This Row],[Importe AR$]]/$N$1</f>
        <v>22.756416666666667</v>
      </c>
      <c r="M951" s="69"/>
      <c r="N951" s="43" t="str">
        <f>IF(Gastos[[#This Row],[Fecha_Cheque]]&gt;0,WEEKNUM(Gastos[[#This Row],[Fecha_Cheque]]),MID(Gastos[[#This Row],[Semana]],6,2))</f>
        <v>28</v>
      </c>
      <c r="O951" t="s">
        <v>3696</v>
      </c>
      <c r="P951" t="s">
        <v>27</v>
      </c>
    </row>
    <row r="952" spans="1:16" hidden="1" x14ac:dyDescent="0.25">
      <c r="A952" s="3" t="s">
        <v>44</v>
      </c>
      <c r="B952" t="s">
        <v>701</v>
      </c>
      <c r="C952" t="s">
        <v>702</v>
      </c>
      <c r="D952" t="s">
        <v>26</v>
      </c>
      <c r="E952" t="s">
        <v>42</v>
      </c>
      <c r="F952">
        <v>1</v>
      </c>
      <c r="G952" s="3" t="s">
        <v>4</v>
      </c>
      <c r="H952" s="46" t="s">
        <v>15</v>
      </c>
      <c r="I952" s="17">
        <v>96870</v>
      </c>
      <c r="J952" s="17">
        <f>IF(Gastos[[#This Row],[Divisa]]="$", I952*1, IF(Gastos[[#This Row],[Divisa]]="U$D", I952*$N$1, IF(Gastos[[#This Row],[Divisa]]="EUR", I952*$N$2, 0)))</f>
        <v>96870</v>
      </c>
      <c r="K952" s="54">
        <f>Gastos[[#This Row],[Importe AR$]]/$N$1</f>
        <v>62.096153846153847</v>
      </c>
      <c r="M952" s="69"/>
      <c r="N952" s="43" t="str">
        <f>IF(Gastos[[#This Row],[Fecha_Cheque]]&gt;0,WEEKNUM(Gastos[[#This Row],[Fecha_Cheque]]),MID(Gastos[[#This Row],[Semana]],6,2))</f>
        <v>51</v>
      </c>
      <c r="O952" t="s">
        <v>703</v>
      </c>
      <c r="P952" t="s">
        <v>27</v>
      </c>
    </row>
    <row r="953" spans="1:16" hidden="1" x14ac:dyDescent="0.25">
      <c r="A953" s="3" t="s">
        <v>34</v>
      </c>
      <c r="B953" t="s">
        <v>704</v>
      </c>
      <c r="C953" t="s">
        <v>705</v>
      </c>
      <c r="D953" t="s">
        <v>26</v>
      </c>
      <c r="E953" t="s">
        <v>31</v>
      </c>
      <c r="F953">
        <v>1</v>
      </c>
      <c r="G953" s="3" t="s">
        <v>5</v>
      </c>
      <c r="H953" s="46" t="s">
        <v>15</v>
      </c>
      <c r="I953" s="17">
        <v>21913.57</v>
      </c>
      <c r="J953" s="17">
        <f>IF(Gastos[[#This Row],[Divisa]]="$", I953*1, IF(Gastos[[#This Row],[Divisa]]="U$D", I953*$N$1, IF(Gastos[[#This Row],[Divisa]]="EUR", I953*$N$2, 0)))</f>
        <v>21913.57</v>
      </c>
      <c r="K953" s="54">
        <f>Gastos[[#This Row],[Importe AR$]]/$N$1</f>
        <v>14.047160256410256</v>
      </c>
      <c r="M953" s="69"/>
      <c r="N953" s="43" t="str">
        <f>IF(Gastos[[#This Row],[Fecha_Cheque]]&gt;0,WEEKNUM(Gastos[[#This Row],[Fecha_Cheque]]),MID(Gastos[[#This Row],[Semana]],6,2))</f>
        <v>32</v>
      </c>
      <c r="O953" t="s">
        <v>706</v>
      </c>
      <c r="P953" t="s">
        <v>27</v>
      </c>
    </row>
    <row r="954" spans="1:16" hidden="1" x14ac:dyDescent="0.25">
      <c r="A954" s="3" t="s">
        <v>34</v>
      </c>
      <c r="B954" t="s">
        <v>704</v>
      </c>
      <c r="C954" t="s">
        <v>705</v>
      </c>
      <c r="D954" t="s">
        <v>26</v>
      </c>
      <c r="E954" t="s">
        <v>31</v>
      </c>
      <c r="F954">
        <v>1</v>
      </c>
      <c r="G954" s="3" t="s">
        <v>32</v>
      </c>
      <c r="H954" s="46" t="s">
        <v>15</v>
      </c>
      <c r="I954" s="17">
        <v>758756.25</v>
      </c>
      <c r="J954" s="17">
        <f>IF(Gastos[[#This Row],[Divisa]]="$", I954*1, IF(Gastos[[#This Row],[Divisa]]="U$D", I954*$N$1, IF(Gastos[[#This Row],[Divisa]]="EUR", I954*$N$2, 0)))</f>
        <v>758756.25</v>
      </c>
      <c r="K954" s="54">
        <f>Gastos[[#This Row],[Importe AR$]]/$N$1</f>
        <v>486.38221153846155</v>
      </c>
      <c r="M954" s="69">
        <v>45875</v>
      </c>
      <c r="N954" s="43">
        <f>IF(Gastos[[#This Row],[Fecha_Cheque]]&gt;0,WEEKNUM(Gastos[[#This Row],[Fecha_Cheque]]),MID(Gastos[[#This Row],[Semana]],6,2))</f>
        <v>32</v>
      </c>
      <c r="O954" t="s">
        <v>706</v>
      </c>
      <c r="P954" t="s">
        <v>27</v>
      </c>
    </row>
    <row r="955" spans="1:16" hidden="1" x14ac:dyDescent="0.25">
      <c r="A955" s="3" t="s">
        <v>171</v>
      </c>
      <c r="B955" t="s">
        <v>704</v>
      </c>
      <c r="C955" t="s">
        <v>707</v>
      </c>
      <c r="D955" t="s">
        <v>26</v>
      </c>
      <c r="E955" t="s">
        <v>31</v>
      </c>
      <c r="F955">
        <v>1</v>
      </c>
      <c r="G955" s="3" t="s">
        <v>32</v>
      </c>
      <c r="H955" s="46" t="s">
        <v>15</v>
      </c>
      <c r="I955" s="17">
        <v>416878.19</v>
      </c>
      <c r="J955" s="17">
        <f>IF(Gastos[[#This Row],[Divisa]]="$", I955*1, IF(Gastos[[#This Row],[Divisa]]="U$D", I955*$N$1, IF(Gastos[[#This Row],[Divisa]]="EUR", I955*$N$2, 0)))</f>
        <v>416878.19</v>
      </c>
      <c r="K955" s="54">
        <f>Gastos[[#This Row],[Importe AR$]]/$N$1</f>
        <v>267.229608974359</v>
      </c>
      <c r="M955" s="69">
        <v>45948</v>
      </c>
      <c r="N955" s="43">
        <f>IF(Gastos[[#This Row],[Fecha_Cheque]]&gt;0,WEEKNUM(Gastos[[#This Row],[Fecha_Cheque]]),MID(Gastos[[#This Row],[Semana]],6,2))</f>
        <v>42</v>
      </c>
      <c r="O955" t="s">
        <v>708</v>
      </c>
      <c r="P955" t="s">
        <v>27</v>
      </c>
    </row>
    <row r="956" spans="1:16" hidden="1" x14ac:dyDescent="0.25">
      <c r="A956" s="3" t="s">
        <v>3439</v>
      </c>
      <c r="B956" t="s">
        <v>3544</v>
      </c>
      <c r="C956" t="s">
        <v>3545</v>
      </c>
      <c r="D956" t="s">
        <v>26</v>
      </c>
      <c r="E956" t="s">
        <v>31</v>
      </c>
      <c r="F956">
        <v>1</v>
      </c>
      <c r="G956" s="3" t="s">
        <v>32</v>
      </c>
      <c r="H956" s="44" t="s">
        <v>15</v>
      </c>
      <c r="I956" s="17">
        <v>1000000</v>
      </c>
      <c r="J956" s="17">
        <f>IF(Gastos[[#This Row],[Divisa]]="$", I956*1, IF(Gastos[[#This Row],[Divisa]]="U$D", I956*$N$1, IF(Gastos[[#This Row],[Divisa]]="EUR", I956*$N$2, 0)))</f>
        <v>1000000</v>
      </c>
      <c r="K956" s="54">
        <f>Gastos[[#This Row],[Importe AR$]]/$N$1</f>
        <v>641.02564102564099</v>
      </c>
      <c r="M956" s="69"/>
      <c r="N956" s="43" t="str">
        <f>IF(Gastos[[#This Row],[Fecha_Cheque]]&gt;0,WEEKNUM(Gastos[[#This Row],[Fecha_Cheque]]),MID(Gastos[[#This Row],[Semana]],6,2))</f>
        <v>25</v>
      </c>
      <c r="O956" t="s">
        <v>3546</v>
      </c>
      <c r="P956" t="s">
        <v>27</v>
      </c>
    </row>
    <row r="957" spans="1:16" hidden="1" x14ac:dyDescent="0.25">
      <c r="A957" s="3" t="s">
        <v>3439</v>
      </c>
      <c r="B957" t="s">
        <v>3544</v>
      </c>
      <c r="C957" t="s">
        <v>3545</v>
      </c>
      <c r="D957" t="s">
        <v>26</v>
      </c>
      <c r="E957" t="s">
        <v>31</v>
      </c>
      <c r="F957">
        <v>1</v>
      </c>
      <c r="G957" s="3" t="s">
        <v>32</v>
      </c>
      <c r="H957" s="44" t="s">
        <v>15</v>
      </c>
      <c r="I957" s="17">
        <v>1143343.3999999999</v>
      </c>
      <c r="J957" s="17">
        <f>IF(Gastos[[#This Row],[Divisa]]="$", I957*1, IF(Gastos[[#This Row],[Divisa]]="U$D", I957*$N$1, IF(Gastos[[#This Row],[Divisa]]="EUR", I957*$N$2, 0)))</f>
        <v>1143343.3999999999</v>
      </c>
      <c r="K957" s="54">
        <f>Gastos[[#This Row],[Importe AR$]]/$N$1</f>
        <v>732.91243589743578</v>
      </c>
      <c r="M957" s="69"/>
      <c r="N957" s="43" t="str">
        <f>IF(Gastos[[#This Row],[Fecha_Cheque]]&gt;0,WEEKNUM(Gastos[[#This Row],[Fecha_Cheque]]),MID(Gastos[[#This Row],[Semana]],6,2))</f>
        <v>25</v>
      </c>
      <c r="O957" t="s">
        <v>3546</v>
      </c>
      <c r="P957" t="s">
        <v>27</v>
      </c>
    </row>
    <row r="958" spans="1:16" hidden="1" x14ac:dyDescent="0.25">
      <c r="A958" s="3" t="s">
        <v>3439</v>
      </c>
      <c r="B958" t="s">
        <v>3544</v>
      </c>
      <c r="C958" t="s">
        <v>3545</v>
      </c>
      <c r="D958" t="s">
        <v>26</v>
      </c>
      <c r="E958" t="s">
        <v>31</v>
      </c>
      <c r="F958">
        <v>1</v>
      </c>
      <c r="G958" s="3" t="s">
        <v>32</v>
      </c>
      <c r="H958" s="44" t="s">
        <v>15</v>
      </c>
      <c r="I958" s="17">
        <v>34656.6</v>
      </c>
      <c r="J958" s="17">
        <f>IF(Gastos[[#This Row],[Divisa]]="$", I958*1, IF(Gastos[[#This Row],[Divisa]]="U$D", I958*$N$1, IF(Gastos[[#This Row],[Divisa]]="EUR", I958*$N$2, 0)))</f>
        <v>34656.6</v>
      </c>
      <c r="K958" s="54">
        <f>Gastos[[#This Row],[Importe AR$]]/$N$1</f>
        <v>22.215769230769229</v>
      </c>
      <c r="L958" t="s">
        <v>340</v>
      </c>
      <c r="M958" s="69"/>
      <c r="N958" s="43" t="str">
        <f>IF(Gastos[[#This Row],[Fecha_Cheque]]&gt;0,WEEKNUM(Gastos[[#This Row],[Fecha_Cheque]]),MID(Gastos[[#This Row],[Semana]],6,2))</f>
        <v>25</v>
      </c>
      <c r="O958" t="s">
        <v>3546</v>
      </c>
      <c r="P958" t="s">
        <v>27</v>
      </c>
    </row>
    <row r="959" spans="1:16" x14ac:dyDescent="0.25">
      <c r="A959" s="3" t="s">
        <v>4655</v>
      </c>
      <c r="B959" t="s">
        <v>3228</v>
      </c>
      <c r="C959" t="s">
        <v>2838</v>
      </c>
      <c r="D959" t="s">
        <v>26</v>
      </c>
      <c r="E959" t="s">
        <v>91</v>
      </c>
      <c r="F959">
        <v>1</v>
      </c>
      <c r="G959" s="3" t="s">
        <v>5</v>
      </c>
      <c r="H959" s="44" t="s">
        <v>15</v>
      </c>
      <c r="I959" s="17">
        <v>399779.52</v>
      </c>
      <c r="J959" s="17">
        <f>IF(Gastos[[#This Row],[Divisa]]="$", I959*1, IF(Gastos[[#This Row],[Divisa]]="U$D", I959*$N$1, IF(Gastos[[#This Row],[Divisa]]="EUR", I959*$N$2, 0)))</f>
        <v>399779.52</v>
      </c>
      <c r="K959" s="54">
        <f>Gastos[[#This Row],[Importe AR$]]/$N$1</f>
        <v>256.2689230769231</v>
      </c>
      <c r="M959" s="69"/>
      <c r="N959" s="43" t="str">
        <f>IF(Gastos[[#This Row],[Fecha_Cheque]]&gt;0,WEEKNUM(Gastos[[#This Row],[Fecha_Cheque]]),MID(Gastos[[#This Row],[Semana]],6,2))</f>
        <v>44</v>
      </c>
    </row>
    <row r="960" spans="1:16" hidden="1" x14ac:dyDescent="0.25">
      <c r="A960" s="3" t="s">
        <v>99</v>
      </c>
      <c r="B960" t="s">
        <v>709</v>
      </c>
      <c r="C960" t="s">
        <v>710</v>
      </c>
      <c r="D960" t="s">
        <v>26</v>
      </c>
      <c r="E960" t="s">
        <v>31</v>
      </c>
      <c r="F960">
        <v>1</v>
      </c>
      <c r="G960" s="3" t="s">
        <v>4</v>
      </c>
      <c r="H960" s="46" t="s">
        <v>15</v>
      </c>
      <c r="I960" s="17">
        <v>47600</v>
      </c>
      <c r="J960" s="17">
        <f>IF(Gastos[[#This Row],[Divisa]]="$", I960*1, IF(Gastos[[#This Row],[Divisa]]="U$D", I960*$N$1, IF(Gastos[[#This Row],[Divisa]]="EUR", I960*$N$2, 0)))</f>
        <v>47600</v>
      </c>
      <c r="K960" s="54">
        <f>Gastos[[#This Row],[Importe AR$]]/$N$1</f>
        <v>30.512820512820515</v>
      </c>
      <c r="M960" s="69"/>
      <c r="N960" s="43" t="str">
        <f>IF(Gastos[[#This Row],[Fecha_Cheque]]&gt;0,WEEKNUM(Gastos[[#This Row],[Fecha_Cheque]]),MID(Gastos[[#This Row],[Semana]],6,2))</f>
        <v>28</v>
      </c>
      <c r="O960" t="s">
        <v>711</v>
      </c>
      <c r="P960" t="s">
        <v>27</v>
      </c>
    </row>
    <row r="961" spans="1:16" hidden="1" x14ac:dyDescent="0.25">
      <c r="A961" s="3" t="s">
        <v>117</v>
      </c>
      <c r="B961" t="s">
        <v>709</v>
      </c>
      <c r="C961" t="s">
        <v>712</v>
      </c>
      <c r="D961" t="s">
        <v>26</v>
      </c>
      <c r="E961" t="s">
        <v>42</v>
      </c>
      <c r="F961">
        <v>1</v>
      </c>
      <c r="G961" s="3" t="s">
        <v>4</v>
      </c>
      <c r="H961" s="46" t="s">
        <v>15</v>
      </c>
      <c r="I961" s="17">
        <v>50000</v>
      </c>
      <c r="J961" s="17">
        <f>IF(Gastos[[#This Row],[Divisa]]="$", I961*1, IF(Gastos[[#This Row],[Divisa]]="U$D", I961*$N$1, IF(Gastos[[#This Row],[Divisa]]="EUR", I961*$N$2, 0)))</f>
        <v>50000</v>
      </c>
      <c r="K961" s="54">
        <f>Gastos[[#This Row],[Importe AR$]]/$N$1</f>
        <v>32.051282051282051</v>
      </c>
      <c r="M961" s="69"/>
      <c r="N961" s="43" t="str">
        <f>IF(Gastos[[#This Row],[Fecha_Cheque]]&gt;0,WEEKNUM(Gastos[[#This Row],[Fecha_Cheque]]),MID(Gastos[[#This Row],[Semana]],6,2))</f>
        <v>35</v>
      </c>
      <c r="P961" t="s">
        <v>27</v>
      </c>
    </row>
    <row r="962" spans="1:16" hidden="1" x14ac:dyDescent="0.25">
      <c r="A962" s="3" t="s">
        <v>50</v>
      </c>
      <c r="B962" t="s">
        <v>713</v>
      </c>
      <c r="C962" t="s">
        <v>714</v>
      </c>
      <c r="D962" t="s">
        <v>26</v>
      </c>
      <c r="E962" t="s">
        <v>31</v>
      </c>
      <c r="F962">
        <v>1</v>
      </c>
      <c r="G962" s="3" t="s">
        <v>5</v>
      </c>
      <c r="H962" s="46" t="s">
        <v>15</v>
      </c>
      <c r="I962" s="17">
        <v>161140.16</v>
      </c>
      <c r="J962" s="17">
        <f>IF(Gastos[[#This Row],[Divisa]]="$", I962*1, IF(Gastos[[#This Row],[Divisa]]="U$D", I962*$N$1, IF(Gastos[[#This Row],[Divisa]]="EUR", I962*$N$2, 0)))</f>
        <v>161140.16</v>
      </c>
      <c r="K962" s="54">
        <f>Gastos[[#This Row],[Importe AR$]]/$N$1</f>
        <v>103.29497435897436</v>
      </c>
      <c r="M962" s="69"/>
      <c r="N962" s="43" t="str">
        <f>IF(Gastos[[#This Row],[Fecha_Cheque]]&gt;0,WEEKNUM(Gastos[[#This Row],[Fecha_Cheque]]),MID(Gastos[[#This Row],[Semana]],6,2))</f>
        <v>25</v>
      </c>
      <c r="O962" t="s">
        <v>715</v>
      </c>
      <c r="P962" t="s">
        <v>27</v>
      </c>
    </row>
    <row r="963" spans="1:16" hidden="1" x14ac:dyDescent="0.25">
      <c r="A963" s="3" t="s">
        <v>210</v>
      </c>
      <c r="B963" t="s">
        <v>713</v>
      </c>
      <c r="C963" t="s">
        <v>716</v>
      </c>
      <c r="D963" t="s">
        <v>26</v>
      </c>
      <c r="E963" t="s">
        <v>31</v>
      </c>
      <c r="F963">
        <v>1</v>
      </c>
      <c r="G963" s="3" t="s">
        <v>5</v>
      </c>
      <c r="H963" s="46" t="s">
        <v>15</v>
      </c>
      <c r="I963" s="17">
        <v>154074.14000000001</v>
      </c>
      <c r="J963" s="17">
        <f>IF(Gastos[[#This Row],[Divisa]]="$", I963*1, IF(Gastos[[#This Row],[Divisa]]="U$D", I963*$N$1, IF(Gastos[[#This Row],[Divisa]]="EUR", I963*$N$2, 0)))</f>
        <v>154074.14000000001</v>
      </c>
      <c r="K963" s="54">
        <f>Gastos[[#This Row],[Importe AR$]]/$N$1</f>
        <v>98.765474358974373</v>
      </c>
      <c r="M963" s="69"/>
      <c r="N963" s="43" t="str">
        <f>IF(Gastos[[#This Row],[Fecha_Cheque]]&gt;0,WEEKNUM(Gastos[[#This Row],[Fecha_Cheque]]),MID(Gastos[[#This Row],[Semana]],6,2))</f>
        <v>37</v>
      </c>
      <c r="O963" t="s">
        <v>123</v>
      </c>
      <c r="P963" t="s">
        <v>27</v>
      </c>
    </row>
    <row r="964" spans="1:16" x14ac:dyDescent="0.25">
      <c r="A964" s="3" t="s">
        <v>4655</v>
      </c>
      <c r="B964" t="s">
        <v>4420</v>
      </c>
      <c r="C964" t="s">
        <v>4137</v>
      </c>
      <c r="D964" t="s">
        <v>26</v>
      </c>
      <c r="E964" t="s">
        <v>31</v>
      </c>
      <c r="F964">
        <v>1</v>
      </c>
      <c r="G964" s="3" t="s">
        <v>32</v>
      </c>
      <c r="H964" s="44" t="s">
        <v>15</v>
      </c>
      <c r="I964" s="17">
        <v>7392155</v>
      </c>
      <c r="J964" s="17">
        <f>IF(Gastos[[#This Row],[Divisa]]="$", I964*1, IF(Gastos[[#This Row],[Divisa]]="U$D", I964*$N$1, IF(Gastos[[#This Row],[Divisa]]="EUR", I964*$N$2, 0)))</f>
        <v>7392155</v>
      </c>
      <c r="K964" s="54">
        <f>Gastos[[#This Row],[Importe AR$]]/$N$1</f>
        <v>4738.5608974358975</v>
      </c>
      <c r="M964" s="69"/>
      <c r="N964" s="43" t="str">
        <f>IF(Gastos[[#This Row],[Fecha_Cheque]]&gt;0,WEEKNUM(Gastos[[#This Row],[Fecha_Cheque]]),MID(Gastos[[#This Row],[Semana]],6,2))</f>
        <v>44</v>
      </c>
    </row>
    <row r="965" spans="1:16" hidden="1" x14ac:dyDescent="0.25">
      <c r="A965" s="3" t="s">
        <v>538</v>
      </c>
      <c r="B965" t="s">
        <v>717</v>
      </c>
      <c r="C965" t="s">
        <v>155</v>
      </c>
      <c r="D965" t="s">
        <v>26</v>
      </c>
      <c r="E965" t="s">
        <v>31</v>
      </c>
      <c r="F965">
        <v>2</v>
      </c>
      <c r="G965" s="3" t="s">
        <v>4</v>
      </c>
      <c r="H965" s="46" t="s">
        <v>15</v>
      </c>
      <c r="I965" s="17">
        <v>108021.05</v>
      </c>
      <c r="J965" s="17">
        <f>IF(Gastos[[#This Row],[Divisa]]="$", I965*1, IF(Gastos[[#This Row],[Divisa]]="U$D", I965*$N$1, IF(Gastos[[#This Row],[Divisa]]="EUR", I965*$N$2, 0)))</f>
        <v>108021.05</v>
      </c>
      <c r="K965" s="54">
        <f>Gastos[[#This Row],[Importe AR$]]/$N$1</f>
        <v>69.244262820512816</v>
      </c>
      <c r="M965" s="69"/>
      <c r="N965" s="43" t="str">
        <f>IF(Gastos[[#This Row],[Fecha_Cheque]]&gt;0,WEEKNUM(Gastos[[#This Row],[Fecha_Cheque]]),MID(Gastos[[#This Row],[Semana]],6,2))</f>
        <v>13</v>
      </c>
      <c r="P965" t="s">
        <v>27</v>
      </c>
    </row>
    <row r="966" spans="1:16" hidden="1" x14ac:dyDescent="0.25">
      <c r="A966" s="3" t="s">
        <v>719</v>
      </c>
      <c r="B966" t="s">
        <v>717</v>
      </c>
      <c r="C966" t="s">
        <v>155</v>
      </c>
      <c r="D966" t="s">
        <v>26</v>
      </c>
      <c r="E966" t="s">
        <v>31</v>
      </c>
      <c r="F966">
        <v>1</v>
      </c>
      <c r="G966" s="3" t="s">
        <v>4</v>
      </c>
      <c r="H966" s="46" t="s">
        <v>15</v>
      </c>
      <c r="I966" s="17">
        <v>103003.58</v>
      </c>
      <c r="J966" s="17">
        <f>IF(Gastos[[#This Row],[Divisa]]="$", I966*1, IF(Gastos[[#This Row],[Divisa]]="U$D", I966*$N$1, IF(Gastos[[#This Row],[Divisa]]="EUR", I966*$N$2, 0)))</f>
        <v>103003.58</v>
      </c>
      <c r="K966" s="54">
        <f>Gastos[[#This Row],[Importe AR$]]/$N$1</f>
        <v>66.027935897435896</v>
      </c>
      <c r="M966" s="69"/>
      <c r="N966" s="43" t="str">
        <f>IF(Gastos[[#This Row],[Fecha_Cheque]]&gt;0,WEEKNUM(Gastos[[#This Row],[Fecha_Cheque]]),MID(Gastos[[#This Row],[Semana]],6,2))</f>
        <v>20</v>
      </c>
      <c r="O966" t="s">
        <v>720</v>
      </c>
      <c r="P966" t="s">
        <v>27</v>
      </c>
    </row>
    <row r="967" spans="1:16" x14ac:dyDescent="0.25">
      <c r="A967" s="3" t="s">
        <v>4655</v>
      </c>
      <c r="B967" t="s">
        <v>692</v>
      </c>
      <c r="C967" t="s">
        <v>422</v>
      </c>
      <c r="D967" t="s">
        <v>26</v>
      </c>
      <c r="E967" t="s">
        <v>91</v>
      </c>
      <c r="F967">
        <v>1</v>
      </c>
      <c r="G967" s="3" t="s">
        <v>5</v>
      </c>
      <c r="H967" s="44" t="s">
        <v>15</v>
      </c>
      <c r="I967" s="17">
        <v>228237.97</v>
      </c>
      <c r="J967" s="17">
        <f>IF(Gastos[[#This Row],[Divisa]]="$", I967*1, IF(Gastos[[#This Row],[Divisa]]="U$D", I967*$N$1, IF(Gastos[[#This Row],[Divisa]]="EUR", I967*$N$2, 0)))</f>
        <v>228237.97</v>
      </c>
      <c r="K967" s="54">
        <f>Gastos[[#This Row],[Importe AR$]]/$N$1</f>
        <v>146.30639102564103</v>
      </c>
      <c r="M967" s="69"/>
      <c r="N967" s="43" t="str">
        <f>IF(Gastos[[#This Row],[Fecha_Cheque]]&gt;0,WEEKNUM(Gastos[[#This Row],[Fecha_Cheque]]),MID(Gastos[[#This Row],[Semana]],6,2))</f>
        <v>44</v>
      </c>
      <c r="P967" t="s">
        <v>7</v>
      </c>
    </row>
    <row r="968" spans="1:16" hidden="1" x14ac:dyDescent="0.25">
      <c r="A968" s="3" t="s">
        <v>3963</v>
      </c>
      <c r="B968" t="s">
        <v>3989</v>
      </c>
      <c r="C968" t="s">
        <v>3990</v>
      </c>
      <c r="D968" t="s">
        <v>26</v>
      </c>
      <c r="E968" t="s">
        <v>42</v>
      </c>
      <c r="F968">
        <v>1</v>
      </c>
      <c r="G968" s="3" t="s">
        <v>4</v>
      </c>
      <c r="H968" s="44" t="s">
        <v>15</v>
      </c>
      <c r="I968" s="17">
        <v>22167.200000000001</v>
      </c>
      <c r="J968" s="17">
        <f>IF(Gastos[[#This Row],[Divisa]]="$", I968*1, IF(Gastos[[#This Row],[Divisa]]="U$D", I968*$N$1, IF(Gastos[[#This Row],[Divisa]]="EUR", I968*$N$2, 0)))</f>
        <v>22167.200000000001</v>
      </c>
      <c r="K968" s="54">
        <f>Gastos[[#This Row],[Importe AR$]]/$N$1</f>
        <v>14.20974358974359</v>
      </c>
      <c r="M968" s="69"/>
      <c r="N968" s="43" t="str">
        <f>IF(Gastos[[#This Row],[Fecha_Cheque]]&gt;0,WEEKNUM(Gastos[[#This Row],[Fecha_Cheque]]),MID(Gastos[[#This Row],[Semana]],6,2))</f>
        <v>32</v>
      </c>
      <c r="O968" t="s">
        <v>3991</v>
      </c>
      <c r="P968" t="s">
        <v>27</v>
      </c>
    </row>
    <row r="969" spans="1:16" hidden="1" x14ac:dyDescent="0.25">
      <c r="A969" s="3" t="s">
        <v>4447</v>
      </c>
      <c r="B969" t="s">
        <v>3989</v>
      </c>
      <c r="C969" t="s">
        <v>4483</v>
      </c>
      <c r="D969" t="s">
        <v>26</v>
      </c>
      <c r="E969" t="s">
        <v>31</v>
      </c>
      <c r="F969">
        <v>1</v>
      </c>
      <c r="G969" s="3" t="s">
        <v>5</v>
      </c>
      <c r="H969" s="44" t="s">
        <v>15</v>
      </c>
      <c r="I969" s="17">
        <v>270985.55</v>
      </c>
      <c r="J969" s="17">
        <f>IF(Gastos[[#This Row],[Divisa]]="$", I969*1, IF(Gastos[[#This Row],[Divisa]]="U$D", I969*$N$1, IF(Gastos[[#This Row],[Divisa]]="EUR", I969*$N$2, 0)))</f>
        <v>270985.55</v>
      </c>
      <c r="K969" s="54">
        <f>Gastos[[#This Row],[Importe AR$]]/$N$1</f>
        <v>173.70868589743588</v>
      </c>
      <c r="M969" s="69"/>
      <c r="N969" s="43" t="str">
        <f>IF(Gastos[[#This Row],[Fecha_Cheque]]&gt;0,WEEKNUM(Gastos[[#This Row],[Fecha_Cheque]]),MID(Gastos[[#This Row],[Semana]],6,2))</f>
        <v>41</v>
      </c>
      <c r="O969" t="s">
        <v>4484</v>
      </c>
      <c r="P969" t="s">
        <v>27</v>
      </c>
    </row>
    <row r="970" spans="1:16" hidden="1" x14ac:dyDescent="0.25">
      <c r="A970" s="3" t="s">
        <v>52</v>
      </c>
      <c r="B970" t="s">
        <v>721</v>
      </c>
      <c r="C970" t="s">
        <v>722</v>
      </c>
      <c r="D970" t="s">
        <v>26</v>
      </c>
      <c r="E970" t="s">
        <v>31</v>
      </c>
      <c r="F970">
        <v>2</v>
      </c>
      <c r="G970" s="3" t="s">
        <v>4</v>
      </c>
      <c r="H970" s="46" t="s">
        <v>15</v>
      </c>
      <c r="I970" s="19">
        <v>1325000</v>
      </c>
      <c r="J970" s="17">
        <f>IF(Gastos[[#This Row],[Divisa]]="$", I970*1, IF(Gastos[[#This Row],[Divisa]]="U$D", I970*$N$1, IF(Gastos[[#This Row],[Divisa]]="EUR", I970*$N$2, 0)))</f>
        <v>1325000</v>
      </c>
      <c r="K970" s="55">
        <f>Gastos[[#This Row],[Importe AR$]]/$N$1</f>
        <v>849.35897435897436</v>
      </c>
      <c r="M970" s="69"/>
      <c r="N970" s="43" t="str">
        <f>IF(Gastos[[#This Row],[Fecha_Cheque]]&gt;0,WEEKNUM(Gastos[[#This Row],[Fecha_Cheque]]),MID(Gastos[[#This Row],[Semana]],6,2))</f>
        <v>12</v>
      </c>
      <c r="P970" t="s">
        <v>27</v>
      </c>
    </row>
    <row r="971" spans="1:16" hidden="1" x14ac:dyDescent="0.25">
      <c r="A971" s="3" t="s">
        <v>253</v>
      </c>
      <c r="B971" t="s">
        <v>721</v>
      </c>
      <c r="C971" t="s">
        <v>723</v>
      </c>
      <c r="D971" t="s">
        <v>26</v>
      </c>
      <c r="E971" t="s">
        <v>31</v>
      </c>
      <c r="F971">
        <v>2</v>
      </c>
      <c r="G971" s="3" t="s">
        <v>4</v>
      </c>
      <c r="H971" s="46" t="s">
        <v>15</v>
      </c>
      <c r="I971" s="17">
        <v>457400</v>
      </c>
      <c r="J971" s="17">
        <f>IF(Gastos[[#This Row],[Divisa]]="$", I971*1, IF(Gastos[[#This Row],[Divisa]]="U$D", I971*$N$1, IF(Gastos[[#This Row],[Divisa]]="EUR", I971*$N$2, 0)))</f>
        <v>457400</v>
      </c>
      <c r="K971" s="54">
        <f>Gastos[[#This Row],[Importe AR$]]/$N$1</f>
        <v>293.20512820512823</v>
      </c>
      <c r="M971" s="69"/>
      <c r="N971" s="43" t="str">
        <f>IF(Gastos[[#This Row],[Fecha_Cheque]]&gt;0,WEEKNUM(Gastos[[#This Row],[Fecha_Cheque]]),MID(Gastos[[#This Row],[Semana]],6,2))</f>
        <v>24</v>
      </c>
      <c r="O971" t="s">
        <v>724</v>
      </c>
      <c r="P971" t="s">
        <v>27</v>
      </c>
    </row>
    <row r="972" spans="1:16" hidden="1" x14ac:dyDescent="0.25">
      <c r="A972" s="3" t="s">
        <v>305</v>
      </c>
      <c r="B972" t="s">
        <v>721</v>
      </c>
      <c r="C972" t="s">
        <v>725</v>
      </c>
      <c r="D972" t="s">
        <v>26</v>
      </c>
      <c r="E972" t="s">
        <v>31</v>
      </c>
      <c r="F972">
        <v>2</v>
      </c>
      <c r="G972" s="3" t="s">
        <v>4</v>
      </c>
      <c r="H972" s="46" t="s">
        <v>15</v>
      </c>
      <c r="I972" s="17">
        <v>84498.92</v>
      </c>
      <c r="J972" s="17">
        <f>IF(Gastos[[#This Row],[Divisa]]="$", I972*1, IF(Gastos[[#This Row],[Divisa]]="U$D", I972*$N$1, IF(Gastos[[#This Row],[Divisa]]="EUR", I972*$N$2, 0)))</f>
        <v>84498.92</v>
      </c>
      <c r="K972" s="54">
        <f>Gastos[[#This Row],[Importe AR$]]/$N$1</f>
        <v>54.16597435897436</v>
      </c>
      <c r="M972" s="69"/>
      <c r="N972" s="43" t="str">
        <f>IF(Gastos[[#This Row],[Fecha_Cheque]]&gt;0,WEEKNUM(Gastos[[#This Row],[Fecha_Cheque]]),MID(Gastos[[#This Row],[Semana]],6,2))</f>
        <v>31</v>
      </c>
      <c r="O972" t="s">
        <v>726</v>
      </c>
      <c r="P972" t="s">
        <v>27</v>
      </c>
    </row>
    <row r="973" spans="1:16" hidden="1" x14ac:dyDescent="0.25">
      <c r="A973" s="3" t="s">
        <v>305</v>
      </c>
      <c r="B973" t="s">
        <v>721</v>
      </c>
      <c r="C973" t="s">
        <v>725</v>
      </c>
      <c r="D973" t="s">
        <v>26</v>
      </c>
      <c r="E973" t="s">
        <v>31</v>
      </c>
      <c r="F973">
        <v>2</v>
      </c>
      <c r="G973" s="3" t="s">
        <v>32</v>
      </c>
      <c r="H973" s="46" t="s">
        <v>15</v>
      </c>
      <c r="I973" s="17">
        <v>203700</v>
      </c>
      <c r="J973" s="17">
        <f>IF(Gastos[[#This Row],[Divisa]]="$", I973*1, IF(Gastos[[#This Row],[Divisa]]="U$D", I973*$N$1, IF(Gastos[[#This Row],[Divisa]]="EUR", I973*$N$2, 0)))</f>
        <v>203700</v>
      </c>
      <c r="K973" s="54">
        <f>Gastos[[#This Row],[Importe AR$]]/$N$1</f>
        <v>130.57692307692307</v>
      </c>
      <c r="M973" s="69"/>
      <c r="N973" s="43" t="str">
        <f>IF(Gastos[[#This Row],[Fecha_Cheque]]&gt;0,WEEKNUM(Gastos[[#This Row],[Fecha_Cheque]]),MID(Gastos[[#This Row],[Semana]],6,2))</f>
        <v>31</v>
      </c>
      <c r="O973" t="s">
        <v>726</v>
      </c>
      <c r="P973" t="s">
        <v>27</v>
      </c>
    </row>
    <row r="974" spans="1:16" hidden="1" x14ac:dyDescent="0.25">
      <c r="A974" s="3" t="s">
        <v>305</v>
      </c>
      <c r="B974" t="s">
        <v>721</v>
      </c>
      <c r="C974" t="s">
        <v>725</v>
      </c>
      <c r="D974" t="s">
        <v>26</v>
      </c>
      <c r="E974" t="s">
        <v>31</v>
      </c>
      <c r="F974">
        <v>2</v>
      </c>
      <c r="G974" s="3" t="s">
        <v>32</v>
      </c>
      <c r="H974" s="46" t="s">
        <v>15</v>
      </c>
      <c r="I974" s="17">
        <v>242801</v>
      </c>
      <c r="J974" s="17">
        <f>IF(Gastos[[#This Row],[Divisa]]="$", I974*1, IF(Gastos[[#This Row],[Divisa]]="U$D", I974*$N$1, IF(Gastos[[#This Row],[Divisa]]="EUR", I974*$N$2, 0)))</f>
        <v>242801</v>
      </c>
      <c r="K974" s="54">
        <f>Gastos[[#This Row],[Importe AR$]]/$N$1</f>
        <v>155.64166666666668</v>
      </c>
      <c r="M974" s="69"/>
      <c r="N974" s="43" t="str">
        <f>IF(Gastos[[#This Row],[Fecha_Cheque]]&gt;0,WEEKNUM(Gastos[[#This Row],[Fecha_Cheque]]),MID(Gastos[[#This Row],[Semana]],6,2))</f>
        <v>31</v>
      </c>
      <c r="O974" t="s">
        <v>726</v>
      </c>
      <c r="P974" t="s">
        <v>27</v>
      </c>
    </row>
    <row r="975" spans="1:16" hidden="1" x14ac:dyDescent="0.25">
      <c r="A975" s="3" t="s">
        <v>305</v>
      </c>
      <c r="B975" t="s">
        <v>721</v>
      </c>
      <c r="C975" t="s">
        <v>725</v>
      </c>
      <c r="D975" t="s">
        <v>26</v>
      </c>
      <c r="E975" t="s">
        <v>31</v>
      </c>
      <c r="F975">
        <v>2</v>
      </c>
      <c r="G975" s="3" t="s">
        <v>32</v>
      </c>
      <c r="H975" s="46" t="s">
        <v>15</v>
      </c>
      <c r="I975" s="17">
        <v>669000</v>
      </c>
      <c r="J975" s="17">
        <f>IF(Gastos[[#This Row],[Divisa]]="$", I975*1, IF(Gastos[[#This Row],[Divisa]]="U$D", I975*$N$1, IF(Gastos[[#This Row],[Divisa]]="EUR", I975*$N$2, 0)))</f>
        <v>669000</v>
      </c>
      <c r="K975" s="54">
        <f>Gastos[[#This Row],[Importe AR$]]/$N$1</f>
        <v>428.84615384615387</v>
      </c>
      <c r="M975" s="69"/>
      <c r="N975" s="43" t="str">
        <f>IF(Gastos[[#This Row],[Fecha_Cheque]]&gt;0,WEEKNUM(Gastos[[#This Row],[Fecha_Cheque]]),MID(Gastos[[#This Row],[Semana]],6,2))</f>
        <v>31</v>
      </c>
      <c r="O975" t="s">
        <v>726</v>
      </c>
      <c r="P975" t="s">
        <v>27</v>
      </c>
    </row>
    <row r="976" spans="1:16" hidden="1" x14ac:dyDescent="0.25">
      <c r="A976" s="3" t="s">
        <v>2726</v>
      </c>
      <c r="B976" t="s">
        <v>3242</v>
      </c>
      <c r="D976" t="s">
        <v>26</v>
      </c>
      <c r="E976" t="s">
        <v>31</v>
      </c>
      <c r="F976">
        <v>1</v>
      </c>
      <c r="G976" s="3" t="s">
        <v>5</v>
      </c>
      <c r="H976" s="44" t="s">
        <v>15</v>
      </c>
      <c r="I976" s="17">
        <v>80000</v>
      </c>
      <c r="J976" s="17">
        <f>IF(Gastos[[#This Row],[Divisa]]="$", I976*1, IF(Gastos[[#This Row],[Divisa]]="U$D", I976*$N$1, IF(Gastos[[#This Row],[Divisa]]="EUR", I976*$N$2, 0)))</f>
        <v>80000</v>
      </c>
      <c r="K976" s="54">
        <f>Gastos[[#This Row],[Importe AR$]]/$N$1</f>
        <v>51.282051282051285</v>
      </c>
      <c r="M976" s="69"/>
      <c r="N976" s="43" t="str">
        <f>IF(Gastos[[#This Row],[Fecha_Cheque]]&gt;0,WEEKNUM(Gastos[[#This Row],[Fecha_Cheque]]),MID(Gastos[[#This Row],[Semana]],6,2))</f>
        <v>24</v>
      </c>
      <c r="O976" t="s">
        <v>3243</v>
      </c>
      <c r="P976" t="s">
        <v>27</v>
      </c>
    </row>
    <row r="977" spans="1:16" hidden="1" x14ac:dyDescent="0.25">
      <c r="A977" s="3" t="s">
        <v>2740</v>
      </c>
      <c r="B977" t="s">
        <v>3242</v>
      </c>
      <c r="C977" t="s">
        <v>3532</v>
      </c>
      <c r="D977" t="s">
        <v>26</v>
      </c>
      <c r="E977" t="s">
        <v>31</v>
      </c>
      <c r="F977">
        <v>1</v>
      </c>
      <c r="G977" s="3" t="s">
        <v>5</v>
      </c>
      <c r="H977" s="44" t="s">
        <v>15</v>
      </c>
      <c r="I977" s="17">
        <v>80000</v>
      </c>
      <c r="J977" s="17">
        <f>IF(Gastos[[#This Row],[Divisa]]="$", I977*1, IF(Gastos[[#This Row],[Divisa]]="U$D", I977*$N$1, IF(Gastos[[#This Row],[Divisa]]="EUR", I977*$N$2, 0)))</f>
        <v>80000</v>
      </c>
      <c r="K977" s="54">
        <f>Gastos[[#This Row],[Importe AR$]]/$N$1</f>
        <v>51.282051282051285</v>
      </c>
      <c r="M977" s="69"/>
      <c r="N977" s="43" t="str">
        <f>IF(Gastos[[#This Row],[Fecha_Cheque]]&gt;0,WEEKNUM(Gastos[[#This Row],[Fecha_Cheque]]),MID(Gastos[[#This Row],[Semana]],6,2))</f>
        <v>16</v>
      </c>
      <c r="O977" t="s">
        <v>3533</v>
      </c>
      <c r="P977" t="s">
        <v>27</v>
      </c>
    </row>
    <row r="978" spans="1:16" hidden="1" x14ac:dyDescent="0.25">
      <c r="A978" s="3" t="s">
        <v>3754</v>
      </c>
      <c r="B978" t="s">
        <v>3763</v>
      </c>
      <c r="C978" t="s">
        <v>3764</v>
      </c>
      <c r="D978" t="s">
        <v>26</v>
      </c>
      <c r="E978" t="s">
        <v>42</v>
      </c>
      <c r="F978">
        <v>1</v>
      </c>
      <c r="G978" s="3" t="s">
        <v>4</v>
      </c>
      <c r="H978" s="44" t="s">
        <v>15</v>
      </c>
      <c r="I978" s="17">
        <v>100700</v>
      </c>
      <c r="J978" s="17">
        <f>IF(Gastos[[#This Row],[Divisa]]="$", I978*1, IF(Gastos[[#This Row],[Divisa]]="U$D", I978*$N$1, IF(Gastos[[#This Row],[Divisa]]="EUR", I978*$N$2, 0)))</f>
        <v>100700</v>
      </c>
      <c r="K978" s="54">
        <f>Gastos[[#This Row],[Importe AR$]]/$N$1</f>
        <v>64.551282051282058</v>
      </c>
      <c r="M978" s="69"/>
      <c r="N978" s="43" t="str">
        <f>IF(Gastos[[#This Row],[Fecha_Cheque]]&gt;0,WEEKNUM(Gastos[[#This Row],[Fecha_Cheque]]),MID(Gastos[[#This Row],[Semana]],6,2))</f>
        <v>29</v>
      </c>
      <c r="O978" t="s">
        <v>3767</v>
      </c>
      <c r="P978" t="s">
        <v>27</v>
      </c>
    </row>
    <row r="979" spans="1:16" hidden="1" x14ac:dyDescent="0.25">
      <c r="A979" s="3" t="s">
        <v>3963</v>
      </c>
      <c r="B979" t="s">
        <v>3763</v>
      </c>
      <c r="C979" t="s">
        <v>3974</v>
      </c>
      <c r="D979" t="s">
        <v>26</v>
      </c>
      <c r="E979" t="s">
        <v>42</v>
      </c>
      <c r="F979">
        <v>1</v>
      </c>
      <c r="G979" s="3" t="s">
        <v>4</v>
      </c>
      <c r="H979" s="44" t="s">
        <v>15</v>
      </c>
      <c r="I979" s="17">
        <v>67001.820000000007</v>
      </c>
      <c r="J979" s="17">
        <f>IF(Gastos[[#This Row],[Divisa]]="$", I979*1, IF(Gastos[[#This Row],[Divisa]]="U$D", I979*$N$1, IF(Gastos[[#This Row],[Divisa]]="EUR", I979*$N$2, 0)))</f>
        <v>67001.820000000007</v>
      </c>
      <c r="K979" s="54">
        <f>Gastos[[#This Row],[Importe AR$]]/$N$1</f>
        <v>42.949884615384619</v>
      </c>
      <c r="M979" s="69"/>
      <c r="N979" s="43" t="str">
        <f>IF(Gastos[[#This Row],[Fecha_Cheque]]&gt;0,WEEKNUM(Gastos[[#This Row],[Fecha_Cheque]]),MID(Gastos[[#This Row],[Semana]],6,2))</f>
        <v>32</v>
      </c>
      <c r="O979" t="s">
        <v>4004</v>
      </c>
      <c r="P979" t="s">
        <v>27</v>
      </c>
    </row>
    <row r="980" spans="1:16" hidden="1" x14ac:dyDescent="0.25">
      <c r="A980" s="3" t="s">
        <v>4074</v>
      </c>
      <c r="B980" t="s">
        <v>3763</v>
      </c>
      <c r="C980" t="s">
        <v>4085</v>
      </c>
      <c r="D980" t="s">
        <v>26</v>
      </c>
      <c r="E980" t="s">
        <v>31</v>
      </c>
      <c r="F980">
        <v>1</v>
      </c>
      <c r="G980" s="3" t="s">
        <v>32</v>
      </c>
      <c r="H980" s="44" t="s">
        <v>15</v>
      </c>
      <c r="I980" s="17">
        <v>309700</v>
      </c>
      <c r="J980" s="17">
        <f>IF(Gastos[[#This Row],[Divisa]]="$", I980*1, IF(Gastos[[#This Row],[Divisa]]="U$D", I980*$N$1, IF(Gastos[[#This Row],[Divisa]]="EUR", I980*$N$2, 0)))</f>
        <v>309700</v>
      </c>
      <c r="K980" s="54">
        <f>Gastos[[#This Row],[Importe AR$]]/$N$1</f>
        <v>198.52564102564102</v>
      </c>
      <c r="M980" s="69">
        <v>46277</v>
      </c>
      <c r="N980" s="43">
        <f>IF(Gastos[[#This Row],[Fecha_Cheque]]&gt;0,WEEKNUM(Gastos[[#This Row],[Fecha_Cheque]]),MID(Gastos[[#This Row],[Semana]],6,2))</f>
        <v>37</v>
      </c>
      <c r="O980" t="s">
        <v>4117</v>
      </c>
      <c r="P980" t="s">
        <v>27</v>
      </c>
    </row>
    <row r="981" spans="1:16" hidden="1" x14ac:dyDescent="0.25">
      <c r="A981" s="3" t="s">
        <v>4074</v>
      </c>
      <c r="B981" t="s">
        <v>3763</v>
      </c>
      <c r="C981" t="s">
        <v>4085</v>
      </c>
      <c r="D981" t="s">
        <v>26</v>
      </c>
      <c r="E981" t="s">
        <v>31</v>
      </c>
      <c r="F981">
        <v>1</v>
      </c>
      <c r="G981" s="3" t="s">
        <v>32</v>
      </c>
      <c r="H981" s="44" t="s">
        <v>15</v>
      </c>
      <c r="I981" s="17">
        <v>1746.48</v>
      </c>
      <c r="J981" s="17">
        <f>IF(Gastos[[#This Row],[Divisa]]="$", I981*1, IF(Gastos[[#This Row],[Divisa]]="U$D", I981*$N$1, IF(Gastos[[#This Row],[Divisa]]="EUR", I981*$N$2, 0)))</f>
        <v>1746.48</v>
      </c>
      <c r="K981" s="54">
        <f>Gastos[[#This Row],[Importe AR$]]/$N$1</f>
        <v>1.1195384615384616</v>
      </c>
      <c r="L981" t="s">
        <v>340</v>
      </c>
      <c r="M981" s="69"/>
      <c r="N981" s="43" t="str">
        <f>IF(Gastos[[#This Row],[Fecha_Cheque]]&gt;0,WEEKNUM(Gastos[[#This Row],[Fecha_Cheque]]),MID(Gastos[[#This Row],[Semana]],6,2))</f>
        <v>34</v>
      </c>
      <c r="O981" t="s">
        <v>4117</v>
      </c>
      <c r="P981" t="s">
        <v>27</v>
      </c>
    </row>
    <row r="982" spans="1:16" hidden="1" x14ac:dyDescent="0.25">
      <c r="A982" s="3" t="s">
        <v>4119</v>
      </c>
      <c r="B982" t="s">
        <v>3763</v>
      </c>
      <c r="C982" t="s">
        <v>4085</v>
      </c>
      <c r="D982" t="s">
        <v>26</v>
      </c>
      <c r="E982" t="s">
        <v>31</v>
      </c>
      <c r="F982">
        <v>1</v>
      </c>
      <c r="G982" s="3" t="s">
        <v>32</v>
      </c>
      <c r="H982" s="44" t="s">
        <v>15</v>
      </c>
      <c r="I982" s="17">
        <v>300000</v>
      </c>
      <c r="J982" s="17">
        <f>IF(Gastos[[#This Row],[Divisa]]="$", I982*1, IF(Gastos[[#This Row],[Divisa]]="U$D", I982*$N$1, IF(Gastos[[#This Row],[Divisa]]="EUR", I982*$N$2, 0)))</f>
        <v>300000</v>
      </c>
      <c r="K982" s="54">
        <f>Gastos[[#This Row],[Importe AR$]]/$N$1</f>
        <v>192.30769230769232</v>
      </c>
      <c r="M982" s="69">
        <v>46264</v>
      </c>
      <c r="N982" s="43">
        <f>IF(Gastos[[#This Row],[Fecha_Cheque]]&gt;0,WEEKNUM(Gastos[[#This Row],[Fecha_Cheque]]),MID(Gastos[[#This Row],[Semana]],6,2))</f>
        <v>36</v>
      </c>
      <c r="O982" t="s">
        <v>4144</v>
      </c>
      <c r="P982" t="s">
        <v>27</v>
      </c>
    </row>
    <row r="983" spans="1:16" hidden="1" x14ac:dyDescent="0.25">
      <c r="A983" s="3" t="s">
        <v>4119</v>
      </c>
      <c r="B983" t="s">
        <v>3763</v>
      </c>
      <c r="C983" t="s">
        <v>4085</v>
      </c>
      <c r="D983" t="s">
        <v>26</v>
      </c>
      <c r="E983" t="s">
        <v>31</v>
      </c>
      <c r="F983">
        <v>1</v>
      </c>
      <c r="G983" s="3" t="s">
        <v>32</v>
      </c>
      <c r="H983" s="44" t="s">
        <v>15</v>
      </c>
      <c r="I983" s="17">
        <v>6028.86</v>
      </c>
      <c r="J983" s="17">
        <f>IF(Gastos[[#This Row],[Divisa]]="$", I983*1, IF(Gastos[[#This Row],[Divisa]]="U$D", I983*$N$1, IF(Gastos[[#This Row],[Divisa]]="EUR", I983*$N$2, 0)))</f>
        <v>6028.86</v>
      </c>
      <c r="K983" s="54">
        <f>Gastos[[#This Row],[Importe AR$]]/$N$1</f>
        <v>3.8646538461538458</v>
      </c>
      <c r="L983" t="s">
        <v>340</v>
      </c>
      <c r="M983" s="69"/>
      <c r="N983" s="43" t="str">
        <f>IF(Gastos[[#This Row],[Fecha_Cheque]]&gt;0,WEEKNUM(Gastos[[#This Row],[Fecha_Cheque]]),MID(Gastos[[#This Row],[Semana]],6,2))</f>
        <v>35</v>
      </c>
      <c r="O983" t="s">
        <v>4144</v>
      </c>
      <c r="P983" t="s">
        <v>27</v>
      </c>
    </row>
    <row r="984" spans="1:16" x14ac:dyDescent="0.25">
      <c r="A984" s="3" t="s">
        <v>4655</v>
      </c>
      <c r="B984" t="s">
        <v>3236</v>
      </c>
      <c r="C984" t="s">
        <v>3237</v>
      </c>
      <c r="D984" t="s">
        <v>26</v>
      </c>
      <c r="E984" t="s">
        <v>91</v>
      </c>
      <c r="F984">
        <v>1</v>
      </c>
      <c r="G984" s="3" t="s">
        <v>5</v>
      </c>
      <c r="H984" s="46" t="s">
        <v>15</v>
      </c>
      <c r="I984" s="17">
        <v>228237.97</v>
      </c>
      <c r="J984" s="17">
        <f>IF(Gastos[[#This Row],[Divisa]]="$", I984*1, IF(Gastos[[#This Row],[Divisa]]="U$D", I984*$N$1, IF(Gastos[[#This Row],[Divisa]]="EUR", I984*$N$2, 0)))</f>
        <v>228237.97</v>
      </c>
      <c r="K984" s="54">
        <f>Gastos[[#This Row],[Importe AR$]]/$N$1</f>
        <v>146.30639102564103</v>
      </c>
      <c r="M984" s="69"/>
      <c r="N984" s="43" t="str">
        <f>IF(Gastos[[#This Row],[Fecha_Cheque]]&gt;0,WEEKNUM(Gastos[[#This Row],[Fecha_Cheque]]),MID(Gastos[[#This Row],[Semana]],6,2))</f>
        <v>44</v>
      </c>
    </row>
    <row r="985" spans="1:16" hidden="1" x14ac:dyDescent="0.25">
      <c r="A985" s="3" t="s">
        <v>50</v>
      </c>
      <c r="B985" t="s">
        <v>727</v>
      </c>
      <c r="C985" t="s">
        <v>115</v>
      </c>
      <c r="D985" t="s">
        <v>26</v>
      </c>
      <c r="E985" t="s">
        <v>132</v>
      </c>
      <c r="F985">
        <v>1</v>
      </c>
      <c r="G985" s="3" t="s">
        <v>5</v>
      </c>
      <c r="H985" s="46" t="s">
        <v>15</v>
      </c>
      <c r="I985" s="17">
        <v>30000000</v>
      </c>
      <c r="J985" s="17">
        <f>IF(Gastos[[#This Row],[Divisa]]="$", I985*1, IF(Gastos[[#This Row],[Divisa]]="U$D", I985*$N$1, IF(Gastos[[#This Row],[Divisa]]="EUR", I985*$N$2, 0)))</f>
        <v>30000000</v>
      </c>
      <c r="K985" s="54">
        <f>Gastos[[#This Row],[Importe AR$]]/$N$1</f>
        <v>19230.76923076923</v>
      </c>
      <c r="M985" s="69"/>
      <c r="N985" s="43" t="str">
        <f>IF(Gastos[[#This Row],[Fecha_Cheque]]&gt;0,WEEKNUM(Gastos[[#This Row],[Fecha_Cheque]]),MID(Gastos[[#This Row],[Semana]],6,2))</f>
        <v>25</v>
      </c>
      <c r="O985" t="s">
        <v>728</v>
      </c>
      <c r="P985" t="s">
        <v>27</v>
      </c>
    </row>
    <row r="986" spans="1:16" hidden="1" x14ac:dyDescent="0.25">
      <c r="A986" s="3" t="s">
        <v>23</v>
      </c>
      <c r="B986" t="s">
        <v>727</v>
      </c>
      <c r="C986" t="s">
        <v>729</v>
      </c>
      <c r="D986" t="s">
        <v>97</v>
      </c>
      <c r="E986" t="s">
        <v>132</v>
      </c>
      <c r="F986">
        <v>1</v>
      </c>
      <c r="G986" s="3" t="s">
        <v>5</v>
      </c>
      <c r="H986" s="46" t="s">
        <v>15</v>
      </c>
      <c r="I986" s="17">
        <v>20000000</v>
      </c>
      <c r="J986" s="17">
        <f>IF(Gastos[[#This Row],[Divisa]]="$", I986*1, IF(Gastos[[#This Row],[Divisa]]="U$D", I986*$N$1, IF(Gastos[[#This Row],[Divisa]]="EUR", I986*$N$2, 0)))</f>
        <v>20000000</v>
      </c>
      <c r="K986" s="54">
        <f>Gastos[[#This Row],[Importe AR$]]/$N$1</f>
        <v>12820.51282051282</v>
      </c>
      <c r="M986" s="69"/>
      <c r="N986" s="43" t="str">
        <f>IF(Gastos[[#This Row],[Fecha_Cheque]]&gt;0,WEEKNUM(Gastos[[#This Row],[Fecha_Cheque]]),MID(Gastos[[#This Row],[Semana]],6,2))</f>
        <v>22</v>
      </c>
      <c r="O986" t="s">
        <v>730</v>
      </c>
      <c r="P986" t="s">
        <v>27</v>
      </c>
    </row>
    <row r="987" spans="1:16" hidden="1" x14ac:dyDescent="0.25">
      <c r="A987" s="3" t="s">
        <v>23</v>
      </c>
      <c r="B987" t="s">
        <v>727</v>
      </c>
      <c r="C987" t="s">
        <v>729</v>
      </c>
      <c r="D987" t="s">
        <v>97</v>
      </c>
      <c r="E987" t="s">
        <v>132</v>
      </c>
      <c r="F987">
        <v>1</v>
      </c>
      <c r="G987" s="3" t="s">
        <v>5</v>
      </c>
      <c r="H987" s="46" t="s">
        <v>15</v>
      </c>
      <c r="I987" s="17">
        <v>40000000</v>
      </c>
      <c r="J987" s="17">
        <f>IF(Gastos[[#This Row],[Divisa]]="$", I987*1, IF(Gastos[[#This Row],[Divisa]]="U$D", I987*$N$1, IF(Gastos[[#This Row],[Divisa]]="EUR", I987*$N$2, 0)))</f>
        <v>40000000</v>
      </c>
      <c r="K987" s="54">
        <f>Gastos[[#This Row],[Importe AR$]]/$N$1</f>
        <v>25641.025641025641</v>
      </c>
      <c r="M987" s="69"/>
      <c r="N987" s="43" t="str">
        <f>IF(Gastos[[#This Row],[Fecha_Cheque]]&gt;0,WEEKNUM(Gastos[[#This Row],[Fecha_Cheque]]),MID(Gastos[[#This Row],[Semana]],6,2))</f>
        <v>22</v>
      </c>
      <c r="O987" t="s">
        <v>731</v>
      </c>
      <c r="P987" t="s">
        <v>27</v>
      </c>
    </row>
    <row r="988" spans="1:16" hidden="1" x14ac:dyDescent="0.25">
      <c r="A988" s="3" t="s">
        <v>290</v>
      </c>
      <c r="B988" t="s">
        <v>727</v>
      </c>
      <c r="C988" t="s">
        <v>729</v>
      </c>
      <c r="D988" t="s">
        <v>26</v>
      </c>
      <c r="E988" t="s">
        <v>132</v>
      </c>
      <c r="F988">
        <v>1</v>
      </c>
      <c r="G988" s="3" t="s">
        <v>5</v>
      </c>
      <c r="H988" s="46" t="s">
        <v>15</v>
      </c>
      <c r="I988" s="17">
        <v>60000000</v>
      </c>
      <c r="J988" s="17">
        <f>IF(Gastos[[#This Row],[Divisa]]="$", I988*1, IF(Gastos[[#This Row],[Divisa]]="U$D", I988*$N$1, IF(Gastos[[#This Row],[Divisa]]="EUR", I988*$N$2, 0)))</f>
        <v>60000000</v>
      </c>
      <c r="K988" s="54">
        <f>Gastos[[#This Row],[Importe AR$]]/$N$1</f>
        <v>38461.538461538461</v>
      </c>
      <c r="L988">
        <v>30000000</v>
      </c>
      <c r="M988" s="69"/>
      <c r="N988" s="43" t="str">
        <f>IF(Gastos[[#This Row],[Fecha_Cheque]]&gt;0,WEEKNUM(Gastos[[#This Row],[Fecha_Cheque]]),MID(Gastos[[#This Row],[Semana]],6,2))</f>
        <v>23</v>
      </c>
      <c r="O988" t="s">
        <v>732</v>
      </c>
      <c r="P988" t="s">
        <v>733</v>
      </c>
    </row>
    <row r="989" spans="1:16" hidden="1" x14ac:dyDescent="0.25">
      <c r="A989" s="3" t="s">
        <v>85</v>
      </c>
      <c r="B989" t="s">
        <v>727</v>
      </c>
      <c r="C989" t="s">
        <v>115</v>
      </c>
      <c r="D989" t="s">
        <v>26</v>
      </c>
      <c r="E989" t="s">
        <v>132</v>
      </c>
      <c r="F989">
        <v>1</v>
      </c>
      <c r="G989" s="3" t="s">
        <v>5</v>
      </c>
      <c r="H989" s="46" t="s">
        <v>15</v>
      </c>
      <c r="I989" s="17">
        <v>30000000</v>
      </c>
      <c r="J989" s="17">
        <f>IF(Gastos[[#This Row],[Divisa]]="$", I989*1, IF(Gastos[[#This Row],[Divisa]]="U$D", I989*$N$1, IF(Gastos[[#This Row],[Divisa]]="EUR", I989*$N$2, 0)))</f>
        <v>30000000</v>
      </c>
      <c r="K989" s="54">
        <f>Gastos[[#This Row],[Importe AR$]]/$N$1</f>
        <v>19230.76923076923</v>
      </c>
      <c r="M989" s="69"/>
      <c r="N989" s="43" t="str">
        <f>IF(Gastos[[#This Row],[Fecha_Cheque]]&gt;0,WEEKNUM(Gastos[[#This Row],[Fecha_Cheque]]),MID(Gastos[[#This Row],[Semana]],6,2))</f>
        <v>26</v>
      </c>
      <c r="O989" t="s">
        <v>734</v>
      </c>
      <c r="P989" t="s">
        <v>27</v>
      </c>
    </row>
    <row r="990" spans="1:16" hidden="1" x14ac:dyDescent="0.25">
      <c r="A990" s="3" t="s">
        <v>105</v>
      </c>
      <c r="B990" t="s">
        <v>727</v>
      </c>
      <c r="C990" t="s">
        <v>735</v>
      </c>
      <c r="D990" t="s">
        <v>26</v>
      </c>
      <c r="E990" t="s">
        <v>132</v>
      </c>
      <c r="F990">
        <v>1</v>
      </c>
      <c r="G990" s="3" t="s">
        <v>5</v>
      </c>
      <c r="H990" s="46" t="s">
        <v>15</v>
      </c>
      <c r="I990" s="17">
        <v>20000000</v>
      </c>
      <c r="J990" s="17">
        <f>IF(Gastos[[#This Row],[Divisa]]="$", I990*1, IF(Gastos[[#This Row],[Divisa]]="U$D", I990*$N$1, IF(Gastos[[#This Row],[Divisa]]="EUR", I990*$N$2, 0)))</f>
        <v>20000000</v>
      </c>
      <c r="K990" s="54">
        <f>Gastos[[#This Row],[Importe AR$]]/$N$1</f>
        <v>12820.51282051282</v>
      </c>
      <c r="M990" s="69"/>
      <c r="N990" s="43" t="str">
        <f>IF(Gastos[[#This Row],[Fecha_Cheque]]&gt;0,WEEKNUM(Gastos[[#This Row],[Fecha_Cheque]]),MID(Gastos[[#This Row],[Semana]],6,2))</f>
        <v>27</v>
      </c>
      <c r="O990" t="s">
        <v>736</v>
      </c>
      <c r="P990" t="s">
        <v>27</v>
      </c>
    </row>
    <row r="991" spans="1:16" hidden="1" x14ac:dyDescent="0.25">
      <c r="A991" s="3" t="s">
        <v>105</v>
      </c>
      <c r="B991" t="s">
        <v>727</v>
      </c>
      <c r="C991" t="s">
        <v>735</v>
      </c>
      <c r="D991" t="s">
        <v>26</v>
      </c>
      <c r="E991" t="s">
        <v>132</v>
      </c>
      <c r="F991">
        <v>1</v>
      </c>
      <c r="G991" s="3" t="s">
        <v>5</v>
      </c>
      <c r="H991" s="46" t="s">
        <v>15</v>
      </c>
      <c r="I991" s="17">
        <v>20000000</v>
      </c>
      <c r="J991" s="17">
        <f>IF(Gastos[[#This Row],[Divisa]]="$", I991*1, IF(Gastos[[#This Row],[Divisa]]="U$D", I991*$N$1, IF(Gastos[[#This Row],[Divisa]]="EUR", I991*$N$2, 0)))</f>
        <v>20000000</v>
      </c>
      <c r="K991" s="54">
        <f>Gastos[[#This Row],[Importe AR$]]/$N$1</f>
        <v>12820.51282051282</v>
      </c>
      <c r="M991" s="69"/>
      <c r="N991" s="43" t="str">
        <f>IF(Gastos[[#This Row],[Fecha_Cheque]]&gt;0,WEEKNUM(Gastos[[#This Row],[Fecha_Cheque]]),MID(Gastos[[#This Row],[Semana]],6,2))</f>
        <v>27</v>
      </c>
      <c r="O991" t="s">
        <v>737</v>
      </c>
      <c r="P991" t="s">
        <v>27</v>
      </c>
    </row>
    <row r="992" spans="1:16" hidden="1" x14ac:dyDescent="0.25">
      <c r="A992" s="3" t="s">
        <v>99</v>
      </c>
      <c r="B992" t="s">
        <v>727</v>
      </c>
      <c r="C992" t="s">
        <v>115</v>
      </c>
      <c r="D992" t="s">
        <v>26</v>
      </c>
      <c r="E992" t="s">
        <v>132</v>
      </c>
      <c r="F992">
        <v>1</v>
      </c>
      <c r="G992" s="3" t="s">
        <v>5</v>
      </c>
      <c r="H992" s="46" t="s">
        <v>15</v>
      </c>
      <c r="I992" s="17">
        <v>20000000</v>
      </c>
      <c r="J992" s="17">
        <f>IF(Gastos[[#This Row],[Divisa]]="$", I992*1, IF(Gastos[[#This Row],[Divisa]]="U$D", I992*$N$1, IF(Gastos[[#This Row],[Divisa]]="EUR", I992*$N$2, 0)))</f>
        <v>20000000</v>
      </c>
      <c r="K992" s="54">
        <f>Gastos[[#This Row],[Importe AR$]]/$N$1</f>
        <v>12820.51282051282</v>
      </c>
      <c r="M992" s="69"/>
      <c r="N992" s="43" t="str">
        <f>IF(Gastos[[#This Row],[Fecha_Cheque]]&gt;0,WEEKNUM(Gastos[[#This Row],[Fecha_Cheque]]),MID(Gastos[[#This Row],[Semana]],6,2))</f>
        <v>28</v>
      </c>
      <c r="O992" t="s">
        <v>738</v>
      </c>
      <c r="P992" t="s">
        <v>27</v>
      </c>
    </row>
    <row r="993" spans="1:16" hidden="1" x14ac:dyDescent="0.25">
      <c r="A993" s="3" t="s">
        <v>99</v>
      </c>
      <c r="B993" t="s">
        <v>727</v>
      </c>
      <c r="C993" t="s">
        <v>115</v>
      </c>
      <c r="D993" t="s">
        <v>26</v>
      </c>
      <c r="E993" t="s">
        <v>132</v>
      </c>
      <c r="F993">
        <v>1</v>
      </c>
      <c r="G993" s="3" t="s">
        <v>5</v>
      </c>
      <c r="H993" s="46" t="s">
        <v>15</v>
      </c>
      <c r="I993" s="17">
        <v>10000000</v>
      </c>
      <c r="J993" s="17">
        <f>IF(Gastos[[#This Row],[Divisa]]="$", I993*1, IF(Gastos[[#This Row],[Divisa]]="U$D", I993*$N$1, IF(Gastos[[#This Row],[Divisa]]="EUR", I993*$N$2, 0)))</f>
        <v>10000000</v>
      </c>
      <c r="K993" s="54">
        <f>Gastos[[#This Row],[Importe AR$]]/$N$1</f>
        <v>6410.2564102564102</v>
      </c>
      <c r="M993" s="69"/>
      <c r="N993" s="43" t="str">
        <f>IF(Gastos[[#This Row],[Fecha_Cheque]]&gt;0,WEEKNUM(Gastos[[#This Row],[Fecha_Cheque]]),MID(Gastos[[#This Row],[Semana]],6,2))</f>
        <v>28</v>
      </c>
      <c r="O993" t="s">
        <v>739</v>
      </c>
      <c r="P993" t="s">
        <v>27</v>
      </c>
    </row>
    <row r="994" spans="1:16" hidden="1" x14ac:dyDescent="0.25">
      <c r="A994" s="3" t="s">
        <v>99</v>
      </c>
      <c r="B994" t="s">
        <v>727</v>
      </c>
      <c r="C994" t="s">
        <v>115</v>
      </c>
      <c r="D994" t="s">
        <v>26</v>
      </c>
      <c r="E994" t="s">
        <v>132</v>
      </c>
      <c r="F994">
        <v>1</v>
      </c>
      <c r="G994" s="3" t="s">
        <v>5</v>
      </c>
      <c r="H994" s="46" t="s">
        <v>15</v>
      </c>
      <c r="I994" s="17">
        <v>10000000</v>
      </c>
      <c r="J994" s="17">
        <f>IF(Gastos[[#This Row],[Divisa]]="$", I994*1, IF(Gastos[[#This Row],[Divisa]]="U$D", I994*$N$1, IF(Gastos[[#This Row],[Divisa]]="EUR", I994*$N$2, 0)))</f>
        <v>10000000</v>
      </c>
      <c r="K994" s="54">
        <f>Gastos[[#This Row],[Importe AR$]]/$N$1</f>
        <v>6410.2564102564102</v>
      </c>
      <c r="M994" s="69"/>
      <c r="N994" s="43" t="str">
        <f>IF(Gastos[[#This Row],[Fecha_Cheque]]&gt;0,WEEKNUM(Gastos[[#This Row],[Fecha_Cheque]]),MID(Gastos[[#This Row],[Semana]],6,2))</f>
        <v>28</v>
      </c>
      <c r="O994" t="s">
        <v>740</v>
      </c>
      <c r="P994" t="s">
        <v>27</v>
      </c>
    </row>
    <row r="995" spans="1:16" hidden="1" x14ac:dyDescent="0.25">
      <c r="A995" s="3" t="s">
        <v>114</v>
      </c>
      <c r="B995" t="s">
        <v>727</v>
      </c>
      <c r="C995" t="s">
        <v>115</v>
      </c>
      <c r="D995" t="s">
        <v>26</v>
      </c>
      <c r="E995" t="s">
        <v>132</v>
      </c>
      <c r="F995">
        <v>1</v>
      </c>
      <c r="G995" s="3" t="s">
        <v>5</v>
      </c>
      <c r="H995" s="46" t="s">
        <v>15</v>
      </c>
      <c r="I995" s="17">
        <v>15000000</v>
      </c>
      <c r="J995" s="17">
        <f>IF(Gastos[[#This Row],[Divisa]]="$", I995*1, IF(Gastos[[#This Row],[Divisa]]="U$D", I995*$N$1, IF(Gastos[[#This Row],[Divisa]]="EUR", I995*$N$2, 0)))</f>
        <v>15000000</v>
      </c>
      <c r="K995" s="54">
        <f>Gastos[[#This Row],[Importe AR$]]/$N$1</f>
        <v>9615.3846153846152</v>
      </c>
      <c r="M995" s="69"/>
      <c r="N995" s="43" t="str">
        <f>IF(Gastos[[#This Row],[Fecha_Cheque]]&gt;0,WEEKNUM(Gastos[[#This Row],[Fecha_Cheque]]),MID(Gastos[[#This Row],[Semana]],6,2))</f>
        <v>29</v>
      </c>
      <c r="O995" t="s">
        <v>741</v>
      </c>
      <c r="P995" t="s">
        <v>27</v>
      </c>
    </row>
    <row r="996" spans="1:16" hidden="1" x14ac:dyDescent="0.25">
      <c r="A996" s="3" t="s">
        <v>114</v>
      </c>
      <c r="B996" t="s">
        <v>727</v>
      </c>
      <c r="C996" t="s">
        <v>115</v>
      </c>
      <c r="D996" t="s">
        <v>26</v>
      </c>
      <c r="E996" t="s">
        <v>132</v>
      </c>
      <c r="F996">
        <v>1</v>
      </c>
      <c r="G996" s="3" t="s">
        <v>5</v>
      </c>
      <c r="H996" s="46" t="s">
        <v>15</v>
      </c>
      <c r="I996" s="17">
        <v>25000000</v>
      </c>
      <c r="J996" s="17">
        <f>IF(Gastos[[#This Row],[Divisa]]="$", I996*1, IF(Gastos[[#This Row],[Divisa]]="U$D", I996*$N$1, IF(Gastos[[#This Row],[Divisa]]="EUR", I996*$N$2, 0)))</f>
        <v>25000000</v>
      </c>
      <c r="K996" s="54">
        <f>Gastos[[#This Row],[Importe AR$]]/$N$1</f>
        <v>16025.641025641025</v>
      </c>
      <c r="M996" s="69"/>
      <c r="N996" s="43" t="str">
        <f>IF(Gastos[[#This Row],[Fecha_Cheque]]&gt;0,WEEKNUM(Gastos[[#This Row],[Fecha_Cheque]]),MID(Gastos[[#This Row],[Semana]],6,2))</f>
        <v>29</v>
      </c>
      <c r="O996" t="s">
        <v>742</v>
      </c>
      <c r="P996" t="s">
        <v>27</v>
      </c>
    </row>
    <row r="997" spans="1:16" hidden="1" x14ac:dyDescent="0.25">
      <c r="A997" s="3" t="s">
        <v>217</v>
      </c>
      <c r="B997" t="s">
        <v>727</v>
      </c>
      <c r="C997" t="s">
        <v>115</v>
      </c>
      <c r="D997" t="s">
        <v>26</v>
      </c>
      <c r="E997" t="s">
        <v>132</v>
      </c>
      <c r="F997">
        <v>1</v>
      </c>
      <c r="G997" s="3" t="s">
        <v>5</v>
      </c>
      <c r="H997" s="46" t="s">
        <v>15</v>
      </c>
      <c r="I997" s="17">
        <v>19600000</v>
      </c>
      <c r="J997" s="17">
        <f>IF(Gastos[[#This Row],[Divisa]]="$", I997*1, IF(Gastos[[#This Row],[Divisa]]="U$D", I997*$N$1, IF(Gastos[[#This Row],[Divisa]]="EUR", I997*$N$2, 0)))</f>
        <v>19600000</v>
      </c>
      <c r="K997" s="54">
        <f>Gastos[[#This Row],[Importe AR$]]/$N$1</f>
        <v>12564.102564102564</v>
      </c>
      <c r="M997" s="69"/>
      <c r="N997" s="43" t="str">
        <f>IF(Gastos[[#This Row],[Fecha_Cheque]]&gt;0,WEEKNUM(Gastos[[#This Row],[Fecha_Cheque]]),MID(Gastos[[#This Row],[Semana]],6,2))</f>
        <v>30</v>
      </c>
      <c r="O997" t="s">
        <v>743</v>
      </c>
      <c r="P997" t="s">
        <v>27</v>
      </c>
    </row>
    <row r="998" spans="1:16" hidden="1" x14ac:dyDescent="0.25">
      <c r="A998" s="3" t="s">
        <v>217</v>
      </c>
      <c r="B998" t="s">
        <v>727</v>
      </c>
      <c r="C998" t="s">
        <v>115</v>
      </c>
      <c r="D998" t="s">
        <v>26</v>
      </c>
      <c r="E998" t="s">
        <v>132</v>
      </c>
      <c r="F998">
        <v>1</v>
      </c>
      <c r="G998" s="3" t="s">
        <v>5</v>
      </c>
      <c r="H998" s="46" t="s">
        <v>15</v>
      </c>
      <c r="I998" s="17">
        <v>9800000</v>
      </c>
      <c r="J998" s="17">
        <f>IF(Gastos[[#This Row],[Divisa]]="$", I998*1, IF(Gastos[[#This Row],[Divisa]]="U$D", I998*$N$1, IF(Gastos[[#This Row],[Divisa]]="EUR", I998*$N$2, 0)))</f>
        <v>9800000</v>
      </c>
      <c r="K998" s="54">
        <f>Gastos[[#This Row],[Importe AR$]]/$N$1</f>
        <v>6282.0512820512822</v>
      </c>
      <c r="M998" s="69"/>
      <c r="N998" s="43" t="s">
        <v>744</v>
      </c>
      <c r="O998" t="s">
        <v>745</v>
      </c>
      <c r="P998" t="s">
        <v>27</v>
      </c>
    </row>
    <row r="999" spans="1:16" hidden="1" x14ac:dyDescent="0.25">
      <c r="A999" s="3" t="s">
        <v>305</v>
      </c>
      <c r="B999" t="s">
        <v>727</v>
      </c>
      <c r="C999" t="s">
        <v>115</v>
      </c>
      <c r="D999" t="s">
        <v>26</v>
      </c>
      <c r="E999" t="s">
        <v>132</v>
      </c>
      <c r="F999">
        <v>1</v>
      </c>
      <c r="G999" s="3" t="s">
        <v>5</v>
      </c>
      <c r="H999" s="46" t="s">
        <v>15</v>
      </c>
      <c r="I999" s="17">
        <v>15000000</v>
      </c>
      <c r="J999" s="17">
        <f>IF(Gastos[[#This Row],[Divisa]]="$", I999*1, IF(Gastos[[#This Row],[Divisa]]="U$D", I999*$N$1, IF(Gastos[[#This Row],[Divisa]]="EUR", I999*$N$2, 0)))</f>
        <v>15000000</v>
      </c>
      <c r="K999" s="54">
        <f>Gastos[[#This Row],[Importe AR$]]/$N$1</f>
        <v>9615.3846153846152</v>
      </c>
      <c r="M999" s="69"/>
      <c r="N999" s="43" t="str">
        <f>IF(Gastos[[#This Row],[Fecha_Cheque]]&gt;0,WEEKNUM(Gastos[[#This Row],[Fecha_Cheque]]),MID(Gastos[[#This Row],[Semana]],6,2))</f>
        <v>31</v>
      </c>
      <c r="O999" t="s">
        <v>746</v>
      </c>
      <c r="P999" t="s">
        <v>27</v>
      </c>
    </row>
    <row r="1000" spans="1:16" hidden="1" x14ac:dyDescent="0.25">
      <c r="A1000" s="3" t="s">
        <v>64</v>
      </c>
      <c r="B1000" t="s">
        <v>727</v>
      </c>
      <c r="C1000" t="s">
        <v>115</v>
      </c>
      <c r="D1000" t="s">
        <v>26</v>
      </c>
      <c r="E1000" t="s">
        <v>132</v>
      </c>
      <c r="F1000">
        <v>1</v>
      </c>
      <c r="G1000" s="3" t="s">
        <v>5</v>
      </c>
      <c r="H1000" s="46" t="s">
        <v>15</v>
      </c>
      <c r="I1000" s="17">
        <v>14700000</v>
      </c>
      <c r="J1000" s="17">
        <f>IF(Gastos[[#This Row],[Divisa]]="$", I1000*1, IF(Gastos[[#This Row],[Divisa]]="U$D", I1000*$N$1, IF(Gastos[[#This Row],[Divisa]]="EUR", I1000*$N$2, 0)))</f>
        <v>14700000</v>
      </c>
      <c r="K1000" s="54">
        <f>Gastos[[#This Row],[Importe AR$]]/$N$1</f>
        <v>9423.0769230769238</v>
      </c>
      <c r="M1000" s="69"/>
      <c r="N1000" s="43" t="str">
        <f>IF(Gastos[[#This Row],[Fecha_Cheque]]&gt;0,WEEKNUM(Gastos[[#This Row],[Fecha_Cheque]]),MID(Gastos[[#This Row],[Semana]],6,2))</f>
        <v>33</v>
      </c>
      <c r="O1000" t="s">
        <v>747</v>
      </c>
      <c r="P1000" t="s">
        <v>27</v>
      </c>
    </row>
    <row r="1001" spans="1:16" hidden="1" x14ac:dyDescent="0.25">
      <c r="A1001" s="3" t="s">
        <v>64</v>
      </c>
      <c r="B1001" t="s">
        <v>727</v>
      </c>
      <c r="C1001" t="s">
        <v>115</v>
      </c>
      <c r="D1001" t="s">
        <v>26</v>
      </c>
      <c r="E1001" t="s">
        <v>132</v>
      </c>
      <c r="F1001">
        <v>1</v>
      </c>
      <c r="G1001" s="3" t="s">
        <v>5</v>
      </c>
      <c r="H1001" s="46" t="s">
        <v>15</v>
      </c>
      <c r="I1001" s="17">
        <v>14700000</v>
      </c>
      <c r="J1001" s="17">
        <f>IF(Gastos[[#This Row],[Divisa]]="$", I1001*1, IF(Gastos[[#This Row],[Divisa]]="U$D", I1001*$N$1, IF(Gastos[[#This Row],[Divisa]]="EUR", I1001*$N$2, 0)))</f>
        <v>14700000</v>
      </c>
      <c r="K1001" s="54">
        <f>Gastos[[#This Row],[Importe AR$]]/$N$1</f>
        <v>9423.0769230769238</v>
      </c>
      <c r="M1001" s="69"/>
      <c r="N1001" s="43" t="str">
        <f>IF(Gastos[[#This Row],[Fecha_Cheque]]&gt;0,WEEKNUM(Gastos[[#This Row],[Fecha_Cheque]]),MID(Gastos[[#This Row],[Semana]],6,2))</f>
        <v>33</v>
      </c>
      <c r="O1001" t="s">
        <v>748</v>
      </c>
      <c r="P1001" t="s">
        <v>27</v>
      </c>
    </row>
    <row r="1002" spans="1:16" hidden="1" x14ac:dyDescent="0.25">
      <c r="A1002" s="3" t="s">
        <v>53</v>
      </c>
      <c r="B1002" t="s">
        <v>727</v>
      </c>
      <c r="C1002" t="s">
        <v>108</v>
      </c>
      <c r="D1002" t="s">
        <v>26</v>
      </c>
      <c r="E1002" t="s">
        <v>31</v>
      </c>
      <c r="F1002">
        <v>1</v>
      </c>
      <c r="G1002" s="3" t="s">
        <v>5</v>
      </c>
      <c r="H1002" s="46" t="s">
        <v>15</v>
      </c>
      <c r="I1002" s="17">
        <v>14700000</v>
      </c>
      <c r="J1002" s="17">
        <f>IF(Gastos[[#This Row],[Divisa]]="$", I1002*1, IF(Gastos[[#This Row],[Divisa]]="U$D", I1002*$N$1, IF(Gastos[[#This Row],[Divisa]]="EUR", I1002*$N$2, 0)))</f>
        <v>14700000</v>
      </c>
      <c r="K1002" s="54">
        <f>Gastos[[#This Row],[Importe AR$]]/$N$1</f>
        <v>9423.0769230769238</v>
      </c>
      <c r="M1002" s="69"/>
      <c r="N1002" s="43" t="str">
        <f>IF(Gastos[[#This Row],[Fecha_Cheque]]&gt;0,WEEKNUM(Gastos[[#This Row],[Fecha_Cheque]]),MID(Gastos[[#This Row],[Semana]],6,2))</f>
        <v>34</v>
      </c>
      <c r="O1002" t="s">
        <v>123</v>
      </c>
      <c r="P1002" t="s">
        <v>27</v>
      </c>
    </row>
    <row r="1003" spans="1:16" hidden="1" x14ac:dyDescent="0.25">
      <c r="A1003" s="3" t="s">
        <v>53</v>
      </c>
      <c r="B1003" t="s">
        <v>727</v>
      </c>
      <c r="C1003" t="s">
        <v>108</v>
      </c>
      <c r="D1003" t="s">
        <v>26</v>
      </c>
      <c r="E1003" t="s">
        <v>31</v>
      </c>
      <c r="F1003">
        <v>1</v>
      </c>
      <c r="G1003" s="3" t="s">
        <v>5</v>
      </c>
      <c r="H1003" s="46" t="s">
        <v>15</v>
      </c>
      <c r="I1003" s="17">
        <v>14700000</v>
      </c>
      <c r="J1003" s="17">
        <f>IF(Gastos[[#This Row],[Divisa]]="$", I1003*1, IF(Gastos[[#This Row],[Divisa]]="U$D", I1003*$N$1, IF(Gastos[[#This Row],[Divisa]]="EUR", I1003*$N$2, 0)))</f>
        <v>14700000</v>
      </c>
      <c r="K1003" s="54">
        <f>Gastos[[#This Row],[Importe AR$]]/$N$1</f>
        <v>9423.0769230769238</v>
      </c>
      <c r="M1003" s="69"/>
      <c r="N1003" s="43" t="str">
        <f>IF(Gastos[[#This Row],[Fecha_Cheque]]&gt;0,WEEKNUM(Gastos[[#This Row],[Fecha_Cheque]]),MID(Gastos[[#This Row],[Semana]],6,2))</f>
        <v>34</v>
      </c>
      <c r="O1003" t="s">
        <v>123</v>
      </c>
      <c r="P1003" t="s">
        <v>27</v>
      </c>
    </row>
    <row r="1004" spans="1:16" hidden="1" x14ac:dyDescent="0.25">
      <c r="A1004" s="3" t="s">
        <v>117</v>
      </c>
      <c r="B1004" t="s">
        <v>727</v>
      </c>
      <c r="C1004" t="s">
        <v>108</v>
      </c>
      <c r="D1004" t="s">
        <v>26</v>
      </c>
      <c r="E1004" t="s">
        <v>31</v>
      </c>
      <c r="F1004">
        <v>1</v>
      </c>
      <c r="G1004" s="3" t="s">
        <v>5</v>
      </c>
      <c r="H1004" s="46" t="s">
        <v>15</v>
      </c>
      <c r="I1004" s="17">
        <v>14700000</v>
      </c>
      <c r="J1004" s="17">
        <f>IF(Gastos[[#This Row],[Divisa]]="$", I1004*1, IF(Gastos[[#This Row],[Divisa]]="U$D", I1004*$N$1, IF(Gastos[[#This Row],[Divisa]]="EUR", I1004*$N$2, 0)))</f>
        <v>14700000</v>
      </c>
      <c r="K1004" s="54">
        <f>Gastos[[#This Row],[Importe AR$]]/$N$1</f>
        <v>9423.0769230769238</v>
      </c>
      <c r="M1004" s="69"/>
      <c r="N1004" s="43" t="str">
        <f>IF(Gastos[[#This Row],[Fecha_Cheque]]&gt;0,WEEKNUM(Gastos[[#This Row],[Fecha_Cheque]]),MID(Gastos[[#This Row],[Semana]],6,2))</f>
        <v>35</v>
      </c>
      <c r="O1004" t="s">
        <v>123</v>
      </c>
      <c r="P1004" t="s">
        <v>27</v>
      </c>
    </row>
    <row r="1005" spans="1:16" hidden="1" x14ac:dyDescent="0.25">
      <c r="A1005" s="3" t="s">
        <v>117</v>
      </c>
      <c r="B1005" t="s">
        <v>727</v>
      </c>
      <c r="C1005" t="s">
        <v>108</v>
      </c>
      <c r="D1005" t="s">
        <v>26</v>
      </c>
      <c r="E1005" t="s">
        <v>31</v>
      </c>
      <c r="F1005">
        <v>1</v>
      </c>
      <c r="G1005" s="3" t="s">
        <v>5</v>
      </c>
      <c r="H1005" s="46" t="s">
        <v>15</v>
      </c>
      <c r="I1005" s="17">
        <v>10309954.699999999</v>
      </c>
      <c r="J1005" s="17">
        <f>IF(Gastos[[#This Row],[Divisa]]="$", I1005*1, IF(Gastos[[#This Row],[Divisa]]="U$D", I1005*$N$1, IF(Gastos[[#This Row],[Divisa]]="EUR", I1005*$N$2, 0)))</f>
        <v>10309954.699999999</v>
      </c>
      <c r="K1005" s="54">
        <f>Gastos[[#This Row],[Importe AR$]]/$N$1</f>
        <v>6608.9453205128202</v>
      </c>
      <c r="M1005" s="69"/>
      <c r="N1005" s="43" t="str">
        <f>IF(Gastos[[#This Row],[Fecha_Cheque]]&gt;0,WEEKNUM(Gastos[[#This Row],[Fecha_Cheque]]),MID(Gastos[[#This Row],[Semana]],6,2))</f>
        <v>35</v>
      </c>
      <c r="P1005" t="s">
        <v>27</v>
      </c>
    </row>
    <row r="1006" spans="1:16" hidden="1" x14ac:dyDescent="0.25">
      <c r="A1006" s="3" t="s">
        <v>310</v>
      </c>
      <c r="B1006" t="s">
        <v>727</v>
      </c>
      <c r="C1006" t="s">
        <v>108</v>
      </c>
      <c r="D1006" t="s">
        <v>26</v>
      </c>
      <c r="E1006" t="s">
        <v>31</v>
      </c>
      <c r="F1006">
        <v>1</v>
      </c>
      <c r="G1006" s="3" t="s">
        <v>5</v>
      </c>
      <c r="H1006" s="46" t="s">
        <v>15</v>
      </c>
      <c r="I1006" s="17">
        <v>9804480</v>
      </c>
      <c r="J1006" s="17">
        <f>IF(Gastos[[#This Row],[Divisa]]="$", I1006*1, IF(Gastos[[#This Row],[Divisa]]="U$D", I1006*$N$1, IF(Gastos[[#This Row],[Divisa]]="EUR", I1006*$N$2, 0)))</f>
        <v>9804480</v>
      </c>
      <c r="K1006" s="54">
        <f>Gastos[[#This Row],[Importe AR$]]/$N$1</f>
        <v>6284.9230769230771</v>
      </c>
      <c r="M1006" s="69"/>
      <c r="N1006" s="43" t="str">
        <f>IF(Gastos[[#This Row],[Fecha_Cheque]]&gt;0,WEEKNUM(Gastos[[#This Row],[Fecha_Cheque]]),MID(Gastos[[#This Row],[Semana]],6,2))</f>
        <v>36</v>
      </c>
      <c r="O1006" t="s">
        <v>123</v>
      </c>
      <c r="P1006" t="s">
        <v>27</v>
      </c>
    </row>
    <row r="1007" spans="1:16" hidden="1" x14ac:dyDescent="0.25">
      <c r="A1007" s="3" t="s">
        <v>210</v>
      </c>
      <c r="B1007" t="s">
        <v>727</v>
      </c>
      <c r="C1007" t="s">
        <v>108</v>
      </c>
      <c r="D1007" t="s">
        <v>26</v>
      </c>
      <c r="E1007" t="s">
        <v>31</v>
      </c>
      <c r="F1007">
        <v>1</v>
      </c>
      <c r="G1007" s="3" t="s">
        <v>5</v>
      </c>
      <c r="H1007" s="46" t="s">
        <v>15</v>
      </c>
      <c r="I1007" s="17">
        <v>23520000</v>
      </c>
      <c r="J1007" s="17">
        <f>IF(Gastos[[#This Row],[Divisa]]="$", I1007*1, IF(Gastos[[#This Row],[Divisa]]="U$D", I1007*$N$1, IF(Gastos[[#This Row],[Divisa]]="EUR", I1007*$N$2, 0)))</f>
        <v>23520000</v>
      </c>
      <c r="K1007" s="54">
        <f>Gastos[[#This Row],[Importe AR$]]/$N$1</f>
        <v>15076.923076923076</v>
      </c>
      <c r="M1007" s="69"/>
      <c r="N1007" s="43" t="str">
        <f>IF(Gastos[[#This Row],[Fecha_Cheque]]&gt;0,WEEKNUM(Gastos[[#This Row],[Fecha_Cheque]]),MID(Gastos[[#This Row],[Semana]],6,2))</f>
        <v>37</v>
      </c>
      <c r="O1007" t="s">
        <v>123</v>
      </c>
      <c r="P1007" t="s">
        <v>27</v>
      </c>
    </row>
    <row r="1008" spans="1:16" hidden="1" x14ac:dyDescent="0.25">
      <c r="A1008" s="3" t="s">
        <v>210</v>
      </c>
      <c r="B1008" t="s">
        <v>727</v>
      </c>
      <c r="C1008" t="s">
        <v>108</v>
      </c>
      <c r="D1008" t="s">
        <v>26</v>
      </c>
      <c r="E1008" t="s">
        <v>31</v>
      </c>
      <c r="F1008">
        <v>1</v>
      </c>
      <c r="G1008" s="3" t="s">
        <v>5</v>
      </c>
      <c r="H1008" s="46" t="s">
        <v>15</v>
      </c>
      <c r="I1008" s="17">
        <v>11160000</v>
      </c>
      <c r="J1008" s="17">
        <f>IF(Gastos[[#This Row],[Divisa]]="$", I1008*1, IF(Gastos[[#This Row],[Divisa]]="U$D", I1008*$N$1, IF(Gastos[[#This Row],[Divisa]]="EUR", I1008*$N$2, 0)))</f>
        <v>11160000</v>
      </c>
      <c r="K1008" s="54">
        <f>Gastos[[#This Row],[Importe AR$]]/$N$1</f>
        <v>7153.8461538461543</v>
      </c>
      <c r="M1008" s="69"/>
      <c r="N1008" s="43" t="str">
        <f>IF(Gastos[[#This Row],[Fecha_Cheque]]&gt;0,WEEKNUM(Gastos[[#This Row],[Fecha_Cheque]]),MID(Gastos[[#This Row],[Semana]],6,2))</f>
        <v>37</v>
      </c>
      <c r="O1008" t="s">
        <v>123</v>
      </c>
      <c r="P1008" t="s">
        <v>27</v>
      </c>
    </row>
    <row r="1009" spans="1:16" hidden="1" x14ac:dyDescent="0.25">
      <c r="A1009" s="3" t="s">
        <v>171</v>
      </c>
      <c r="B1009" t="s">
        <v>727</v>
      </c>
      <c r="C1009" t="s">
        <v>108</v>
      </c>
      <c r="D1009" t="s">
        <v>26</v>
      </c>
      <c r="E1009" t="s">
        <v>31</v>
      </c>
      <c r="F1009">
        <v>1</v>
      </c>
      <c r="G1009" s="3" t="s">
        <v>5</v>
      </c>
      <c r="H1009" s="46" t="s">
        <v>15</v>
      </c>
      <c r="I1009" s="17">
        <v>14700000</v>
      </c>
      <c r="J1009" s="17">
        <f>IF(Gastos[[#This Row],[Divisa]]="$", I1009*1, IF(Gastos[[#This Row],[Divisa]]="U$D", I1009*$N$1, IF(Gastos[[#This Row],[Divisa]]="EUR", I1009*$N$2, 0)))</f>
        <v>14700000</v>
      </c>
      <c r="K1009" s="54">
        <f>Gastos[[#This Row],[Importe AR$]]/$N$1</f>
        <v>9423.0769230769238</v>
      </c>
      <c r="M1009" s="69"/>
      <c r="N1009" s="43" t="str">
        <f>IF(Gastos[[#This Row],[Fecha_Cheque]]&gt;0,WEEKNUM(Gastos[[#This Row],[Fecha_Cheque]]),MID(Gastos[[#This Row],[Semana]],6,2))</f>
        <v>38</v>
      </c>
      <c r="O1009" t="s">
        <v>749</v>
      </c>
      <c r="P1009" t="s">
        <v>27</v>
      </c>
    </row>
    <row r="1010" spans="1:16" hidden="1" x14ac:dyDescent="0.25">
      <c r="A1010" s="3" t="s">
        <v>171</v>
      </c>
      <c r="B1010" t="s">
        <v>727</v>
      </c>
      <c r="C1010" t="s">
        <v>108</v>
      </c>
      <c r="D1010" t="s">
        <v>26</v>
      </c>
      <c r="E1010" t="s">
        <v>31</v>
      </c>
      <c r="F1010">
        <v>1</v>
      </c>
      <c r="G1010" s="3" t="s">
        <v>5</v>
      </c>
      <c r="H1010" s="46" t="s">
        <v>15</v>
      </c>
      <c r="I1010" s="17">
        <v>14700000</v>
      </c>
      <c r="J1010" s="17">
        <f>IF(Gastos[[#This Row],[Divisa]]="$", I1010*1, IF(Gastos[[#This Row],[Divisa]]="U$D", I1010*$N$1, IF(Gastos[[#This Row],[Divisa]]="EUR", I1010*$N$2, 0)))</f>
        <v>14700000</v>
      </c>
      <c r="K1010" s="54">
        <f>Gastos[[#This Row],[Importe AR$]]/$N$1</f>
        <v>9423.0769230769238</v>
      </c>
      <c r="M1010" s="69"/>
      <c r="N1010" s="43" t="str">
        <f>IF(Gastos[[#This Row],[Fecha_Cheque]]&gt;0,WEEKNUM(Gastos[[#This Row],[Fecha_Cheque]]),MID(Gastos[[#This Row],[Semana]],6,2))</f>
        <v>38</v>
      </c>
      <c r="O1010" t="s">
        <v>750</v>
      </c>
      <c r="P1010" t="s">
        <v>27</v>
      </c>
    </row>
    <row r="1011" spans="1:16" hidden="1" x14ac:dyDescent="0.25">
      <c r="A1011" s="3" t="s">
        <v>89</v>
      </c>
      <c r="B1011" t="s">
        <v>727</v>
      </c>
      <c r="C1011" t="s">
        <v>108</v>
      </c>
      <c r="D1011" t="s">
        <v>26</v>
      </c>
      <c r="E1011" t="s">
        <v>31</v>
      </c>
      <c r="F1011">
        <v>1</v>
      </c>
      <c r="G1011" s="3" t="s">
        <v>5</v>
      </c>
      <c r="H1011" s="46" t="s">
        <v>15</v>
      </c>
      <c r="I1011" s="17">
        <v>29400000</v>
      </c>
      <c r="J1011" s="17">
        <f>IF(Gastos[[#This Row],[Divisa]]="$", I1011*1, IF(Gastos[[#This Row],[Divisa]]="U$D", I1011*$N$1, IF(Gastos[[#This Row],[Divisa]]="EUR", I1011*$N$2, 0)))</f>
        <v>29400000</v>
      </c>
      <c r="K1011" s="54">
        <f>Gastos[[#This Row],[Importe AR$]]/$N$1</f>
        <v>18846.153846153848</v>
      </c>
      <c r="M1011" s="69"/>
      <c r="N1011" s="43" t="str">
        <f>IF(Gastos[[#This Row],[Fecha_Cheque]]&gt;0,WEEKNUM(Gastos[[#This Row],[Fecha_Cheque]]),MID(Gastos[[#This Row],[Semana]],6,2))</f>
        <v>39</v>
      </c>
      <c r="O1011" t="s">
        <v>751</v>
      </c>
      <c r="P1011" t="s">
        <v>27</v>
      </c>
    </row>
    <row r="1012" spans="1:16" hidden="1" x14ac:dyDescent="0.25">
      <c r="A1012" s="3" t="s">
        <v>89</v>
      </c>
      <c r="B1012" t="s">
        <v>727</v>
      </c>
      <c r="C1012" t="s">
        <v>118</v>
      </c>
      <c r="D1012" t="s">
        <v>26</v>
      </c>
      <c r="E1012" t="s">
        <v>132</v>
      </c>
      <c r="F1012">
        <v>1</v>
      </c>
      <c r="G1012" s="3" t="s">
        <v>32</v>
      </c>
      <c r="H1012" s="46" t="s">
        <v>15</v>
      </c>
      <c r="I1012" s="17">
        <v>5000000</v>
      </c>
      <c r="J1012" s="17">
        <f>IF(Gastos[[#This Row],[Divisa]]="$", I1012*1, IF(Gastos[[#This Row],[Divisa]]="U$D", I1012*$N$1, IF(Gastos[[#This Row],[Divisa]]="EUR", I1012*$N$2, 0)))</f>
        <v>5000000</v>
      </c>
      <c r="K1012" s="54">
        <f>Gastos[[#This Row],[Importe AR$]]/$N$1</f>
        <v>3205.1282051282051</v>
      </c>
      <c r="M1012" s="69">
        <v>45974</v>
      </c>
      <c r="N1012" s="43">
        <f>IF(Gastos[[#This Row],[Fecha_Cheque]]&gt;0,WEEKNUM(Gastos[[#This Row],[Fecha_Cheque]]),MID(Gastos[[#This Row],[Semana]],6,2))</f>
        <v>46</v>
      </c>
      <c r="O1012" t="s">
        <v>752</v>
      </c>
      <c r="P1012" t="s">
        <v>27</v>
      </c>
    </row>
    <row r="1013" spans="1:16" hidden="1" x14ac:dyDescent="0.25">
      <c r="A1013" s="3" t="s">
        <v>89</v>
      </c>
      <c r="B1013" t="s">
        <v>727</v>
      </c>
      <c r="C1013" t="s">
        <v>118</v>
      </c>
      <c r="D1013" t="s">
        <v>26</v>
      </c>
      <c r="E1013" t="s">
        <v>132</v>
      </c>
      <c r="F1013">
        <v>1</v>
      </c>
      <c r="G1013" s="3" t="s">
        <v>32</v>
      </c>
      <c r="H1013" s="46" t="s">
        <v>15</v>
      </c>
      <c r="I1013" s="17">
        <v>5000000</v>
      </c>
      <c r="J1013" s="17">
        <f>IF(Gastos[[#This Row],[Divisa]]="$", I1013*1, IF(Gastos[[#This Row],[Divisa]]="U$D", I1013*$N$1, IF(Gastos[[#This Row],[Divisa]]="EUR", I1013*$N$2, 0)))</f>
        <v>5000000</v>
      </c>
      <c r="K1013" s="54">
        <f>Gastos[[#This Row],[Importe AR$]]/$N$1</f>
        <v>3205.1282051282051</v>
      </c>
      <c r="M1013" s="69">
        <v>45967</v>
      </c>
      <c r="N1013" s="43">
        <f>IF(Gastos[[#This Row],[Fecha_Cheque]]&gt;0,WEEKNUM(Gastos[[#This Row],[Fecha_Cheque]]),MID(Gastos[[#This Row],[Semana]],6,2))</f>
        <v>45</v>
      </c>
      <c r="O1013" t="s">
        <v>752</v>
      </c>
      <c r="P1013" t="s">
        <v>27</v>
      </c>
    </row>
    <row r="1014" spans="1:16" hidden="1" x14ac:dyDescent="0.25">
      <c r="A1014" s="3" t="s">
        <v>89</v>
      </c>
      <c r="B1014" t="s">
        <v>727</v>
      </c>
      <c r="C1014" t="s">
        <v>118</v>
      </c>
      <c r="D1014" t="s">
        <v>26</v>
      </c>
      <c r="E1014" t="s">
        <v>132</v>
      </c>
      <c r="F1014">
        <v>1</v>
      </c>
      <c r="G1014" s="3" t="s">
        <v>32</v>
      </c>
      <c r="H1014" s="46" t="s">
        <v>15</v>
      </c>
      <c r="I1014" s="17">
        <v>5000000</v>
      </c>
      <c r="J1014" s="17">
        <f>IF(Gastos[[#This Row],[Divisa]]="$", I1014*1, IF(Gastos[[#This Row],[Divisa]]="U$D", I1014*$N$1, IF(Gastos[[#This Row],[Divisa]]="EUR", I1014*$N$2, 0)))</f>
        <v>5000000</v>
      </c>
      <c r="K1014" s="54">
        <f>Gastos[[#This Row],[Importe AR$]]/$N$1</f>
        <v>3205.1282051282051</v>
      </c>
      <c r="M1014" s="69">
        <v>45975</v>
      </c>
      <c r="N1014" s="43">
        <f>IF(Gastos[[#This Row],[Fecha_Cheque]]&gt;0,WEEKNUM(Gastos[[#This Row],[Fecha_Cheque]]),MID(Gastos[[#This Row],[Semana]],6,2))</f>
        <v>46</v>
      </c>
      <c r="O1014" t="s">
        <v>752</v>
      </c>
      <c r="P1014" t="s">
        <v>27</v>
      </c>
    </row>
    <row r="1015" spans="1:16" hidden="1" x14ac:dyDescent="0.25">
      <c r="A1015" s="3" t="s">
        <v>89</v>
      </c>
      <c r="B1015" t="s">
        <v>727</v>
      </c>
      <c r="C1015" t="s">
        <v>118</v>
      </c>
      <c r="D1015" t="s">
        <v>26</v>
      </c>
      <c r="E1015" t="s">
        <v>132</v>
      </c>
      <c r="F1015">
        <v>1</v>
      </c>
      <c r="G1015" s="3" t="s">
        <v>32</v>
      </c>
      <c r="H1015" s="46" t="s">
        <v>15</v>
      </c>
      <c r="I1015" s="17">
        <v>5000000</v>
      </c>
      <c r="J1015" s="17">
        <f>IF(Gastos[[#This Row],[Divisa]]="$", I1015*1, IF(Gastos[[#This Row],[Divisa]]="U$D", I1015*$N$1, IF(Gastos[[#This Row],[Divisa]]="EUR", I1015*$N$2, 0)))</f>
        <v>5000000</v>
      </c>
      <c r="K1015" s="54">
        <f>Gastos[[#This Row],[Importe AR$]]/$N$1</f>
        <v>3205.1282051282051</v>
      </c>
      <c r="M1015" s="69">
        <v>45968</v>
      </c>
      <c r="N1015" s="43">
        <f>IF(Gastos[[#This Row],[Fecha_Cheque]]&gt;0,WEEKNUM(Gastos[[#This Row],[Fecha_Cheque]]),MID(Gastos[[#This Row],[Semana]],6,2))</f>
        <v>45</v>
      </c>
      <c r="O1015" t="s">
        <v>752</v>
      </c>
      <c r="P1015" t="s">
        <v>27</v>
      </c>
    </row>
    <row r="1016" spans="1:16" hidden="1" x14ac:dyDescent="0.25">
      <c r="A1016" s="3" t="s">
        <v>89</v>
      </c>
      <c r="B1016" t="s">
        <v>727</v>
      </c>
      <c r="C1016" t="s">
        <v>118</v>
      </c>
      <c r="D1016" t="s">
        <v>26</v>
      </c>
      <c r="E1016" t="s">
        <v>132</v>
      </c>
      <c r="F1016">
        <v>1</v>
      </c>
      <c r="G1016" s="3" t="s">
        <v>32</v>
      </c>
      <c r="H1016" s="46" t="s">
        <v>15</v>
      </c>
      <c r="I1016" s="17">
        <v>5000000</v>
      </c>
      <c r="J1016" s="17">
        <f>IF(Gastos[[#This Row],[Divisa]]="$", I1016*1, IF(Gastos[[#This Row],[Divisa]]="U$D", I1016*$N$1, IF(Gastos[[#This Row],[Divisa]]="EUR", I1016*$N$2, 0)))</f>
        <v>5000000</v>
      </c>
      <c r="K1016" s="54">
        <f>Gastos[[#This Row],[Importe AR$]]/$N$1</f>
        <v>3205.1282051282051</v>
      </c>
      <c r="M1016" s="69">
        <v>45973</v>
      </c>
      <c r="N1016" s="43">
        <f>IF(Gastos[[#This Row],[Fecha_Cheque]]&gt;0,WEEKNUM(Gastos[[#This Row],[Fecha_Cheque]]),MID(Gastos[[#This Row],[Semana]],6,2))</f>
        <v>46</v>
      </c>
      <c r="O1016" t="s">
        <v>752</v>
      </c>
      <c r="P1016" t="s">
        <v>27</v>
      </c>
    </row>
    <row r="1017" spans="1:16" hidden="1" x14ac:dyDescent="0.25">
      <c r="A1017" s="3" t="s">
        <v>89</v>
      </c>
      <c r="B1017" t="s">
        <v>727</v>
      </c>
      <c r="C1017" t="s">
        <v>118</v>
      </c>
      <c r="D1017" t="s">
        <v>26</v>
      </c>
      <c r="E1017" t="s">
        <v>132</v>
      </c>
      <c r="F1017">
        <v>1</v>
      </c>
      <c r="G1017" s="3" t="s">
        <v>32</v>
      </c>
      <c r="H1017" s="46" t="s">
        <v>15</v>
      </c>
      <c r="I1017" s="17">
        <v>5000000</v>
      </c>
      <c r="J1017" s="17">
        <f>IF(Gastos[[#This Row],[Divisa]]="$", I1017*1, IF(Gastos[[#This Row],[Divisa]]="U$D", I1017*$N$1, IF(Gastos[[#This Row],[Divisa]]="EUR", I1017*$N$2, 0)))</f>
        <v>5000000</v>
      </c>
      <c r="K1017" s="54">
        <f>Gastos[[#This Row],[Importe AR$]]/$N$1</f>
        <v>3205.1282051282051</v>
      </c>
      <c r="M1017" s="69">
        <v>45980</v>
      </c>
      <c r="N1017" s="43">
        <f>IF(Gastos[[#This Row],[Fecha_Cheque]]&gt;0,WEEKNUM(Gastos[[#This Row],[Fecha_Cheque]]),MID(Gastos[[#This Row],[Semana]],6,2))</f>
        <v>47</v>
      </c>
      <c r="O1017" t="s">
        <v>752</v>
      </c>
      <c r="P1017" t="s">
        <v>27</v>
      </c>
    </row>
    <row r="1018" spans="1:16" hidden="1" x14ac:dyDescent="0.25">
      <c r="A1018" s="3" t="s">
        <v>122</v>
      </c>
      <c r="B1018" t="s">
        <v>727</v>
      </c>
      <c r="C1018" t="s">
        <v>108</v>
      </c>
      <c r="D1018" t="s">
        <v>26</v>
      </c>
      <c r="E1018" t="s">
        <v>31</v>
      </c>
      <c r="F1018">
        <v>1</v>
      </c>
      <c r="G1018" s="3" t="s">
        <v>5</v>
      </c>
      <c r="H1018" s="46" t="s">
        <v>15</v>
      </c>
      <c r="I1018" s="17">
        <v>19604480</v>
      </c>
      <c r="J1018" s="17">
        <f>IF(Gastos[[#This Row],[Divisa]]="$", I1018*1, IF(Gastos[[#This Row],[Divisa]]="U$D", I1018*$N$1, IF(Gastos[[#This Row],[Divisa]]="EUR", I1018*$N$2, 0)))</f>
        <v>19604480</v>
      </c>
      <c r="K1018" s="54">
        <f>Gastos[[#This Row],[Importe AR$]]/$N$1</f>
        <v>12566.974358974359</v>
      </c>
      <c r="M1018" s="69"/>
      <c r="N1018" s="43" t="str">
        <f>IF(Gastos[[#This Row],[Fecha_Cheque]]&gt;0,WEEKNUM(Gastos[[#This Row],[Fecha_Cheque]]),MID(Gastos[[#This Row],[Semana]],6,2))</f>
        <v>40</v>
      </c>
      <c r="O1018" t="s">
        <v>753</v>
      </c>
      <c r="P1018" t="s">
        <v>27</v>
      </c>
    </row>
    <row r="1019" spans="1:16" hidden="1" x14ac:dyDescent="0.25">
      <c r="A1019" s="3" t="s">
        <v>122</v>
      </c>
      <c r="B1019" t="s">
        <v>727</v>
      </c>
      <c r="C1019" t="s">
        <v>108</v>
      </c>
      <c r="D1019" t="s">
        <v>26</v>
      </c>
      <c r="E1019" t="s">
        <v>31</v>
      </c>
      <c r="F1019">
        <v>1</v>
      </c>
      <c r="G1019" s="3" t="s">
        <v>5</v>
      </c>
      <c r="H1019" s="46" t="s">
        <v>15</v>
      </c>
      <c r="I1019" s="17">
        <v>34366515.840000004</v>
      </c>
      <c r="J1019" s="17">
        <f>IF(Gastos[[#This Row],[Divisa]]="$", I1019*1, IF(Gastos[[#This Row],[Divisa]]="U$D", I1019*$N$1, IF(Gastos[[#This Row],[Divisa]]="EUR", I1019*$N$2, 0)))</f>
        <v>34366515.840000004</v>
      </c>
      <c r="K1019" s="54">
        <f>Gastos[[#This Row],[Importe AR$]]/$N$1</f>
        <v>22029.817846153848</v>
      </c>
      <c r="M1019" s="69"/>
      <c r="N1019" s="43" t="str">
        <f>IF(Gastos[[#This Row],[Fecha_Cheque]]&gt;0,WEEKNUM(Gastos[[#This Row],[Fecha_Cheque]]),MID(Gastos[[#This Row],[Semana]],6,2))</f>
        <v>40</v>
      </c>
      <c r="O1019" t="s">
        <v>754</v>
      </c>
      <c r="P1019" t="s">
        <v>27</v>
      </c>
    </row>
    <row r="1020" spans="1:16" hidden="1" x14ac:dyDescent="0.25">
      <c r="A1020" s="3" t="s">
        <v>122</v>
      </c>
      <c r="B1020" t="s">
        <v>727</v>
      </c>
      <c r="C1020" t="s">
        <v>108</v>
      </c>
      <c r="D1020" t="s">
        <v>26</v>
      </c>
      <c r="E1020" t="s">
        <v>31</v>
      </c>
      <c r="F1020">
        <v>1</v>
      </c>
      <c r="G1020" s="3" t="s">
        <v>5</v>
      </c>
      <c r="H1020" s="46" t="s">
        <v>15</v>
      </c>
      <c r="I1020" s="17">
        <v>24547511.309999999</v>
      </c>
      <c r="J1020" s="17">
        <f>IF(Gastos[[#This Row],[Divisa]]="$", I1020*1, IF(Gastos[[#This Row],[Divisa]]="U$D", I1020*$N$1, IF(Gastos[[#This Row],[Divisa]]="EUR", I1020*$N$2, 0)))</f>
        <v>24547511.309999999</v>
      </c>
      <c r="K1020" s="54">
        <f>Gastos[[#This Row],[Importe AR$]]/$N$1</f>
        <v>15735.584173076923</v>
      </c>
      <c r="M1020" s="69"/>
      <c r="N1020" s="43" t="str">
        <f>IF(Gastos[[#This Row],[Fecha_Cheque]]&gt;0,WEEKNUM(Gastos[[#This Row],[Fecha_Cheque]]),MID(Gastos[[#This Row],[Semana]],6,2))</f>
        <v>40</v>
      </c>
      <c r="O1020" t="s">
        <v>755</v>
      </c>
      <c r="P1020" t="s">
        <v>27</v>
      </c>
    </row>
    <row r="1021" spans="1:16" hidden="1" x14ac:dyDescent="0.25">
      <c r="A1021" s="3" t="s">
        <v>122</v>
      </c>
      <c r="B1021" t="s">
        <v>727</v>
      </c>
      <c r="C1021" t="s">
        <v>108</v>
      </c>
      <c r="D1021" t="s">
        <v>26</v>
      </c>
      <c r="E1021" t="s">
        <v>31</v>
      </c>
      <c r="F1021">
        <v>1</v>
      </c>
      <c r="G1021" s="3" t="s">
        <v>5</v>
      </c>
      <c r="H1021" s="46" t="s">
        <v>15</v>
      </c>
      <c r="I1021" s="17">
        <v>25529411.760000002</v>
      </c>
      <c r="J1021" s="17">
        <f>IF(Gastos[[#This Row],[Divisa]]="$", I1021*1, IF(Gastos[[#This Row],[Divisa]]="U$D", I1021*$N$1, IF(Gastos[[#This Row],[Divisa]]="EUR", I1021*$N$2, 0)))</f>
        <v>25529411.760000002</v>
      </c>
      <c r="K1021" s="54">
        <f>Gastos[[#This Row],[Importe AR$]]/$N$1</f>
        <v>16365.007538461539</v>
      </c>
      <c r="M1021" s="69"/>
      <c r="N1021" s="43" t="str">
        <f>IF(Gastos[[#This Row],[Fecha_Cheque]]&gt;0,WEEKNUM(Gastos[[#This Row],[Fecha_Cheque]]),MID(Gastos[[#This Row],[Semana]],6,2))</f>
        <v>40</v>
      </c>
      <c r="O1021" t="s">
        <v>756</v>
      </c>
      <c r="P1021" t="s">
        <v>27</v>
      </c>
    </row>
    <row r="1022" spans="1:16" hidden="1" x14ac:dyDescent="0.25">
      <c r="A1022" s="3" t="s">
        <v>56</v>
      </c>
      <c r="B1022" t="s">
        <v>727</v>
      </c>
      <c r="C1022" t="s">
        <v>118</v>
      </c>
      <c r="D1022" t="s">
        <v>26</v>
      </c>
      <c r="E1022" t="s">
        <v>132</v>
      </c>
      <c r="F1022">
        <v>1</v>
      </c>
      <c r="G1022" s="3" t="s">
        <v>5</v>
      </c>
      <c r="H1022" s="46" t="s">
        <v>15</v>
      </c>
      <c r="I1022" s="17">
        <v>24500000</v>
      </c>
      <c r="J1022" s="17">
        <f>IF(Gastos[[#This Row],[Divisa]]="$", I1022*1, IF(Gastos[[#This Row],[Divisa]]="U$D", I1022*$N$1, IF(Gastos[[#This Row],[Divisa]]="EUR", I1022*$N$2, 0)))</f>
        <v>24500000</v>
      </c>
      <c r="K1022" s="54">
        <f>Gastos[[#This Row],[Importe AR$]]/$N$1</f>
        <v>15705.128205128205</v>
      </c>
      <c r="M1022" s="69"/>
      <c r="N1022" s="43" t="str">
        <f>IF(Gastos[[#This Row],[Fecha_Cheque]]&gt;0,WEEKNUM(Gastos[[#This Row],[Fecha_Cheque]]),MID(Gastos[[#This Row],[Semana]],6,2))</f>
        <v>41</v>
      </c>
      <c r="O1022" t="s">
        <v>757</v>
      </c>
      <c r="P1022" t="s">
        <v>27</v>
      </c>
    </row>
    <row r="1023" spans="1:16" hidden="1" x14ac:dyDescent="0.25">
      <c r="A1023" s="3" t="s">
        <v>232</v>
      </c>
      <c r="B1023" t="s">
        <v>727</v>
      </c>
      <c r="C1023" t="s">
        <v>118</v>
      </c>
      <c r="D1023" t="s">
        <v>26</v>
      </c>
      <c r="E1023" t="s">
        <v>132</v>
      </c>
      <c r="F1023">
        <v>1</v>
      </c>
      <c r="G1023" s="3" t="s">
        <v>5</v>
      </c>
      <c r="H1023" s="46" t="s">
        <v>15</v>
      </c>
      <c r="I1023" s="17">
        <v>29400000</v>
      </c>
      <c r="J1023" s="17">
        <f>IF(Gastos[[#This Row],[Divisa]]="$", I1023*1, IF(Gastos[[#This Row],[Divisa]]="U$D", I1023*$N$1, IF(Gastos[[#This Row],[Divisa]]="EUR", I1023*$N$2, 0)))</f>
        <v>29400000</v>
      </c>
      <c r="K1023" s="54">
        <f>Gastos[[#This Row],[Importe AR$]]/$N$1</f>
        <v>18846.153846153848</v>
      </c>
      <c r="M1023" s="69"/>
      <c r="N1023" s="43" t="str">
        <f>IF(Gastos[[#This Row],[Fecha_Cheque]]&gt;0,WEEKNUM(Gastos[[#This Row],[Fecha_Cheque]]),MID(Gastos[[#This Row],[Semana]],6,2))</f>
        <v>44</v>
      </c>
      <c r="O1023" t="s">
        <v>758</v>
      </c>
      <c r="P1023" t="s">
        <v>27</v>
      </c>
    </row>
    <row r="1024" spans="1:16" hidden="1" x14ac:dyDescent="0.25">
      <c r="A1024" s="3" t="s">
        <v>128</v>
      </c>
      <c r="B1024" t="s">
        <v>727</v>
      </c>
      <c r="C1024" t="s">
        <v>118</v>
      </c>
      <c r="D1024" t="s">
        <v>26</v>
      </c>
      <c r="E1024" t="s">
        <v>132</v>
      </c>
      <c r="F1024">
        <v>1</v>
      </c>
      <c r="G1024" s="3" t="s">
        <v>5</v>
      </c>
      <c r="H1024" s="46" t="s">
        <v>15</v>
      </c>
      <c r="I1024" s="17">
        <v>6400000</v>
      </c>
      <c r="J1024" s="17">
        <f>IF(Gastos[[#This Row],[Divisa]]="$", I1024*1, IF(Gastos[[#This Row],[Divisa]]="U$D", I1024*$N$1, IF(Gastos[[#This Row],[Divisa]]="EUR", I1024*$N$2, 0)))</f>
        <v>6400000</v>
      </c>
      <c r="K1024" s="54">
        <f>Gastos[[#This Row],[Importe AR$]]/$N$1</f>
        <v>4102.5641025641025</v>
      </c>
      <c r="M1024" s="69"/>
      <c r="N1024" s="43" t="str">
        <f>IF(Gastos[[#This Row],[Fecha_Cheque]]&gt;0,WEEKNUM(Gastos[[#This Row],[Fecha_Cheque]]),MID(Gastos[[#This Row],[Semana]],6,2))</f>
        <v>43</v>
      </c>
      <c r="O1024" t="s">
        <v>759</v>
      </c>
      <c r="P1024" t="s">
        <v>27</v>
      </c>
    </row>
    <row r="1025" spans="1:16" hidden="1" x14ac:dyDescent="0.25">
      <c r="A1025" s="3" t="s">
        <v>60</v>
      </c>
      <c r="B1025" t="s">
        <v>727</v>
      </c>
      <c r="C1025" t="s">
        <v>118</v>
      </c>
      <c r="D1025" t="s">
        <v>26</v>
      </c>
      <c r="E1025" t="s">
        <v>132</v>
      </c>
      <c r="F1025">
        <v>1</v>
      </c>
      <c r="G1025" s="3" t="s">
        <v>5</v>
      </c>
      <c r="H1025" s="46" t="s">
        <v>15</v>
      </c>
      <c r="I1025" s="17">
        <v>120000000</v>
      </c>
      <c r="J1025" s="17">
        <f>IF(Gastos[[#This Row],[Divisa]]="$", I1025*1, IF(Gastos[[#This Row],[Divisa]]="U$D", I1025*$N$1, IF(Gastos[[#This Row],[Divisa]]="EUR", I1025*$N$2, 0)))</f>
        <v>120000000</v>
      </c>
      <c r="K1025" s="54">
        <f>Gastos[[#This Row],[Importe AR$]]/$N$1</f>
        <v>76923.076923076922</v>
      </c>
      <c r="M1025" s="69"/>
      <c r="N1025" s="43" t="str">
        <f>IF(Gastos[[#This Row],[Fecha_Cheque]]&gt;0,WEEKNUM(Gastos[[#This Row],[Fecha_Cheque]]),MID(Gastos[[#This Row],[Semana]],6,2))</f>
        <v>46</v>
      </c>
      <c r="O1025" t="s">
        <v>760</v>
      </c>
      <c r="P1025" t="s">
        <v>27</v>
      </c>
    </row>
    <row r="1026" spans="1:16" hidden="1" x14ac:dyDescent="0.25">
      <c r="A1026" s="3" t="s">
        <v>130</v>
      </c>
      <c r="B1026" t="s">
        <v>727</v>
      </c>
      <c r="C1026" t="s">
        <v>118</v>
      </c>
      <c r="D1026" t="s">
        <v>26</v>
      </c>
      <c r="E1026" t="s">
        <v>132</v>
      </c>
      <c r="F1026">
        <v>1</v>
      </c>
      <c r="G1026" s="3" t="s">
        <v>5</v>
      </c>
      <c r="H1026" s="46" t="s">
        <v>15</v>
      </c>
      <c r="I1026" s="17">
        <v>120000000</v>
      </c>
      <c r="J1026" s="17">
        <f>IF(Gastos[[#This Row],[Divisa]]="$", I1026*1, IF(Gastos[[#This Row],[Divisa]]="U$D", I1026*$N$1, IF(Gastos[[#This Row],[Divisa]]="EUR", I1026*$N$2, 0)))</f>
        <v>120000000</v>
      </c>
      <c r="K1026" s="54">
        <f>Gastos[[#This Row],[Importe AR$]]/$N$1</f>
        <v>76923.076923076922</v>
      </c>
      <c r="M1026" s="69"/>
      <c r="N1026" s="43" t="str">
        <f>IF(Gastos[[#This Row],[Fecha_Cheque]]&gt;0,WEEKNUM(Gastos[[#This Row],[Fecha_Cheque]]),MID(Gastos[[#This Row],[Semana]],6,2))</f>
        <v>45</v>
      </c>
      <c r="O1026" t="s">
        <v>761</v>
      </c>
      <c r="P1026" t="s">
        <v>27</v>
      </c>
    </row>
    <row r="1027" spans="1:16" hidden="1" x14ac:dyDescent="0.25">
      <c r="A1027" s="3" t="s">
        <v>79</v>
      </c>
      <c r="B1027" t="s">
        <v>727</v>
      </c>
      <c r="C1027" t="s">
        <v>118</v>
      </c>
      <c r="D1027" t="s">
        <v>26</v>
      </c>
      <c r="E1027" t="s">
        <v>132</v>
      </c>
      <c r="F1027">
        <v>1</v>
      </c>
      <c r="G1027" s="3" t="s">
        <v>5</v>
      </c>
      <c r="H1027" s="46" t="s">
        <v>15</v>
      </c>
      <c r="I1027" s="17">
        <v>30000000</v>
      </c>
      <c r="J1027" s="17">
        <f>IF(Gastos[[#This Row],[Divisa]]="$", I1027*1, IF(Gastos[[#This Row],[Divisa]]="U$D", I1027*$N$1, IF(Gastos[[#This Row],[Divisa]]="EUR", I1027*$N$2, 0)))</f>
        <v>30000000</v>
      </c>
      <c r="K1027" s="54">
        <f>Gastos[[#This Row],[Importe AR$]]/$N$1</f>
        <v>19230.76923076923</v>
      </c>
      <c r="M1027" s="69"/>
      <c r="N1027" s="43" t="str">
        <f>IF(Gastos[[#This Row],[Fecha_Cheque]]&gt;0,WEEKNUM(Gastos[[#This Row],[Fecha_Cheque]]),MID(Gastos[[#This Row],[Semana]],6,2))</f>
        <v>47</v>
      </c>
      <c r="O1027" t="s">
        <v>762</v>
      </c>
      <c r="P1027" t="s">
        <v>27</v>
      </c>
    </row>
    <row r="1028" spans="1:16" hidden="1" x14ac:dyDescent="0.25">
      <c r="A1028" s="3" t="s">
        <v>79</v>
      </c>
      <c r="B1028" t="s">
        <v>727</v>
      </c>
      <c r="C1028" t="s">
        <v>118</v>
      </c>
      <c r="D1028" t="s">
        <v>26</v>
      </c>
      <c r="E1028" t="s">
        <v>132</v>
      </c>
      <c r="F1028">
        <v>1</v>
      </c>
      <c r="G1028" s="3" t="s">
        <v>5</v>
      </c>
      <c r="H1028" s="46" t="s">
        <v>15</v>
      </c>
      <c r="I1028" s="17">
        <v>120000000</v>
      </c>
      <c r="J1028" s="17">
        <f>IF(Gastos[[#This Row],[Divisa]]="$", I1028*1, IF(Gastos[[#This Row],[Divisa]]="U$D", I1028*$N$1, IF(Gastos[[#This Row],[Divisa]]="EUR", I1028*$N$2, 0)))</f>
        <v>120000000</v>
      </c>
      <c r="K1028" s="54">
        <f>Gastos[[#This Row],[Importe AR$]]/$N$1</f>
        <v>76923.076923076922</v>
      </c>
      <c r="M1028" s="69"/>
      <c r="N1028" s="43" t="str">
        <f>IF(Gastos[[#This Row],[Fecha_Cheque]]&gt;0,WEEKNUM(Gastos[[#This Row],[Fecha_Cheque]]),MID(Gastos[[#This Row],[Semana]],6,2))</f>
        <v>47</v>
      </c>
      <c r="O1028" t="s">
        <v>763</v>
      </c>
      <c r="P1028" t="s">
        <v>27</v>
      </c>
    </row>
    <row r="1029" spans="1:16" hidden="1" x14ac:dyDescent="0.25">
      <c r="A1029" s="3" t="s">
        <v>72</v>
      </c>
      <c r="B1029" t="s">
        <v>727</v>
      </c>
      <c r="C1029" t="s">
        <v>118</v>
      </c>
      <c r="D1029" t="s">
        <v>26</v>
      </c>
      <c r="E1029" t="s">
        <v>132</v>
      </c>
      <c r="F1029">
        <v>1</v>
      </c>
      <c r="G1029" s="3" t="s">
        <v>5</v>
      </c>
      <c r="H1029" s="46" t="s">
        <v>15</v>
      </c>
      <c r="I1029" s="17">
        <v>84876258.659999996</v>
      </c>
      <c r="J1029" s="17">
        <f>IF(Gastos[[#This Row],[Divisa]]="$", I1029*1, IF(Gastos[[#This Row],[Divisa]]="U$D", I1029*$N$1, IF(Gastos[[#This Row],[Divisa]]="EUR", I1029*$N$2, 0)))</f>
        <v>84876258.659999996</v>
      </c>
      <c r="K1029" s="54">
        <f>Gastos[[#This Row],[Importe AR$]]/$N$1</f>
        <v>54407.85811538461</v>
      </c>
      <c r="M1029" s="69"/>
      <c r="N1029" s="43" t="str">
        <f>IF(Gastos[[#This Row],[Fecha_Cheque]]&gt;0,WEEKNUM(Gastos[[#This Row],[Fecha_Cheque]]),MID(Gastos[[#This Row],[Semana]],6,2))</f>
        <v>48</v>
      </c>
      <c r="O1029" t="s">
        <v>764</v>
      </c>
      <c r="P1029" t="s">
        <v>27</v>
      </c>
    </row>
    <row r="1030" spans="1:16" hidden="1" x14ac:dyDescent="0.25">
      <c r="A1030" s="3" t="s">
        <v>72</v>
      </c>
      <c r="B1030" t="s">
        <v>727</v>
      </c>
      <c r="C1030" t="s">
        <v>118</v>
      </c>
      <c r="D1030" t="s">
        <v>26</v>
      </c>
      <c r="E1030" t="s">
        <v>132</v>
      </c>
      <c r="F1030">
        <v>1</v>
      </c>
      <c r="G1030" s="3" t="s">
        <v>5</v>
      </c>
      <c r="H1030" s="46" t="s">
        <v>15</v>
      </c>
      <c r="I1030" s="17">
        <v>95123741.340000004</v>
      </c>
      <c r="J1030" s="17">
        <f>IF(Gastos[[#This Row],[Divisa]]="$", I1030*1, IF(Gastos[[#This Row],[Divisa]]="U$D", I1030*$N$1, IF(Gastos[[#This Row],[Divisa]]="EUR", I1030*$N$2, 0)))</f>
        <v>95123741.340000004</v>
      </c>
      <c r="K1030" s="54">
        <f>Gastos[[#This Row],[Importe AR$]]/$N$1</f>
        <v>60976.757269230773</v>
      </c>
      <c r="M1030" s="69"/>
      <c r="N1030" s="43" t="str">
        <f>IF(Gastos[[#This Row],[Fecha_Cheque]]&gt;0,WEEKNUM(Gastos[[#This Row],[Fecha_Cheque]]),MID(Gastos[[#This Row],[Semana]],6,2))</f>
        <v>48</v>
      </c>
      <c r="O1030" t="s">
        <v>765</v>
      </c>
      <c r="P1030" t="s">
        <v>27</v>
      </c>
    </row>
    <row r="1031" spans="1:16" hidden="1" x14ac:dyDescent="0.25">
      <c r="A1031" s="3" t="s">
        <v>72</v>
      </c>
      <c r="B1031" t="s">
        <v>727</v>
      </c>
      <c r="C1031" t="s">
        <v>118</v>
      </c>
      <c r="D1031" t="s">
        <v>26</v>
      </c>
      <c r="E1031" t="s">
        <v>132</v>
      </c>
      <c r="F1031">
        <v>1</v>
      </c>
      <c r="G1031" s="3" t="s">
        <v>5</v>
      </c>
      <c r="H1031" s="46" t="s">
        <v>15</v>
      </c>
      <c r="I1031" s="17">
        <v>200000000</v>
      </c>
      <c r="J1031" s="17">
        <f>IF(Gastos[[#This Row],[Divisa]]="$", I1031*1, IF(Gastos[[#This Row],[Divisa]]="U$D", I1031*$N$1, IF(Gastos[[#This Row],[Divisa]]="EUR", I1031*$N$2, 0)))</f>
        <v>200000000</v>
      </c>
      <c r="K1031" s="54">
        <f>Gastos[[#This Row],[Importe AR$]]/$N$1</f>
        <v>128205.1282051282</v>
      </c>
      <c r="M1031" s="69"/>
      <c r="N1031" s="43" t="str">
        <f>IF(Gastos[[#This Row],[Fecha_Cheque]]&gt;0,WEEKNUM(Gastos[[#This Row],[Fecha_Cheque]]),MID(Gastos[[#This Row],[Semana]],6,2))</f>
        <v>48</v>
      </c>
      <c r="O1031" t="s">
        <v>766</v>
      </c>
      <c r="P1031" t="s">
        <v>27</v>
      </c>
    </row>
    <row r="1032" spans="1:16" hidden="1" x14ac:dyDescent="0.25">
      <c r="A1032" s="3" t="s">
        <v>44</v>
      </c>
      <c r="B1032" t="s">
        <v>727</v>
      </c>
      <c r="C1032" t="s">
        <v>118</v>
      </c>
      <c r="D1032" t="s">
        <v>26</v>
      </c>
      <c r="E1032" t="s">
        <v>132</v>
      </c>
      <c r="F1032">
        <v>1</v>
      </c>
      <c r="G1032" s="3" t="s">
        <v>5</v>
      </c>
      <c r="H1032" s="46" t="s">
        <v>15</v>
      </c>
      <c r="I1032" s="17">
        <v>38089671</v>
      </c>
      <c r="J1032" s="17">
        <f>IF(Gastos[[#This Row],[Divisa]]="$", I1032*1, IF(Gastos[[#This Row],[Divisa]]="U$D", I1032*$N$1, IF(Gastos[[#This Row],[Divisa]]="EUR", I1032*$N$2, 0)))</f>
        <v>38089671</v>
      </c>
      <c r="K1032" s="54">
        <f>Gastos[[#This Row],[Importe AR$]]/$N$1</f>
        <v>24416.455769230768</v>
      </c>
      <c r="L1032" s="8"/>
      <c r="M1032" s="69"/>
      <c r="N1032" s="43" t="str">
        <f>IF(Gastos[[#This Row],[Fecha_Cheque]]&gt;0,WEEKNUM(Gastos[[#This Row],[Fecha_Cheque]]),MID(Gastos[[#This Row],[Semana]],6,2))</f>
        <v>51</v>
      </c>
      <c r="O1032" t="s">
        <v>767</v>
      </c>
      <c r="P1032" t="s">
        <v>27</v>
      </c>
    </row>
    <row r="1033" spans="1:16" hidden="1" x14ac:dyDescent="0.25">
      <c r="A1033" s="3" t="s">
        <v>44</v>
      </c>
      <c r="B1033" t="s">
        <v>727</v>
      </c>
      <c r="C1033" t="s">
        <v>118</v>
      </c>
      <c r="D1033" t="s">
        <v>26</v>
      </c>
      <c r="E1033" t="s">
        <v>132</v>
      </c>
      <c r="F1033">
        <v>1</v>
      </c>
      <c r="G1033" s="3" t="s">
        <v>5</v>
      </c>
      <c r="H1033" s="46" t="s">
        <v>15</v>
      </c>
      <c r="I1033" s="17">
        <v>1883044.5</v>
      </c>
      <c r="J1033" s="17">
        <f>IF(Gastos[[#This Row],[Divisa]]="$", I1033*1, IF(Gastos[[#This Row],[Divisa]]="U$D", I1033*$N$1, IF(Gastos[[#This Row],[Divisa]]="EUR", I1033*$N$2, 0)))</f>
        <v>1883044.5</v>
      </c>
      <c r="K1033" s="54">
        <f>Gastos[[#This Row],[Importe AR$]]/$N$1</f>
        <v>1207.0798076923077</v>
      </c>
      <c r="L1033" s="8"/>
      <c r="M1033" s="69"/>
      <c r="N1033" s="43" t="str">
        <f>IF(Gastos[[#This Row],[Fecha_Cheque]]&gt;0,WEEKNUM(Gastos[[#This Row],[Fecha_Cheque]]),MID(Gastos[[#This Row],[Semana]],6,2))</f>
        <v>51</v>
      </c>
      <c r="O1033" t="s">
        <v>768</v>
      </c>
      <c r="P1033" t="s">
        <v>27</v>
      </c>
    </row>
    <row r="1034" spans="1:16" hidden="1" x14ac:dyDescent="0.25">
      <c r="A1034" s="3" t="s">
        <v>64</v>
      </c>
      <c r="B1034" t="s">
        <v>769</v>
      </c>
      <c r="C1034" t="s">
        <v>770</v>
      </c>
      <c r="D1034" t="s">
        <v>26</v>
      </c>
      <c r="E1034" t="s">
        <v>31</v>
      </c>
      <c r="F1034">
        <v>1</v>
      </c>
      <c r="G1034" s="3" t="s">
        <v>32</v>
      </c>
      <c r="H1034" s="46" t="s">
        <v>15</v>
      </c>
      <c r="I1034" s="17">
        <v>343630</v>
      </c>
      <c r="J1034" s="17">
        <f>IF(Gastos[[#This Row],[Divisa]]="$", I1034*1, IF(Gastos[[#This Row],[Divisa]]="U$D", I1034*$N$1, IF(Gastos[[#This Row],[Divisa]]="EUR", I1034*$N$2, 0)))</f>
        <v>343630</v>
      </c>
      <c r="K1034" s="54">
        <f>Gastos[[#This Row],[Importe AR$]]/$N$1</f>
        <v>220.27564102564102</v>
      </c>
      <c r="M1034" s="69">
        <v>45915</v>
      </c>
      <c r="N1034" s="43">
        <f>IF(Gastos[[#This Row],[Fecha_Cheque]]&gt;0,WEEKNUM(Gastos[[#This Row],[Fecha_Cheque]]),MID(Gastos[[#This Row],[Semana]],6,2))</f>
        <v>38</v>
      </c>
      <c r="O1034" t="s">
        <v>771</v>
      </c>
      <c r="P1034" t="s">
        <v>27</v>
      </c>
    </row>
    <row r="1035" spans="1:16" hidden="1" x14ac:dyDescent="0.25">
      <c r="A1035" s="3" t="s">
        <v>4569</v>
      </c>
      <c r="B1035" t="s">
        <v>4645</v>
      </c>
      <c r="C1035" t="s">
        <v>422</v>
      </c>
      <c r="D1035" t="s">
        <v>26</v>
      </c>
      <c r="E1035" t="s">
        <v>62</v>
      </c>
      <c r="F1035">
        <v>1</v>
      </c>
      <c r="G1035" s="3" t="s">
        <v>5</v>
      </c>
      <c r="H1035" s="44" t="s">
        <v>15</v>
      </c>
      <c r="I1035" s="17">
        <v>1108043.3999999999</v>
      </c>
      <c r="J1035" s="17">
        <f>IF(Gastos[[#This Row],[Divisa]]="$", I1035*1, IF(Gastos[[#This Row],[Divisa]]="U$D", I1035*$N$1, IF(Gastos[[#This Row],[Divisa]]="EUR", I1035*$N$2, 0)))</f>
        <v>1108043.3999999999</v>
      </c>
      <c r="K1035" s="54">
        <f>Gastos[[#This Row],[Importe AR$]]/$N$1</f>
        <v>710.2842307692307</v>
      </c>
      <c r="M1035" s="69"/>
      <c r="N1035" s="43" t="str">
        <f>IF(Gastos[[#This Row],[Fecha_Cheque]]&gt;0,WEEKNUM(Gastos[[#This Row],[Fecha_Cheque]]),MID(Gastos[[#This Row],[Semana]],6,2))</f>
        <v>43</v>
      </c>
      <c r="O1035" t="s">
        <v>4646</v>
      </c>
      <c r="P1035" t="s">
        <v>27</v>
      </c>
    </row>
    <row r="1036" spans="1:16" hidden="1" x14ac:dyDescent="0.25">
      <c r="A1036" s="3" t="s">
        <v>4569</v>
      </c>
      <c r="B1036" t="s">
        <v>4645</v>
      </c>
      <c r="C1036" t="s">
        <v>422</v>
      </c>
      <c r="D1036" t="s">
        <v>26</v>
      </c>
      <c r="E1036" t="s">
        <v>62</v>
      </c>
      <c r="F1036">
        <v>1</v>
      </c>
      <c r="G1036" s="3" t="s">
        <v>5</v>
      </c>
      <c r="H1036" s="44" t="s">
        <v>15</v>
      </c>
      <c r="I1036" s="17">
        <v>17256.599999999999</v>
      </c>
      <c r="J1036" s="17">
        <f>IF(Gastos[[#This Row],[Divisa]]="$", I1036*1, IF(Gastos[[#This Row],[Divisa]]="U$D", I1036*$N$1, IF(Gastos[[#This Row],[Divisa]]="EUR", I1036*$N$2, 0)))</f>
        <v>17256.599999999999</v>
      </c>
      <c r="K1036" s="54">
        <f>Gastos[[#This Row],[Importe AR$]]/$N$1</f>
        <v>11.061923076923076</v>
      </c>
      <c r="L1036" t="s">
        <v>340</v>
      </c>
      <c r="M1036" s="69"/>
      <c r="N1036" s="43" t="str">
        <f>IF(Gastos[[#This Row],[Fecha_Cheque]]&gt;0,WEEKNUM(Gastos[[#This Row],[Fecha_Cheque]]),MID(Gastos[[#This Row],[Semana]],6,2))</f>
        <v>43</v>
      </c>
      <c r="O1036" t="s">
        <v>4646</v>
      </c>
      <c r="P1036" t="s">
        <v>27</v>
      </c>
    </row>
    <row r="1037" spans="1:16" hidden="1" x14ac:dyDescent="0.25">
      <c r="A1037" s="3" t="s">
        <v>772</v>
      </c>
      <c r="B1037" t="s">
        <v>773</v>
      </c>
      <c r="C1037" t="s">
        <v>774</v>
      </c>
      <c r="D1037" t="s">
        <v>26</v>
      </c>
      <c r="E1037" t="s">
        <v>31</v>
      </c>
      <c r="F1037">
        <v>1</v>
      </c>
      <c r="G1037" s="3" t="s">
        <v>5</v>
      </c>
      <c r="H1037" s="46" t="s">
        <v>15</v>
      </c>
      <c r="I1037" s="17">
        <v>108800</v>
      </c>
      <c r="J1037" s="17">
        <f>IF(Gastos[[#This Row],[Divisa]]="$", I1037*1, IF(Gastos[[#This Row],[Divisa]]="U$D", I1037*$N$1, IF(Gastos[[#This Row],[Divisa]]="EUR", I1037*$N$2, 0)))</f>
        <v>108800</v>
      </c>
      <c r="K1037" s="54">
        <f>Gastos[[#This Row],[Importe AR$]]/$N$1</f>
        <v>69.743589743589737</v>
      </c>
      <c r="M1037" s="69"/>
      <c r="N1037" s="43" t="str">
        <f>IF(Gastos[[#This Row],[Fecha_Cheque]]&gt;0,WEEKNUM(Gastos[[#This Row],[Fecha_Cheque]]),MID(Gastos[[#This Row],[Semana]],6,2))</f>
        <v>23</v>
      </c>
      <c r="O1037" t="s">
        <v>775</v>
      </c>
      <c r="P1037" t="s">
        <v>733</v>
      </c>
    </row>
    <row r="1038" spans="1:16" hidden="1" x14ac:dyDescent="0.25">
      <c r="A1038" s="3" t="s">
        <v>3693</v>
      </c>
      <c r="B1038" t="s">
        <v>3736</v>
      </c>
      <c r="C1038" t="s">
        <v>666</v>
      </c>
      <c r="D1038" t="s">
        <v>26</v>
      </c>
      <c r="E1038" t="s">
        <v>31</v>
      </c>
      <c r="F1038">
        <v>1</v>
      </c>
      <c r="G1038" s="3" t="s">
        <v>5</v>
      </c>
      <c r="H1038" s="44" t="s">
        <v>15</v>
      </c>
      <c r="I1038" s="17">
        <v>275535.15000000002</v>
      </c>
      <c r="J1038" s="17">
        <f>IF(Gastos[[#This Row],[Divisa]]="$", I1038*1, IF(Gastos[[#This Row],[Divisa]]="U$D", I1038*$N$1, IF(Gastos[[#This Row],[Divisa]]="EUR", I1038*$N$2, 0)))</f>
        <v>275535.15000000002</v>
      </c>
      <c r="K1038" s="54">
        <f>Gastos[[#This Row],[Importe AR$]]/$N$1</f>
        <v>176.62509615384616</v>
      </c>
      <c r="M1038" s="69"/>
      <c r="N1038" s="43" t="str">
        <f>IF(Gastos[[#This Row],[Fecha_Cheque]]&gt;0,WEEKNUM(Gastos[[#This Row],[Fecha_Cheque]]),MID(Gastos[[#This Row],[Semana]],6,2))</f>
        <v>28</v>
      </c>
      <c r="O1038" t="s">
        <v>3737</v>
      </c>
      <c r="P1038" t="s">
        <v>27</v>
      </c>
    </row>
    <row r="1039" spans="1:16" hidden="1" x14ac:dyDescent="0.25">
      <c r="A1039" s="3" t="s">
        <v>79</v>
      </c>
      <c r="B1039" t="s">
        <v>776</v>
      </c>
      <c r="C1039" t="s">
        <v>777</v>
      </c>
      <c r="D1039" t="s">
        <v>26</v>
      </c>
      <c r="E1039" t="s">
        <v>31</v>
      </c>
      <c r="F1039">
        <v>1</v>
      </c>
      <c r="G1039" s="3" t="s">
        <v>32</v>
      </c>
      <c r="H1039" s="46" t="s">
        <v>15</v>
      </c>
      <c r="I1039" s="17">
        <v>4840669.95</v>
      </c>
      <c r="J1039" s="17">
        <f>IF(Gastos[[#This Row],[Divisa]]="$", I1039*1, IF(Gastos[[#This Row],[Divisa]]="U$D", I1039*$N$1, IF(Gastos[[#This Row],[Divisa]]="EUR", I1039*$N$2, 0)))</f>
        <v>4840669.95</v>
      </c>
      <c r="K1039" s="54">
        <f>Gastos[[#This Row],[Importe AR$]]/$N$1</f>
        <v>3102.9935576923076</v>
      </c>
      <c r="M1039" s="69">
        <v>46008</v>
      </c>
      <c r="N1039" s="43">
        <f>IF(Gastos[[#This Row],[Fecha_Cheque]]&gt;0,WEEKNUM(Gastos[[#This Row],[Fecha_Cheque]]),MID(Gastos[[#This Row],[Semana]],6,2))</f>
        <v>51</v>
      </c>
      <c r="O1039" t="s">
        <v>778</v>
      </c>
      <c r="P1039" t="s">
        <v>27</v>
      </c>
    </row>
    <row r="1040" spans="1:16" hidden="1" x14ac:dyDescent="0.25">
      <c r="A1040" s="3" t="s">
        <v>79</v>
      </c>
      <c r="B1040" t="s">
        <v>779</v>
      </c>
      <c r="C1040" t="s">
        <v>780</v>
      </c>
      <c r="D1040" t="s">
        <v>26</v>
      </c>
      <c r="E1040" t="s">
        <v>42</v>
      </c>
      <c r="F1040">
        <v>1</v>
      </c>
      <c r="G1040" s="3" t="s">
        <v>4</v>
      </c>
      <c r="H1040" s="46" t="s">
        <v>15</v>
      </c>
      <c r="I1040" s="17">
        <v>29999.439999999999</v>
      </c>
      <c r="J1040" s="17">
        <f>IF(Gastos[[#This Row],[Divisa]]="$", I1040*1, IF(Gastos[[#This Row],[Divisa]]="U$D", I1040*$N$1, IF(Gastos[[#This Row],[Divisa]]="EUR", I1040*$N$2, 0)))</f>
        <v>29999.439999999999</v>
      </c>
      <c r="K1040" s="54">
        <f>Gastos[[#This Row],[Importe AR$]]/$N$1</f>
        <v>19.230410256410256</v>
      </c>
      <c r="M1040" s="69"/>
      <c r="N1040" s="43" t="str">
        <f>IF(Gastos[[#This Row],[Fecha_Cheque]]&gt;0,WEEKNUM(Gastos[[#This Row],[Fecha_Cheque]]),MID(Gastos[[#This Row],[Semana]],6,2))</f>
        <v>47</v>
      </c>
      <c r="O1040" t="s">
        <v>781</v>
      </c>
      <c r="P1040" t="s">
        <v>27</v>
      </c>
    </row>
    <row r="1041" spans="1:16" hidden="1" x14ac:dyDescent="0.25">
      <c r="A1041" s="3" t="s">
        <v>4409</v>
      </c>
      <c r="B1041" t="s">
        <v>779</v>
      </c>
      <c r="C1041" t="s">
        <v>4411</v>
      </c>
      <c r="D1041" t="s">
        <v>26</v>
      </c>
      <c r="E1041" t="s">
        <v>42</v>
      </c>
      <c r="F1041">
        <v>1</v>
      </c>
      <c r="G1041" s="3" t="s">
        <v>4</v>
      </c>
      <c r="H1041" s="44" t="s">
        <v>15</v>
      </c>
      <c r="I1041" s="17">
        <v>200000.55</v>
      </c>
      <c r="J1041" s="17">
        <f>IF(Gastos[[#This Row],[Divisa]]="$", I1041*1, IF(Gastos[[#This Row],[Divisa]]="U$D", I1041*$N$1, IF(Gastos[[#This Row],[Divisa]]="EUR", I1041*$N$2, 0)))</f>
        <v>200000.55</v>
      </c>
      <c r="K1041" s="54">
        <f>Gastos[[#This Row],[Importe AR$]]/$N$1</f>
        <v>128.20548076923077</v>
      </c>
      <c r="M1041" s="69"/>
      <c r="N1041" s="43" t="str">
        <f>IF(Gastos[[#This Row],[Fecha_Cheque]]&gt;0,WEEKNUM(Gastos[[#This Row],[Fecha_Cheque]]),MID(Gastos[[#This Row],[Semana]],6,2))</f>
        <v>40</v>
      </c>
      <c r="O1041" t="s">
        <v>4412</v>
      </c>
      <c r="P1041" t="s">
        <v>27</v>
      </c>
    </row>
    <row r="1042" spans="1:16" hidden="1" x14ac:dyDescent="0.25">
      <c r="A1042" s="3" t="s">
        <v>152</v>
      </c>
      <c r="B1042" t="s">
        <v>782</v>
      </c>
      <c r="C1042" t="s">
        <v>783</v>
      </c>
      <c r="D1042" t="s">
        <v>26</v>
      </c>
      <c r="E1042" t="s">
        <v>31</v>
      </c>
      <c r="F1042">
        <v>1</v>
      </c>
      <c r="G1042" s="3" t="s">
        <v>5</v>
      </c>
      <c r="H1042" s="46" t="s">
        <v>15</v>
      </c>
      <c r="I1042" s="17">
        <v>240000</v>
      </c>
      <c r="J1042" s="17">
        <f>IF(Gastos[[#This Row],[Divisa]]="$", I1042*1, IF(Gastos[[#This Row],[Divisa]]="U$D", I1042*$N$1, IF(Gastos[[#This Row],[Divisa]]="EUR", I1042*$N$2, 0)))</f>
        <v>240000</v>
      </c>
      <c r="K1042" s="54">
        <f>Gastos[[#This Row],[Importe AR$]]/$N$1</f>
        <v>153.84615384615384</v>
      </c>
      <c r="M1042" s="69"/>
      <c r="N1042" s="43" t="str">
        <f>IF(Gastos[[#This Row],[Fecha_Cheque]]&gt;0,WEEKNUM(Gastos[[#This Row],[Fecha_Cheque]]),MID(Gastos[[#This Row],[Semana]],6,2))</f>
        <v>04</v>
      </c>
      <c r="O1042" t="s">
        <v>784</v>
      </c>
      <c r="P1042" t="s">
        <v>27</v>
      </c>
    </row>
    <row r="1043" spans="1:16" hidden="1" x14ac:dyDescent="0.25">
      <c r="A1043" s="3" t="s">
        <v>68</v>
      </c>
      <c r="B1043" t="s">
        <v>785</v>
      </c>
      <c r="C1043" t="s">
        <v>786</v>
      </c>
      <c r="D1043" t="s">
        <v>26</v>
      </c>
      <c r="E1043" t="s">
        <v>62</v>
      </c>
      <c r="F1043">
        <v>1</v>
      </c>
      <c r="G1043" s="3" t="s">
        <v>32</v>
      </c>
      <c r="H1043" s="46" t="s">
        <v>15</v>
      </c>
      <c r="I1043" s="17">
        <v>718959.43</v>
      </c>
      <c r="J1043" s="17">
        <f>IF(Gastos[[#This Row],[Divisa]]="$", I1043*1, IF(Gastos[[#This Row],[Divisa]]="U$D", I1043*$N$1, IF(Gastos[[#This Row],[Divisa]]="EUR", I1043*$N$2, 0)))</f>
        <v>718959.43</v>
      </c>
      <c r="K1043" s="54">
        <f>Gastos[[#This Row],[Importe AR$]]/$N$1</f>
        <v>460.87142948717951</v>
      </c>
      <c r="M1043" s="69">
        <v>46079</v>
      </c>
      <c r="N1043" s="43">
        <f>IF(Gastos[[#This Row],[Fecha_Cheque]]&gt;0,WEEKNUM(Gastos[[#This Row],[Fecha_Cheque]]),MID(Gastos[[#This Row],[Semana]],6,2))</f>
        <v>9</v>
      </c>
      <c r="O1043" t="s">
        <v>787</v>
      </c>
      <c r="P1043" t="s">
        <v>27</v>
      </c>
    </row>
    <row r="1044" spans="1:16" hidden="1" x14ac:dyDescent="0.25">
      <c r="A1044" s="3" t="s">
        <v>2711</v>
      </c>
      <c r="B1044" t="s">
        <v>785</v>
      </c>
      <c r="C1044" t="s">
        <v>2832</v>
      </c>
      <c r="D1044" t="s">
        <v>26</v>
      </c>
      <c r="E1044" t="s">
        <v>62</v>
      </c>
      <c r="F1044">
        <v>1</v>
      </c>
      <c r="G1044" s="3" t="s">
        <v>32</v>
      </c>
      <c r="H1044" s="44" t="s">
        <v>15</v>
      </c>
      <c r="I1044" s="17">
        <v>222200.06</v>
      </c>
      <c r="J1044" s="17">
        <f>IF(Gastos[[#This Row],[Divisa]]="$", I1044*1, IF(Gastos[[#This Row],[Divisa]]="U$D", I1044*$N$1, IF(Gastos[[#This Row],[Divisa]]="EUR", I1044*$N$2, 0)))</f>
        <v>222200.06</v>
      </c>
      <c r="K1044" s="54">
        <f>Gastos[[#This Row],[Importe AR$]]/$N$1</f>
        <v>142.43593589743588</v>
      </c>
      <c r="M1044" s="69"/>
      <c r="N1044" s="43" t="str">
        <f>IF(Gastos[[#This Row],[Fecha_Cheque]]&gt;0,WEEKNUM(Gastos[[#This Row],[Fecha_Cheque]]),MID(Gastos[[#This Row],[Semana]],6,2))</f>
        <v>15</v>
      </c>
      <c r="O1044" t="s">
        <v>2833</v>
      </c>
      <c r="P1044" t="s">
        <v>27</v>
      </c>
    </row>
    <row r="1045" spans="1:16" hidden="1" x14ac:dyDescent="0.25">
      <c r="A1045" s="3" t="s">
        <v>2841</v>
      </c>
      <c r="B1045" t="s">
        <v>785</v>
      </c>
      <c r="C1045" t="s">
        <v>3122</v>
      </c>
      <c r="D1045" t="s">
        <v>26</v>
      </c>
      <c r="E1045" t="s">
        <v>62</v>
      </c>
      <c r="F1045">
        <v>1</v>
      </c>
      <c r="G1045" s="3" t="s">
        <v>32</v>
      </c>
      <c r="H1045" s="44" t="s">
        <v>15</v>
      </c>
      <c r="I1045" s="17">
        <v>120000</v>
      </c>
      <c r="J1045" s="17">
        <f>IF(Gastos[[#This Row],[Divisa]]="$", I1045*1, IF(Gastos[[#This Row],[Divisa]]="U$D", I1045*$N$1, IF(Gastos[[#This Row],[Divisa]]="EUR", I1045*$N$2, 0)))</f>
        <v>120000</v>
      </c>
      <c r="K1045" s="54">
        <f>Gastos[[#This Row],[Importe AR$]]/$N$1</f>
        <v>76.92307692307692</v>
      </c>
      <c r="M1045" s="69"/>
      <c r="N1045" s="43" t="str">
        <f>IF(Gastos[[#This Row],[Fecha_Cheque]]&gt;0,WEEKNUM(Gastos[[#This Row],[Fecha_Cheque]]),MID(Gastos[[#This Row],[Semana]],6,2))</f>
        <v>22</v>
      </c>
      <c r="O1045" t="s">
        <v>3123</v>
      </c>
      <c r="P1045" t="s">
        <v>27</v>
      </c>
    </row>
    <row r="1046" spans="1:16" hidden="1" x14ac:dyDescent="0.25">
      <c r="A1046" s="3" t="s">
        <v>28</v>
      </c>
      <c r="B1046" t="s">
        <v>788</v>
      </c>
      <c r="C1046" t="s">
        <v>789</v>
      </c>
      <c r="D1046" t="s">
        <v>26</v>
      </c>
      <c r="E1046" t="s">
        <v>31</v>
      </c>
      <c r="F1046">
        <v>1</v>
      </c>
      <c r="G1046" s="3" t="s">
        <v>32</v>
      </c>
      <c r="H1046" s="46" t="s">
        <v>15</v>
      </c>
      <c r="I1046" s="17">
        <v>2804780</v>
      </c>
      <c r="J1046" s="17">
        <f>IF(Gastos[[#This Row],[Divisa]]="$", I1046*1, IF(Gastos[[#This Row],[Divisa]]="U$D", I1046*$N$1, IF(Gastos[[#This Row],[Divisa]]="EUR", I1046*$N$2, 0)))</f>
        <v>2804780</v>
      </c>
      <c r="K1046" s="54">
        <f>Gastos[[#This Row],[Importe AR$]]/$N$1</f>
        <v>1797.9358974358975</v>
      </c>
      <c r="L1046" t="s">
        <v>790</v>
      </c>
      <c r="M1046" s="69"/>
      <c r="N1046" s="43" t="str">
        <f>IF(Gastos[[#This Row],[Fecha_Cheque]]&gt;0,WEEKNUM(Gastos[[#This Row],[Fecha_Cheque]]),MID(Gastos[[#This Row],[Semana]],6,2))</f>
        <v>21</v>
      </c>
      <c r="P1046" t="s">
        <v>27</v>
      </c>
    </row>
    <row r="1047" spans="1:16" hidden="1" x14ac:dyDescent="0.25">
      <c r="A1047" s="3" t="s">
        <v>79</v>
      </c>
      <c r="B1047" t="s">
        <v>788</v>
      </c>
      <c r="C1047" t="s">
        <v>791</v>
      </c>
      <c r="D1047" t="s">
        <v>26</v>
      </c>
      <c r="E1047" t="s">
        <v>62</v>
      </c>
      <c r="F1047">
        <v>1</v>
      </c>
      <c r="G1047" s="3" t="s">
        <v>32</v>
      </c>
      <c r="H1047" s="46" t="s">
        <v>15</v>
      </c>
      <c r="I1047" s="17">
        <v>2262900</v>
      </c>
      <c r="J1047" s="17">
        <f>IF(Gastos[[#This Row],[Divisa]]="$", I1047*1, IF(Gastos[[#This Row],[Divisa]]="U$D", I1047*$N$1, IF(Gastos[[#This Row],[Divisa]]="EUR", I1047*$N$2, 0)))</f>
        <v>2262900</v>
      </c>
      <c r="K1047" s="54">
        <f>Gastos[[#This Row],[Importe AR$]]/$N$1</f>
        <v>1450.5769230769231</v>
      </c>
      <c r="M1047" s="69">
        <v>45997</v>
      </c>
      <c r="N1047" s="43">
        <f>IF(Gastos[[#This Row],[Fecha_Cheque]]&gt;0,WEEKNUM(Gastos[[#This Row],[Fecha_Cheque]]),MID(Gastos[[#This Row],[Semana]],6,2))</f>
        <v>49</v>
      </c>
      <c r="O1047" t="s">
        <v>792</v>
      </c>
      <c r="P1047" t="s">
        <v>27</v>
      </c>
    </row>
    <row r="1048" spans="1:16" hidden="1" x14ac:dyDescent="0.25">
      <c r="A1048" s="3" t="s">
        <v>79</v>
      </c>
      <c r="B1048" t="s">
        <v>788</v>
      </c>
      <c r="C1048" t="s">
        <v>791</v>
      </c>
      <c r="D1048" t="s">
        <v>26</v>
      </c>
      <c r="E1048" t="s">
        <v>62</v>
      </c>
      <c r="F1048">
        <v>1</v>
      </c>
      <c r="G1048" s="3" t="s">
        <v>5</v>
      </c>
      <c r="H1048" s="46" t="s">
        <v>15</v>
      </c>
      <c r="I1048" s="17">
        <v>500000</v>
      </c>
      <c r="J1048" s="17">
        <f>IF(Gastos[[#This Row],[Divisa]]="$", I1048*1, IF(Gastos[[#This Row],[Divisa]]="U$D", I1048*$N$1, IF(Gastos[[#This Row],[Divisa]]="EUR", I1048*$N$2, 0)))</f>
        <v>500000</v>
      </c>
      <c r="K1048" s="54">
        <f>Gastos[[#This Row],[Importe AR$]]/$N$1</f>
        <v>320.5128205128205</v>
      </c>
      <c r="M1048" s="69"/>
      <c r="N1048" s="43" t="str">
        <f>IF(Gastos[[#This Row],[Fecha_Cheque]]&gt;0,WEEKNUM(Gastos[[#This Row],[Fecha_Cheque]]),MID(Gastos[[#This Row],[Semana]],6,2))</f>
        <v>47</v>
      </c>
      <c r="O1048" t="s">
        <v>792</v>
      </c>
      <c r="P1048" t="s">
        <v>27</v>
      </c>
    </row>
    <row r="1049" spans="1:16" hidden="1" x14ac:dyDescent="0.25">
      <c r="A1049" s="3" t="s">
        <v>79</v>
      </c>
      <c r="B1049" t="s">
        <v>788</v>
      </c>
      <c r="C1049" t="s">
        <v>791</v>
      </c>
      <c r="D1049" t="s">
        <v>26</v>
      </c>
      <c r="E1049" t="s">
        <v>62</v>
      </c>
      <c r="F1049">
        <v>1</v>
      </c>
      <c r="G1049" s="3" t="s">
        <v>32</v>
      </c>
      <c r="H1049" s="46" t="s">
        <v>15</v>
      </c>
      <c r="I1049" s="17">
        <v>524510</v>
      </c>
      <c r="J1049" s="17">
        <f>IF(Gastos[[#This Row],[Divisa]]="$", I1049*1, IF(Gastos[[#This Row],[Divisa]]="U$D", I1049*$N$1, IF(Gastos[[#This Row],[Divisa]]="EUR", I1049*$N$2, 0)))</f>
        <v>524510</v>
      </c>
      <c r="K1049" s="54">
        <f>Gastos[[#This Row],[Importe AR$]]/$N$1</f>
        <v>336.22435897435895</v>
      </c>
      <c r="M1049" s="69">
        <v>46007</v>
      </c>
      <c r="N1049" s="43">
        <f>IF(Gastos[[#This Row],[Fecha_Cheque]]&gt;0,WEEKNUM(Gastos[[#This Row],[Fecha_Cheque]]),MID(Gastos[[#This Row],[Semana]],6,2))</f>
        <v>51</v>
      </c>
      <c r="O1049" t="s">
        <v>793</v>
      </c>
      <c r="P1049" t="s">
        <v>27</v>
      </c>
    </row>
    <row r="1050" spans="1:16" hidden="1" x14ac:dyDescent="0.25">
      <c r="A1050" s="3" t="s">
        <v>75</v>
      </c>
      <c r="B1050" t="s">
        <v>794</v>
      </c>
      <c r="C1050" t="s">
        <v>795</v>
      </c>
      <c r="D1050" t="s">
        <v>26</v>
      </c>
      <c r="E1050" t="s">
        <v>31</v>
      </c>
      <c r="F1050">
        <v>1</v>
      </c>
      <c r="G1050" s="3" t="s">
        <v>5</v>
      </c>
      <c r="H1050" s="46" t="s">
        <v>15</v>
      </c>
      <c r="I1050" s="17">
        <v>399795.20000000001</v>
      </c>
      <c r="J1050" s="17">
        <f>IF(Gastos[[#This Row],[Divisa]]="$", I1050*1, IF(Gastos[[#This Row],[Divisa]]="U$D", I1050*$N$1, IF(Gastos[[#This Row],[Divisa]]="EUR", I1050*$N$2, 0)))</f>
        <v>399795.20000000001</v>
      </c>
      <c r="K1050" s="54">
        <f>Gastos[[#This Row],[Importe AR$]]/$N$1</f>
        <v>256.27897435897438</v>
      </c>
      <c r="M1050" s="69"/>
      <c r="N1050" s="43" t="str">
        <f>IF(Gastos[[#This Row],[Fecha_Cheque]]&gt;0,WEEKNUM(Gastos[[#This Row],[Fecha_Cheque]]),MID(Gastos[[#This Row],[Semana]],6,2))</f>
        <v>07</v>
      </c>
      <c r="O1050" t="s">
        <v>796</v>
      </c>
      <c r="P1050" t="s">
        <v>27</v>
      </c>
    </row>
    <row r="1051" spans="1:16" hidden="1" x14ac:dyDescent="0.25">
      <c r="A1051" s="3" t="s">
        <v>75</v>
      </c>
      <c r="B1051" t="s">
        <v>794</v>
      </c>
      <c r="C1051" t="s">
        <v>795</v>
      </c>
      <c r="D1051" t="s">
        <v>26</v>
      </c>
      <c r="E1051" t="s">
        <v>31</v>
      </c>
      <c r="F1051">
        <v>1</v>
      </c>
      <c r="G1051" s="3" t="s">
        <v>32</v>
      </c>
      <c r="H1051" s="46" t="s">
        <v>15</v>
      </c>
      <c r="I1051" s="17">
        <v>399795.20000000001</v>
      </c>
      <c r="J1051" s="17">
        <f>IF(Gastos[[#This Row],[Divisa]]="$", I1051*1, IF(Gastos[[#This Row],[Divisa]]="U$D", I1051*$N$1, IF(Gastos[[#This Row],[Divisa]]="EUR", I1051*$N$2, 0)))</f>
        <v>399795.20000000001</v>
      </c>
      <c r="K1051" s="54">
        <f>Gastos[[#This Row],[Importe AR$]]/$N$1</f>
        <v>256.27897435897438</v>
      </c>
      <c r="M1051" s="69">
        <v>46079</v>
      </c>
      <c r="N1051" s="43">
        <f>IF(Gastos[[#This Row],[Fecha_Cheque]]&gt;0,WEEKNUM(Gastos[[#This Row],[Fecha_Cheque]]),MID(Gastos[[#This Row],[Semana]],6,2))</f>
        <v>9</v>
      </c>
      <c r="O1051" t="s">
        <v>796</v>
      </c>
      <c r="P1051" t="s">
        <v>27</v>
      </c>
    </row>
    <row r="1052" spans="1:16" hidden="1" x14ac:dyDescent="0.25">
      <c r="A1052" s="3" t="s">
        <v>34</v>
      </c>
      <c r="B1052" t="s">
        <v>797</v>
      </c>
      <c r="C1052" t="s">
        <v>798</v>
      </c>
      <c r="D1052" t="s">
        <v>61</v>
      </c>
      <c r="E1052" t="s">
        <v>31</v>
      </c>
      <c r="F1052">
        <v>1</v>
      </c>
      <c r="G1052" s="3" t="s">
        <v>32</v>
      </c>
      <c r="H1052" s="46" t="s">
        <v>15</v>
      </c>
      <c r="I1052" s="17">
        <v>758756.25</v>
      </c>
      <c r="J1052" s="17">
        <f>IF(Gastos[[#This Row],[Divisa]]="$", I1052*1, IF(Gastos[[#This Row],[Divisa]]="U$D", I1052*$N$1, IF(Gastos[[#This Row],[Divisa]]="EUR", I1052*$N$2, 0)))</f>
        <v>758756.25</v>
      </c>
      <c r="K1052" s="54">
        <f>Gastos[[#This Row],[Importe AR$]]/$N$1</f>
        <v>486.38221153846155</v>
      </c>
      <c r="L1052" t="s">
        <v>799</v>
      </c>
      <c r="M1052" s="69">
        <v>45905</v>
      </c>
      <c r="N1052" s="43">
        <f>IF(Gastos[[#This Row],[Fecha_Cheque]]&gt;0,WEEKNUM(Gastos[[#This Row],[Fecha_Cheque]]),MID(Gastos[[#This Row],[Semana]],6,2))</f>
        <v>36</v>
      </c>
      <c r="O1052" t="s">
        <v>800</v>
      </c>
      <c r="P1052" t="s">
        <v>27</v>
      </c>
    </row>
    <row r="1053" spans="1:16" hidden="1" x14ac:dyDescent="0.25">
      <c r="A1053" s="3" t="s">
        <v>34</v>
      </c>
      <c r="B1053" t="s">
        <v>797</v>
      </c>
      <c r="C1053" t="s">
        <v>798</v>
      </c>
      <c r="D1053" t="s">
        <v>61</v>
      </c>
      <c r="E1053" t="s">
        <v>31</v>
      </c>
      <c r="F1053">
        <v>1</v>
      </c>
      <c r="G1053" s="3" t="s">
        <v>32</v>
      </c>
      <c r="H1053" s="46" t="s">
        <v>15</v>
      </c>
      <c r="I1053" s="17">
        <v>1095894.8600000001</v>
      </c>
      <c r="J1053" s="17">
        <f>IF(Gastos[[#This Row],[Divisa]]="$", I1053*1, IF(Gastos[[#This Row],[Divisa]]="U$D", I1053*$N$1, IF(Gastos[[#This Row],[Divisa]]="EUR", I1053*$N$2, 0)))</f>
        <v>1095894.8600000001</v>
      </c>
      <c r="K1053" s="54">
        <f>Gastos[[#This Row],[Importe AR$]]/$N$1</f>
        <v>702.49670512820524</v>
      </c>
      <c r="L1053" t="s">
        <v>799</v>
      </c>
      <c r="M1053" s="69">
        <v>45871</v>
      </c>
      <c r="N1053" s="43">
        <f>IF(Gastos[[#This Row],[Fecha_Cheque]]&gt;0,WEEKNUM(Gastos[[#This Row],[Fecha_Cheque]]),MID(Gastos[[#This Row],[Semana]],6,2))</f>
        <v>31</v>
      </c>
      <c r="O1053" t="s">
        <v>800</v>
      </c>
      <c r="P1053" t="s">
        <v>27</v>
      </c>
    </row>
    <row r="1054" spans="1:16" hidden="1" x14ac:dyDescent="0.25">
      <c r="A1054" s="3" t="s">
        <v>34</v>
      </c>
      <c r="B1054" t="s">
        <v>797</v>
      </c>
      <c r="C1054" t="s">
        <v>798</v>
      </c>
      <c r="D1054" t="s">
        <v>61</v>
      </c>
      <c r="E1054" t="s">
        <v>31</v>
      </c>
      <c r="F1054">
        <v>1</v>
      </c>
      <c r="G1054" s="3" t="s">
        <v>32</v>
      </c>
      <c r="H1054" s="46" t="s">
        <v>15</v>
      </c>
      <c r="I1054" s="17">
        <v>691502</v>
      </c>
      <c r="J1054" s="17">
        <f>IF(Gastos[[#This Row],[Divisa]]="$", I1054*1, IF(Gastos[[#This Row],[Divisa]]="U$D", I1054*$N$1, IF(Gastos[[#This Row],[Divisa]]="EUR", I1054*$N$2, 0)))</f>
        <v>691502</v>
      </c>
      <c r="K1054" s="54">
        <f>Gastos[[#This Row],[Importe AR$]]/$N$1</f>
        <v>443.27051282051281</v>
      </c>
      <c r="L1054" t="s">
        <v>799</v>
      </c>
      <c r="M1054" s="69">
        <v>45862</v>
      </c>
      <c r="N1054" s="43">
        <f>IF(Gastos[[#This Row],[Fecha_Cheque]]&gt;0,WEEKNUM(Gastos[[#This Row],[Fecha_Cheque]]),MID(Gastos[[#This Row],[Semana]],6,2))</f>
        <v>30</v>
      </c>
      <c r="O1054" t="s">
        <v>800</v>
      </c>
      <c r="P1054" t="s">
        <v>27</v>
      </c>
    </row>
    <row r="1055" spans="1:16" hidden="1" x14ac:dyDescent="0.25">
      <c r="A1055" s="3" t="s">
        <v>619</v>
      </c>
      <c r="B1055" t="s">
        <v>797</v>
      </c>
      <c r="C1055" t="s">
        <v>798</v>
      </c>
      <c r="D1055" t="s">
        <v>61</v>
      </c>
      <c r="E1055" t="s">
        <v>62</v>
      </c>
      <c r="F1055">
        <v>1</v>
      </c>
      <c r="G1055" s="3" t="s">
        <v>32</v>
      </c>
      <c r="H1055" s="46" t="s">
        <v>15</v>
      </c>
      <c r="I1055" s="17">
        <v>1542396.88</v>
      </c>
      <c r="J1055" s="17">
        <f>IF(Gastos[[#This Row],[Divisa]]="$", I1055*1, IF(Gastos[[#This Row],[Divisa]]="U$D", I1055*$N$1, IF(Gastos[[#This Row],[Divisa]]="EUR", I1055*$N$2, 0)))</f>
        <v>1542396.88</v>
      </c>
      <c r="K1055" s="54">
        <f>Gastos[[#This Row],[Importe AR$]]/$N$1</f>
        <v>988.71594871794866</v>
      </c>
      <c r="M1055" s="69">
        <v>46143</v>
      </c>
      <c r="N1055" s="43">
        <f>IF(Gastos[[#This Row],[Fecha_Cheque]]&gt;0,WEEKNUM(Gastos[[#This Row],[Fecha_Cheque]]),MID(Gastos[[#This Row],[Semana]],6,2))</f>
        <v>18</v>
      </c>
      <c r="O1055" t="s">
        <v>1275</v>
      </c>
      <c r="P1055" t="s">
        <v>27</v>
      </c>
    </row>
    <row r="1056" spans="1:16" hidden="1" x14ac:dyDescent="0.25">
      <c r="A1056" s="3" t="s">
        <v>619</v>
      </c>
      <c r="B1056" t="s">
        <v>797</v>
      </c>
      <c r="C1056" t="s">
        <v>798</v>
      </c>
      <c r="D1056" t="s">
        <v>61</v>
      </c>
      <c r="E1056" t="s">
        <v>62</v>
      </c>
      <c r="F1056">
        <v>1</v>
      </c>
      <c r="G1056" s="3" t="s">
        <v>32</v>
      </c>
      <c r="H1056" s="46" t="s">
        <v>15</v>
      </c>
      <c r="I1056" s="17">
        <v>1542396.88</v>
      </c>
      <c r="J1056" s="17">
        <f>IF(Gastos[[#This Row],[Divisa]]="$", I1056*1, IF(Gastos[[#This Row],[Divisa]]="U$D", I1056*$N$1, IF(Gastos[[#This Row],[Divisa]]="EUR", I1056*$N$2, 0)))</f>
        <v>1542396.88</v>
      </c>
      <c r="K1056" s="54">
        <f>Gastos[[#This Row],[Importe AR$]]/$N$1</f>
        <v>988.71594871794866</v>
      </c>
      <c r="M1056" s="69">
        <v>46173</v>
      </c>
      <c r="N1056" s="43">
        <f>IF(Gastos[[#This Row],[Fecha_Cheque]]&gt;0,WEEKNUM(Gastos[[#This Row],[Fecha_Cheque]]),MID(Gastos[[#This Row],[Semana]],6,2))</f>
        <v>23</v>
      </c>
      <c r="O1056" t="s">
        <v>1275</v>
      </c>
      <c r="P1056" t="s">
        <v>27</v>
      </c>
    </row>
    <row r="1057" spans="1:16" hidden="1" x14ac:dyDescent="0.25">
      <c r="A1057" s="3" t="s">
        <v>619</v>
      </c>
      <c r="B1057" t="s">
        <v>797</v>
      </c>
      <c r="C1057" t="s">
        <v>798</v>
      </c>
      <c r="D1057" t="s">
        <v>61</v>
      </c>
      <c r="E1057" t="s">
        <v>62</v>
      </c>
      <c r="F1057">
        <v>1</v>
      </c>
      <c r="G1057" s="3" t="s">
        <v>32</v>
      </c>
      <c r="H1057" s="46" t="s">
        <v>15</v>
      </c>
      <c r="I1057" s="17">
        <v>1542396.87</v>
      </c>
      <c r="J1057" s="17">
        <f>IF(Gastos[[#This Row],[Divisa]]="$", I1057*1, IF(Gastos[[#This Row],[Divisa]]="U$D", I1057*$N$1, IF(Gastos[[#This Row],[Divisa]]="EUR", I1057*$N$2, 0)))</f>
        <v>1542396.87</v>
      </c>
      <c r="K1057" s="54">
        <f>Gastos[[#This Row],[Importe AR$]]/$N$1</f>
        <v>988.71594230769233</v>
      </c>
      <c r="M1057" s="69">
        <v>46203</v>
      </c>
      <c r="N1057" s="43">
        <f>IF(Gastos[[#This Row],[Fecha_Cheque]]&gt;0,WEEKNUM(Gastos[[#This Row],[Fecha_Cheque]]),MID(Gastos[[#This Row],[Semana]],6,2))</f>
        <v>27</v>
      </c>
      <c r="O1057" t="s">
        <v>1275</v>
      </c>
      <c r="P1057" t="s">
        <v>27</v>
      </c>
    </row>
    <row r="1058" spans="1:16" hidden="1" x14ac:dyDescent="0.25">
      <c r="A1058" s="3" t="s">
        <v>3963</v>
      </c>
      <c r="B1058" t="s">
        <v>797</v>
      </c>
      <c r="C1058" t="s">
        <v>4007</v>
      </c>
      <c r="D1058" t="s">
        <v>26</v>
      </c>
      <c r="E1058" t="s">
        <v>31</v>
      </c>
      <c r="F1058">
        <v>1</v>
      </c>
      <c r="G1058" s="3" t="s">
        <v>5</v>
      </c>
      <c r="H1058" s="44" t="s">
        <v>15</v>
      </c>
      <c r="I1058" s="17">
        <v>144643.20000000001</v>
      </c>
      <c r="J1058" s="17">
        <f>IF(Gastos[[#This Row],[Divisa]]="$", I1058*1, IF(Gastos[[#This Row],[Divisa]]="U$D", I1058*$N$1, IF(Gastos[[#This Row],[Divisa]]="EUR", I1058*$N$2, 0)))</f>
        <v>144643.20000000001</v>
      </c>
      <c r="K1058" s="54">
        <f>Gastos[[#This Row],[Importe AR$]]/$N$1</f>
        <v>92.720000000000013</v>
      </c>
      <c r="M1058" s="69"/>
      <c r="N1058" s="43" t="str">
        <f>IF(Gastos[[#This Row],[Fecha_Cheque]]&gt;0,WEEKNUM(Gastos[[#This Row],[Fecha_Cheque]]),MID(Gastos[[#This Row],[Semana]],6,2))</f>
        <v>32</v>
      </c>
      <c r="O1058" t="s">
        <v>4008</v>
      </c>
      <c r="P1058" t="s">
        <v>27</v>
      </c>
    </row>
    <row r="1059" spans="1:16" hidden="1" x14ac:dyDescent="0.25">
      <c r="A1059" s="3" t="s">
        <v>3963</v>
      </c>
      <c r="B1059" t="s">
        <v>797</v>
      </c>
      <c r="C1059" t="s">
        <v>4018</v>
      </c>
      <c r="D1059" t="s">
        <v>26</v>
      </c>
      <c r="E1059" t="s">
        <v>31</v>
      </c>
      <c r="F1059">
        <v>1</v>
      </c>
      <c r="G1059" s="3" t="s">
        <v>5</v>
      </c>
      <c r="H1059" s="44" t="s">
        <v>15</v>
      </c>
      <c r="I1059" s="17">
        <v>258425.44</v>
      </c>
      <c r="J1059" s="17">
        <f>IF(Gastos[[#This Row],[Divisa]]="$", I1059*1, IF(Gastos[[#This Row],[Divisa]]="U$D", I1059*$N$1, IF(Gastos[[#This Row],[Divisa]]="EUR", I1059*$N$2, 0)))</f>
        <v>258425.44</v>
      </c>
      <c r="K1059" s="54">
        <f>Gastos[[#This Row],[Importe AR$]]/$N$1</f>
        <v>165.65733333333333</v>
      </c>
      <c r="M1059" s="69"/>
      <c r="N1059" s="43" t="str">
        <f>IF(Gastos[[#This Row],[Fecha_Cheque]]&gt;0,WEEKNUM(Gastos[[#This Row],[Fecha_Cheque]]),MID(Gastos[[#This Row],[Semana]],6,2))</f>
        <v>32</v>
      </c>
      <c r="O1059" t="s">
        <v>4009</v>
      </c>
      <c r="P1059" t="s">
        <v>27</v>
      </c>
    </row>
    <row r="1060" spans="1:16" hidden="1" x14ac:dyDescent="0.25">
      <c r="A1060" s="3" t="s">
        <v>3963</v>
      </c>
      <c r="B1060" t="s">
        <v>797</v>
      </c>
      <c r="C1060" t="s">
        <v>4018</v>
      </c>
      <c r="D1060" t="s">
        <v>26</v>
      </c>
      <c r="E1060" t="s">
        <v>31</v>
      </c>
      <c r="F1060">
        <v>1</v>
      </c>
      <c r="G1060" s="3" t="s">
        <v>5</v>
      </c>
      <c r="H1060" s="44" t="s">
        <v>15</v>
      </c>
      <c r="I1060" s="17">
        <v>702.56</v>
      </c>
      <c r="J1060" s="17">
        <f>IF(Gastos[[#This Row],[Divisa]]="$", I1060*1, IF(Gastos[[#This Row],[Divisa]]="U$D", I1060*$N$1, IF(Gastos[[#This Row],[Divisa]]="EUR", I1060*$N$2, 0)))</f>
        <v>702.56</v>
      </c>
      <c r="K1060" s="54">
        <f>Gastos[[#This Row],[Importe AR$]]/$N$1</f>
        <v>0.45035897435897432</v>
      </c>
      <c r="M1060" s="69"/>
      <c r="N1060" s="43" t="str">
        <f>IF(Gastos[[#This Row],[Fecha_Cheque]]&gt;0,WEEKNUM(Gastos[[#This Row],[Fecha_Cheque]]),MID(Gastos[[#This Row],[Semana]],6,2))</f>
        <v>32</v>
      </c>
      <c r="O1060" t="s">
        <v>4009</v>
      </c>
      <c r="P1060" t="s">
        <v>27</v>
      </c>
    </row>
    <row r="1061" spans="1:16" hidden="1" x14ac:dyDescent="0.25">
      <c r="A1061" s="3" t="s">
        <v>3693</v>
      </c>
      <c r="B1061" t="s">
        <v>3714</v>
      </c>
      <c r="C1061" t="s">
        <v>2181</v>
      </c>
      <c r="D1061" t="s">
        <v>26</v>
      </c>
      <c r="E1061" t="s">
        <v>62</v>
      </c>
      <c r="F1061">
        <v>1</v>
      </c>
      <c r="G1061" s="3" t="s">
        <v>32</v>
      </c>
      <c r="H1061" s="44" t="s">
        <v>15</v>
      </c>
      <c r="I1061" s="17">
        <v>2618473</v>
      </c>
      <c r="J1061" s="17">
        <f>IF(Gastos[[#This Row],[Divisa]]="$", I1061*1, IF(Gastos[[#This Row],[Divisa]]="U$D", I1061*$N$1, IF(Gastos[[#This Row],[Divisa]]="EUR", I1061*$N$2, 0)))</f>
        <v>2618473</v>
      </c>
      <c r="K1061" s="54">
        <f>Gastos[[#This Row],[Importe AR$]]/$N$1</f>
        <v>1678.5083333333334</v>
      </c>
      <c r="M1061" s="69">
        <v>46239</v>
      </c>
      <c r="N1061" s="43">
        <f>IF(Gastos[[#This Row],[Fecha_Cheque]]&gt;0,WEEKNUM(Gastos[[#This Row],[Fecha_Cheque]]),MID(Gastos[[#This Row],[Semana]],6,2))</f>
        <v>32</v>
      </c>
      <c r="O1061" t="s">
        <v>3715</v>
      </c>
      <c r="P1061" t="s">
        <v>27</v>
      </c>
    </row>
    <row r="1062" spans="1:16" hidden="1" x14ac:dyDescent="0.25">
      <c r="A1062" s="3" t="s">
        <v>3693</v>
      </c>
      <c r="B1062" t="s">
        <v>3714</v>
      </c>
      <c r="C1062" t="s">
        <v>2181</v>
      </c>
      <c r="D1062" t="s">
        <v>26</v>
      </c>
      <c r="E1062" t="s">
        <v>62</v>
      </c>
      <c r="F1062">
        <v>1</v>
      </c>
      <c r="G1062" s="3" t="s">
        <v>32</v>
      </c>
      <c r="H1062" s="44" t="s">
        <v>15</v>
      </c>
      <c r="I1062" s="17">
        <v>38798.89</v>
      </c>
      <c r="J1062" s="17">
        <f>IF(Gastos[[#This Row],[Divisa]]="$", I1062*1, IF(Gastos[[#This Row],[Divisa]]="U$D", I1062*$N$1, IF(Gastos[[#This Row],[Divisa]]="EUR", I1062*$N$2, 0)))</f>
        <v>38798.89</v>
      </c>
      <c r="K1062" s="54">
        <f>Gastos[[#This Row],[Importe AR$]]/$N$1</f>
        <v>24.871083333333331</v>
      </c>
      <c r="L1062" t="s">
        <v>340</v>
      </c>
      <c r="M1062" s="69"/>
      <c r="N1062" s="43" t="str">
        <f>IF(Gastos[[#This Row],[Fecha_Cheque]]&gt;0,WEEKNUM(Gastos[[#This Row],[Fecha_Cheque]]),MID(Gastos[[#This Row],[Semana]],6,2))</f>
        <v>28</v>
      </c>
      <c r="O1062" t="s">
        <v>3715</v>
      </c>
      <c r="P1062" t="s">
        <v>27</v>
      </c>
    </row>
    <row r="1063" spans="1:16" hidden="1" x14ac:dyDescent="0.25">
      <c r="A1063" s="3" t="s">
        <v>4119</v>
      </c>
      <c r="B1063" t="s">
        <v>3714</v>
      </c>
      <c r="C1063" t="s">
        <v>2181</v>
      </c>
      <c r="D1063" t="s">
        <v>26</v>
      </c>
      <c r="E1063" t="s">
        <v>62</v>
      </c>
      <c r="F1063">
        <v>1</v>
      </c>
      <c r="G1063" s="3" t="s">
        <v>32</v>
      </c>
      <c r="H1063" s="44" t="s">
        <v>15</v>
      </c>
      <c r="I1063" s="17">
        <v>11133936</v>
      </c>
      <c r="J1063" s="17">
        <f>IF(Gastos[[#This Row],[Divisa]]="$", I1063*1, IF(Gastos[[#This Row],[Divisa]]="U$D", I1063*$N$1, IF(Gastos[[#This Row],[Divisa]]="EUR", I1063*$N$2, 0)))</f>
        <v>11133936</v>
      </c>
      <c r="K1063" s="54">
        <f>Gastos[[#This Row],[Importe AR$]]/$N$1</f>
        <v>7137.1384615384613</v>
      </c>
      <c r="M1063" s="69">
        <v>46293</v>
      </c>
      <c r="N1063" s="43">
        <f>IF(Gastos[[#This Row],[Fecha_Cheque]]&gt;0,WEEKNUM(Gastos[[#This Row],[Fecha_Cheque]]),MID(Gastos[[#This Row],[Semana]],6,2))</f>
        <v>40</v>
      </c>
      <c r="O1063" t="s">
        <v>4162</v>
      </c>
      <c r="P1063" t="s">
        <v>27</v>
      </c>
    </row>
    <row r="1064" spans="1:16" hidden="1" x14ac:dyDescent="0.25">
      <c r="A1064" s="3" t="s">
        <v>4119</v>
      </c>
      <c r="B1064" t="s">
        <v>3714</v>
      </c>
      <c r="C1064" t="s">
        <v>2181</v>
      </c>
      <c r="D1064" t="s">
        <v>26</v>
      </c>
      <c r="E1064" t="s">
        <v>62</v>
      </c>
      <c r="F1064">
        <v>1</v>
      </c>
      <c r="G1064" s="3" t="s">
        <v>32</v>
      </c>
      <c r="H1064" s="44" t="s">
        <v>15</v>
      </c>
      <c r="I1064" s="17">
        <v>179552</v>
      </c>
      <c r="J1064" s="17">
        <f>IF(Gastos[[#This Row],[Divisa]]="$", I1064*1, IF(Gastos[[#This Row],[Divisa]]="U$D", I1064*$N$1, IF(Gastos[[#This Row],[Divisa]]="EUR", I1064*$N$2, 0)))</f>
        <v>179552</v>
      </c>
      <c r="K1064" s="54">
        <f>Gastos[[#This Row],[Importe AR$]]/$N$1</f>
        <v>115.0974358974359</v>
      </c>
      <c r="L1064" t="s">
        <v>340</v>
      </c>
      <c r="M1064" s="69"/>
      <c r="N1064" s="43" t="str">
        <f>IF(Gastos[[#This Row],[Fecha_Cheque]]&gt;0,WEEKNUM(Gastos[[#This Row],[Fecha_Cheque]]),MID(Gastos[[#This Row],[Semana]],6,2))</f>
        <v>35</v>
      </c>
      <c r="O1064" t="s">
        <v>4162</v>
      </c>
      <c r="P1064" t="s">
        <v>27</v>
      </c>
    </row>
    <row r="1065" spans="1:16" hidden="1" x14ac:dyDescent="0.25">
      <c r="A1065" s="3" t="s">
        <v>4322</v>
      </c>
      <c r="B1065" t="s">
        <v>3714</v>
      </c>
      <c r="C1065" t="s">
        <v>2181</v>
      </c>
      <c r="D1065" t="s">
        <v>26</v>
      </c>
      <c r="E1065" t="s">
        <v>62</v>
      </c>
      <c r="F1065">
        <v>1</v>
      </c>
      <c r="G1065" s="3" t="s">
        <v>32</v>
      </c>
      <c r="H1065" s="44" t="s">
        <v>15</v>
      </c>
      <c r="I1065" s="17">
        <v>4452190.79</v>
      </c>
      <c r="J1065" s="17">
        <f>IF(Gastos[[#This Row],[Divisa]]="$", I1065*1, IF(Gastos[[#This Row],[Divisa]]="U$D", I1065*$N$1, IF(Gastos[[#This Row],[Divisa]]="EUR", I1065*$N$2, 0)))</f>
        <v>4452190.79</v>
      </c>
      <c r="K1065" s="54">
        <f>Gastos[[#This Row],[Importe AR$]]/$N$1</f>
        <v>2853.9684551282053</v>
      </c>
      <c r="M1065" s="69">
        <v>46317</v>
      </c>
      <c r="N1065" s="43">
        <f>IF(Gastos[[#This Row],[Fecha_Cheque]]&gt;0,WEEKNUM(Gastos[[#This Row],[Fecha_Cheque]]),MID(Gastos[[#This Row],[Semana]],6,2))</f>
        <v>43</v>
      </c>
      <c r="O1065" t="s">
        <v>4331</v>
      </c>
      <c r="P1065" t="s">
        <v>27</v>
      </c>
    </row>
    <row r="1066" spans="1:16" hidden="1" x14ac:dyDescent="0.25">
      <c r="A1066" s="3" t="s">
        <v>4322</v>
      </c>
      <c r="B1066" t="s">
        <v>3714</v>
      </c>
      <c r="C1066" t="s">
        <v>2181</v>
      </c>
      <c r="D1066" t="s">
        <v>26</v>
      </c>
      <c r="E1066" t="s">
        <v>62</v>
      </c>
      <c r="F1066">
        <v>1</v>
      </c>
      <c r="G1066" s="3" t="s">
        <v>32</v>
      </c>
      <c r="H1066" s="44" t="s">
        <v>15</v>
      </c>
      <c r="I1066" s="17">
        <v>69109.929999999993</v>
      </c>
      <c r="J1066" s="17">
        <f>IF(Gastos[[#This Row],[Divisa]]="$", I1066*1, IF(Gastos[[#This Row],[Divisa]]="U$D", I1066*$N$1, IF(Gastos[[#This Row],[Divisa]]="EUR", I1066*$N$2, 0)))</f>
        <v>69109.929999999993</v>
      </c>
      <c r="K1066" s="54">
        <f>Gastos[[#This Row],[Importe AR$]]/$N$1</f>
        <v>44.301237179487174</v>
      </c>
      <c r="L1066" t="s">
        <v>340</v>
      </c>
      <c r="M1066" s="69"/>
      <c r="N1066" s="43" t="str">
        <f>IF(Gastos[[#This Row],[Fecha_Cheque]]&gt;0,WEEKNUM(Gastos[[#This Row],[Fecha_Cheque]]),MID(Gastos[[#This Row],[Semana]],6,2))</f>
        <v>38</v>
      </c>
      <c r="O1066" t="s">
        <v>4331</v>
      </c>
      <c r="P1066" t="s">
        <v>27</v>
      </c>
    </row>
    <row r="1067" spans="1:16" hidden="1" x14ac:dyDescent="0.25">
      <c r="A1067" s="3" t="s">
        <v>4513</v>
      </c>
      <c r="B1067" t="s">
        <v>3714</v>
      </c>
      <c r="C1067" t="s">
        <v>2181</v>
      </c>
      <c r="D1067" t="s">
        <v>26</v>
      </c>
      <c r="E1067" t="s">
        <v>62</v>
      </c>
      <c r="F1067">
        <v>1</v>
      </c>
      <c r="G1067" s="3" t="s">
        <v>32</v>
      </c>
      <c r="H1067" s="44" t="s">
        <v>15</v>
      </c>
      <c r="I1067" s="17">
        <v>4022163.55</v>
      </c>
      <c r="J1067" s="17">
        <f>IF(Gastos[[#This Row],[Divisa]]="$", I1067*1, IF(Gastos[[#This Row],[Divisa]]="U$D", I1067*$N$1, IF(Gastos[[#This Row],[Divisa]]="EUR", I1067*$N$2, 0)))</f>
        <v>4022163.55</v>
      </c>
      <c r="K1067" s="54">
        <f>Gastos[[#This Row],[Importe AR$]]/$N$1</f>
        <v>2578.3099679487177</v>
      </c>
      <c r="M1067" s="69">
        <v>46338</v>
      </c>
      <c r="N1067" s="43">
        <f>IF(Gastos[[#This Row],[Fecha_Cheque]]&gt;0,WEEKNUM(Gastos[[#This Row],[Fecha_Cheque]]),MID(Gastos[[#This Row],[Semana]],6,2))</f>
        <v>46</v>
      </c>
      <c r="O1067" t="s">
        <v>4529</v>
      </c>
      <c r="P1067" t="s">
        <v>27</v>
      </c>
    </row>
    <row r="1068" spans="1:16" hidden="1" x14ac:dyDescent="0.25">
      <c r="A1068" s="3" t="s">
        <v>4513</v>
      </c>
      <c r="B1068" t="s">
        <v>3714</v>
      </c>
      <c r="C1068" t="s">
        <v>2181</v>
      </c>
      <c r="D1068" t="s">
        <v>26</v>
      </c>
      <c r="E1068" t="s">
        <v>62</v>
      </c>
      <c r="F1068">
        <v>1</v>
      </c>
      <c r="G1068" s="3" t="s">
        <v>32</v>
      </c>
      <c r="H1068" s="44" t="s">
        <v>15</v>
      </c>
      <c r="I1068" s="17">
        <v>62002.04</v>
      </c>
      <c r="J1068" s="17">
        <f>IF(Gastos[[#This Row],[Divisa]]="$", I1068*1, IF(Gastos[[#This Row],[Divisa]]="U$D", I1068*$N$1, IF(Gastos[[#This Row],[Divisa]]="EUR", I1068*$N$2, 0)))</f>
        <v>62002.04</v>
      </c>
      <c r="K1068" s="54">
        <f>Gastos[[#This Row],[Importe AR$]]/$N$1</f>
        <v>39.744897435897435</v>
      </c>
      <c r="L1068" t="s">
        <v>340</v>
      </c>
      <c r="M1068" s="69"/>
      <c r="N1068" s="43" t="str">
        <f>IF(Gastos[[#This Row],[Fecha_Cheque]]&gt;0,WEEKNUM(Gastos[[#This Row],[Fecha_Cheque]]),MID(Gastos[[#This Row],[Semana]],6,2))</f>
        <v>42</v>
      </c>
      <c r="O1068" t="s">
        <v>4529</v>
      </c>
      <c r="P1068" t="s">
        <v>27</v>
      </c>
    </row>
    <row r="1069" spans="1:16" x14ac:dyDescent="0.25">
      <c r="A1069" s="3" t="s">
        <v>4655</v>
      </c>
      <c r="B1069" t="s">
        <v>3859</v>
      </c>
      <c r="C1069" t="s">
        <v>3860</v>
      </c>
      <c r="D1069" t="s">
        <v>26</v>
      </c>
      <c r="E1069" t="s">
        <v>31</v>
      </c>
      <c r="F1069">
        <v>1</v>
      </c>
      <c r="G1069" s="3" t="s">
        <v>32</v>
      </c>
      <c r="H1069" s="44" t="s">
        <v>2</v>
      </c>
      <c r="I1069" s="17">
        <v>8743.4599999999991</v>
      </c>
      <c r="J1069" s="17">
        <f>IF(Gastos[[#This Row],[Divisa]]="$", I1069*1, IF(Gastos[[#This Row],[Divisa]]="U$D", I1069*$N$1, IF(Gastos[[#This Row],[Divisa]]="EUR", I1069*$N$2, 0)))</f>
        <v>13639797.599999998</v>
      </c>
      <c r="K1069" s="54">
        <f>Gastos[[#This Row],[Importe AR$]]/$N$1</f>
        <v>8743.4599999999991</v>
      </c>
      <c r="M1069" s="69"/>
      <c r="N1069" s="43" t="str">
        <f>IF(Gastos[[#This Row],[Fecha_Cheque]]&gt;0,WEEKNUM(Gastos[[#This Row],[Fecha_Cheque]]),MID(Gastos[[#This Row],[Semana]],6,2))</f>
        <v>44</v>
      </c>
    </row>
    <row r="1070" spans="1:16" x14ac:dyDescent="0.25">
      <c r="A1070" s="3" t="s">
        <v>4655</v>
      </c>
      <c r="B1070" t="s">
        <v>4138</v>
      </c>
      <c r="C1070" t="s">
        <v>4137</v>
      </c>
      <c r="D1070" t="s">
        <v>26</v>
      </c>
      <c r="E1070" t="s">
        <v>31</v>
      </c>
      <c r="F1070">
        <v>1</v>
      </c>
      <c r="G1070" s="3" t="s">
        <v>32</v>
      </c>
      <c r="H1070" s="44" t="s">
        <v>15</v>
      </c>
      <c r="I1070" s="17">
        <f>7000*90</f>
        <v>630000</v>
      </c>
      <c r="J1070" s="17">
        <f>IF(Gastos[[#This Row],[Divisa]]="$", I1070*1, IF(Gastos[[#This Row],[Divisa]]="U$D", I1070*$N$1, IF(Gastos[[#This Row],[Divisa]]="EUR", I1070*$N$2, 0)))</f>
        <v>630000</v>
      </c>
      <c r="K1070" s="54">
        <f>Gastos[[#This Row],[Importe AR$]]/$N$1</f>
        <v>403.84615384615387</v>
      </c>
      <c r="M1070" s="69"/>
      <c r="N1070" s="43" t="str">
        <f>IF(Gastos[[#This Row],[Fecha_Cheque]]&gt;0,WEEKNUM(Gastos[[#This Row],[Fecha_Cheque]]),MID(Gastos[[#This Row],[Semana]],6,2))</f>
        <v>44</v>
      </c>
    </row>
    <row r="1071" spans="1:16" hidden="1" x14ac:dyDescent="0.25">
      <c r="A1071" s="3" t="s">
        <v>188</v>
      </c>
      <c r="B1071" t="s">
        <v>804</v>
      </c>
      <c r="C1071" t="s">
        <v>805</v>
      </c>
      <c r="D1071" t="s">
        <v>26</v>
      </c>
      <c r="E1071" t="s">
        <v>31</v>
      </c>
      <c r="F1071">
        <v>1</v>
      </c>
      <c r="G1071" s="3" t="s">
        <v>4</v>
      </c>
      <c r="H1071" s="46" t="s">
        <v>15</v>
      </c>
      <c r="I1071" s="17">
        <v>1360500</v>
      </c>
      <c r="J1071" s="17">
        <f>IF(Gastos[[#This Row],[Divisa]]="$", I1071*1, IF(Gastos[[#This Row],[Divisa]]="U$D", I1071*$N$1, IF(Gastos[[#This Row],[Divisa]]="EUR", I1071*$N$2, 0)))</f>
        <v>1360500</v>
      </c>
      <c r="K1071" s="54">
        <f>Gastos[[#This Row],[Importe AR$]]/$N$1</f>
        <v>872.11538461538464</v>
      </c>
      <c r="M1071" s="69"/>
      <c r="N1071" s="43" t="str">
        <f>IF(Gastos[[#This Row],[Fecha_Cheque]]&gt;0,WEEKNUM(Gastos[[#This Row],[Fecha_Cheque]]),MID(Gastos[[#This Row],[Semana]],6,2))</f>
        <v>19</v>
      </c>
      <c r="O1071" t="s">
        <v>27</v>
      </c>
      <c r="P1071" t="s">
        <v>27</v>
      </c>
    </row>
    <row r="1072" spans="1:16" hidden="1" x14ac:dyDescent="0.25">
      <c r="A1072" s="3" t="s">
        <v>253</v>
      </c>
      <c r="B1072" t="s">
        <v>804</v>
      </c>
      <c r="C1072" t="s">
        <v>806</v>
      </c>
      <c r="D1072" t="s">
        <v>61</v>
      </c>
      <c r="E1072" t="s">
        <v>91</v>
      </c>
      <c r="F1072">
        <v>1</v>
      </c>
      <c r="G1072" s="3" t="s">
        <v>32</v>
      </c>
      <c r="H1072" s="46" t="s">
        <v>15</v>
      </c>
      <c r="I1072" s="17">
        <v>10291025.84</v>
      </c>
      <c r="J1072" s="17">
        <f>IF(Gastos[[#This Row],[Divisa]]="$", I1072*1, IF(Gastos[[#This Row],[Divisa]]="U$D", I1072*$N$1, IF(Gastos[[#This Row],[Divisa]]="EUR", I1072*$N$2, 0)))</f>
        <v>10291025.84</v>
      </c>
      <c r="K1072" s="54">
        <f>Gastos[[#This Row],[Importe AR$]]/$N$1</f>
        <v>6596.8114358974362</v>
      </c>
      <c r="L1072" t="s">
        <v>807</v>
      </c>
      <c r="M1072" s="69">
        <v>45841</v>
      </c>
      <c r="N1072" s="43">
        <f>IF(Gastos[[#This Row],[Fecha_Cheque]]&gt;0,WEEKNUM(Gastos[[#This Row],[Fecha_Cheque]]),MID(Gastos[[#This Row],[Semana]],6,2))</f>
        <v>27</v>
      </c>
      <c r="O1072" t="s">
        <v>808</v>
      </c>
      <c r="P1072" t="s">
        <v>27</v>
      </c>
    </row>
    <row r="1073" spans="1:16" hidden="1" x14ac:dyDescent="0.25">
      <c r="A1073" s="3" t="s">
        <v>253</v>
      </c>
      <c r="B1073" t="s">
        <v>804</v>
      </c>
      <c r="C1073" t="s">
        <v>806</v>
      </c>
      <c r="D1073" t="s">
        <v>97</v>
      </c>
      <c r="E1073" t="s">
        <v>91</v>
      </c>
      <c r="F1073">
        <v>1</v>
      </c>
      <c r="G1073" s="3" t="s">
        <v>5</v>
      </c>
      <c r="H1073" s="46" t="s">
        <v>15</v>
      </c>
      <c r="I1073" s="17">
        <v>10291025.84</v>
      </c>
      <c r="J1073" s="17">
        <f>IF(Gastos[[#This Row],[Divisa]]="$", I1073*1, IF(Gastos[[#This Row],[Divisa]]="U$D", I1073*$N$1, IF(Gastos[[#This Row],[Divisa]]="EUR", I1073*$N$2, 0)))</f>
        <v>10291025.84</v>
      </c>
      <c r="K1073" s="54">
        <f>Gastos[[#This Row],[Importe AR$]]/$N$1</f>
        <v>6596.8114358974362</v>
      </c>
      <c r="L1073" t="s">
        <v>809</v>
      </c>
      <c r="M1073" s="69"/>
      <c r="N1073" s="43" t="str">
        <f>IF(Gastos[[#This Row],[Fecha_Cheque]]&gt;0,WEEKNUM(Gastos[[#This Row],[Fecha_Cheque]]),MID(Gastos[[#This Row],[Semana]],6,2))</f>
        <v>24</v>
      </c>
      <c r="O1073" t="s">
        <v>808</v>
      </c>
      <c r="P1073" t="s">
        <v>27</v>
      </c>
    </row>
    <row r="1074" spans="1:16" hidden="1" x14ac:dyDescent="0.25">
      <c r="A1074" s="3" t="s">
        <v>253</v>
      </c>
      <c r="B1074" t="s">
        <v>804</v>
      </c>
      <c r="C1074" t="s">
        <v>806</v>
      </c>
      <c r="D1074" t="s">
        <v>61</v>
      </c>
      <c r="E1074" t="s">
        <v>91</v>
      </c>
      <c r="F1074">
        <v>1</v>
      </c>
      <c r="G1074" s="3" t="s">
        <v>32</v>
      </c>
      <c r="H1074" s="46" t="s">
        <v>15</v>
      </c>
      <c r="I1074" s="17">
        <v>10291025.84</v>
      </c>
      <c r="J1074" s="17">
        <f>IF(Gastos[[#This Row],[Divisa]]="$", I1074*1, IF(Gastos[[#This Row],[Divisa]]="U$D", I1074*$N$1, IF(Gastos[[#This Row],[Divisa]]="EUR", I1074*$N$2, 0)))</f>
        <v>10291025.84</v>
      </c>
      <c r="K1074" s="54">
        <f>Gastos[[#This Row],[Importe AR$]]/$N$1</f>
        <v>6596.8114358974362</v>
      </c>
      <c r="L1074" t="s">
        <v>807</v>
      </c>
      <c r="M1074" s="69">
        <v>45871</v>
      </c>
      <c r="N1074" s="43">
        <f>IF(Gastos[[#This Row],[Fecha_Cheque]]&gt;0,WEEKNUM(Gastos[[#This Row],[Fecha_Cheque]]),MID(Gastos[[#This Row],[Semana]],6,2))</f>
        <v>31</v>
      </c>
      <c r="O1074" t="s">
        <v>808</v>
      </c>
      <c r="P1074" t="s">
        <v>27</v>
      </c>
    </row>
    <row r="1075" spans="1:16" hidden="1" x14ac:dyDescent="0.25">
      <c r="A1075" s="3" t="s">
        <v>253</v>
      </c>
      <c r="B1075" t="s">
        <v>804</v>
      </c>
      <c r="C1075" t="s">
        <v>806</v>
      </c>
      <c r="D1075" t="s">
        <v>61</v>
      </c>
      <c r="E1075" t="s">
        <v>91</v>
      </c>
      <c r="F1075">
        <v>1</v>
      </c>
      <c r="G1075" s="3" t="s">
        <v>32</v>
      </c>
      <c r="H1075" s="46" t="s">
        <v>15</v>
      </c>
      <c r="I1075" s="17">
        <v>10291025.84</v>
      </c>
      <c r="J1075" s="17">
        <f>IF(Gastos[[#This Row],[Divisa]]="$", I1075*1, IF(Gastos[[#This Row],[Divisa]]="U$D", I1075*$N$1, IF(Gastos[[#This Row],[Divisa]]="EUR", I1075*$N$2, 0)))</f>
        <v>10291025.84</v>
      </c>
      <c r="K1075" s="54">
        <f>Gastos[[#This Row],[Importe AR$]]/$N$1</f>
        <v>6596.8114358974362</v>
      </c>
      <c r="L1075" t="s">
        <v>807</v>
      </c>
      <c r="M1075" s="69">
        <v>45901</v>
      </c>
      <c r="N1075" s="43">
        <f>IF(Gastos[[#This Row],[Fecha_Cheque]]&gt;0,WEEKNUM(Gastos[[#This Row],[Fecha_Cheque]]),MID(Gastos[[#This Row],[Semana]],6,2))</f>
        <v>36</v>
      </c>
      <c r="O1075" t="s">
        <v>808</v>
      </c>
      <c r="P1075" t="s">
        <v>27</v>
      </c>
    </row>
    <row r="1076" spans="1:16" hidden="1" x14ac:dyDescent="0.25">
      <c r="A1076" s="3" t="s">
        <v>105</v>
      </c>
      <c r="B1076" t="s">
        <v>804</v>
      </c>
      <c r="C1076" t="s">
        <v>810</v>
      </c>
      <c r="D1076" t="s">
        <v>26</v>
      </c>
      <c r="E1076" t="s">
        <v>91</v>
      </c>
      <c r="F1076">
        <v>2</v>
      </c>
      <c r="G1076" s="3" t="s">
        <v>32</v>
      </c>
      <c r="H1076" s="46" t="s">
        <v>15</v>
      </c>
      <c r="I1076" s="17">
        <v>240000</v>
      </c>
      <c r="J1076" s="17">
        <f>IF(Gastos[[#This Row],[Divisa]]="$", I1076*1, IF(Gastos[[#This Row],[Divisa]]="U$D", I1076*$N$1, IF(Gastos[[#This Row],[Divisa]]="EUR", I1076*$N$2, 0)))</f>
        <v>240000</v>
      </c>
      <c r="K1076" s="54">
        <f>Gastos[[#This Row],[Importe AR$]]/$N$1</f>
        <v>153.84615384615384</v>
      </c>
      <c r="M1076" s="70" t="s">
        <v>811</v>
      </c>
      <c r="N1076" s="43">
        <f>IF(Gastos[[#This Row],[Fecha_Cheque]]&gt;0,WEEKNUM(Gastos[[#This Row],[Fecha_Cheque]]),MID(Gastos[[#This Row],[Semana]],6,2))</f>
        <v>30</v>
      </c>
      <c r="P1076" t="s">
        <v>27</v>
      </c>
    </row>
    <row r="1077" spans="1:16" hidden="1" x14ac:dyDescent="0.25">
      <c r="A1077" s="3" t="s">
        <v>105</v>
      </c>
      <c r="B1077" t="s">
        <v>804</v>
      </c>
      <c r="C1077" t="s">
        <v>810</v>
      </c>
      <c r="D1077" t="s">
        <v>26</v>
      </c>
      <c r="E1077" t="s">
        <v>91</v>
      </c>
      <c r="F1077">
        <v>2</v>
      </c>
      <c r="G1077" s="3" t="s">
        <v>32</v>
      </c>
      <c r="H1077" s="46" t="s">
        <v>15</v>
      </c>
      <c r="I1077" s="17">
        <v>660000</v>
      </c>
      <c r="J1077" s="17">
        <f>IF(Gastos[[#This Row],[Divisa]]="$", I1077*1, IF(Gastos[[#This Row],[Divisa]]="U$D", I1077*$N$1, IF(Gastos[[#This Row],[Divisa]]="EUR", I1077*$N$2, 0)))</f>
        <v>660000</v>
      </c>
      <c r="K1077" s="54">
        <f>Gastos[[#This Row],[Importe AR$]]/$N$1</f>
        <v>423.07692307692309</v>
      </c>
      <c r="M1077" s="70" t="s">
        <v>812</v>
      </c>
      <c r="N1077" s="43">
        <f>IF(Gastos[[#This Row],[Fecha_Cheque]]&gt;0,WEEKNUM(Gastos[[#This Row],[Fecha_Cheque]]),MID(Gastos[[#This Row],[Semana]],6,2))</f>
        <v>31</v>
      </c>
      <c r="P1077" t="s">
        <v>27</v>
      </c>
    </row>
    <row r="1078" spans="1:16" hidden="1" x14ac:dyDescent="0.25">
      <c r="A1078" s="3" t="s">
        <v>105</v>
      </c>
      <c r="B1078" t="s">
        <v>804</v>
      </c>
      <c r="C1078" t="s">
        <v>810</v>
      </c>
      <c r="D1078" t="s">
        <v>26</v>
      </c>
      <c r="E1078" t="s">
        <v>91</v>
      </c>
      <c r="F1078">
        <v>2</v>
      </c>
      <c r="G1078" s="3" t="s">
        <v>32</v>
      </c>
      <c r="H1078" s="46" t="s">
        <v>15</v>
      </c>
      <c r="I1078" s="17">
        <v>660000</v>
      </c>
      <c r="J1078" s="17">
        <f>IF(Gastos[[#This Row],[Divisa]]="$", I1078*1, IF(Gastos[[#This Row],[Divisa]]="U$D", I1078*$N$1, IF(Gastos[[#This Row],[Divisa]]="EUR", I1078*$N$2, 0)))</f>
        <v>660000</v>
      </c>
      <c r="K1078" s="54">
        <f>Gastos[[#This Row],[Importe AR$]]/$N$1</f>
        <v>423.07692307692309</v>
      </c>
      <c r="M1078" s="70" t="s">
        <v>813</v>
      </c>
      <c r="N1078" s="43">
        <f>IF(Gastos[[#This Row],[Fecha_Cheque]]&gt;0,WEEKNUM(Gastos[[#This Row],[Fecha_Cheque]]),MID(Gastos[[#This Row],[Semana]],6,2))</f>
        <v>31</v>
      </c>
      <c r="P1078" t="s">
        <v>27</v>
      </c>
    </row>
    <row r="1079" spans="1:16" hidden="1" x14ac:dyDescent="0.25">
      <c r="A1079" s="3" t="s">
        <v>117</v>
      </c>
      <c r="B1079" t="s">
        <v>804</v>
      </c>
      <c r="C1079" t="s">
        <v>814</v>
      </c>
      <c r="D1079" t="s">
        <v>26</v>
      </c>
      <c r="E1079" t="s">
        <v>91</v>
      </c>
      <c r="F1079">
        <v>1</v>
      </c>
      <c r="G1079" s="3" t="s">
        <v>32</v>
      </c>
      <c r="H1079" s="46" t="s">
        <v>15</v>
      </c>
      <c r="I1079" s="17">
        <v>2254354.27</v>
      </c>
      <c r="J1079" s="17">
        <f>IF(Gastos[[#This Row],[Divisa]]="$", I1079*1, IF(Gastos[[#This Row],[Divisa]]="U$D", I1079*$N$1, IF(Gastos[[#This Row],[Divisa]]="EUR", I1079*$N$2, 0)))</f>
        <v>2254354.27</v>
      </c>
      <c r="K1079" s="54">
        <f>Gastos[[#This Row],[Importe AR$]]/$N$1</f>
        <v>1445.098891025641</v>
      </c>
      <c r="M1079" s="69">
        <v>45925</v>
      </c>
      <c r="N1079" s="43">
        <f>IF(Gastos[[#This Row],[Fecha_Cheque]]&gt;0,WEEKNUM(Gastos[[#This Row],[Fecha_Cheque]]),MID(Gastos[[#This Row],[Semana]],6,2))</f>
        <v>39</v>
      </c>
      <c r="O1079" t="s">
        <v>815</v>
      </c>
      <c r="P1079" t="s">
        <v>27</v>
      </c>
    </row>
    <row r="1080" spans="1:16" hidden="1" x14ac:dyDescent="0.25">
      <c r="A1080" s="3" t="s">
        <v>117</v>
      </c>
      <c r="B1080" t="s">
        <v>804</v>
      </c>
      <c r="C1080" t="s">
        <v>814</v>
      </c>
      <c r="D1080" t="s">
        <v>26</v>
      </c>
      <c r="E1080" t="s">
        <v>91</v>
      </c>
      <c r="F1080">
        <v>1</v>
      </c>
      <c r="G1080" s="3" t="s">
        <v>32</v>
      </c>
      <c r="H1080" s="46" t="s">
        <v>15</v>
      </c>
      <c r="I1080" s="17">
        <v>2478836.59</v>
      </c>
      <c r="J1080" s="17">
        <f>IF(Gastos[[#This Row],[Divisa]]="$", I1080*1, IF(Gastos[[#This Row],[Divisa]]="U$D", I1080*$N$1, IF(Gastos[[#This Row],[Divisa]]="EUR", I1080*$N$2, 0)))</f>
        <v>2478836.59</v>
      </c>
      <c r="K1080" s="54">
        <f>Gastos[[#This Row],[Importe AR$]]/$N$1</f>
        <v>1588.997814102564</v>
      </c>
      <c r="M1080" s="69">
        <v>45918</v>
      </c>
      <c r="N1080" s="43">
        <f>IF(Gastos[[#This Row],[Fecha_Cheque]]&gt;0,WEEKNUM(Gastos[[#This Row],[Fecha_Cheque]]),MID(Gastos[[#This Row],[Semana]],6,2))</f>
        <v>38</v>
      </c>
      <c r="O1080" t="s">
        <v>815</v>
      </c>
      <c r="P1080" t="s">
        <v>27</v>
      </c>
    </row>
    <row r="1081" spans="1:16" hidden="1" x14ac:dyDescent="0.25">
      <c r="A1081" s="3" t="s">
        <v>117</v>
      </c>
      <c r="B1081" t="s">
        <v>804</v>
      </c>
      <c r="C1081" t="s">
        <v>814</v>
      </c>
      <c r="D1081" t="s">
        <v>26</v>
      </c>
      <c r="E1081" t="s">
        <v>91</v>
      </c>
      <c r="F1081">
        <v>1</v>
      </c>
      <c r="G1081" s="3" t="s">
        <v>32</v>
      </c>
      <c r="H1081" s="46" t="s">
        <v>15</v>
      </c>
      <c r="I1081" s="17">
        <v>11399471.74</v>
      </c>
      <c r="J1081" s="17">
        <f>IF(Gastos[[#This Row],[Divisa]]="$", I1081*1, IF(Gastos[[#This Row],[Divisa]]="U$D", I1081*$N$1, IF(Gastos[[#This Row],[Divisa]]="EUR", I1081*$N$2, 0)))</f>
        <v>11399471.74</v>
      </c>
      <c r="K1081" s="54">
        <f>Gastos[[#This Row],[Importe AR$]]/$N$1</f>
        <v>7307.3536794871798</v>
      </c>
      <c r="M1081" s="69">
        <v>45911</v>
      </c>
      <c r="N1081" s="43">
        <f>IF(Gastos[[#This Row],[Fecha_Cheque]]&gt;0,WEEKNUM(Gastos[[#This Row],[Fecha_Cheque]]),MID(Gastos[[#This Row],[Semana]],6,2))</f>
        <v>37</v>
      </c>
      <c r="O1081" t="s">
        <v>815</v>
      </c>
      <c r="P1081" t="s">
        <v>27</v>
      </c>
    </row>
    <row r="1082" spans="1:16" hidden="1" x14ac:dyDescent="0.25">
      <c r="A1082" s="3" t="s">
        <v>117</v>
      </c>
      <c r="B1082" t="s">
        <v>804</v>
      </c>
      <c r="C1082" t="s">
        <v>814</v>
      </c>
      <c r="D1082" t="s">
        <v>26</v>
      </c>
      <c r="E1082" t="s">
        <v>91</v>
      </c>
      <c r="F1082">
        <v>1</v>
      </c>
      <c r="G1082" s="3" t="s">
        <v>32</v>
      </c>
      <c r="H1082" s="46" t="s">
        <v>15</v>
      </c>
      <c r="I1082" s="17">
        <v>20000000</v>
      </c>
      <c r="J1082" s="17">
        <f>IF(Gastos[[#This Row],[Divisa]]="$", I1082*1, IF(Gastos[[#This Row],[Divisa]]="U$D", I1082*$N$1, IF(Gastos[[#This Row],[Divisa]]="EUR", I1082*$N$2, 0)))</f>
        <v>20000000</v>
      </c>
      <c r="K1082" s="54">
        <f>Gastos[[#This Row],[Importe AR$]]/$N$1</f>
        <v>12820.51282051282</v>
      </c>
      <c r="M1082" s="69">
        <v>45956</v>
      </c>
      <c r="N1082" s="43">
        <f>IF(Gastos[[#This Row],[Fecha_Cheque]]&gt;0,WEEKNUM(Gastos[[#This Row],[Fecha_Cheque]]),MID(Gastos[[#This Row],[Semana]],6,2))</f>
        <v>44</v>
      </c>
      <c r="O1082" t="s">
        <v>815</v>
      </c>
      <c r="P1082" t="s">
        <v>27</v>
      </c>
    </row>
    <row r="1083" spans="1:16" hidden="1" x14ac:dyDescent="0.25">
      <c r="A1083" s="3" t="s">
        <v>117</v>
      </c>
      <c r="B1083" t="s">
        <v>804</v>
      </c>
      <c r="C1083" t="s">
        <v>814</v>
      </c>
      <c r="D1083" t="s">
        <v>26</v>
      </c>
      <c r="E1083" t="s">
        <v>91</v>
      </c>
      <c r="F1083">
        <v>1</v>
      </c>
      <c r="G1083" s="3" t="s">
        <v>32</v>
      </c>
      <c r="H1083" s="46" t="s">
        <v>15</v>
      </c>
      <c r="I1083" s="17">
        <v>20000000</v>
      </c>
      <c r="J1083" s="17">
        <f>IF(Gastos[[#This Row],[Divisa]]="$", I1083*1, IF(Gastos[[#This Row],[Divisa]]="U$D", I1083*$N$1, IF(Gastos[[#This Row],[Divisa]]="EUR", I1083*$N$2, 0)))</f>
        <v>20000000</v>
      </c>
      <c r="K1083" s="54">
        <f>Gastos[[#This Row],[Importe AR$]]/$N$1</f>
        <v>12820.51282051282</v>
      </c>
      <c r="M1083" s="69">
        <v>45926</v>
      </c>
      <c r="N1083" s="43">
        <f>IF(Gastos[[#This Row],[Fecha_Cheque]]&gt;0,WEEKNUM(Gastos[[#This Row],[Fecha_Cheque]]),MID(Gastos[[#This Row],[Semana]],6,2))</f>
        <v>39</v>
      </c>
      <c r="O1083" t="s">
        <v>815</v>
      </c>
      <c r="P1083" t="s">
        <v>27</v>
      </c>
    </row>
    <row r="1084" spans="1:16" hidden="1" x14ac:dyDescent="0.25">
      <c r="A1084" s="3" t="s">
        <v>117</v>
      </c>
      <c r="B1084" t="s">
        <v>804</v>
      </c>
      <c r="C1084" t="s">
        <v>814</v>
      </c>
      <c r="D1084" t="s">
        <v>26</v>
      </c>
      <c r="E1084" t="s">
        <v>91</v>
      </c>
      <c r="F1084">
        <v>1</v>
      </c>
      <c r="G1084" s="3" t="s">
        <v>5</v>
      </c>
      <c r="H1084" s="46" t="s">
        <v>15</v>
      </c>
      <c r="I1084" s="17">
        <v>14377237.4</v>
      </c>
      <c r="J1084" s="17">
        <f>IF(Gastos[[#This Row],[Divisa]]="$", I1084*1, IF(Gastos[[#This Row],[Divisa]]="U$D", I1084*$N$1, IF(Gastos[[#This Row],[Divisa]]="EUR", I1084*$N$2, 0)))</f>
        <v>14377237.4</v>
      </c>
      <c r="K1084" s="54">
        <f>Gastos[[#This Row],[Importe AR$]]/$N$1</f>
        <v>9216.1778205128212</v>
      </c>
      <c r="M1084" s="69">
        <v>45894</v>
      </c>
      <c r="N1084" s="43">
        <f>IF(Gastos[[#This Row],[Fecha_Cheque]]&gt;0,WEEKNUM(Gastos[[#This Row],[Fecha_Cheque]]),MID(Gastos[[#This Row],[Semana]],6,2))</f>
        <v>35</v>
      </c>
      <c r="O1084" t="s">
        <v>815</v>
      </c>
      <c r="P1084" t="s">
        <v>27</v>
      </c>
    </row>
    <row r="1085" spans="1:16" hidden="1" x14ac:dyDescent="0.25">
      <c r="A1085" s="3" t="s">
        <v>117</v>
      </c>
      <c r="B1085" t="s">
        <v>804</v>
      </c>
      <c r="C1085" t="s">
        <v>814</v>
      </c>
      <c r="D1085" t="s">
        <v>26</v>
      </c>
      <c r="E1085" t="s">
        <v>91</v>
      </c>
      <c r="F1085">
        <v>2</v>
      </c>
      <c r="G1085" s="3" t="s">
        <v>32</v>
      </c>
      <c r="H1085" s="46" t="s">
        <v>15</v>
      </c>
      <c r="I1085" s="17">
        <v>139000</v>
      </c>
      <c r="J1085" s="17">
        <f>IF(Gastos[[#This Row],[Divisa]]="$", I1085*1, IF(Gastos[[#This Row],[Divisa]]="U$D", I1085*$N$1, IF(Gastos[[#This Row],[Divisa]]="EUR", I1085*$N$2, 0)))</f>
        <v>139000</v>
      </c>
      <c r="K1085" s="54">
        <f>Gastos[[#This Row],[Importe AR$]]/$N$1</f>
        <v>89.102564102564102</v>
      </c>
      <c r="M1085" s="69">
        <v>45897</v>
      </c>
      <c r="N1085" s="43">
        <f>IF(Gastos[[#This Row],[Fecha_Cheque]]&gt;0,WEEKNUM(Gastos[[#This Row],[Fecha_Cheque]]),MID(Gastos[[#This Row],[Semana]],6,2))</f>
        <v>35</v>
      </c>
      <c r="O1085" t="s">
        <v>816</v>
      </c>
      <c r="P1085" t="s">
        <v>27</v>
      </c>
    </row>
    <row r="1086" spans="1:16" hidden="1" x14ac:dyDescent="0.25">
      <c r="A1086" s="3" t="s">
        <v>117</v>
      </c>
      <c r="B1086" t="s">
        <v>804</v>
      </c>
      <c r="C1086" t="s">
        <v>814</v>
      </c>
      <c r="D1086" t="s">
        <v>26</v>
      </c>
      <c r="E1086" t="s">
        <v>91</v>
      </c>
      <c r="F1086">
        <v>2</v>
      </c>
      <c r="G1086" s="3" t="s">
        <v>32</v>
      </c>
      <c r="H1086" s="46" t="s">
        <v>15</v>
      </c>
      <c r="I1086" s="17">
        <v>500000</v>
      </c>
      <c r="J1086" s="17">
        <f>IF(Gastos[[#This Row],[Divisa]]="$", I1086*1, IF(Gastos[[#This Row],[Divisa]]="U$D", I1086*$N$1, IF(Gastos[[#This Row],[Divisa]]="EUR", I1086*$N$2, 0)))</f>
        <v>500000</v>
      </c>
      <c r="K1086" s="54">
        <f>Gastos[[#This Row],[Importe AR$]]/$N$1</f>
        <v>320.5128205128205</v>
      </c>
      <c r="M1086" s="69">
        <v>45894</v>
      </c>
      <c r="N1086" s="43">
        <f>IF(Gastos[[#This Row],[Fecha_Cheque]]&gt;0,WEEKNUM(Gastos[[#This Row],[Fecha_Cheque]]),MID(Gastos[[#This Row],[Semana]],6,2))</f>
        <v>35</v>
      </c>
      <c r="O1086" t="s">
        <v>816</v>
      </c>
      <c r="P1086" t="s">
        <v>27</v>
      </c>
    </row>
    <row r="1087" spans="1:16" hidden="1" x14ac:dyDescent="0.25">
      <c r="A1087" s="3" t="s">
        <v>117</v>
      </c>
      <c r="B1087" t="s">
        <v>804</v>
      </c>
      <c r="C1087" t="s">
        <v>814</v>
      </c>
      <c r="D1087" t="s">
        <v>26</v>
      </c>
      <c r="E1087" t="s">
        <v>91</v>
      </c>
      <c r="F1087">
        <v>2</v>
      </c>
      <c r="G1087" s="3" t="s">
        <v>32</v>
      </c>
      <c r="H1087" s="46" t="s">
        <v>15</v>
      </c>
      <c r="I1087" s="17">
        <v>500000</v>
      </c>
      <c r="J1087" s="17">
        <f>IF(Gastos[[#This Row],[Divisa]]="$", I1087*1, IF(Gastos[[#This Row],[Divisa]]="U$D", I1087*$N$1, IF(Gastos[[#This Row],[Divisa]]="EUR", I1087*$N$2, 0)))</f>
        <v>500000</v>
      </c>
      <c r="K1087" s="54">
        <f>Gastos[[#This Row],[Importe AR$]]/$N$1</f>
        <v>320.5128205128205</v>
      </c>
      <c r="M1087" s="69">
        <v>45894</v>
      </c>
      <c r="N1087" s="43">
        <f>IF(Gastos[[#This Row],[Fecha_Cheque]]&gt;0,WEEKNUM(Gastos[[#This Row],[Fecha_Cheque]]),MID(Gastos[[#This Row],[Semana]],6,2))</f>
        <v>35</v>
      </c>
      <c r="O1087" t="s">
        <v>816</v>
      </c>
      <c r="P1087" t="s">
        <v>27</v>
      </c>
    </row>
    <row r="1088" spans="1:16" hidden="1" x14ac:dyDescent="0.25">
      <c r="A1088" s="3" t="s">
        <v>117</v>
      </c>
      <c r="B1088" t="s">
        <v>804</v>
      </c>
      <c r="C1088" t="s">
        <v>814</v>
      </c>
      <c r="D1088" t="s">
        <v>26</v>
      </c>
      <c r="E1088" t="s">
        <v>91</v>
      </c>
      <c r="F1088">
        <v>2</v>
      </c>
      <c r="G1088" s="3" t="s">
        <v>32</v>
      </c>
      <c r="H1088" s="46" t="s">
        <v>15</v>
      </c>
      <c r="I1088" s="17">
        <v>1000000</v>
      </c>
      <c r="J1088" s="17">
        <f>IF(Gastos[[#This Row],[Divisa]]="$", I1088*1, IF(Gastos[[#This Row],[Divisa]]="U$D", I1088*$N$1, IF(Gastos[[#This Row],[Divisa]]="EUR", I1088*$N$2, 0)))</f>
        <v>1000000</v>
      </c>
      <c r="K1088" s="54">
        <f>Gastos[[#This Row],[Importe AR$]]/$N$1</f>
        <v>641.02564102564099</v>
      </c>
      <c r="M1088" s="69">
        <v>45893</v>
      </c>
      <c r="N1088" s="43">
        <f>IF(Gastos[[#This Row],[Fecha_Cheque]]&gt;0,WEEKNUM(Gastos[[#This Row],[Fecha_Cheque]]),MID(Gastos[[#This Row],[Semana]],6,2))</f>
        <v>35</v>
      </c>
      <c r="O1088" t="s">
        <v>816</v>
      </c>
      <c r="P1088" t="s">
        <v>27</v>
      </c>
    </row>
    <row r="1089" spans="1:16" hidden="1" x14ac:dyDescent="0.25">
      <c r="A1089" s="3" t="s">
        <v>117</v>
      </c>
      <c r="B1089" t="s">
        <v>804</v>
      </c>
      <c r="C1089" t="s">
        <v>814</v>
      </c>
      <c r="D1089" t="s">
        <v>26</v>
      </c>
      <c r="E1089" t="s">
        <v>42</v>
      </c>
      <c r="F1089">
        <v>2</v>
      </c>
      <c r="G1089" s="3" t="s">
        <v>4</v>
      </c>
      <c r="H1089" s="46" t="s">
        <v>15</v>
      </c>
      <c r="I1089" s="17">
        <v>800</v>
      </c>
      <c r="J1089" s="17">
        <f>IF(Gastos[[#This Row],[Divisa]]="$", I1089*1, IF(Gastos[[#This Row],[Divisa]]="U$D", I1089*$N$1, IF(Gastos[[#This Row],[Divisa]]="EUR", I1089*$N$2, 0)))</f>
        <v>800</v>
      </c>
      <c r="K1089" s="54">
        <f>Gastos[[#This Row],[Importe AR$]]/$N$1</f>
        <v>0.51282051282051277</v>
      </c>
      <c r="M1089" s="69"/>
      <c r="N1089" s="43" t="str">
        <f>IF(Gastos[[#This Row],[Fecha_Cheque]]&gt;0,WEEKNUM(Gastos[[#This Row],[Fecha_Cheque]]),MID(Gastos[[#This Row],[Semana]],6,2))</f>
        <v>35</v>
      </c>
      <c r="O1089" t="s">
        <v>816</v>
      </c>
      <c r="P1089" t="s">
        <v>27</v>
      </c>
    </row>
    <row r="1090" spans="1:16" hidden="1" x14ac:dyDescent="0.25">
      <c r="A1090" s="3" t="s">
        <v>124</v>
      </c>
      <c r="B1090" t="s">
        <v>804</v>
      </c>
      <c r="C1090" t="s">
        <v>817</v>
      </c>
      <c r="D1090" t="s">
        <v>26</v>
      </c>
      <c r="E1090" t="s">
        <v>91</v>
      </c>
      <c r="F1090">
        <v>2</v>
      </c>
      <c r="G1090" s="3" t="s">
        <v>32</v>
      </c>
      <c r="H1090" s="46" t="s">
        <v>15</v>
      </c>
      <c r="I1090" s="17">
        <v>22055620</v>
      </c>
      <c r="J1090" s="17">
        <f>IF(Gastos[[#This Row],[Divisa]]="$", I1090*1, IF(Gastos[[#This Row],[Divisa]]="U$D", I1090*$N$1, IF(Gastos[[#This Row],[Divisa]]="EUR", I1090*$N$2, 0)))</f>
        <v>22055620</v>
      </c>
      <c r="K1090" s="54">
        <f>Gastos[[#This Row],[Importe AR$]]/$N$1</f>
        <v>14138.217948717949</v>
      </c>
      <c r="M1090" s="69">
        <v>45954</v>
      </c>
      <c r="N1090" s="43">
        <f>IF(Gastos[[#This Row],[Fecha_Cheque]]&gt;0,WEEKNUM(Gastos[[#This Row],[Fecha_Cheque]]),MID(Gastos[[#This Row],[Semana]],6,2))</f>
        <v>43</v>
      </c>
      <c r="O1090" t="s">
        <v>818</v>
      </c>
      <c r="P1090" t="s">
        <v>27</v>
      </c>
    </row>
    <row r="1091" spans="1:16" hidden="1" x14ac:dyDescent="0.25">
      <c r="A1091" s="3" t="s">
        <v>124</v>
      </c>
      <c r="B1091" t="s">
        <v>804</v>
      </c>
      <c r="C1091" t="s">
        <v>817</v>
      </c>
      <c r="D1091" t="s">
        <v>26</v>
      </c>
      <c r="E1091" t="s">
        <v>91</v>
      </c>
      <c r="F1091">
        <v>2</v>
      </c>
      <c r="G1091" s="3" t="s">
        <v>32</v>
      </c>
      <c r="H1091" s="46" t="s">
        <v>15</v>
      </c>
      <c r="I1091" s="17">
        <v>22055620</v>
      </c>
      <c r="J1091" s="17">
        <f>IF(Gastos[[#This Row],[Divisa]]="$", I1091*1, IF(Gastos[[#This Row],[Divisa]]="U$D", I1091*$N$1, IF(Gastos[[#This Row],[Divisa]]="EUR", I1091*$N$2, 0)))</f>
        <v>22055620</v>
      </c>
      <c r="K1091" s="54">
        <f>Gastos[[#This Row],[Importe AR$]]/$N$1</f>
        <v>14138.217948717949</v>
      </c>
      <c r="M1091" s="69">
        <v>45961</v>
      </c>
      <c r="N1091" s="43">
        <f>IF(Gastos[[#This Row],[Fecha_Cheque]]&gt;0,WEEKNUM(Gastos[[#This Row],[Fecha_Cheque]]),MID(Gastos[[#This Row],[Semana]],6,2))</f>
        <v>44</v>
      </c>
      <c r="O1091" t="s">
        <v>818</v>
      </c>
      <c r="P1091" t="s">
        <v>27</v>
      </c>
    </row>
    <row r="1092" spans="1:16" hidden="1" x14ac:dyDescent="0.25">
      <c r="A1092" s="3" t="s">
        <v>124</v>
      </c>
      <c r="B1092" t="s">
        <v>804</v>
      </c>
      <c r="C1092" t="s">
        <v>817</v>
      </c>
      <c r="D1092" t="s">
        <v>26</v>
      </c>
      <c r="E1092" t="s">
        <v>91</v>
      </c>
      <c r="F1092">
        <v>2</v>
      </c>
      <c r="G1092" s="3" t="s">
        <v>32</v>
      </c>
      <c r="H1092" s="46" t="s">
        <v>15</v>
      </c>
      <c r="I1092" s="17">
        <v>8136580</v>
      </c>
      <c r="J1092" s="17">
        <f>IF(Gastos[[#This Row],[Divisa]]="$", I1092*1, IF(Gastos[[#This Row],[Divisa]]="U$D", I1092*$N$1, IF(Gastos[[#This Row],[Divisa]]="EUR", I1092*$N$2, 0)))</f>
        <v>8136580</v>
      </c>
      <c r="K1092" s="54">
        <f>Gastos[[#This Row],[Importe AR$]]/$N$1</f>
        <v>5215.7564102564102</v>
      </c>
      <c r="M1092" s="69">
        <v>45968</v>
      </c>
      <c r="N1092" s="43">
        <f>IF(Gastos[[#This Row],[Fecha_Cheque]]&gt;0,WEEKNUM(Gastos[[#This Row],[Fecha_Cheque]]),MID(Gastos[[#This Row],[Semana]],6,2))</f>
        <v>45</v>
      </c>
      <c r="O1092" t="s">
        <v>818</v>
      </c>
      <c r="P1092" t="s">
        <v>27</v>
      </c>
    </row>
    <row r="1093" spans="1:16" hidden="1" x14ac:dyDescent="0.25">
      <c r="A1093" s="3" t="s">
        <v>124</v>
      </c>
      <c r="B1093" t="s">
        <v>804</v>
      </c>
      <c r="C1093" t="s">
        <v>817</v>
      </c>
      <c r="D1093" t="s">
        <v>26</v>
      </c>
      <c r="E1093" t="s">
        <v>91</v>
      </c>
      <c r="F1093">
        <v>2</v>
      </c>
      <c r="G1093" s="3" t="s">
        <v>32</v>
      </c>
      <c r="H1093" s="46" t="s">
        <v>15</v>
      </c>
      <c r="I1093" s="17">
        <v>22055620</v>
      </c>
      <c r="J1093" s="17">
        <f>IF(Gastos[[#This Row],[Divisa]]="$", I1093*1, IF(Gastos[[#This Row],[Divisa]]="U$D", I1093*$N$1, IF(Gastos[[#This Row],[Divisa]]="EUR", I1093*$N$2, 0)))</f>
        <v>22055620</v>
      </c>
      <c r="K1093" s="54">
        <f>Gastos[[#This Row],[Importe AR$]]/$N$1</f>
        <v>14138.217948717949</v>
      </c>
      <c r="M1093" s="69">
        <v>45982</v>
      </c>
      <c r="N1093" s="43">
        <f>IF(Gastos[[#This Row],[Fecha_Cheque]]&gt;0,WEEKNUM(Gastos[[#This Row],[Fecha_Cheque]]),MID(Gastos[[#This Row],[Semana]],6,2))</f>
        <v>47</v>
      </c>
      <c r="O1093" t="s">
        <v>818</v>
      </c>
      <c r="P1093" t="s">
        <v>27</v>
      </c>
    </row>
    <row r="1094" spans="1:16" hidden="1" x14ac:dyDescent="0.25">
      <c r="A1094" s="3" t="s">
        <v>124</v>
      </c>
      <c r="B1094" t="s">
        <v>804</v>
      </c>
      <c r="C1094" t="s">
        <v>817</v>
      </c>
      <c r="D1094" t="s">
        <v>26</v>
      </c>
      <c r="E1094" t="s">
        <v>91</v>
      </c>
      <c r="F1094">
        <v>2</v>
      </c>
      <c r="G1094" s="3" t="s">
        <v>32</v>
      </c>
      <c r="H1094" s="46" t="s">
        <v>15</v>
      </c>
      <c r="I1094" s="17">
        <v>22055620</v>
      </c>
      <c r="J1094" s="17">
        <f>IF(Gastos[[#This Row],[Divisa]]="$", I1094*1, IF(Gastos[[#This Row],[Divisa]]="U$D", I1094*$N$1, IF(Gastos[[#This Row],[Divisa]]="EUR", I1094*$N$2, 0)))</f>
        <v>22055620</v>
      </c>
      <c r="K1094" s="54">
        <f>Gastos[[#This Row],[Importe AR$]]/$N$1</f>
        <v>14138.217948717949</v>
      </c>
      <c r="M1094" s="69">
        <v>45996</v>
      </c>
      <c r="N1094" s="43">
        <f>IF(Gastos[[#This Row],[Fecha_Cheque]]&gt;0,WEEKNUM(Gastos[[#This Row],[Fecha_Cheque]]),MID(Gastos[[#This Row],[Semana]],6,2))</f>
        <v>49</v>
      </c>
      <c r="O1094" t="s">
        <v>818</v>
      </c>
      <c r="P1094" t="s">
        <v>27</v>
      </c>
    </row>
    <row r="1095" spans="1:16" hidden="1" x14ac:dyDescent="0.25">
      <c r="A1095" s="3" t="s">
        <v>124</v>
      </c>
      <c r="B1095" t="s">
        <v>804</v>
      </c>
      <c r="C1095" t="s">
        <v>817</v>
      </c>
      <c r="D1095" t="s">
        <v>26</v>
      </c>
      <c r="E1095" t="s">
        <v>91</v>
      </c>
      <c r="F1095">
        <v>2</v>
      </c>
      <c r="G1095" s="3" t="s">
        <v>32</v>
      </c>
      <c r="H1095" s="46" t="s">
        <v>15</v>
      </c>
      <c r="I1095" s="17">
        <v>13919040</v>
      </c>
      <c r="J1095" s="17">
        <f>IF(Gastos[[#This Row],[Divisa]]="$", I1095*1, IF(Gastos[[#This Row],[Divisa]]="U$D", I1095*$N$1, IF(Gastos[[#This Row],[Divisa]]="EUR", I1095*$N$2, 0)))</f>
        <v>13919040</v>
      </c>
      <c r="K1095" s="54">
        <f>Gastos[[#This Row],[Importe AR$]]/$N$1</f>
        <v>8922.461538461539</v>
      </c>
      <c r="M1095" s="69">
        <v>46010</v>
      </c>
      <c r="N1095" s="43">
        <f>IF(Gastos[[#This Row],[Fecha_Cheque]]&gt;0,WEEKNUM(Gastos[[#This Row],[Fecha_Cheque]]),MID(Gastos[[#This Row],[Semana]],6,2))</f>
        <v>51</v>
      </c>
      <c r="O1095" t="s">
        <v>818</v>
      </c>
      <c r="P1095" t="s">
        <v>27</v>
      </c>
    </row>
    <row r="1096" spans="1:16" hidden="1" x14ac:dyDescent="0.25">
      <c r="A1096" s="3" t="s">
        <v>44</v>
      </c>
      <c r="B1096" t="s">
        <v>804</v>
      </c>
      <c r="C1096" t="s">
        <v>819</v>
      </c>
      <c r="D1096" t="s">
        <v>26</v>
      </c>
      <c r="E1096" t="s">
        <v>91</v>
      </c>
      <c r="F1096">
        <v>1</v>
      </c>
      <c r="G1096" s="3" t="s">
        <v>5</v>
      </c>
      <c r="H1096" s="46" t="s">
        <v>15</v>
      </c>
      <c r="I1096" s="17">
        <v>30000000</v>
      </c>
      <c r="J1096" s="17">
        <f>IF(Gastos[[#This Row],[Divisa]]="$", I1096*1, IF(Gastos[[#This Row],[Divisa]]="U$D", I1096*$N$1, IF(Gastos[[#This Row],[Divisa]]="EUR", I1096*$N$2, 0)))</f>
        <v>30000000</v>
      </c>
      <c r="K1096" s="54">
        <f>Gastos[[#This Row],[Importe AR$]]/$N$1</f>
        <v>19230.76923076923</v>
      </c>
      <c r="M1096" s="69"/>
      <c r="N1096" s="43" t="str">
        <f>IF(Gastos[[#This Row],[Fecha_Cheque]]&gt;0,WEEKNUM(Gastos[[#This Row],[Fecha_Cheque]]),MID(Gastos[[#This Row],[Semana]],6,2))</f>
        <v>51</v>
      </c>
      <c r="O1096" t="s">
        <v>820</v>
      </c>
      <c r="P1096" t="s">
        <v>27</v>
      </c>
    </row>
    <row r="1097" spans="1:16" hidden="1" x14ac:dyDescent="0.25">
      <c r="A1097" s="3" t="s">
        <v>44</v>
      </c>
      <c r="B1097" t="s">
        <v>804</v>
      </c>
      <c r="C1097" t="s">
        <v>819</v>
      </c>
      <c r="D1097" t="s">
        <v>26</v>
      </c>
      <c r="E1097" t="s">
        <v>91</v>
      </c>
      <c r="F1097">
        <v>1</v>
      </c>
      <c r="G1097" s="3" t="s">
        <v>32</v>
      </c>
      <c r="H1097" s="46" t="s">
        <v>15</v>
      </c>
      <c r="I1097" s="17">
        <v>2000000</v>
      </c>
      <c r="J1097" s="17">
        <f>IF(Gastos[[#This Row],[Divisa]]="$", I1097*1, IF(Gastos[[#This Row],[Divisa]]="U$D", I1097*$N$1, IF(Gastos[[#This Row],[Divisa]]="EUR", I1097*$N$2, 0)))</f>
        <v>2000000</v>
      </c>
      <c r="K1097" s="54">
        <f>Gastos[[#This Row],[Importe AR$]]/$N$1</f>
        <v>1282.051282051282</v>
      </c>
      <c r="M1097" s="69">
        <v>46052</v>
      </c>
      <c r="N1097" s="43">
        <f>IF(Gastos[[#This Row],[Fecha_Cheque]]&gt;0,WEEKNUM(Gastos[[#This Row],[Fecha_Cheque]]),MID(Gastos[[#This Row],[Semana]],6,2))</f>
        <v>5</v>
      </c>
      <c r="O1097" t="s">
        <v>820</v>
      </c>
      <c r="P1097" t="s">
        <v>27</v>
      </c>
    </row>
    <row r="1098" spans="1:16" hidden="1" x14ac:dyDescent="0.25">
      <c r="A1098" s="3" t="s">
        <v>44</v>
      </c>
      <c r="B1098" t="s">
        <v>804</v>
      </c>
      <c r="C1098" t="s">
        <v>819</v>
      </c>
      <c r="D1098" t="s">
        <v>26</v>
      </c>
      <c r="E1098" t="s">
        <v>91</v>
      </c>
      <c r="F1098">
        <v>1</v>
      </c>
      <c r="G1098" s="3" t="s">
        <v>32</v>
      </c>
      <c r="H1098" s="46" t="s">
        <v>15</v>
      </c>
      <c r="I1098" s="17">
        <v>2989464</v>
      </c>
      <c r="J1098" s="17">
        <f>IF(Gastos[[#This Row],[Divisa]]="$", I1098*1, IF(Gastos[[#This Row],[Divisa]]="U$D", I1098*$N$1, IF(Gastos[[#This Row],[Divisa]]="EUR", I1098*$N$2, 0)))</f>
        <v>2989464</v>
      </c>
      <c r="K1098" s="54">
        <f>Gastos[[#This Row],[Importe AR$]]/$N$1</f>
        <v>1916.323076923077</v>
      </c>
      <c r="M1098" s="69">
        <v>42401</v>
      </c>
      <c r="N1098" s="43">
        <f>IF(Gastos[[#This Row],[Fecha_Cheque]]&gt;0,WEEKNUM(Gastos[[#This Row],[Fecha_Cheque]]),MID(Gastos[[#This Row],[Semana]],6,2))</f>
        <v>6</v>
      </c>
      <c r="O1098" t="s">
        <v>820</v>
      </c>
      <c r="P1098" t="s">
        <v>27</v>
      </c>
    </row>
    <row r="1099" spans="1:16" hidden="1" x14ac:dyDescent="0.25">
      <c r="A1099" s="3" t="s">
        <v>44</v>
      </c>
      <c r="B1099" t="s">
        <v>804</v>
      </c>
      <c r="C1099" t="s">
        <v>819</v>
      </c>
      <c r="D1099" t="s">
        <v>26</v>
      </c>
      <c r="E1099" t="s">
        <v>91</v>
      </c>
      <c r="F1099">
        <v>1</v>
      </c>
      <c r="G1099" s="3" t="s">
        <v>32</v>
      </c>
      <c r="H1099" s="46" t="s">
        <v>15</v>
      </c>
      <c r="I1099" s="17">
        <v>3000000</v>
      </c>
      <c r="J1099" s="17">
        <f>IF(Gastos[[#This Row],[Divisa]]="$", I1099*1, IF(Gastos[[#This Row],[Divisa]]="U$D", I1099*$N$1, IF(Gastos[[#This Row],[Divisa]]="EUR", I1099*$N$2, 0)))</f>
        <v>3000000</v>
      </c>
      <c r="K1099" s="54">
        <f>Gastos[[#This Row],[Importe AR$]]/$N$1</f>
        <v>1923.0769230769231</v>
      </c>
      <c r="M1099" s="69">
        <v>46053</v>
      </c>
      <c r="N1099" s="43">
        <f>IF(Gastos[[#This Row],[Fecha_Cheque]]&gt;0,WEEKNUM(Gastos[[#This Row],[Fecha_Cheque]]),MID(Gastos[[#This Row],[Semana]],6,2))</f>
        <v>5</v>
      </c>
      <c r="O1099" t="s">
        <v>820</v>
      </c>
      <c r="P1099" t="s">
        <v>27</v>
      </c>
    </row>
    <row r="1100" spans="1:16" hidden="1" x14ac:dyDescent="0.25">
      <c r="A1100" s="3" t="s">
        <v>44</v>
      </c>
      <c r="B1100" t="s">
        <v>804</v>
      </c>
      <c r="C1100" t="s">
        <v>819</v>
      </c>
      <c r="D1100" t="s">
        <v>26</v>
      </c>
      <c r="E1100" t="s">
        <v>91</v>
      </c>
      <c r="F1100">
        <v>1</v>
      </c>
      <c r="G1100" s="3" t="s">
        <v>32</v>
      </c>
      <c r="H1100" s="46" t="s">
        <v>15</v>
      </c>
      <c r="I1100" s="17">
        <v>4860000</v>
      </c>
      <c r="J1100" s="17">
        <f>IF(Gastos[[#This Row],[Divisa]]="$", I1100*1, IF(Gastos[[#This Row],[Divisa]]="U$D", I1100*$N$1, IF(Gastos[[#This Row],[Divisa]]="EUR", I1100*$N$2, 0)))</f>
        <v>4860000</v>
      </c>
      <c r="K1100" s="54">
        <f>Gastos[[#This Row],[Importe AR$]]/$N$1</f>
        <v>3115.3846153846152</v>
      </c>
      <c r="M1100" s="69">
        <v>46053</v>
      </c>
      <c r="N1100" s="43">
        <f>IF(Gastos[[#This Row],[Fecha_Cheque]]&gt;0,WEEKNUM(Gastos[[#This Row],[Fecha_Cheque]]),MID(Gastos[[#This Row],[Semana]],6,2))</f>
        <v>5</v>
      </c>
      <c r="O1100" t="s">
        <v>820</v>
      </c>
      <c r="P1100" t="s">
        <v>27</v>
      </c>
    </row>
    <row r="1101" spans="1:16" hidden="1" x14ac:dyDescent="0.25">
      <c r="A1101" s="3" t="s">
        <v>44</v>
      </c>
      <c r="B1101" t="s">
        <v>804</v>
      </c>
      <c r="C1101" t="s">
        <v>819</v>
      </c>
      <c r="D1101" t="s">
        <v>26</v>
      </c>
      <c r="E1101" t="s">
        <v>91</v>
      </c>
      <c r="F1101">
        <v>1</v>
      </c>
      <c r="G1101" s="3" t="s">
        <v>32</v>
      </c>
      <c r="H1101" s="46" t="s">
        <v>15</v>
      </c>
      <c r="I1101" s="17">
        <v>6250000</v>
      </c>
      <c r="J1101" s="17">
        <f>IF(Gastos[[#This Row],[Divisa]]="$", I1101*1, IF(Gastos[[#This Row],[Divisa]]="U$D", I1101*$N$1, IF(Gastos[[#This Row],[Divisa]]="EUR", I1101*$N$2, 0)))</f>
        <v>6250000</v>
      </c>
      <c r="K1101" s="54">
        <f>Gastos[[#This Row],[Importe AR$]]/$N$1</f>
        <v>4006.4102564102564</v>
      </c>
      <c r="M1101" s="69">
        <v>46053</v>
      </c>
      <c r="N1101" s="43">
        <f>IF(Gastos[[#This Row],[Fecha_Cheque]]&gt;0,WEEKNUM(Gastos[[#This Row],[Fecha_Cheque]]),MID(Gastos[[#This Row],[Semana]],6,2))</f>
        <v>5</v>
      </c>
      <c r="O1101" t="s">
        <v>820</v>
      </c>
      <c r="P1101" t="s">
        <v>27</v>
      </c>
    </row>
    <row r="1102" spans="1:16" hidden="1" x14ac:dyDescent="0.25">
      <c r="A1102" s="3" t="s">
        <v>44</v>
      </c>
      <c r="B1102" t="s">
        <v>804</v>
      </c>
      <c r="C1102" t="s">
        <v>819</v>
      </c>
      <c r="D1102" t="s">
        <v>26</v>
      </c>
      <c r="E1102" t="s">
        <v>91</v>
      </c>
      <c r="F1102">
        <v>1</v>
      </c>
      <c r="G1102" s="3" t="s">
        <v>32</v>
      </c>
      <c r="H1102" s="46" t="s">
        <v>15</v>
      </c>
      <c r="I1102" s="17">
        <v>6250000</v>
      </c>
      <c r="J1102" s="17">
        <f>IF(Gastos[[#This Row],[Divisa]]="$", I1102*1, IF(Gastos[[#This Row],[Divisa]]="U$D", I1102*$N$1, IF(Gastos[[#This Row],[Divisa]]="EUR", I1102*$N$2, 0)))</f>
        <v>6250000</v>
      </c>
      <c r="K1102" s="54">
        <f>Gastos[[#This Row],[Importe AR$]]/$N$1</f>
        <v>4006.4102564102564</v>
      </c>
      <c r="M1102" s="69">
        <v>46052</v>
      </c>
      <c r="N1102" s="43">
        <f>IF(Gastos[[#This Row],[Fecha_Cheque]]&gt;0,WEEKNUM(Gastos[[#This Row],[Fecha_Cheque]]),MID(Gastos[[#This Row],[Semana]],6,2))</f>
        <v>5</v>
      </c>
      <c r="O1102" t="s">
        <v>820</v>
      </c>
      <c r="P1102" t="s">
        <v>27</v>
      </c>
    </row>
    <row r="1103" spans="1:16" hidden="1" x14ac:dyDescent="0.25">
      <c r="A1103" s="3" t="s">
        <v>44</v>
      </c>
      <c r="B1103" t="s">
        <v>804</v>
      </c>
      <c r="C1103" t="s">
        <v>819</v>
      </c>
      <c r="D1103" t="s">
        <v>26</v>
      </c>
      <c r="E1103" t="s">
        <v>91</v>
      </c>
      <c r="F1103">
        <v>1</v>
      </c>
      <c r="G1103" s="3" t="s">
        <v>32</v>
      </c>
      <c r="H1103" s="46" t="s">
        <v>15</v>
      </c>
      <c r="I1103" s="17">
        <v>8852306</v>
      </c>
      <c r="J1103" s="17">
        <f>IF(Gastos[[#This Row],[Divisa]]="$", I1103*1, IF(Gastos[[#This Row],[Divisa]]="U$D", I1103*$N$1, IF(Gastos[[#This Row],[Divisa]]="EUR", I1103*$N$2, 0)))</f>
        <v>8852306</v>
      </c>
      <c r="K1103" s="54">
        <f>Gastos[[#This Row],[Importe AR$]]/$N$1</f>
        <v>5674.5551282051283</v>
      </c>
      <c r="M1103" s="69">
        <v>46101</v>
      </c>
      <c r="N1103" s="43">
        <f>IF(Gastos[[#This Row],[Fecha_Cheque]]&gt;0,WEEKNUM(Gastos[[#This Row],[Fecha_Cheque]]),MID(Gastos[[#This Row],[Semana]],6,2))</f>
        <v>12</v>
      </c>
      <c r="O1103" t="s">
        <v>820</v>
      </c>
      <c r="P1103" t="s">
        <v>27</v>
      </c>
    </row>
    <row r="1104" spans="1:16" hidden="1" x14ac:dyDescent="0.25">
      <c r="A1104" s="3" t="s">
        <v>44</v>
      </c>
      <c r="B1104" t="s">
        <v>804</v>
      </c>
      <c r="C1104" t="s">
        <v>819</v>
      </c>
      <c r="D1104" t="s">
        <v>26</v>
      </c>
      <c r="E1104" t="s">
        <v>91</v>
      </c>
      <c r="F1104">
        <v>1</v>
      </c>
      <c r="G1104" s="3" t="s">
        <v>32</v>
      </c>
      <c r="H1104" s="46" t="s">
        <v>15</v>
      </c>
      <c r="I1104" s="17">
        <v>8852306</v>
      </c>
      <c r="J1104" s="17">
        <f>IF(Gastos[[#This Row],[Divisa]]="$", I1104*1, IF(Gastos[[#This Row],[Divisa]]="U$D", I1104*$N$1, IF(Gastos[[#This Row],[Divisa]]="EUR", I1104*$N$2, 0)))</f>
        <v>8852306</v>
      </c>
      <c r="K1104" s="54">
        <f>Gastos[[#This Row],[Importe AR$]]/$N$1</f>
        <v>5674.5551282051283</v>
      </c>
      <c r="M1104" s="69">
        <v>46073</v>
      </c>
      <c r="N1104" s="43">
        <f>IF(Gastos[[#This Row],[Fecha_Cheque]]&gt;0,WEEKNUM(Gastos[[#This Row],[Fecha_Cheque]]),MID(Gastos[[#This Row],[Semana]],6,2))</f>
        <v>8</v>
      </c>
      <c r="O1104" t="s">
        <v>820</v>
      </c>
      <c r="P1104" t="s">
        <v>27</v>
      </c>
    </row>
    <row r="1105" spans="1:16" hidden="1" x14ac:dyDescent="0.25">
      <c r="A1105" s="3" t="s">
        <v>44</v>
      </c>
      <c r="B1105" t="s">
        <v>804</v>
      </c>
      <c r="C1105" t="s">
        <v>819</v>
      </c>
      <c r="D1105" t="s">
        <v>26</v>
      </c>
      <c r="E1105" t="s">
        <v>91</v>
      </c>
      <c r="F1105">
        <v>1</v>
      </c>
      <c r="G1105" s="3" t="s">
        <v>32</v>
      </c>
      <c r="H1105" s="46" t="s">
        <v>15</v>
      </c>
      <c r="I1105" s="17">
        <v>8852306</v>
      </c>
      <c r="J1105" s="17">
        <f>IF(Gastos[[#This Row],[Divisa]]="$", I1105*1, IF(Gastos[[#This Row],[Divisa]]="U$D", I1105*$N$1, IF(Gastos[[#This Row],[Divisa]]="EUR", I1105*$N$2, 0)))</f>
        <v>8852306</v>
      </c>
      <c r="K1105" s="54">
        <f>Gastos[[#This Row],[Importe AR$]]/$N$1</f>
        <v>5674.5551282051283</v>
      </c>
      <c r="M1105" s="69">
        <v>46108</v>
      </c>
      <c r="N1105" s="43">
        <f>IF(Gastos[[#This Row],[Fecha_Cheque]]&gt;0,WEEKNUM(Gastos[[#This Row],[Fecha_Cheque]]),MID(Gastos[[#This Row],[Semana]],6,2))</f>
        <v>13</v>
      </c>
      <c r="O1105" t="s">
        <v>820</v>
      </c>
      <c r="P1105" t="s">
        <v>27</v>
      </c>
    </row>
    <row r="1106" spans="1:16" hidden="1" x14ac:dyDescent="0.25">
      <c r="A1106" s="3" t="s">
        <v>44</v>
      </c>
      <c r="B1106" t="s">
        <v>804</v>
      </c>
      <c r="C1106" t="s">
        <v>819</v>
      </c>
      <c r="D1106" t="s">
        <v>26</v>
      </c>
      <c r="E1106" t="s">
        <v>91</v>
      </c>
      <c r="F1106">
        <v>1</v>
      </c>
      <c r="G1106" s="3" t="s">
        <v>32</v>
      </c>
      <c r="H1106" s="46" t="s">
        <v>15</v>
      </c>
      <c r="I1106" s="17">
        <v>8852306</v>
      </c>
      <c r="J1106" s="17">
        <f>IF(Gastos[[#This Row],[Divisa]]="$", I1106*1, IF(Gastos[[#This Row],[Divisa]]="U$D", I1106*$N$1, IF(Gastos[[#This Row],[Divisa]]="EUR", I1106*$N$2, 0)))</f>
        <v>8852306</v>
      </c>
      <c r="K1106" s="54">
        <f>Gastos[[#This Row],[Importe AR$]]/$N$1</f>
        <v>5674.5551282051283</v>
      </c>
      <c r="M1106" s="69">
        <v>46080</v>
      </c>
      <c r="N1106" s="43">
        <f>IF(Gastos[[#This Row],[Fecha_Cheque]]&gt;0,WEEKNUM(Gastos[[#This Row],[Fecha_Cheque]]),MID(Gastos[[#This Row],[Semana]],6,2))</f>
        <v>9</v>
      </c>
      <c r="O1106" t="s">
        <v>820</v>
      </c>
      <c r="P1106" t="s">
        <v>27</v>
      </c>
    </row>
    <row r="1107" spans="1:16" hidden="1" x14ac:dyDescent="0.25">
      <c r="A1107" s="3" t="s">
        <v>44</v>
      </c>
      <c r="B1107" t="s">
        <v>804</v>
      </c>
      <c r="C1107" t="s">
        <v>819</v>
      </c>
      <c r="D1107" t="s">
        <v>26</v>
      </c>
      <c r="E1107" t="s">
        <v>91</v>
      </c>
      <c r="F1107">
        <v>1</v>
      </c>
      <c r="G1107" s="3" t="s">
        <v>32</v>
      </c>
      <c r="H1107" s="46" t="s">
        <v>15</v>
      </c>
      <c r="I1107" s="17">
        <v>8852306</v>
      </c>
      <c r="J1107" s="17">
        <f>IF(Gastos[[#This Row],[Divisa]]="$", I1107*1, IF(Gastos[[#This Row],[Divisa]]="U$D", I1107*$N$1, IF(Gastos[[#This Row],[Divisa]]="EUR", I1107*$N$2, 0)))</f>
        <v>8852306</v>
      </c>
      <c r="K1107" s="54">
        <f>Gastos[[#This Row],[Importe AR$]]/$N$1</f>
        <v>5674.5551282051283</v>
      </c>
      <c r="M1107" s="69">
        <v>46066</v>
      </c>
      <c r="N1107" s="43">
        <f>IF(Gastos[[#This Row],[Fecha_Cheque]]&gt;0,WEEKNUM(Gastos[[#This Row],[Fecha_Cheque]]),MID(Gastos[[#This Row],[Semana]],6,2))</f>
        <v>7</v>
      </c>
      <c r="O1107" t="s">
        <v>820</v>
      </c>
      <c r="P1107" t="s">
        <v>27</v>
      </c>
    </row>
    <row r="1108" spans="1:16" hidden="1" x14ac:dyDescent="0.25">
      <c r="A1108" s="3" t="s">
        <v>44</v>
      </c>
      <c r="B1108" t="s">
        <v>804</v>
      </c>
      <c r="C1108" t="s">
        <v>819</v>
      </c>
      <c r="D1108" t="s">
        <v>26</v>
      </c>
      <c r="E1108" t="s">
        <v>91</v>
      </c>
      <c r="F1108">
        <v>1</v>
      </c>
      <c r="G1108" s="3" t="s">
        <v>32</v>
      </c>
      <c r="H1108" s="46" t="s">
        <v>15</v>
      </c>
      <c r="I1108" s="17">
        <v>8852306</v>
      </c>
      <c r="J1108" s="17">
        <f>IF(Gastos[[#This Row],[Divisa]]="$", I1108*1, IF(Gastos[[#This Row],[Divisa]]="U$D", I1108*$N$1, IF(Gastos[[#This Row],[Divisa]]="EUR", I1108*$N$2, 0)))</f>
        <v>8852306</v>
      </c>
      <c r="K1108" s="54">
        <f>Gastos[[#This Row],[Importe AR$]]/$N$1</f>
        <v>5674.5551282051283</v>
      </c>
      <c r="M1108" s="69">
        <v>37328</v>
      </c>
      <c r="N1108" s="43">
        <f>IF(Gastos[[#This Row],[Fecha_Cheque]]&gt;0,WEEKNUM(Gastos[[#This Row],[Fecha_Cheque]]),MID(Gastos[[#This Row],[Semana]],6,2))</f>
        <v>11</v>
      </c>
      <c r="O1108" t="s">
        <v>820</v>
      </c>
      <c r="P1108" t="s">
        <v>27</v>
      </c>
    </row>
    <row r="1109" spans="1:16" hidden="1" x14ac:dyDescent="0.25">
      <c r="A1109" s="3" t="s">
        <v>44</v>
      </c>
      <c r="B1109" t="s">
        <v>804</v>
      </c>
      <c r="C1109" t="s">
        <v>819</v>
      </c>
      <c r="D1109" t="s">
        <v>26</v>
      </c>
      <c r="E1109" t="s">
        <v>91</v>
      </c>
      <c r="F1109">
        <v>1</v>
      </c>
      <c r="G1109" s="3" t="s">
        <v>32</v>
      </c>
      <c r="H1109" s="46" t="s">
        <v>15</v>
      </c>
      <c r="I1109" s="17">
        <v>154031</v>
      </c>
      <c r="J1109" s="17">
        <f>IF(Gastos[[#This Row],[Divisa]]="$", I1109*1, IF(Gastos[[#This Row],[Divisa]]="U$D", I1109*$N$1, IF(Gastos[[#This Row],[Divisa]]="EUR", I1109*$N$2, 0)))</f>
        <v>154031</v>
      </c>
      <c r="K1109" s="54">
        <f>Gastos[[#This Row],[Importe AR$]]/$N$1</f>
        <v>98.73782051282052</v>
      </c>
      <c r="M1109" s="69">
        <v>46014</v>
      </c>
      <c r="N1109" s="43">
        <f>IF(Gastos[[#This Row],[Fecha_Cheque]]&gt;0,WEEKNUM(Gastos[[#This Row],[Fecha_Cheque]]),MID(Gastos[[#This Row],[Semana]],6,2))</f>
        <v>52</v>
      </c>
      <c r="O1109" t="s">
        <v>821</v>
      </c>
      <c r="P1109" t="s">
        <v>27</v>
      </c>
    </row>
    <row r="1110" spans="1:16" hidden="1" x14ac:dyDescent="0.25">
      <c r="A1110" s="3" t="s">
        <v>44</v>
      </c>
      <c r="B1110" t="s">
        <v>804</v>
      </c>
      <c r="C1110" t="s">
        <v>819</v>
      </c>
      <c r="D1110" t="s">
        <v>26</v>
      </c>
      <c r="E1110" t="s">
        <v>91</v>
      </c>
      <c r="F1110">
        <v>1</v>
      </c>
      <c r="G1110" s="3" t="s">
        <v>32</v>
      </c>
      <c r="H1110" s="46" t="s">
        <v>15</v>
      </c>
      <c r="I1110" s="17">
        <v>154031</v>
      </c>
      <c r="J1110" s="17">
        <f>IF(Gastos[[#This Row],[Divisa]]="$", I1110*1, IF(Gastos[[#This Row],[Divisa]]="U$D", I1110*$N$1, IF(Gastos[[#This Row],[Divisa]]="EUR", I1110*$N$2, 0)))</f>
        <v>154031</v>
      </c>
      <c r="K1110" s="54">
        <f>Gastos[[#This Row],[Importe AR$]]/$N$1</f>
        <v>98.73782051282052</v>
      </c>
      <c r="M1110" s="69">
        <v>46006</v>
      </c>
      <c r="N1110" s="43">
        <f>IF(Gastos[[#This Row],[Fecha_Cheque]]&gt;0,WEEKNUM(Gastos[[#This Row],[Fecha_Cheque]]),MID(Gastos[[#This Row],[Semana]],6,2))</f>
        <v>51</v>
      </c>
      <c r="O1110" t="s">
        <v>821</v>
      </c>
      <c r="P1110" t="s">
        <v>27</v>
      </c>
    </row>
    <row r="1111" spans="1:16" hidden="1" x14ac:dyDescent="0.25">
      <c r="A1111" s="3" t="s">
        <v>44</v>
      </c>
      <c r="B1111" t="s">
        <v>804</v>
      </c>
      <c r="C1111" t="s">
        <v>819</v>
      </c>
      <c r="D1111" t="s">
        <v>26</v>
      </c>
      <c r="E1111" t="s">
        <v>91</v>
      </c>
      <c r="F1111">
        <v>1</v>
      </c>
      <c r="G1111" s="3" t="s">
        <v>32</v>
      </c>
      <c r="H1111" s="46" t="s">
        <v>15</v>
      </c>
      <c r="I1111" s="17">
        <v>278690</v>
      </c>
      <c r="J1111" s="17">
        <f>IF(Gastos[[#This Row],[Divisa]]="$", I1111*1, IF(Gastos[[#This Row],[Divisa]]="U$D", I1111*$N$1, IF(Gastos[[#This Row],[Divisa]]="EUR", I1111*$N$2, 0)))</f>
        <v>278690</v>
      </c>
      <c r="K1111" s="54">
        <f>Gastos[[#This Row],[Importe AR$]]/$N$1</f>
        <v>178.64743589743588</v>
      </c>
      <c r="M1111" s="69">
        <v>46009</v>
      </c>
      <c r="N1111" s="43">
        <f>IF(Gastos[[#This Row],[Fecha_Cheque]]&gt;0,WEEKNUM(Gastos[[#This Row],[Fecha_Cheque]]),MID(Gastos[[#This Row],[Semana]],6,2))</f>
        <v>51</v>
      </c>
      <c r="O1111" t="s">
        <v>821</v>
      </c>
      <c r="P1111" t="s">
        <v>27</v>
      </c>
    </row>
    <row r="1112" spans="1:16" hidden="1" x14ac:dyDescent="0.25">
      <c r="A1112" s="3" t="s">
        <v>44</v>
      </c>
      <c r="B1112" t="s">
        <v>804</v>
      </c>
      <c r="C1112" t="s">
        <v>819</v>
      </c>
      <c r="D1112" t="s">
        <v>26</v>
      </c>
      <c r="E1112" t="s">
        <v>91</v>
      </c>
      <c r="F1112">
        <v>1</v>
      </c>
      <c r="G1112" s="3" t="s">
        <v>32</v>
      </c>
      <c r="H1112" s="46" t="s">
        <v>15</v>
      </c>
      <c r="I1112" s="17">
        <v>326000</v>
      </c>
      <c r="J1112" s="17">
        <f>IF(Gastos[[#This Row],[Divisa]]="$", I1112*1, IF(Gastos[[#This Row],[Divisa]]="U$D", I1112*$N$1, IF(Gastos[[#This Row],[Divisa]]="EUR", I1112*$N$2, 0)))</f>
        <v>326000</v>
      </c>
      <c r="K1112" s="54">
        <f>Gastos[[#This Row],[Importe AR$]]/$N$1</f>
        <v>208.97435897435898</v>
      </c>
      <c r="M1112" s="69">
        <v>46006</v>
      </c>
      <c r="N1112" s="43">
        <f>IF(Gastos[[#This Row],[Fecha_Cheque]]&gt;0,WEEKNUM(Gastos[[#This Row],[Fecha_Cheque]]),MID(Gastos[[#This Row],[Semana]],6,2))</f>
        <v>51</v>
      </c>
      <c r="O1112" t="s">
        <v>821</v>
      </c>
      <c r="P1112" t="s">
        <v>27</v>
      </c>
    </row>
    <row r="1113" spans="1:16" hidden="1" x14ac:dyDescent="0.25">
      <c r="A1113" s="3" t="s">
        <v>44</v>
      </c>
      <c r="B1113" t="s">
        <v>804</v>
      </c>
      <c r="C1113" t="s">
        <v>819</v>
      </c>
      <c r="D1113" t="s">
        <v>26</v>
      </c>
      <c r="E1113" t="s">
        <v>91</v>
      </c>
      <c r="F1113">
        <v>1</v>
      </c>
      <c r="G1113" s="3" t="s">
        <v>32</v>
      </c>
      <c r="H1113" s="46" t="s">
        <v>15</v>
      </c>
      <c r="I1113" s="17">
        <v>500000</v>
      </c>
      <c r="J1113" s="17">
        <f>IF(Gastos[[#This Row],[Divisa]]="$", I1113*1, IF(Gastos[[#This Row],[Divisa]]="U$D", I1113*$N$1, IF(Gastos[[#This Row],[Divisa]]="EUR", I1113*$N$2, 0)))</f>
        <v>500000</v>
      </c>
      <c r="K1113" s="54">
        <f>Gastos[[#This Row],[Importe AR$]]/$N$1</f>
        <v>320.5128205128205</v>
      </c>
      <c r="M1113" s="69">
        <v>46005</v>
      </c>
      <c r="N1113" s="43">
        <f>IF(Gastos[[#This Row],[Fecha_Cheque]]&gt;0,WEEKNUM(Gastos[[#This Row],[Fecha_Cheque]]),MID(Gastos[[#This Row],[Semana]],6,2))</f>
        <v>51</v>
      </c>
      <c r="O1113" t="s">
        <v>821</v>
      </c>
      <c r="P1113" t="s">
        <v>27</v>
      </c>
    </row>
    <row r="1114" spans="1:16" hidden="1" x14ac:dyDescent="0.25">
      <c r="A1114" s="3" t="s">
        <v>44</v>
      </c>
      <c r="B1114" t="s">
        <v>804</v>
      </c>
      <c r="C1114" t="s">
        <v>819</v>
      </c>
      <c r="D1114" t="s">
        <v>26</v>
      </c>
      <c r="E1114" t="s">
        <v>91</v>
      </c>
      <c r="F1114">
        <v>1</v>
      </c>
      <c r="G1114" s="3" t="s">
        <v>32</v>
      </c>
      <c r="H1114" s="46" t="s">
        <v>15</v>
      </c>
      <c r="I1114" s="17">
        <v>600000</v>
      </c>
      <c r="J1114" s="17">
        <f>IF(Gastos[[#This Row],[Divisa]]="$", I1114*1, IF(Gastos[[#This Row],[Divisa]]="U$D", I1114*$N$1, IF(Gastos[[#This Row],[Divisa]]="EUR", I1114*$N$2, 0)))</f>
        <v>600000</v>
      </c>
      <c r="K1114" s="54">
        <f>Gastos[[#This Row],[Importe AR$]]/$N$1</f>
        <v>384.61538461538464</v>
      </c>
      <c r="M1114" s="69">
        <v>46007</v>
      </c>
      <c r="N1114" s="43">
        <f>IF(Gastos[[#This Row],[Fecha_Cheque]]&gt;0,WEEKNUM(Gastos[[#This Row],[Fecha_Cheque]]),MID(Gastos[[#This Row],[Semana]],6,2))</f>
        <v>51</v>
      </c>
      <c r="O1114" t="s">
        <v>821</v>
      </c>
      <c r="P1114" t="s">
        <v>27</v>
      </c>
    </row>
    <row r="1115" spans="1:16" hidden="1" x14ac:dyDescent="0.25">
      <c r="A1115" s="3" t="s">
        <v>44</v>
      </c>
      <c r="B1115" t="s">
        <v>804</v>
      </c>
      <c r="C1115" t="s">
        <v>819</v>
      </c>
      <c r="D1115" t="s">
        <v>26</v>
      </c>
      <c r="E1115" t="s">
        <v>91</v>
      </c>
      <c r="F1115">
        <v>1</v>
      </c>
      <c r="G1115" s="3" t="s">
        <v>32</v>
      </c>
      <c r="H1115" s="46" t="s">
        <v>15</v>
      </c>
      <c r="I1115" s="17">
        <v>600000</v>
      </c>
      <c r="J1115" s="17">
        <f>IF(Gastos[[#This Row],[Divisa]]="$", I1115*1, IF(Gastos[[#This Row],[Divisa]]="U$D", I1115*$N$1, IF(Gastos[[#This Row],[Divisa]]="EUR", I1115*$N$2, 0)))</f>
        <v>600000</v>
      </c>
      <c r="K1115" s="54">
        <f>Gastos[[#This Row],[Importe AR$]]/$N$1</f>
        <v>384.61538461538464</v>
      </c>
      <c r="M1115" s="69">
        <v>46002</v>
      </c>
      <c r="N1115" s="43">
        <f>IF(Gastos[[#This Row],[Fecha_Cheque]]&gt;0,WEEKNUM(Gastos[[#This Row],[Fecha_Cheque]]),MID(Gastos[[#This Row],[Semana]],6,2))</f>
        <v>50</v>
      </c>
      <c r="O1115" t="s">
        <v>821</v>
      </c>
      <c r="P1115" t="s">
        <v>27</v>
      </c>
    </row>
    <row r="1116" spans="1:16" hidden="1" x14ac:dyDescent="0.25">
      <c r="A1116" s="3" t="s">
        <v>44</v>
      </c>
      <c r="B1116" t="s">
        <v>804</v>
      </c>
      <c r="C1116" t="s">
        <v>819</v>
      </c>
      <c r="D1116" t="s">
        <v>26</v>
      </c>
      <c r="E1116" t="s">
        <v>91</v>
      </c>
      <c r="F1116">
        <v>1</v>
      </c>
      <c r="G1116" s="3" t="s">
        <v>32</v>
      </c>
      <c r="H1116" s="46" t="s">
        <v>15</v>
      </c>
      <c r="I1116" s="17">
        <v>522750</v>
      </c>
      <c r="J1116" s="17">
        <f>IF(Gastos[[#This Row],[Divisa]]="$", I1116*1, IF(Gastos[[#This Row],[Divisa]]="U$D", I1116*$N$1, IF(Gastos[[#This Row],[Divisa]]="EUR", I1116*$N$2, 0)))</f>
        <v>522750</v>
      </c>
      <c r="K1116" s="54">
        <f>Gastos[[#This Row],[Importe AR$]]/$N$1</f>
        <v>335.09615384615387</v>
      </c>
      <c r="M1116" s="69">
        <v>46000</v>
      </c>
      <c r="N1116" s="43">
        <f>IF(Gastos[[#This Row],[Fecha_Cheque]]&gt;0,WEEKNUM(Gastos[[#This Row],[Fecha_Cheque]]),MID(Gastos[[#This Row],[Semana]],6,2))</f>
        <v>50</v>
      </c>
      <c r="O1116" t="s">
        <v>821</v>
      </c>
      <c r="P1116" t="s">
        <v>27</v>
      </c>
    </row>
    <row r="1117" spans="1:16" hidden="1" x14ac:dyDescent="0.25">
      <c r="A1117" s="3" t="s">
        <v>44</v>
      </c>
      <c r="B1117" t="s">
        <v>804</v>
      </c>
      <c r="C1117" t="s">
        <v>819</v>
      </c>
      <c r="D1117" t="s">
        <v>26</v>
      </c>
      <c r="E1117" t="s">
        <v>91</v>
      </c>
      <c r="F1117">
        <v>1</v>
      </c>
      <c r="G1117" s="3" t="s">
        <v>32</v>
      </c>
      <c r="H1117" s="46" t="s">
        <v>15</v>
      </c>
      <c r="I1117" s="17">
        <v>542000.03</v>
      </c>
      <c r="J1117" s="17">
        <f>IF(Gastos[[#This Row],[Divisa]]="$", I1117*1, IF(Gastos[[#This Row],[Divisa]]="U$D", I1117*$N$1, IF(Gastos[[#This Row],[Divisa]]="EUR", I1117*$N$2, 0)))</f>
        <v>542000.03</v>
      </c>
      <c r="K1117" s="54">
        <f>Gastos[[#This Row],[Importe AR$]]/$N$1</f>
        <v>347.43591666666669</v>
      </c>
      <c r="M1117" s="69">
        <v>45997</v>
      </c>
      <c r="N1117" s="43">
        <f>IF(Gastos[[#This Row],[Fecha_Cheque]]&gt;0,WEEKNUM(Gastos[[#This Row],[Fecha_Cheque]]),MID(Gastos[[#This Row],[Semana]],6,2))</f>
        <v>49</v>
      </c>
      <c r="O1117" t="s">
        <v>821</v>
      </c>
      <c r="P1117" t="s">
        <v>27</v>
      </c>
    </row>
    <row r="1118" spans="1:16" hidden="1" x14ac:dyDescent="0.25">
      <c r="A1118" s="3" t="s">
        <v>44</v>
      </c>
      <c r="B1118" t="s">
        <v>804</v>
      </c>
      <c r="C1118" t="s">
        <v>819</v>
      </c>
      <c r="D1118" t="s">
        <v>26</v>
      </c>
      <c r="E1118" t="s">
        <v>91</v>
      </c>
      <c r="F1118">
        <v>1</v>
      </c>
      <c r="G1118" s="3" t="s">
        <v>32</v>
      </c>
      <c r="H1118" s="46" t="s">
        <v>15</v>
      </c>
      <c r="I1118" s="17">
        <v>553326</v>
      </c>
      <c r="J1118" s="17">
        <f>IF(Gastos[[#This Row],[Divisa]]="$", I1118*1, IF(Gastos[[#This Row],[Divisa]]="U$D", I1118*$N$1, IF(Gastos[[#This Row],[Divisa]]="EUR", I1118*$N$2, 0)))</f>
        <v>553326</v>
      </c>
      <c r="K1118" s="54">
        <f>Gastos[[#This Row],[Importe AR$]]/$N$1</f>
        <v>354.69615384615383</v>
      </c>
      <c r="M1118" s="69">
        <v>46004</v>
      </c>
      <c r="N1118" s="43">
        <f>IF(Gastos[[#This Row],[Fecha_Cheque]]&gt;0,WEEKNUM(Gastos[[#This Row],[Fecha_Cheque]]),MID(Gastos[[#This Row],[Semana]],6,2))</f>
        <v>50</v>
      </c>
      <c r="O1118" t="s">
        <v>821</v>
      </c>
      <c r="P1118" t="s">
        <v>27</v>
      </c>
    </row>
    <row r="1119" spans="1:16" hidden="1" x14ac:dyDescent="0.25">
      <c r="A1119" s="3" t="s">
        <v>44</v>
      </c>
      <c r="B1119" t="s">
        <v>804</v>
      </c>
      <c r="C1119" t="s">
        <v>819</v>
      </c>
      <c r="D1119" t="s">
        <v>26</v>
      </c>
      <c r="E1119" t="s">
        <v>91</v>
      </c>
      <c r="F1119">
        <v>1</v>
      </c>
      <c r="G1119" s="3" t="s">
        <v>32</v>
      </c>
      <c r="H1119" s="46" t="s">
        <v>15</v>
      </c>
      <c r="I1119" s="17">
        <v>64555.97</v>
      </c>
      <c r="J1119" s="17">
        <f>IF(Gastos[[#This Row],[Divisa]]="$", I1119*1, IF(Gastos[[#This Row],[Divisa]]="U$D", I1119*$N$1, IF(Gastos[[#This Row],[Divisa]]="EUR", I1119*$N$2, 0)))</f>
        <v>64555.97</v>
      </c>
      <c r="K1119" s="54">
        <f>Gastos[[#This Row],[Importe AR$]]/$N$1</f>
        <v>41.382032051282053</v>
      </c>
      <c r="M1119" s="69">
        <v>46010</v>
      </c>
      <c r="N1119" s="43">
        <f>IF(Gastos[[#This Row],[Fecha_Cheque]]&gt;0,WEEKNUM(Gastos[[#This Row],[Fecha_Cheque]]),MID(Gastos[[#This Row],[Semana]],6,2))</f>
        <v>51</v>
      </c>
      <c r="O1119" t="s">
        <v>821</v>
      </c>
      <c r="P1119" t="s">
        <v>27</v>
      </c>
    </row>
    <row r="1120" spans="1:16" hidden="1" x14ac:dyDescent="0.25">
      <c r="A1120" s="3" t="s">
        <v>378</v>
      </c>
      <c r="B1120" t="s">
        <v>804</v>
      </c>
      <c r="C1120" t="s">
        <v>822</v>
      </c>
      <c r="D1120" t="s">
        <v>26</v>
      </c>
      <c r="E1120" t="s">
        <v>91</v>
      </c>
      <c r="F1120">
        <v>1</v>
      </c>
      <c r="G1120" s="3" t="s">
        <v>32</v>
      </c>
      <c r="H1120" s="46" t="s">
        <v>15</v>
      </c>
      <c r="I1120" s="17">
        <v>5000000</v>
      </c>
      <c r="J1120" s="17">
        <f>IF(Gastos[[#This Row],[Divisa]]="$", I1120*1, IF(Gastos[[#This Row],[Divisa]]="U$D", I1120*$N$1, IF(Gastos[[#This Row],[Divisa]]="EUR", I1120*$N$2, 0)))</f>
        <v>5000000</v>
      </c>
      <c r="K1120" s="54">
        <f>Gastos[[#This Row],[Importe AR$]]/$N$1</f>
        <v>3205.1282051282051</v>
      </c>
      <c r="M1120" s="69">
        <v>46059</v>
      </c>
      <c r="N1120" s="43">
        <f>IF(Gastos[[#This Row],[Fecha_Cheque]]&gt;0,WEEKNUM(Gastos[[#This Row],[Fecha_Cheque]]),MID(Gastos[[#This Row],[Semana]],6,2))</f>
        <v>6</v>
      </c>
      <c r="O1120" t="s">
        <v>823</v>
      </c>
      <c r="P1120" t="s">
        <v>27</v>
      </c>
    </row>
    <row r="1121" spans="1:16" hidden="1" x14ac:dyDescent="0.25">
      <c r="A1121" s="3" t="s">
        <v>378</v>
      </c>
      <c r="B1121" t="s">
        <v>804</v>
      </c>
      <c r="C1121" t="s">
        <v>822</v>
      </c>
      <c r="D1121" t="s">
        <v>26</v>
      </c>
      <c r="E1121" t="s">
        <v>91</v>
      </c>
      <c r="F1121">
        <v>1</v>
      </c>
      <c r="G1121" s="3" t="s">
        <v>32</v>
      </c>
      <c r="H1121" s="46" t="s">
        <v>15</v>
      </c>
      <c r="I1121" s="17">
        <v>5000000</v>
      </c>
      <c r="J1121" s="17">
        <f>IF(Gastos[[#This Row],[Divisa]]="$", I1121*1, IF(Gastos[[#This Row],[Divisa]]="U$D", I1121*$N$1, IF(Gastos[[#This Row],[Divisa]]="EUR", I1121*$N$2, 0)))</f>
        <v>5000000</v>
      </c>
      <c r="K1121" s="54">
        <f>Gastos[[#This Row],[Importe AR$]]/$N$1</f>
        <v>3205.1282051282051</v>
      </c>
      <c r="M1121" s="69">
        <v>46073</v>
      </c>
      <c r="N1121" s="43">
        <f>IF(Gastos[[#This Row],[Fecha_Cheque]]&gt;0,WEEKNUM(Gastos[[#This Row],[Fecha_Cheque]]),MID(Gastos[[#This Row],[Semana]],6,2))</f>
        <v>8</v>
      </c>
      <c r="O1121" t="s">
        <v>823</v>
      </c>
      <c r="P1121" t="s">
        <v>27</v>
      </c>
    </row>
    <row r="1122" spans="1:16" hidden="1" x14ac:dyDescent="0.25">
      <c r="A1122" s="3" t="s">
        <v>378</v>
      </c>
      <c r="B1122" t="s">
        <v>804</v>
      </c>
      <c r="C1122" t="s">
        <v>822</v>
      </c>
      <c r="D1122" t="s">
        <v>26</v>
      </c>
      <c r="E1122" t="s">
        <v>91</v>
      </c>
      <c r="F1122">
        <v>1</v>
      </c>
      <c r="G1122" s="3" t="s">
        <v>32</v>
      </c>
      <c r="H1122" s="46" t="s">
        <v>15</v>
      </c>
      <c r="I1122" s="17">
        <v>5000000</v>
      </c>
      <c r="J1122" s="17">
        <f>IF(Gastos[[#This Row],[Divisa]]="$", I1122*1, IF(Gastos[[#This Row],[Divisa]]="U$D", I1122*$N$1, IF(Gastos[[#This Row],[Divisa]]="EUR", I1122*$N$2, 0)))</f>
        <v>5000000</v>
      </c>
      <c r="K1122" s="54">
        <f>Gastos[[#This Row],[Importe AR$]]/$N$1</f>
        <v>3205.1282051282051</v>
      </c>
      <c r="M1122" s="69">
        <v>46087</v>
      </c>
      <c r="N1122" s="43">
        <f>IF(Gastos[[#This Row],[Fecha_Cheque]]&gt;0,WEEKNUM(Gastos[[#This Row],[Fecha_Cheque]]),MID(Gastos[[#This Row],[Semana]],6,2))</f>
        <v>10</v>
      </c>
      <c r="O1122" t="s">
        <v>823</v>
      </c>
      <c r="P1122" t="s">
        <v>27</v>
      </c>
    </row>
    <row r="1123" spans="1:16" hidden="1" x14ac:dyDescent="0.25">
      <c r="A1123" s="3" t="s">
        <v>68</v>
      </c>
      <c r="B1123" t="s">
        <v>804</v>
      </c>
      <c r="C1123" t="s">
        <v>824</v>
      </c>
      <c r="D1123" t="s">
        <v>26</v>
      </c>
      <c r="E1123" t="s">
        <v>91</v>
      </c>
      <c r="F1123">
        <v>1</v>
      </c>
      <c r="G1123" s="3" t="s">
        <v>5</v>
      </c>
      <c r="H1123" s="46" t="s">
        <v>15</v>
      </c>
      <c r="I1123" s="17">
        <v>20000000</v>
      </c>
      <c r="J1123" s="17">
        <f>IF(Gastos[[#This Row],[Divisa]]="$", I1123*1, IF(Gastos[[#This Row],[Divisa]]="U$D", I1123*$N$1, IF(Gastos[[#This Row],[Divisa]]="EUR", I1123*$N$2, 0)))</f>
        <v>20000000</v>
      </c>
      <c r="K1123" s="54">
        <f>Gastos[[#This Row],[Importe AR$]]/$N$1</f>
        <v>12820.51282051282</v>
      </c>
      <c r="M1123" s="69"/>
      <c r="N1123" s="43" t="str">
        <f>IF(Gastos[[#This Row],[Fecha_Cheque]]&gt;0,WEEKNUM(Gastos[[#This Row],[Fecha_Cheque]]),MID(Gastos[[#This Row],[Semana]],6,2))</f>
        <v>05</v>
      </c>
      <c r="O1123" t="s">
        <v>825</v>
      </c>
      <c r="P1123" t="s">
        <v>27</v>
      </c>
    </row>
    <row r="1124" spans="1:16" hidden="1" x14ac:dyDescent="0.25">
      <c r="A1124" s="3" t="s">
        <v>68</v>
      </c>
      <c r="B1124" t="s">
        <v>804</v>
      </c>
      <c r="C1124" t="s">
        <v>824</v>
      </c>
      <c r="D1124" t="s">
        <v>26</v>
      </c>
      <c r="E1124" t="s">
        <v>91</v>
      </c>
      <c r="F1124">
        <v>1</v>
      </c>
      <c r="G1124" s="3" t="s">
        <v>32</v>
      </c>
      <c r="H1124" s="46" t="s">
        <v>15</v>
      </c>
      <c r="I1124" s="17">
        <v>9166500</v>
      </c>
      <c r="J1124" s="17">
        <f>IF(Gastos[[#This Row],[Divisa]]="$", I1124*1, IF(Gastos[[#This Row],[Divisa]]="U$D", I1124*$N$1, IF(Gastos[[#This Row],[Divisa]]="EUR", I1124*$N$2, 0)))</f>
        <v>9166500</v>
      </c>
      <c r="K1124" s="54">
        <f>Gastos[[#This Row],[Importe AR$]]/$N$1</f>
        <v>5875.9615384615381</v>
      </c>
      <c r="M1124" s="69">
        <v>46081</v>
      </c>
      <c r="N1124" s="43">
        <f>IF(Gastos[[#This Row],[Fecha_Cheque]]&gt;0,WEEKNUM(Gastos[[#This Row],[Fecha_Cheque]]),MID(Gastos[[#This Row],[Semana]],6,2))</f>
        <v>9</v>
      </c>
      <c r="O1124" t="s">
        <v>825</v>
      </c>
      <c r="P1124" t="s">
        <v>27</v>
      </c>
    </row>
    <row r="1125" spans="1:16" hidden="1" x14ac:dyDescent="0.25">
      <c r="A1125" s="3" t="s">
        <v>68</v>
      </c>
      <c r="B1125" t="s">
        <v>804</v>
      </c>
      <c r="C1125" t="s">
        <v>824</v>
      </c>
      <c r="D1125" t="s">
        <v>26</v>
      </c>
      <c r="E1125" t="s">
        <v>91</v>
      </c>
      <c r="F1125">
        <v>1</v>
      </c>
      <c r="G1125" s="3" t="s">
        <v>32</v>
      </c>
      <c r="H1125" s="46" t="s">
        <v>15</v>
      </c>
      <c r="I1125" s="17">
        <v>2500000</v>
      </c>
      <c r="J1125" s="17">
        <f>IF(Gastos[[#This Row],[Divisa]]="$", I1125*1, IF(Gastos[[#This Row],[Divisa]]="U$D", I1125*$N$1, IF(Gastos[[#This Row],[Divisa]]="EUR", I1125*$N$2, 0)))</f>
        <v>2500000</v>
      </c>
      <c r="K1125" s="54">
        <f>Gastos[[#This Row],[Importe AR$]]/$N$1</f>
        <v>1602.5641025641025</v>
      </c>
      <c r="M1125" s="69">
        <v>46098</v>
      </c>
      <c r="N1125" s="43">
        <f>IF(Gastos[[#This Row],[Fecha_Cheque]]&gt;0,WEEKNUM(Gastos[[#This Row],[Fecha_Cheque]]),MID(Gastos[[#This Row],[Semana]],6,2))</f>
        <v>12</v>
      </c>
      <c r="O1125" t="s">
        <v>825</v>
      </c>
      <c r="P1125" t="s">
        <v>27</v>
      </c>
    </row>
    <row r="1126" spans="1:16" hidden="1" x14ac:dyDescent="0.25">
      <c r="A1126" s="3" t="s">
        <v>68</v>
      </c>
      <c r="B1126" t="s">
        <v>804</v>
      </c>
      <c r="C1126" t="s">
        <v>824</v>
      </c>
      <c r="D1126" t="s">
        <v>26</v>
      </c>
      <c r="E1126" t="s">
        <v>91</v>
      </c>
      <c r="F1126">
        <v>1</v>
      </c>
      <c r="G1126" s="3" t="s">
        <v>32</v>
      </c>
      <c r="H1126" s="46" t="s">
        <v>15</v>
      </c>
      <c r="I1126" s="17">
        <v>2500000</v>
      </c>
      <c r="J1126" s="17">
        <f>IF(Gastos[[#This Row],[Divisa]]="$", I1126*1, IF(Gastos[[#This Row],[Divisa]]="U$D", I1126*$N$1, IF(Gastos[[#This Row],[Divisa]]="EUR", I1126*$N$2, 0)))</f>
        <v>2500000</v>
      </c>
      <c r="K1126" s="54">
        <f>Gastos[[#This Row],[Importe AR$]]/$N$1</f>
        <v>1602.5641025641025</v>
      </c>
      <c r="M1126" s="69">
        <v>46099</v>
      </c>
      <c r="N1126" s="43">
        <f>IF(Gastos[[#This Row],[Fecha_Cheque]]&gt;0,WEEKNUM(Gastos[[#This Row],[Fecha_Cheque]]),MID(Gastos[[#This Row],[Semana]],6,2))</f>
        <v>12</v>
      </c>
      <c r="O1126" t="s">
        <v>825</v>
      </c>
      <c r="P1126" t="s">
        <v>27</v>
      </c>
    </row>
    <row r="1127" spans="1:16" hidden="1" x14ac:dyDescent="0.25">
      <c r="A1127" s="3" t="s">
        <v>68</v>
      </c>
      <c r="B1127" t="s">
        <v>804</v>
      </c>
      <c r="C1127" t="s">
        <v>824</v>
      </c>
      <c r="D1127" t="s">
        <v>26</v>
      </c>
      <c r="E1127" t="s">
        <v>91</v>
      </c>
      <c r="F1127">
        <v>1</v>
      </c>
      <c r="G1127" s="3" t="s">
        <v>32</v>
      </c>
      <c r="H1127" s="46" t="s">
        <v>15</v>
      </c>
      <c r="I1127" s="17">
        <v>2500000</v>
      </c>
      <c r="J1127" s="17">
        <f>IF(Gastos[[#This Row],[Divisa]]="$", I1127*1, IF(Gastos[[#This Row],[Divisa]]="U$D", I1127*$N$1, IF(Gastos[[#This Row],[Divisa]]="EUR", I1127*$N$2, 0)))</f>
        <v>2500000</v>
      </c>
      <c r="K1127" s="54">
        <f>Gastos[[#This Row],[Importe AR$]]/$N$1</f>
        <v>1602.5641025641025</v>
      </c>
      <c r="M1127" s="69">
        <v>46100</v>
      </c>
      <c r="N1127" s="43">
        <f>IF(Gastos[[#This Row],[Fecha_Cheque]]&gt;0,WEEKNUM(Gastos[[#This Row],[Fecha_Cheque]]),MID(Gastos[[#This Row],[Semana]],6,2))</f>
        <v>12</v>
      </c>
      <c r="O1127" t="s">
        <v>825</v>
      </c>
      <c r="P1127" t="s">
        <v>27</v>
      </c>
    </row>
    <row r="1128" spans="1:16" hidden="1" x14ac:dyDescent="0.25">
      <c r="A1128" s="3" t="s">
        <v>68</v>
      </c>
      <c r="B1128" t="s">
        <v>804</v>
      </c>
      <c r="C1128" t="s">
        <v>824</v>
      </c>
      <c r="D1128" t="s">
        <v>26</v>
      </c>
      <c r="E1128" t="s">
        <v>91</v>
      </c>
      <c r="F1128">
        <v>1</v>
      </c>
      <c r="G1128" s="3" t="s">
        <v>32</v>
      </c>
      <c r="H1128" s="46" t="s">
        <v>15</v>
      </c>
      <c r="I1128" s="17">
        <v>9166500</v>
      </c>
      <c r="J1128" s="17">
        <f>IF(Gastos[[#This Row],[Divisa]]="$", I1128*1, IF(Gastos[[#This Row],[Divisa]]="U$D", I1128*$N$1, IF(Gastos[[#This Row],[Divisa]]="EUR", I1128*$N$2, 0)))</f>
        <v>9166500</v>
      </c>
      <c r="K1128" s="54">
        <f>Gastos[[#This Row],[Importe AR$]]/$N$1</f>
        <v>5875.9615384615381</v>
      </c>
      <c r="M1128" s="69">
        <v>46088</v>
      </c>
      <c r="N1128" s="43">
        <f>IF(Gastos[[#This Row],[Fecha_Cheque]]&gt;0,WEEKNUM(Gastos[[#This Row],[Fecha_Cheque]]),MID(Gastos[[#This Row],[Semana]],6,2))</f>
        <v>10</v>
      </c>
      <c r="O1128" t="s">
        <v>825</v>
      </c>
      <c r="P1128" t="s">
        <v>27</v>
      </c>
    </row>
    <row r="1129" spans="1:16" hidden="1" x14ac:dyDescent="0.25">
      <c r="A1129" s="3" t="s">
        <v>68</v>
      </c>
      <c r="B1129" t="s">
        <v>804</v>
      </c>
      <c r="C1129" t="s">
        <v>824</v>
      </c>
      <c r="D1129" t="s">
        <v>26</v>
      </c>
      <c r="E1129" t="s">
        <v>91</v>
      </c>
      <c r="F1129">
        <v>1</v>
      </c>
      <c r="G1129" s="3" t="s">
        <v>32</v>
      </c>
      <c r="H1129" s="46" t="s">
        <v>15</v>
      </c>
      <c r="I1129" s="17">
        <v>9166500</v>
      </c>
      <c r="J1129" s="17">
        <f>IF(Gastos[[#This Row],[Divisa]]="$", I1129*1, IF(Gastos[[#This Row],[Divisa]]="U$D", I1129*$N$1, IF(Gastos[[#This Row],[Divisa]]="EUR", I1129*$N$2, 0)))</f>
        <v>9166500</v>
      </c>
      <c r="K1129" s="54">
        <f>Gastos[[#This Row],[Importe AR$]]/$N$1</f>
        <v>5875.9615384615381</v>
      </c>
      <c r="M1129" s="69">
        <v>46101</v>
      </c>
      <c r="N1129" s="43">
        <f>IF(Gastos[[#This Row],[Fecha_Cheque]]&gt;0,WEEKNUM(Gastos[[#This Row],[Fecha_Cheque]]),MID(Gastos[[#This Row],[Semana]],6,2))</f>
        <v>12</v>
      </c>
      <c r="O1129" t="s">
        <v>825</v>
      </c>
      <c r="P1129" t="s">
        <v>27</v>
      </c>
    </row>
    <row r="1130" spans="1:16" hidden="1" x14ac:dyDescent="0.25">
      <c r="A1130" s="3" t="s">
        <v>68</v>
      </c>
      <c r="B1130" t="s">
        <v>804</v>
      </c>
      <c r="C1130" t="s">
        <v>824</v>
      </c>
      <c r="D1130" t="s">
        <v>26</v>
      </c>
      <c r="E1130" t="s">
        <v>91</v>
      </c>
      <c r="F1130">
        <v>1</v>
      </c>
      <c r="G1130" s="3" t="s">
        <v>32</v>
      </c>
      <c r="H1130" s="46" t="s">
        <v>15</v>
      </c>
      <c r="I1130" s="17">
        <v>9166500</v>
      </c>
      <c r="J1130" s="17">
        <f>IF(Gastos[[#This Row],[Divisa]]="$", I1130*1, IF(Gastos[[#This Row],[Divisa]]="U$D", I1130*$N$1, IF(Gastos[[#This Row],[Divisa]]="EUR", I1130*$N$2, 0)))</f>
        <v>9166500</v>
      </c>
      <c r="K1130" s="54">
        <f>Gastos[[#This Row],[Importe AR$]]/$N$1</f>
        <v>5875.9615384615381</v>
      </c>
      <c r="M1130" s="69">
        <v>46115</v>
      </c>
      <c r="N1130" s="43">
        <f>IF(Gastos[[#This Row],[Fecha_Cheque]]&gt;0,WEEKNUM(Gastos[[#This Row],[Fecha_Cheque]]),MID(Gastos[[#This Row],[Semana]],6,2))</f>
        <v>14</v>
      </c>
      <c r="O1130" t="s">
        <v>825</v>
      </c>
      <c r="P1130" t="s">
        <v>27</v>
      </c>
    </row>
    <row r="1131" spans="1:16" hidden="1" x14ac:dyDescent="0.25">
      <c r="A1131" s="3" t="s">
        <v>68</v>
      </c>
      <c r="B1131" t="s">
        <v>804</v>
      </c>
      <c r="C1131" t="s">
        <v>824</v>
      </c>
      <c r="D1131" t="s">
        <v>26</v>
      </c>
      <c r="E1131" t="s">
        <v>91</v>
      </c>
      <c r="F1131">
        <v>1</v>
      </c>
      <c r="G1131" s="3" t="s">
        <v>32</v>
      </c>
      <c r="H1131" s="46" t="s">
        <v>15</v>
      </c>
      <c r="I1131" s="17">
        <v>9166500</v>
      </c>
      <c r="J1131" s="17">
        <f>IF(Gastos[[#This Row],[Divisa]]="$", I1131*1, IF(Gastos[[#This Row],[Divisa]]="U$D", I1131*$N$1, IF(Gastos[[#This Row],[Divisa]]="EUR", I1131*$N$2, 0)))</f>
        <v>9166500</v>
      </c>
      <c r="K1131" s="54">
        <f>Gastos[[#This Row],[Importe AR$]]/$N$1</f>
        <v>5875.9615384615381</v>
      </c>
      <c r="M1131" s="69">
        <v>46122</v>
      </c>
      <c r="N1131" s="43">
        <f>IF(Gastos[[#This Row],[Fecha_Cheque]]&gt;0,WEEKNUM(Gastos[[#This Row],[Fecha_Cheque]]),MID(Gastos[[#This Row],[Semana]],6,2))</f>
        <v>15</v>
      </c>
      <c r="O1131" t="s">
        <v>825</v>
      </c>
      <c r="P1131" t="s">
        <v>27</v>
      </c>
    </row>
    <row r="1132" spans="1:16" hidden="1" x14ac:dyDescent="0.25">
      <c r="A1132" s="3" t="s">
        <v>68</v>
      </c>
      <c r="B1132" t="s">
        <v>804</v>
      </c>
      <c r="C1132" t="s">
        <v>824</v>
      </c>
      <c r="D1132" t="s">
        <v>26</v>
      </c>
      <c r="E1132" t="s">
        <v>91</v>
      </c>
      <c r="F1132">
        <v>1</v>
      </c>
      <c r="G1132" s="3" t="s">
        <v>32</v>
      </c>
      <c r="H1132" s="46" t="s">
        <v>15</v>
      </c>
      <c r="I1132" s="17">
        <v>9166500</v>
      </c>
      <c r="J1132" s="17">
        <f>IF(Gastos[[#This Row],[Divisa]]="$", I1132*1, IF(Gastos[[#This Row],[Divisa]]="U$D", I1132*$N$1, IF(Gastos[[#This Row],[Divisa]]="EUR", I1132*$N$2, 0)))</f>
        <v>9166500</v>
      </c>
      <c r="K1132" s="54">
        <f>Gastos[[#This Row],[Importe AR$]]/$N$1</f>
        <v>5875.9615384615381</v>
      </c>
      <c r="M1132" s="69">
        <v>46136</v>
      </c>
      <c r="N1132" s="43">
        <f>IF(Gastos[[#This Row],[Fecha_Cheque]]&gt;0,WEEKNUM(Gastos[[#This Row],[Fecha_Cheque]]),MID(Gastos[[#This Row],[Semana]],6,2))</f>
        <v>17</v>
      </c>
      <c r="O1132" t="s">
        <v>825</v>
      </c>
      <c r="P1132" t="s">
        <v>27</v>
      </c>
    </row>
    <row r="1133" spans="1:16" hidden="1" x14ac:dyDescent="0.25">
      <c r="A1133" s="3" t="s">
        <v>68</v>
      </c>
      <c r="B1133" t="s">
        <v>804</v>
      </c>
      <c r="C1133" t="s">
        <v>824</v>
      </c>
      <c r="D1133" t="s">
        <v>26</v>
      </c>
      <c r="E1133" t="s">
        <v>91</v>
      </c>
      <c r="F1133">
        <v>1</v>
      </c>
      <c r="G1133" s="3" t="s">
        <v>32</v>
      </c>
      <c r="H1133" s="46" t="s">
        <v>15</v>
      </c>
      <c r="I1133" s="17">
        <v>10833000</v>
      </c>
      <c r="J1133" s="17">
        <f>IF(Gastos[[#This Row],[Divisa]]="$", I1133*1, IF(Gastos[[#This Row],[Divisa]]="U$D", I1133*$N$1, IF(Gastos[[#This Row],[Divisa]]="EUR", I1133*$N$2, 0)))</f>
        <v>10833000</v>
      </c>
      <c r="K1133" s="54">
        <f>Gastos[[#This Row],[Importe AR$]]/$N$1</f>
        <v>6944.2307692307695</v>
      </c>
      <c r="M1133" s="69">
        <v>46139</v>
      </c>
      <c r="N1133" s="43">
        <f>IF(Gastos[[#This Row],[Fecha_Cheque]]&gt;0,WEEKNUM(Gastos[[#This Row],[Fecha_Cheque]]),MID(Gastos[[#This Row],[Semana]],6,2))</f>
        <v>18</v>
      </c>
      <c r="O1133" t="s">
        <v>825</v>
      </c>
      <c r="P1133" t="s">
        <v>27</v>
      </c>
    </row>
    <row r="1134" spans="1:16" hidden="1" x14ac:dyDescent="0.25">
      <c r="A1134" s="3" t="s">
        <v>75</v>
      </c>
      <c r="B1134" t="s">
        <v>804</v>
      </c>
      <c r="C1134" t="s">
        <v>826</v>
      </c>
      <c r="D1134" t="s">
        <v>26</v>
      </c>
      <c r="E1134" t="s">
        <v>91</v>
      </c>
      <c r="F1134">
        <v>2</v>
      </c>
      <c r="G1134" s="3" t="s">
        <v>32</v>
      </c>
      <c r="H1134" s="46" t="s">
        <v>15</v>
      </c>
      <c r="I1134" s="17">
        <v>250000</v>
      </c>
      <c r="J1134" s="17">
        <f>IF(Gastos[[#This Row],[Divisa]]="$", I1134*1, IF(Gastos[[#This Row],[Divisa]]="U$D", I1134*$N$1, IF(Gastos[[#This Row],[Divisa]]="EUR", I1134*$N$2, 0)))</f>
        <v>250000</v>
      </c>
      <c r="K1134" s="54">
        <f>Gastos[[#This Row],[Importe AR$]]/$N$1</f>
        <v>160.25641025641025</v>
      </c>
      <c r="M1134" s="69">
        <v>46085</v>
      </c>
      <c r="N1134" s="43">
        <f>IF(Gastos[[#This Row],[Fecha_Cheque]]&gt;0,WEEKNUM(Gastos[[#This Row],[Fecha_Cheque]]),MID(Gastos[[#This Row],[Semana]],6,2))</f>
        <v>10</v>
      </c>
      <c r="O1134" t="s">
        <v>827</v>
      </c>
      <c r="P1134" t="s">
        <v>27</v>
      </c>
    </row>
    <row r="1135" spans="1:16" hidden="1" x14ac:dyDescent="0.25">
      <c r="A1135" s="3" t="s">
        <v>75</v>
      </c>
      <c r="B1135" t="s">
        <v>804</v>
      </c>
      <c r="C1135" t="s">
        <v>826</v>
      </c>
      <c r="D1135" t="s">
        <v>26</v>
      </c>
      <c r="E1135" t="s">
        <v>91</v>
      </c>
      <c r="F1135">
        <v>2</v>
      </c>
      <c r="G1135" s="3" t="s">
        <v>32</v>
      </c>
      <c r="H1135" s="46" t="s">
        <v>15</v>
      </c>
      <c r="I1135" s="17">
        <v>1500000</v>
      </c>
      <c r="J1135" s="17">
        <f>IF(Gastos[[#This Row],[Divisa]]="$", I1135*1, IF(Gastos[[#This Row],[Divisa]]="U$D", I1135*$N$1, IF(Gastos[[#This Row],[Divisa]]="EUR", I1135*$N$2, 0)))</f>
        <v>1500000</v>
      </c>
      <c r="K1135" s="54">
        <f>Gastos[[#This Row],[Importe AR$]]/$N$1</f>
        <v>961.53846153846155</v>
      </c>
      <c r="M1135" s="69">
        <v>46081</v>
      </c>
      <c r="N1135" s="43">
        <f>IF(Gastos[[#This Row],[Fecha_Cheque]]&gt;0,WEEKNUM(Gastos[[#This Row],[Fecha_Cheque]]),MID(Gastos[[#This Row],[Semana]],6,2))</f>
        <v>9</v>
      </c>
      <c r="O1135" t="s">
        <v>827</v>
      </c>
      <c r="P1135" t="s">
        <v>27</v>
      </c>
    </row>
    <row r="1136" spans="1:16" hidden="1" x14ac:dyDescent="0.25">
      <c r="A1136" s="3" t="s">
        <v>75</v>
      </c>
      <c r="B1136" t="s">
        <v>804</v>
      </c>
      <c r="C1136" t="s">
        <v>826</v>
      </c>
      <c r="D1136" t="s">
        <v>26</v>
      </c>
      <c r="E1136" t="s">
        <v>91</v>
      </c>
      <c r="F1136">
        <v>2</v>
      </c>
      <c r="G1136" s="3" t="s">
        <v>32</v>
      </c>
      <c r="H1136" s="46" t="s">
        <v>15</v>
      </c>
      <c r="I1136" s="17">
        <v>1500000</v>
      </c>
      <c r="J1136" s="17">
        <f>IF(Gastos[[#This Row],[Divisa]]="$", I1136*1, IF(Gastos[[#This Row],[Divisa]]="U$D", I1136*$N$1, IF(Gastos[[#This Row],[Divisa]]="EUR", I1136*$N$2, 0)))</f>
        <v>1500000</v>
      </c>
      <c r="K1136" s="54">
        <f>Gastos[[#This Row],[Importe AR$]]/$N$1</f>
        <v>961.53846153846155</v>
      </c>
      <c r="M1136" s="69">
        <v>46081</v>
      </c>
      <c r="N1136" s="43">
        <f>IF(Gastos[[#This Row],[Fecha_Cheque]]&gt;0,WEEKNUM(Gastos[[#This Row],[Fecha_Cheque]]),MID(Gastos[[#This Row],[Semana]],6,2))</f>
        <v>9</v>
      </c>
      <c r="O1136" t="s">
        <v>827</v>
      </c>
      <c r="P1136" t="s">
        <v>27</v>
      </c>
    </row>
    <row r="1137" spans="1:16" hidden="1" x14ac:dyDescent="0.25">
      <c r="A1137" s="3" t="s">
        <v>75</v>
      </c>
      <c r="B1137" t="s">
        <v>804</v>
      </c>
      <c r="C1137" t="s">
        <v>826</v>
      </c>
      <c r="D1137" t="s">
        <v>26</v>
      </c>
      <c r="E1137" t="s">
        <v>42</v>
      </c>
      <c r="F1137">
        <v>2</v>
      </c>
      <c r="G1137" s="3" t="s">
        <v>4</v>
      </c>
      <c r="H1137" s="46" t="s">
        <v>15</v>
      </c>
      <c r="I1137" s="17">
        <v>1000</v>
      </c>
      <c r="J1137" s="17">
        <f>IF(Gastos[[#This Row],[Divisa]]="$", I1137*1, IF(Gastos[[#This Row],[Divisa]]="U$D", I1137*$N$1, IF(Gastos[[#This Row],[Divisa]]="EUR", I1137*$N$2, 0)))</f>
        <v>1000</v>
      </c>
      <c r="K1137" s="54">
        <f>Gastos[[#This Row],[Importe AR$]]/$N$1</f>
        <v>0.64102564102564108</v>
      </c>
      <c r="M1137" s="69"/>
      <c r="N1137" s="43" t="str">
        <f>IF(Gastos[[#This Row],[Fecha_Cheque]]&gt;0,WEEKNUM(Gastos[[#This Row],[Fecha_Cheque]]),MID(Gastos[[#This Row],[Semana]],6,2))</f>
        <v>07</v>
      </c>
      <c r="O1137" t="s">
        <v>827</v>
      </c>
      <c r="P1137" t="s">
        <v>27</v>
      </c>
    </row>
    <row r="1138" spans="1:16" hidden="1" x14ac:dyDescent="0.25">
      <c r="A1138" s="3" t="s">
        <v>39</v>
      </c>
      <c r="B1138" t="s">
        <v>804</v>
      </c>
      <c r="C1138" t="s">
        <v>917</v>
      </c>
      <c r="D1138" t="s">
        <v>26</v>
      </c>
      <c r="E1138" t="s">
        <v>62</v>
      </c>
      <c r="F1138">
        <v>1</v>
      </c>
      <c r="G1138" s="3" t="s">
        <v>32</v>
      </c>
      <c r="H1138" s="44" t="s">
        <v>15</v>
      </c>
      <c r="I1138" s="17">
        <v>301296</v>
      </c>
      <c r="J1138" s="17">
        <f>IF(Gastos[[#This Row],[Divisa]]="$", I1138*1, IF(Gastos[[#This Row],[Divisa]]="U$D", I1138*$N$1, IF(Gastos[[#This Row],[Divisa]]="EUR", I1138*$N$2, 0)))</f>
        <v>301296</v>
      </c>
      <c r="K1138" s="54">
        <f>Gastos[[#This Row],[Importe AR$]]/$N$1</f>
        <v>193.13846153846154</v>
      </c>
      <c r="M1138" s="69">
        <v>46116</v>
      </c>
      <c r="N1138" s="43">
        <f>IF(Gastos[[#This Row],[Fecha_Cheque]]&gt;0,WEEKNUM(Gastos[[#This Row],[Fecha_Cheque]]),MID(Gastos[[#This Row],[Semana]],6,2))</f>
        <v>14</v>
      </c>
      <c r="O1138" t="s">
        <v>918</v>
      </c>
      <c r="P1138" t="s">
        <v>27</v>
      </c>
    </row>
    <row r="1139" spans="1:16" hidden="1" x14ac:dyDescent="0.25">
      <c r="A1139" s="3" t="s">
        <v>39</v>
      </c>
      <c r="B1139" t="s">
        <v>804</v>
      </c>
      <c r="C1139" t="s">
        <v>917</v>
      </c>
      <c r="D1139" t="s">
        <v>26</v>
      </c>
      <c r="E1139" t="s">
        <v>62</v>
      </c>
      <c r="F1139">
        <v>1</v>
      </c>
      <c r="G1139" s="3" t="s">
        <v>32</v>
      </c>
      <c r="H1139" s="44" t="s">
        <v>15</v>
      </c>
      <c r="I1139" s="17">
        <v>578259</v>
      </c>
      <c r="J1139" s="17">
        <f>IF(Gastos[[#This Row],[Divisa]]="$", I1139*1, IF(Gastos[[#This Row],[Divisa]]="U$D", I1139*$N$1, IF(Gastos[[#This Row],[Divisa]]="EUR", I1139*$N$2, 0)))</f>
        <v>578259</v>
      </c>
      <c r="K1139" s="54">
        <f>Gastos[[#This Row],[Importe AR$]]/$N$1</f>
        <v>370.67884615384617</v>
      </c>
      <c r="M1139" s="69">
        <v>46119</v>
      </c>
      <c r="N1139" s="43">
        <f>IF(Gastos[[#This Row],[Fecha_Cheque]]&gt;0,WEEKNUM(Gastos[[#This Row],[Fecha_Cheque]]),MID(Gastos[[#This Row],[Semana]],6,2))</f>
        <v>15</v>
      </c>
      <c r="O1139" t="s">
        <v>918</v>
      </c>
      <c r="P1139" t="s">
        <v>27</v>
      </c>
    </row>
    <row r="1140" spans="1:16" hidden="1" x14ac:dyDescent="0.25">
      <c r="A1140" s="3" t="s">
        <v>39</v>
      </c>
      <c r="B1140" t="s">
        <v>804</v>
      </c>
      <c r="C1140" t="s">
        <v>917</v>
      </c>
      <c r="D1140" t="s">
        <v>26</v>
      </c>
      <c r="E1140" t="s">
        <v>62</v>
      </c>
      <c r="F1140">
        <v>1</v>
      </c>
      <c r="G1140" s="3" t="s">
        <v>32</v>
      </c>
      <c r="H1140" s="44" t="s">
        <v>15</v>
      </c>
      <c r="I1140" s="17">
        <v>1058608.6000000001</v>
      </c>
      <c r="J1140" s="17">
        <f>IF(Gastos[[#This Row],[Divisa]]="$", I1140*1, IF(Gastos[[#This Row],[Divisa]]="U$D", I1140*$N$1, IF(Gastos[[#This Row],[Divisa]]="EUR", I1140*$N$2, 0)))</f>
        <v>1058608.6000000001</v>
      </c>
      <c r="K1140" s="54">
        <f>Gastos[[#This Row],[Importe AR$]]/$N$1</f>
        <v>678.59525641025652</v>
      </c>
      <c r="M1140" s="69">
        <v>46097</v>
      </c>
      <c r="N1140" s="43">
        <f>IF(Gastos[[#This Row],[Fecha_Cheque]]&gt;0,WEEKNUM(Gastos[[#This Row],[Fecha_Cheque]]),MID(Gastos[[#This Row],[Semana]],6,2))</f>
        <v>12</v>
      </c>
      <c r="O1140" t="s">
        <v>918</v>
      </c>
      <c r="P1140" t="s">
        <v>27</v>
      </c>
    </row>
    <row r="1141" spans="1:16" hidden="1" x14ac:dyDescent="0.25">
      <c r="A1141" s="3" t="s">
        <v>39</v>
      </c>
      <c r="B1141" t="s">
        <v>804</v>
      </c>
      <c r="C1141" t="s">
        <v>917</v>
      </c>
      <c r="D1141" t="s">
        <v>26</v>
      </c>
      <c r="E1141" t="s">
        <v>62</v>
      </c>
      <c r="F1141">
        <v>1</v>
      </c>
      <c r="G1141" s="3" t="s">
        <v>32</v>
      </c>
      <c r="H1141" s="44" t="s">
        <v>15</v>
      </c>
      <c r="I1141" s="17">
        <v>11560834.550000001</v>
      </c>
      <c r="J1141" s="17">
        <f>IF(Gastos[[#This Row],[Divisa]]="$", I1141*1, IF(Gastos[[#This Row],[Divisa]]="U$D", I1141*$N$1, IF(Gastos[[#This Row],[Divisa]]="EUR", I1141*$N$2, 0)))</f>
        <v>11560834.550000001</v>
      </c>
      <c r="K1141" s="54">
        <f>Gastos[[#This Row],[Importe AR$]]/$N$1</f>
        <v>7410.7913782051282</v>
      </c>
      <c r="M1141" s="69">
        <v>46122</v>
      </c>
      <c r="N1141" s="43">
        <f>IF(Gastos[[#This Row],[Fecha_Cheque]]&gt;0,WEEKNUM(Gastos[[#This Row],[Fecha_Cheque]]),MID(Gastos[[#This Row],[Semana]],6,2))</f>
        <v>15</v>
      </c>
      <c r="O1141" t="s">
        <v>918</v>
      </c>
      <c r="P1141" t="s">
        <v>27</v>
      </c>
    </row>
    <row r="1142" spans="1:16" hidden="1" x14ac:dyDescent="0.25">
      <c r="A1142" s="3" t="s">
        <v>39</v>
      </c>
      <c r="B1142" t="s">
        <v>804</v>
      </c>
      <c r="C1142" t="s">
        <v>917</v>
      </c>
      <c r="D1142" t="s">
        <v>26</v>
      </c>
      <c r="E1142" t="s">
        <v>62</v>
      </c>
      <c r="F1142">
        <v>1</v>
      </c>
      <c r="G1142" s="3" t="s">
        <v>32</v>
      </c>
      <c r="H1142" s="44" t="s">
        <v>15</v>
      </c>
      <c r="I1142" s="17">
        <v>11560834.550000001</v>
      </c>
      <c r="J1142" s="17">
        <f>IF(Gastos[[#This Row],[Divisa]]="$", I1142*1, IF(Gastos[[#This Row],[Divisa]]="U$D", I1142*$N$1, IF(Gastos[[#This Row],[Divisa]]="EUR", I1142*$N$2, 0)))</f>
        <v>11560834.550000001</v>
      </c>
      <c r="K1142" s="54">
        <f>Gastos[[#This Row],[Importe AR$]]/$N$1</f>
        <v>7410.7913782051282</v>
      </c>
      <c r="M1142" s="69">
        <v>46129</v>
      </c>
      <c r="N1142" s="43">
        <f>IF(Gastos[[#This Row],[Fecha_Cheque]]&gt;0,WEEKNUM(Gastos[[#This Row],[Fecha_Cheque]]),MID(Gastos[[#This Row],[Semana]],6,2))</f>
        <v>16</v>
      </c>
      <c r="O1142" t="s">
        <v>918</v>
      </c>
      <c r="P1142" t="s">
        <v>27</v>
      </c>
    </row>
    <row r="1143" spans="1:16" hidden="1" x14ac:dyDescent="0.25">
      <c r="A1143" s="3" t="s">
        <v>39</v>
      </c>
      <c r="B1143" t="s">
        <v>804</v>
      </c>
      <c r="C1143" t="s">
        <v>917</v>
      </c>
      <c r="D1143" t="s">
        <v>26</v>
      </c>
      <c r="E1143" t="s">
        <v>62</v>
      </c>
      <c r="F1143">
        <v>1</v>
      </c>
      <c r="G1143" s="3" t="s">
        <v>32</v>
      </c>
      <c r="H1143" s="44" t="s">
        <v>15</v>
      </c>
      <c r="I1143" s="17">
        <v>11560834.550000001</v>
      </c>
      <c r="J1143" s="17">
        <f>IF(Gastos[[#This Row],[Divisa]]="$", I1143*1, IF(Gastos[[#This Row],[Divisa]]="U$D", I1143*$N$1, IF(Gastos[[#This Row],[Divisa]]="EUR", I1143*$N$2, 0)))</f>
        <v>11560834.550000001</v>
      </c>
      <c r="K1143" s="54">
        <f>Gastos[[#This Row],[Importe AR$]]/$N$1</f>
        <v>7410.7913782051282</v>
      </c>
      <c r="M1143" s="69">
        <v>46136</v>
      </c>
      <c r="N1143" s="43">
        <f>IF(Gastos[[#This Row],[Fecha_Cheque]]&gt;0,WEEKNUM(Gastos[[#This Row],[Fecha_Cheque]]),MID(Gastos[[#This Row],[Semana]],6,2))</f>
        <v>17</v>
      </c>
      <c r="O1143" t="s">
        <v>918</v>
      </c>
      <c r="P1143" t="s">
        <v>27</v>
      </c>
    </row>
    <row r="1144" spans="1:16" hidden="1" x14ac:dyDescent="0.25">
      <c r="A1144" s="3" t="s">
        <v>39</v>
      </c>
      <c r="B1144" t="s">
        <v>804</v>
      </c>
      <c r="C1144" t="s">
        <v>917</v>
      </c>
      <c r="D1144" t="s">
        <v>26</v>
      </c>
      <c r="E1144" t="s">
        <v>62</v>
      </c>
      <c r="F1144">
        <v>1</v>
      </c>
      <c r="G1144" s="3" t="s">
        <v>32</v>
      </c>
      <c r="H1144" s="44" t="s">
        <v>15</v>
      </c>
      <c r="I1144" s="17">
        <v>11560834.550000001</v>
      </c>
      <c r="J1144" s="17">
        <f>IF(Gastos[[#This Row],[Divisa]]="$", I1144*1, IF(Gastos[[#This Row],[Divisa]]="U$D", I1144*$N$1, IF(Gastos[[#This Row],[Divisa]]="EUR", I1144*$N$2, 0)))</f>
        <v>11560834.550000001</v>
      </c>
      <c r="K1144" s="54">
        <f>Gastos[[#This Row],[Importe AR$]]/$N$1</f>
        <v>7410.7913782051282</v>
      </c>
      <c r="M1144" s="69">
        <v>46150</v>
      </c>
      <c r="N1144" s="43">
        <f>IF(Gastos[[#This Row],[Fecha_Cheque]]&gt;0,WEEKNUM(Gastos[[#This Row],[Fecha_Cheque]]),MID(Gastos[[#This Row],[Semana]],6,2))</f>
        <v>19</v>
      </c>
      <c r="O1144" t="s">
        <v>918</v>
      </c>
      <c r="P1144" t="s">
        <v>27</v>
      </c>
    </row>
    <row r="1145" spans="1:16" hidden="1" x14ac:dyDescent="0.25">
      <c r="A1145" s="3" t="s">
        <v>39</v>
      </c>
      <c r="B1145" t="s">
        <v>804</v>
      </c>
      <c r="C1145" t="s">
        <v>917</v>
      </c>
      <c r="D1145" t="s">
        <v>26</v>
      </c>
      <c r="E1145" t="s">
        <v>62</v>
      </c>
      <c r="F1145">
        <v>1</v>
      </c>
      <c r="G1145" s="3" t="s">
        <v>32</v>
      </c>
      <c r="H1145" s="44" t="s">
        <v>15</v>
      </c>
      <c r="I1145" s="17">
        <v>11560834.550000001</v>
      </c>
      <c r="J1145" s="17">
        <f>IF(Gastos[[#This Row],[Divisa]]="$", I1145*1, IF(Gastos[[#This Row],[Divisa]]="U$D", I1145*$N$1, IF(Gastos[[#This Row],[Divisa]]="EUR", I1145*$N$2, 0)))</f>
        <v>11560834.550000001</v>
      </c>
      <c r="K1145" s="54">
        <f>Gastos[[#This Row],[Importe AR$]]/$N$1</f>
        <v>7410.7913782051282</v>
      </c>
      <c r="M1145" s="69">
        <v>46157</v>
      </c>
      <c r="N1145" s="43">
        <f>IF(Gastos[[#This Row],[Fecha_Cheque]]&gt;0,WEEKNUM(Gastos[[#This Row],[Fecha_Cheque]]),MID(Gastos[[#This Row],[Semana]],6,2))</f>
        <v>20</v>
      </c>
      <c r="O1145" t="s">
        <v>918</v>
      </c>
      <c r="P1145" t="s">
        <v>27</v>
      </c>
    </row>
    <row r="1146" spans="1:16" hidden="1" x14ac:dyDescent="0.25">
      <c r="A1146" s="3" t="s">
        <v>39</v>
      </c>
      <c r="B1146" t="s">
        <v>804</v>
      </c>
      <c r="C1146" t="s">
        <v>917</v>
      </c>
      <c r="D1146" t="s">
        <v>26</v>
      </c>
      <c r="E1146" t="s">
        <v>62</v>
      </c>
      <c r="F1146">
        <v>1</v>
      </c>
      <c r="G1146" s="3" t="s">
        <v>32</v>
      </c>
      <c r="H1146" s="44" t="s">
        <v>15</v>
      </c>
      <c r="I1146" s="17">
        <v>11560834.550000001</v>
      </c>
      <c r="J1146" s="17">
        <f>IF(Gastos[[#This Row],[Divisa]]="$", I1146*1, IF(Gastos[[#This Row],[Divisa]]="U$D", I1146*$N$1, IF(Gastos[[#This Row],[Divisa]]="EUR", I1146*$N$2, 0)))</f>
        <v>11560834.550000001</v>
      </c>
      <c r="K1146" s="54">
        <f>Gastos[[#This Row],[Importe AR$]]/$N$1</f>
        <v>7410.7913782051282</v>
      </c>
      <c r="M1146" s="69">
        <v>46164</v>
      </c>
      <c r="N1146" s="43">
        <f>IF(Gastos[[#This Row],[Fecha_Cheque]]&gt;0,WEEKNUM(Gastos[[#This Row],[Fecha_Cheque]]),MID(Gastos[[#This Row],[Semana]],6,2))</f>
        <v>21</v>
      </c>
      <c r="O1146" t="s">
        <v>918</v>
      </c>
      <c r="P1146" t="s">
        <v>27</v>
      </c>
    </row>
    <row r="1147" spans="1:16" hidden="1" x14ac:dyDescent="0.25">
      <c r="A1147" s="3" t="s">
        <v>39</v>
      </c>
      <c r="B1147" t="s">
        <v>804</v>
      </c>
      <c r="C1147" t="s">
        <v>917</v>
      </c>
      <c r="D1147" t="s">
        <v>26</v>
      </c>
      <c r="E1147" t="s">
        <v>62</v>
      </c>
      <c r="F1147">
        <v>1</v>
      </c>
      <c r="G1147" s="3" t="s">
        <v>32</v>
      </c>
      <c r="H1147" s="44" t="s">
        <v>15</v>
      </c>
      <c r="I1147" s="17">
        <v>11560841.6</v>
      </c>
      <c r="J1147" s="17">
        <f>IF(Gastos[[#This Row],[Divisa]]="$", I1147*1, IF(Gastos[[#This Row],[Divisa]]="U$D", I1147*$N$1, IF(Gastos[[#This Row],[Divisa]]="EUR", I1147*$N$2, 0)))</f>
        <v>11560841.6</v>
      </c>
      <c r="K1147" s="54">
        <f>Gastos[[#This Row],[Importe AR$]]/$N$1</f>
        <v>7410.7958974358971</v>
      </c>
      <c r="M1147" s="69">
        <v>46171</v>
      </c>
      <c r="N1147" s="43">
        <f>IF(Gastos[[#This Row],[Fecha_Cheque]]&gt;0,WEEKNUM(Gastos[[#This Row],[Fecha_Cheque]]),MID(Gastos[[#This Row],[Semana]],6,2))</f>
        <v>22</v>
      </c>
      <c r="O1147" t="s">
        <v>918</v>
      </c>
      <c r="P1147" t="s">
        <v>27</v>
      </c>
    </row>
    <row r="1148" spans="1:16" hidden="1" x14ac:dyDescent="0.25">
      <c r="A1148" s="3" t="s">
        <v>39</v>
      </c>
      <c r="B1148" t="s">
        <v>804</v>
      </c>
      <c r="C1148" t="s">
        <v>917</v>
      </c>
      <c r="D1148" t="s">
        <v>26</v>
      </c>
      <c r="E1148" t="s">
        <v>62</v>
      </c>
      <c r="F1148">
        <v>1</v>
      </c>
      <c r="G1148" s="3" t="s">
        <v>32</v>
      </c>
      <c r="H1148" s="44" t="s">
        <v>15</v>
      </c>
      <c r="I1148" s="17">
        <v>318740</v>
      </c>
      <c r="J1148" s="17">
        <f>IF(Gastos[[#This Row],[Divisa]]="$", I1148*1, IF(Gastos[[#This Row],[Divisa]]="U$D", I1148*$N$1, IF(Gastos[[#This Row],[Divisa]]="EUR", I1148*$N$2, 0)))</f>
        <v>318740</v>
      </c>
      <c r="K1148" s="54">
        <f>Gastos[[#This Row],[Importe AR$]]/$N$1</f>
        <v>204.32051282051282</v>
      </c>
      <c r="M1148" s="69">
        <v>46109</v>
      </c>
      <c r="N1148" s="43">
        <f>IF(Gastos[[#This Row],[Fecha_Cheque]]&gt;0,WEEKNUM(Gastos[[#This Row],[Fecha_Cheque]]),MID(Gastos[[#This Row],[Semana]],6,2))</f>
        <v>13</v>
      </c>
      <c r="O1148" t="s">
        <v>918</v>
      </c>
      <c r="P1148" t="s">
        <v>27</v>
      </c>
    </row>
    <row r="1149" spans="1:16" hidden="1" x14ac:dyDescent="0.25">
      <c r="A1149" s="3" t="s">
        <v>39</v>
      </c>
      <c r="B1149" t="s">
        <v>804</v>
      </c>
      <c r="C1149" t="s">
        <v>917</v>
      </c>
      <c r="D1149" t="s">
        <v>26</v>
      </c>
      <c r="E1149" t="s">
        <v>62</v>
      </c>
      <c r="F1149">
        <v>1</v>
      </c>
      <c r="G1149" s="3" t="s">
        <v>32</v>
      </c>
      <c r="H1149" s="44" t="s">
        <v>15</v>
      </c>
      <c r="I1149" s="17">
        <v>336000</v>
      </c>
      <c r="J1149" s="17">
        <f>IF(Gastos[[#This Row],[Divisa]]="$", I1149*1, IF(Gastos[[#This Row],[Divisa]]="U$D", I1149*$N$1, IF(Gastos[[#This Row],[Divisa]]="EUR", I1149*$N$2, 0)))</f>
        <v>336000</v>
      </c>
      <c r="K1149" s="54">
        <f>Gastos[[#This Row],[Importe AR$]]/$N$1</f>
        <v>215.38461538461539</v>
      </c>
      <c r="M1149" s="69">
        <v>46108</v>
      </c>
      <c r="N1149" s="43">
        <f>IF(Gastos[[#This Row],[Fecha_Cheque]]&gt;0,WEEKNUM(Gastos[[#This Row],[Fecha_Cheque]]),MID(Gastos[[#This Row],[Semana]],6,2))</f>
        <v>13</v>
      </c>
      <c r="O1149" t="s">
        <v>918</v>
      </c>
      <c r="P1149" t="s">
        <v>27</v>
      </c>
    </row>
    <row r="1150" spans="1:16" hidden="1" x14ac:dyDescent="0.25">
      <c r="A1150" s="3" t="s">
        <v>39</v>
      </c>
      <c r="B1150" t="s">
        <v>804</v>
      </c>
      <c r="C1150" t="s">
        <v>917</v>
      </c>
      <c r="D1150" t="s">
        <v>26</v>
      </c>
      <c r="E1150" t="s">
        <v>62</v>
      </c>
      <c r="F1150">
        <v>1</v>
      </c>
      <c r="G1150" s="3" t="s">
        <v>32</v>
      </c>
      <c r="H1150" s="44" t="s">
        <v>15</v>
      </c>
      <c r="I1150" s="17">
        <v>424000</v>
      </c>
      <c r="J1150" s="17">
        <f>IF(Gastos[[#This Row],[Divisa]]="$", I1150*1, IF(Gastos[[#This Row],[Divisa]]="U$D", I1150*$N$1, IF(Gastos[[#This Row],[Divisa]]="EUR", I1150*$N$2, 0)))</f>
        <v>424000</v>
      </c>
      <c r="K1150" s="54">
        <f>Gastos[[#This Row],[Importe AR$]]/$N$1</f>
        <v>271.79487179487177</v>
      </c>
      <c r="M1150" s="69">
        <v>46098</v>
      </c>
      <c r="N1150" s="43">
        <f>IF(Gastos[[#This Row],[Fecha_Cheque]]&gt;0,WEEKNUM(Gastos[[#This Row],[Fecha_Cheque]]),MID(Gastos[[#This Row],[Semana]],6,2))</f>
        <v>12</v>
      </c>
      <c r="O1150" t="s">
        <v>918</v>
      </c>
      <c r="P1150" t="s">
        <v>27</v>
      </c>
    </row>
    <row r="1151" spans="1:16" hidden="1" x14ac:dyDescent="0.25">
      <c r="A1151" s="3" t="s">
        <v>39</v>
      </c>
      <c r="B1151" t="s">
        <v>804</v>
      </c>
      <c r="C1151" t="s">
        <v>917</v>
      </c>
      <c r="D1151" t="s">
        <v>26</v>
      </c>
      <c r="E1151" t="s">
        <v>62</v>
      </c>
      <c r="F1151">
        <v>1</v>
      </c>
      <c r="G1151" s="3" t="s">
        <v>32</v>
      </c>
      <c r="H1151" s="44" t="s">
        <v>15</v>
      </c>
      <c r="I1151" s="17">
        <v>600000</v>
      </c>
      <c r="J1151" s="17">
        <f>IF(Gastos[[#This Row],[Divisa]]="$", I1151*1, IF(Gastos[[#This Row],[Divisa]]="U$D", I1151*$N$1, IF(Gastos[[#This Row],[Divisa]]="EUR", I1151*$N$2, 0)))</f>
        <v>600000</v>
      </c>
      <c r="K1151" s="54">
        <f>Gastos[[#This Row],[Importe AR$]]/$N$1</f>
        <v>384.61538461538464</v>
      </c>
      <c r="M1151" s="69">
        <v>46106</v>
      </c>
      <c r="N1151" s="43">
        <f>IF(Gastos[[#This Row],[Fecha_Cheque]]&gt;0,WEEKNUM(Gastos[[#This Row],[Fecha_Cheque]]),MID(Gastos[[#This Row],[Semana]],6,2))</f>
        <v>13</v>
      </c>
      <c r="O1151" t="s">
        <v>918</v>
      </c>
      <c r="P1151" t="s">
        <v>27</v>
      </c>
    </row>
    <row r="1152" spans="1:16" hidden="1" x14ac:dyDescent="0.25">
      <c r="A1152" s="3" t="s">
        <v>39</v>
      </c>
      <c r="B1152" t="s">
        <v>804</v>
      </c>
      <c r="C1152" t="s">
        <v>917</v>
      </c>
      <c r="D1152" t="s">
        <v>26</v>
      </c>
      <c r="E1152" t="s">
        <v>62</v>
      </c>
      <c r="F1152">
        <v>1</v>
      </c>
      <c r="G1152" s="3" t="s">
        <v>32</v>
      </c>
      <c r="H1152" s="44" t="s">
        <v>15</v>
      </c>
      <c r="I1152" s="17">
        <v>716019.5</v>
      </c>
      <c r="J1152" s="17">
        <f>IF(Gastos[[#This Row],[Divisa]]="$", I1152*1, IF(Gastos[[#This Row],[Divisa]]="U$D", I1152*$N$1, IF(Gastos[[#This Row],[Divisa]]="EUR", I1152*$N$2, 0)))</f>
        <v>716019.5</v>
      </c>
      <c r="K1152" s="54">
        <f>Gastos[[#This Row],[Importe AR$]]/$N$1</f>
        <v>458.986858974359</v>
      </c>
      <c r="M1152" s="69">
        <v>46112</v>
      </c>
      <c r="N1152" s="43">
        <f>IF(Gastos[[#This Row],[Fecha_Cheque]]&gt;0,WEEKNUM(Gastos[[#This Row],[Fecha_Cheque]]),MID(Gastos[[#This Row],[Semana]],6,2))</f>
        <v>14</v>
      </c>
      <c r="O1152" t="s">
        <v>918</v>
      </c>
      <c r="P1152" t="s">
        <v>27</v>
      </c>
    </row>
    <row r="1153" spans="1:16" hidden="1" x14ac:dyDescent="0.25">
      <c r="A1153" s="3" t="s">
        <v>39</v>
      </c>
      <c r="B1153" t="s">
        <v>804</v>
      </c>
      <c r="C1153" t="s">
        <v>917</v>
      </c>
      <c r="D1153" t="s">
        <v>26</v>
      </c>
      <c r="E1153" t="s">
        <v>62</v>
      </c>
      <c r="F1153">
        <v>1</v>
      </c>
      <c r="G1153" s="3" t="s">
        <v>32</v>
      </c>
      <c r="H1153" s="44" t="s">
        <v>15</v>
      </c>
      <c r="I1153" s="17">
        <v>1235694</v>
      </c>
      <c r="J1153" s="17">
        <f>IF(Gastos[[#This Row],[Divisa]]="$", I1153*1, IF(Gastos[[#This Row],[Divisa]]="U$D", I1153*$N$1, IF(Gastos[[#This Row],[Divisa]]="EUR", I1153*$N$2, 0)))</f>
        <v>1235694</v>
      </c>
      <c r="K1153" s="54">
        <f>Gastos[[#This Row],[Importe AR$]]/$N$1</f>
        <v>792.11153846153843</v>
      </c>
      <c r="M1153" s="69">
        <v>46095</v>
      </c>
      <c r="N1153" s="43">
        <f>IF(Gastos[[#This Row],[Fecha_Cheque]]&gt;0,WEEKNUM(Gastos[[#This Row],[Fecha_Cheque]]),MID(Gastos[[#This Row],[Semana]],6,2))</f>
        <v>11</v>
      </c>
      <c r="O1153" t="s">
        <v>918</v>
      </c>
      <c r="P1153" t="s">
        <v>27</v>
      </c>
    </row>
    <row r="1154" spans="1:16" hidden="1" x14ac:dyDescent="0.25">
      <c r="A1154" s="3" t="s">
        <v>39</v>
      </c>
      <c r="B1154" t="s">
        <v>804</v>
      </c>
      <c r="C1154" t="s">
        <v>917</v>
      </c>
      <c r="D1154" t="s">
        <v>26</v>
      </c>
      <c r="E1154" t="s">
        <v>62</v>
      </c>
      <c r="F1154">
        <v>1</v>
      </c>
      <c r="G1154" s="3" t="s">
        <v>32</v>
      </c>
      <c r="H1154" s="44" t="s">
        <v>15</v>
      </c>
      <c r="I1154" s="17">
        <v>1235694</v>
      </c>
      <c r="J1154" s="17">
        <f>IF(Gastos[[#This Row],[Divisa]]="$", I1154*1, IF(Gastos[[#This Row],[Divisa]]="U$D", I1154*$N$1, IF(Gastos[[#This Row],[Divisa]]="EUR", I1154*$N$2, 0)))</f>
        <v>1235694</v>
      </c>
      <c r="K1154" s="54">
        <f>Gastos[[#This Row],[Importe AR$]]/$N$1</f>
        <v>792.11153846153843</v>
      </c>
      <c r="M1154" s="69">
        <v>46106</v>
      </c>
      <c r="N1154" s="43">
        <f>IF(Gastos[[#This Row],[Fecha_Cheque]]&gt;0,WEEKNUM(Gastos[[#This Row],[Fecha_Cheque]]),MID(Gastos[[#This Row],[Semana]],6,2))</f>
        <v>13</v>
      </c>
      <c r="O1154" t="s">
        <v>918</v>
      </c>
      <c r="P1154" t="s">
        <v>27</v>
      </c>
    </row>
    <row r="1155" spans="1:16" hidden="1" x14ac:dyDescent="0.25">
      <c r="A1155" s="3" t="s">
        <v>39</v>
      </c>
      <c r="B1155" t="s">
        <v>804</v>
      </c>
      <c r="C1155" t="s">
        <v>917</v>
      </c>
      <c r="D1155" t="s">
        <v>26</v>
      </c>
      <c r="E1155" t="s">
        <v>62</v>
      </c>
      <c r="F1155">
        <v>1</v>
      </c>
      <c r="G1155" s="3" t="s">
        <v>32</v>
      </c>
      <c r="H1155" s="44" t="s">
        <v>15</v>
      </c>
      <c r="I1155" s="17">
        <v>1911840</v>
      </c>
      <c r="J1155" s="17">
        <f>IF(Gastos[[#This Row],[Divisa]]="$", I1155*1, IF(Gastos[[#This Row],[Divisa]]="U$D", I1155*$N$1, IF(Gastos[[#This Row],[Divisa]]="EUR", I1155*$N$2, 0)))</f>
        <v>1911840</v>
      </c>
      <c r="K1155" s="54">
        <f>Gastos[[#This Row],[Importe AR$]]/$N$1</f>
        <v>1225.5384615384614</v>
      </c>
      <c r="M1155" s="69">
        <v>46108</v>
      </c>
      <c r="N1155" s="43">
        <f>IF(Gastos[[#This Row],[Fecha_Cheque]]&gt;0,WEEKNUM(Gastos[[#This Row],[Fecha_Cheque]]),MID(Gastos[[#This Row],[Semana]],6,2))</f>
        <v>13</v>
      </c>
      <c r="O1155" t="s">
        <v>918</v>
      </c>
      <c r="P1155" t="s">
        <v>27</v>
      </c>
    </row>
    <row r="1156" spans="1:16" hidden="1" x14ac:dyDescent="0.25">
      <c r="A1156" s="3" t="s">
        <v>332</v>
      </c>
      <c r="B1156" t="s">
        <v>804</v>
      </c>
      <c r="C1156" t="s">
        <v>1921</v>
      </c>
      <c r="D1156" t="s">
        <v>26</v>
      </c>
      <c r="E1156" t="s">
        <v>62</v>
      </c>
      <c r="F1156">
        <v>2</v>
      </c>
      <c r="G1156" s="3" t="s">
        <v>32</v>
      </c>
      <c r="H1156" s="44" t="s">
        <v>15</v>
      </c>
      <c r="I1156" s="17">
        <v>811500</v>
      </c>
      <c r="J1156" s="17">
        <f>IF(Gastos[[#This Row],[Divisa]]="$", I1156*1, IF(Gastos[[#This Row],[Divisa]]="U$D", I1156*$N$1, IF(Gastos[[#This Row],[Divisa]]="EUR", I1156*$N$2, 0)))</f>
        <v>811500</v>
      </c>
      <c r="K1156" s="54">
        <f>Gastos[[#This Row],[Importe AR$]]/$N$1</f>
        <v>520.19230769230774</v>
      </c>
      <c r="M1156" s="69">
        <v>46132</v>
      </c>
      <c r="N1156" s="43">
        <f>IF(Gastos[[#This Row],[Fecha_Cheque]]&gt;0,WEEKNUM(Gastos[[#This Row],[Fecha_Cheque]]),MID(Gastos[[#This Row],[Semana]],6,2))</f>
        <v>17</v>
      </c>
      <c r="O1156" t="s">
        <v>1922</v>
      </c>
      <c r="P1156" t="s">
        <v>27</v>
      </c>
    </row>
    <row r="1157" spans="1:16" hidden="1" x14ac:dyDescent="0.25">
      <c r="A1157" s="3" t="s">
        <v>332</v>
      </c>
      <c r="B1157" t="s">
        <v>804</v>
      </c>
      <c r="C1157" t="s">
        <v>1921</v>
      </c>
      <c r="D1157" t="s">
        <v>26</v>
      </c>
      <c r="E1157" t="s">
        <v>62</v>
      </c>
      <c r="F1157">
        <v>2</v>
      </c>
      <c r="G1157" s="3" t="s">
        <v>32</v>
      </c>
      <c r="H1157" s="44" t="s">
        <v>15</v>
      </c>
      <c r="I1157" s="17">
        <v>817000</v>
      </c>
      <c r="J1157" s="17">
        <f>IF(Gastos[[#This Row],[Divisa]]="$", I1157*1, IF(Gastos[[#This Row],[Divisa]]="U$D", I1157*$N$1, IF(Gastos[[#This Row],[Divisa]]="EUR", I1157*$N$2, 0)))</f>
        <v>817000</v>
      </c>
      <c r="K1157" s="54">
        <f>Gastos[[#This Row],[Importe AR$]]/$N$1</f>
        <v>523.71794871794873</v>
      </c>
      <c r="M1157" s="69">
        <v>46137</v>
      </c>
      <c r="N1157" s="43">
        <f>IF(Gastos[[#This Row],[Fecha_Cheque]]&gt;0,WEEKNUM(Gastos[[#This Row],[Fecha_Cheque]]),MID(Gastos[[#This Row],[Semana]],6,2))</f>
        <v>17</v>
      </c>
      <c r="O1157" t="s">
        <v>1922</v>
      </c>
      <c r="P1157" t="s">
        <v>27</v>
      </c>
    </row>
    <row r="1158" spans="1:16" hidden="1" x14ac:dyDescent="0.25">
      <c r="A1158" s="3" t="s">
        <v>332</v>
      </c>
      <c r="B1158" t="s">
        <v>804</v>
      </c>
      <c r="C1158" t="s">
        <v>1921</v>
      </c>
      <c r="D1158" t="s">
        <v>26</v>
      </c>
      <c r="E1158" t="s">
        <v>62</v>
      </c>
      <c r="F1158">
        <v>2</v>
      </c>
      <c r="G1158" s="3" t="s">
        <v>32</v>
      </c>
      <c r="H1158" s="44" t="s">
        <v>15</v>
      </c>
      <c r="I1158" s="17">
        <v>883000</v>
      </c>
      <c r="J1158" s="17">
        <f>IF(Gastos[[#This Row],[Divisa]]="$", I1158*1, IF(Gastos[[#This Row],[Divisa]]="U$D", I1158*$N$1, IF(Gastos[[#This Row],[Divisa]]="EUR", I1158*$N$2, 0)))</f>
        <v>883000</v>
      </c>
      <c r="K1158" s="54">
        <f>Gastos[[#This Row],[Importe AR$]]/$N$1</f>
        <v>566.02564102564099</v>
      </c>
      <c r="M1158" s="69">
        <v>46142</v>
      </c>
      <c r="N1158" s="43">
        <f>IF(Gastos[[#This Row],[Fecha_Cheque]]&gt;0,WEEKNUM(Gastos[[#This Row],[Fecha_Cheque]]),MID(Gastos[[#This Row],[Semana]],6,2))</f>
        <v>18</v>
      </c>
      <c r="O1158" t="s">
        <v>1922</v>
      </c>
      <c r="P1158" t="s">
        <v>27</v>
      </c>
    </row>
    <row r="1159" spans="1:16" hidden="1" x14ac:dyDescent="0.25">
      <c r="A1159" s="3" t="s">
        <v>332</v>
      </c>
      <c r="B1159" t="s">
        <v>804</v>
      </c>
      <c r="C1159" t="s">
        <v>1921</v>
      </c>
      <c r="D1159" t="s">
        <v>26</v>
      </c>
      <c r="E1159" t="s">
        <v>42</v>
      </c>
      <c r="F1159">
        <v>2</v>
      </c>
      <c r="G1159" s="3" t="s">
        <v>4</v>
      </c>
      <c r="H1159" s="44" t="s">
        <v>15</v>
      </c>
      <c r="I1159" s="17">
        <v>1150500</v>
      </c>
      <c r="J1159" s="17">
        <f>IF(Gastos[[#This Row],[Divisa]]="$", I1159*1, IF(Gastos[[#This Row],[Divisa]]="U$D", I1159*$N$1, IF(Gastos[[#This Row],[Divisa]]="EUR", I1159*$N$2, 0)))</f>
        <v>1150500</v>
      </c>
      <c r="K1159" s="54">
        <f>Gastos[[#This Row],[Importe AR$]]/$N$1</f>
        <v>737.5</v>
      </c>
      <c r="M1159" s="69"/>
      <c r="N1159" s="43" t="str">
        <f>IF(Gastos[[#This Row],[Fecha_Cheque]]&gt;0,WEEKNUM(Gastos[[#This Row],[Fecha_Cheque]]),MID(Gastos[[#This Row],[Semana]],6,2))</f>
        <v>12</v>
      </c>
      <c r="O1159" t="s">
        <v>1922</v>
      </c>
      <c r="P1159" t="s">
        <v>27</v>
      </c>
    </row>
    <row r="1160" spans="1:16" hidden="1" x14ac:dyDescent="0.25">
      <c r="A1160" s="3" t="s">
        <v>39</v>
      </c>
      <c r="B1160" t="s">
        <v>804</v>
      </c>
      <c r="C1160" t="s">
        <v>917</v>
      </c>
      <c r="D1160" t="s">
        <v>26</v>
      </c>
      <c r="E1160" t="s">
        <v>62</v>
      </c>
      <c r="F1160">
        <v>1</v>
      </c>
      <c r="G1160" s="3" t="s">
        <v>32</v>
      </c>
      <c r="H1160" s="44" t="s">
        <v>15</v>
      </c>
      <c r="I1160" s="17">
        <v>2000000</v>
      </c>
      <c r="J1160" s="17">
        <f>IF(Gastos[[#This Row],[Divisa]]="$", I1160*1, IF(Gastos[[#This Row],[Divisa]]="U$D", I1160*$N$1, IF(Gastos[[#This Row],[Divisa]]="EUR", I1160*$N$2, 0)))</f>
        <v>2000000</v>
      </c>
      <c r="K1160" s="54">
        <f>Gastos[[#This Row],[Importe AR$]]/$N$1</f>
        <v>1282.051282051282</v>
      </c>
      <c r="M1160" s="69">
        <v>46109</v>
      </c>
      <c r="N1160" s="43">
        <f>IF(Gastos[[#This Row],[Fecha_Cheque]]&gt;0,WEEKNUM(Gastos[[#This Row],[Fecha_Cheque]]),MID(Gastos[[#This Row],[Semana]],6,2))</f>
        <v>13</v>
      </c>
      <c r="O1160" t="s">
        <v>918</v>
      </c>
      <c r="P1160" t="s">
        <v>27</v>
      </c>
    </row>
    <row r="1161" spans="1:16" hidden="1" x14ac:dyDescent="0.25">
      <c r="A1161" s="3" t="s">
        <v>39</v>
      </c>
      <c r="B1161" t="s">
        <v>804</v>
      </c>
      <c r="C1161" t="s">
        <v>917</v>
      </c>
      <c r="D1161" t="s">
        <v>26</v>
      </c>
      <c r="E1161" t="s">
        <v>62</v>
      </c>
      <c r="F1161">
        <v>1</v>
      </c>
      <c r="G1161" s="3" t="s">
        <v>32</v>
      </c>
      <c r="H1161" s="44" t="s">
        <v>15</v>
      </c>
      <c r="I1161" s="17">
        <v>2000000</v>
      </c>
      <c r="J1161" s="17">
        <f>IF(Gastos[[#This Row],[Divisa]]="$", I1161*1, IF(Gastos[[#This Row],[Divisa]]="U$D", I1161*$N$1, IF(Gastos[[#This Row],[Divisa]]="EUR", I1161*$N$2, 0)))</f>
        <v>2000000</v>
      </c>
      <c r="K1161" s="54">
        <f>Gastos[[#This Row],[Importe AR$]]/$N$1</f>
        <v>1282.051282051282</v>
      </c>
      <c r="M1161" s="69">
        <v>46112</v>
      </c>
      <c r="N1161" s="43">
        <f>IF(Gastos[[#This Row],[Fecha_Cheque]]&gt;0,WEEKNUM(Gastos[[#This Row],[Fecha_Cheque]]),MID(Gastos[[#This Row],[Semana]],6,2))</f>
        <v>14</v>
      </c>
      <c r="O1161" t="s">
        <v>918</v>
      </c>
      <c r="P1161" t="s">
        <v>27</v>
      </c>
    </row>
    <row r="1162" spans="1:16" hidden="1" x14ac:dyDescent="0.25">
      <c r="A1162" s="3" t="s">
        <v>39</v>
      </c>
      <c r="B1162" t="s">
        <v>804</v>
      </c>
      <c r="C1162" t="s">
        <v>917</v>
      </c>
      <c r="D1162" t="s">
        <v>26</v>
      </c>
      <c r="E1162" t="s">
        <v>62</v>
      </c>
      <c r="F1162">
        <v>1</v>
      </c>
      <c r="G1162" s="3" t="s">
        <v>32</v>
      </c>
      <c r="H1162" s="44" t="s">
        <v>15</v>
      </c>
      <c r="I1162" s="17">
        <v>5000000</v>
      </c>
      <c r="J1162" s="17">
        <f>IF(Gastos[[#This Row],[Divisa]]="$", I1162*1, IF(Gastos[[#This Row],[Divisa]]="U$D", I1162*$N$1, IF(Gastos[[#This Row],[Divisa]]="EUR", I1162*$N$2, 0)))</f>
        <v>5000000</v>
      </c>
      <c r="K1162" s="54">
        <f>Gastos[[#This Row],[Importe AR$]]/$N$1</f>
        <v>3205.1282051282051</v>
      </c>
      <c r="M1162" s="69">
        <v>46107</v>
      </c>
      <c r="N1162" s="43">
        <f>IF(Gastos[[#This Row],[Fecha_Cheque]]&gt;0,WEEKNUM(Gastos[[#This Row],[Fecha_Cheque]]),MID(Gastos[[#This Row],[Semana]],6,2))</f>
        <v>13</v>
      </c>
      <c r="O1162" t="s">
        <v>918</v>
      </c>
      <c r="P1162" t="s">
        <v>27</v>
      </c>
    </row>
    <row r="1163" spans="1:16" hidden="1" x14ac:dyDescent="0.25">
      <c r="A1163" s="3" t="s">
        <v>39</v>
      </c>
      <c r="B1163" t="s">
        <v>804</v>
      </c>
      <c r="C1163" t="s">
        <v>1944</v>
      </c>
      <c r="D1163" t="s">
        <v>26</v>
      </c>
      <c r="E1163" t="s">
        <v>62</v>
      </c>
      <c r="F1163">
        <v>1</v>
      </c>
      <c r="G1163" s="3" t="s">
        <v>32</v>
      </c>
      <c r="H1163" s="44" t="s">
        <v>15</v>
      </c>
      <c r="I1163" s="17">
        <v>11488112.640000001</v>
      </c>
      <c r="J1163" s="17">
        <f>IF(Gastos[[#This Row],[Divisa]]="$", I1163*1, IF(Gastos[[#This Row],[Divisa]]="U$D", I1163*$N$1, IF(Gastos[[#This Row],[Divisa]]="EUR", I1163*$N$2, 0)))</f>
        <v>11488112.640000001</v>
      </c>
      <c r="K1163" s="54">
        <f>Gastos[[#This Row],[Importe AR$]]/$N$1</f>
        <v>7364.1747692307699</v>
      </c>
      <c r="M1163" s="69">
        <v>46181</v>
      </c>
      <c r="N1163" s="43">
        <f>IF(Gastos[[#This Row],[Fecha_Cheque]]&gt;0,WEEKNUM(Gastos[[#This Row],[Fecha_Cheque]]),MID(Gastos[[#This Row],[Semana]],6,2))</f>
        <v>24</v>
      </c>
      <c r="O1163" t="s">
        <v>1945</v>
      </c>
      <c r="P1163" t="s">
        <v>27</v>
      </c>
    </row>
    <row r="1164" spans="1:16" hidden="1" x14ac:dyDescent="0.25">
      <c r="A1164" s="3" t="s">
        <v>39</v>
      </c>
      <c r="B1164" t="s">
        <v>804</v>
      </c>
      <c r="C1164" t="s">
        <v>1944</v>
      </c>
      <c r="D1164" t="s">
        <v>26</v>
      </c>
      <c r="E1164" t="s">
        <v>62</v>
      </c>
      <c r="F1164">
        <v>1</v>
      </c>
      <c r="G1164" s="3" t="s">
        <v>32</v>
      </c>
      <c r="H1164" s="44" t="s">
        <v>15</v>
      </c>
      <c r="I1164" s="17">
        <v>11488112.640000001</v>
      </c>
      <c r="J1164" s="17">
        <f>IF(Gastos[[#This Row],[Divisa]]="$", I1164*1, IF(Gastos[[#This Row],[Divisa]]="U$D", I1164*$N$1, IF(Gastos[[#This Row],[Divisa]]="EUR", I1164*$N$2, 0)))</f>
        <v>11488112.640000001</v>
      </c>
      <c r="K1164" s="54">
        <f>Gastos[[#This Row],[Importe AR$]]/$N$1</f>
        <v>7364.1747692307699</v>
      </c>
      <c r="M1164" s="69">
        <v>46188</v>
      </c>
      <c r="N1164" s="43">
        <f>IF(Gastos[[#This Row],[Fecha_Cheque]]&gt;0,WEEKNUM(Gastos[[#This Row],[Fecha_Cheque]]),MID(Gastos[[#This Row],[Semana]],6,2))</f>
        <v>25</v>
      </c>
      <c r="O1164" t="s">
        <v>1945</v>
      </c>
      <c r="P1164" t="s">
        <v>27</v>
      </c>
    </row>
    <row r="1165" spans="1:16" hidden="1" x14ac:dyDescent="0.25">
      <c r="A1165" s="3" t="s">
        <v>39</v>
      </c>
      <c r="B1165" t="s">
        <v>804</v>
      </c>
      <c r="C1165" t="s">
        <v>1944</v>
      </c>
      <c r="D1165" t="s">
        <v>26</v>
      </c>
      <c r="E1165" t="s">
        <v>62</v>
      </c>
      <c r="F1165">
        <v>1</v>
      </c>
      <c r="G1165" s="3" t="s">
        <v>32</v>
      </c>
      <c r="H1165" s="44" t="s">
        <v>15</v>
      </c>
      <c r="I1165" s="17">
        <v>11488112.640000001</v>
      </c>
      <c r="J1165" s="17">
        <f>IF(Gastos[[#This Row],[Divisa]]="$", I1165*1, IF(Gastos[[#This Row],[Divisa]]="U$D", I1165*$N$1, IF(Gastos[[#This Row],[Divisa]]="EUR", I1165*$N$2, 0)))</f>
        <v>11488112.640000001</v>
      </c>
      <c r="K1165" s="54">
        <f>Gastos[[#This Row],[Importe AR$]]/$N$1</f>
        <v>7364.1747692307699</v>
      </c>
      <c r="M1165" s="69">
        <v>46195</v>
      </c>
      <c r="N1165" s="43">
        <f>IF(Gastos[[#This Row],[Fecha_Cheque]]&gt;0,WEEKNUM(Gastos[[#This Row],[Fecha_Cheque]]),MID(Gastos[[#This Row],[Semana]],6,2))</f>
        <v>26</v>
      </c>
      <c r="O1165" t="s">
        <v>1945</v>
      </c>
      <c r="P1165" t="s">
        <v>27</v>
      </c>
    </row>
    <row r="1166" spans="1:16" hidden="1" x14ac:dyDescent="0.25">
      <c r="A1166" s="3" t="s">
        <v>39</v>
      </c>
      <c r="B1166" t="s">
        <v>804</v>
      </c>
      <c r="C1166" t="s">
        <v>1944</v>
      </c>
      <c r="D1166" t="s">
        <v>26</v>
      </c>
      <c r="E1166" t="s">
        <v>62</v>
      </c>
      <c r="F1166">
        <v>1</v>
      </c>
      <c r="G1166" s="3" t="s">
        <v>32</v>
      </c>
      <c r="H1166" s="44" t="s">
        <v>15</v>
      </c>
      <c r="I1166" s="17">
        <v>11488112.640000001</v>
      </c>
      <c r="J1166" s="17">
        <f>IF(Gastos[[#This Row],[Divisa]]="$", I1166*1, IF(Gastos[[#This Row],[Divisa]]="U$D", I1166*$N$1, IF(Gastos[[#This Row],[Divisa]]="EUR", I1166*$N$2, 0)))</f>
        <v>11488112.640000001</v>
      </c>
      <c r="K1166" s="54">
        <f>Gastos[[#This Row],[Importe AR$]]/$N$1</f>
        <v>7364.1747692307699</v>
      </c>
      <c r="M1166" s="69">
        <v>46202</v>
      </c>
      <c r="N1166" s="43">
        <f>IF(Gastos[[#This Row],[Fecha_Cheque]]&gt;0,WEEKNUM(Gastos[[#This Row],[Fecha_Cheque]]),MID(Gastos[[#This Row],[Semana]],6,2))</f>
        <v>27</v>
      </c>
      <c r="O1166" t="s">
        <v>1945</v>
      </c>
      <c r="P1166" t="s">
        <v>27</v>
      </c>
    </row>
    <row r="1167" spans="1:16" hidden="1" x14ac:dyDescent="0.25">
      <c r="A1167" s="3" t="s">
        <v>39</v>
      </c>
      <c r="B1167" t="s">
        <v>804</v>
      </c>
      <c r="C1167" t="s">
        <v>1944</v>
      </c>
      <c r="D1167" t="s">
        <v>26</v>
      </c>
      <c r="E1167" t="s">
        <v>62</v>
      </c>
      <c r="F1167">
        <v>1</v>
      </c>
      <c r="G1167" s="3" t="s">
        <v>32</v>
      </c>
      <c r="H1167" s="44" t="s">
        <v>15</v>
      </c>
      <c r="I1167" s="17">
        <v>187326</v>
      </c>
      <c r="J1167" s="17">
        <f>IF(Gastos[[#This Row],[Divisa]]="$", I1167*1, IF(Gastos[[#This Row],[Divisa]]="U$D", I1167*$N$1, IF(Gastos[[#This Row],[Divisa]]="EUR", I1167*$N$2, 0)))</f>
        <v>187326</v>
      </c>
      <c r="K1167" s="54">
        <f>Gastos[[#This Row],[Importe AR$]]/$N$1</f>
        <v>120.08076923076923</v>
      </c>
      <c r="M1167" s="69">
        <v>46115</v>
      </c>
      <c r="N1167" s="43">
        <f>IF(Gastos[[#This Row],[Fecha_Cheque]]&gt;0,WEEKNUM(Gastos[[#This Row],[Fecha_Cheque]]),MID(Gastos[[#This Row],[Semana]],6,2))</f>
        <v>14</v>
      </c>
      <c r="O1167" t="s">
        <v>1945</v>
      </c>
      <c r="P1167" t="s">
        <v>27</v>
      </c>
    </row>
    <row r="1168" spans="1:16" hidden="1" x14ac:dyDescent="0.25">
      <c r="A1168" s="3" t="s">
        <v>39</v>
      </c>
      <c r="B1168" t="s">
        <v>804</v>
      </c>
      <c r="C1168" t="s">
        <v>1944</v>
      </c>
      <c r="D1168" t="s">
        <v>26</v>
      </c>
      <c r="E1168" t="s">
        <v>62</v>
      </c>
      <c r="F1168">
        <v>1</v>
      </c>
      <c r="G1168" s="3" t="s">
        <v>32</v>
      </c>
      <c r="H1168" s="44" t="s">
        <v>15</v>
      </c>
      <c r="I1168" s="17">
        <v>187326</v>
      </c>
      <c r="J1168" s="17">
        <f>IF(Gastos[[#This Row],[Divisa]]="$", I1168*1, IF(Gastos[[#This Row],[Divisa]]="U$D", I1168*$N$1, IF(Gastos[[#This Row],[Divisa]]="EUR", I1168*$N$2, 0)))</f>
        <v>187326</v>
      </c>
      <c r="K1168" s="54">
        <f>Gastos[[#This Row],[Importe AR$]]/$N$1</f>
        <v>120.08076923076923</v>
      </c>
      <c r="M1168" s="69">
        <v>46116</v>
      </c>
      <c r="N1168" s="43">
        <f>IF(Gastos[[#This Row],[Fecha_Cheque]]&gt;0,WEEKNUM(Gastos[[#This Row],[Fecha_Cheque]]),MID(Gastos[[#This Row],[Semana]],6,2))</f>
        <v>14</v>
      </c>
      <c r="O1168" t="s">
        <v>1945</v>
      </c>
      <c r="P1168" t="s">
        <v>27</v>
      </c>
    </row>
    <row r="1169" spans="1:16" hidden="1" x14ac:dyDescent="0.25">
      <c r="A1169" s="3" t="s">
        <v>39</v>
      </c>
      <c r="B1169" t="s">
        <v>804</v>
      </c>
      <c r="C1169" t="s">
        <v>1944</v>
      </c>
      <c r="D1169" t="s">
        <v>26</v>
      </c>
      <c r="E1169" t="s">
        <v>62</v>
      </c>
      <c r="F1169">
        <v>1</v>
      </c>
      <c r="G1169" s="3" t="s">
        <v>32</v>
      </c>
      <c r="H1169" s="44" t="s">
        <v>15</v>
      </c>
      <c r="I1169" s="17">
        <v>187326</v>
      </c>
      <c r="J1169" s="17">
        <f>IF(Gastos[[#This Row],[Divisa]]="$", I1169*1, IF(Gastos[[#This Row],[Divisa]]="U$D", I1169*$N$1, IF(Gastos[[#This Row],[Divisa]]="EUR", I1169*$N$2, 0)))</f>
        <v>187326</v>
      </c>
      <c r="K1169" s="54">
        <f>Gastos[[#This Row],[Importe AR$]]/$N$1</f>
        <v>120.08076923076923</v>
      </c>
      <c r="M1169" s="69">
        <v>46114</v>
      </c>
      <c r="N1169" s="43">
        <f>IF(Gastos[[#This Row],[Fecha_Cheque]]&gt;0,WEEKNUM(Gastos[[#This Row],[Fecha_Cheque]]),MID(Gastos[[#This Row],[Semana]],6,2))</f>
        <v>14</v>
      </c>
      <c r="O1169" t="s">
        <v>1945</v>
      </c>
      <c r="P1169" t="s">
        <v>27</v>
      </c>
    </row>
    <row r="1170" spans="1:16" hidden="1" x14ac:dyDescent="0.25">
      <c r="A1170" s="3" t="s">
        <v>39</v>
      </c>
      <c r="B1170" t="s">
        <v>804</v>
      </c>
      <c r="C1170" t="s">
        <v>1944</v>
      </c>
      <c r="D1170" t="s">
        <v>26</v>
      </c>
      <c r="E1170" t="s">
        <v>62</v>
      </c>
      <c r="F1170">
        <v>1</v>
      </c>
      <c r="G1170" s="3" t="s">
        <v>32</v>
      </c>
      <c r="H1170" s="44" t="s">
        <v>15</v>
      </c>
      <c r="I1170" s="17">
        <v>706000</v>
      </c>
      <c r="J1170" s="17">
        <f>IF(Gastos[[#This Row],[Divisa]]="$", I1170*1, IF(Gastos[[#This Row],[Divisa]]="U$D", I1170*$N$1, IF(Gastos[[#This Row],[Divisa]]="EUR", I1170*$N$2, 0)))</f>
        <v>706000</v>
      </c>
      <c r="K1170" s="54">
        <f>Gastos[[#This Row],[Importe AR$]]/$N$1</f>
        <v>452.56410256410254</v>
      </c>
      <c r="M1170" s="69">
        <v>46115</v>
      </c>
      <c r="N1170" s="43">
        <f>IF(Gastos[[#This Row],[Fecha_Cheque]]&gt;0,WEEKNUM(Gastos[[#This Row],[Fecha_Cheque]]),MID(Gastos[[#This Row],[Semana]],6,2))</f>
        <v>14</v>
      </c>
      <c r="O1170" t="s">
        <v>1945</v>
      </c>
      <c r="P1170" t="s">
        <v>27</v>
      </c>
    </row>
    <row r="1171" spans="1:16" hidden="1" x14ac:dyDescent="0.25">
      <c r="A1171" s="3" t="s">
        <v>39</v>
      </c>
      <c r="B1171" t="s">
        <v>804</v>
      </c>
      <c r="C1171" t="s">
        <v>1944</v>
      </c>
      <c r="D1171" t="s">
        <v>26</v>
      </c>
      <c r="E1171" t="s">
        <v>62</v>
      </c>
      <c r="F1171">
        <v>1</v>
      </c>
      <c r="G1171" s="3" t="s">
        <v>32</v>
      </c>
      <c r="H1171" s="44" t="s">
        <v>15</v>
      </c>
      <c r="I1171" s="17">
        <v>706000</v>
      </c>
      <c r="J1171" s="17">
        <f>IF(Gastos[[#This Row],[Divisa]]="$", I1171*1, IF(Gastos[[#This Row],[Divisa]]="U$D", I1171*$N$1, IF(Gastos[[#This Row],[Divisa]]="EUR", I1171*$N$2, 0)))</f>
        <v>706000</v>
      </c>
      <c r="K1171" s="54">
        <f>Gastos[[#This Row],[Importe AR$]]/$N$1</f>
        <v>452.56410256410254</v>
      </c>
      <c r="M1171" s="69">
        <v>46118</v>
      </c>
      <c r="N1171" s="43">
        <f>IF(Gastos[[#This Row],[Fecha_Cheque]]&gt;0,WEEKNUM(Gastos[[#This Row],[Fecha_Cheque]]),MID(Gastos[[#This Row],[Semana]],6,2))</f>
        <v>15</v>
      </c>
      <c r="O1171" t="s">
        <v>1945</v>
      </c>
      <c r="P1171" t="s">
        <v>27</v>
      </c>
    </row>
    <row r="1172" spans="1:16" hidden="1" x14ac:dyDescent="0.25">
      <c r="A1172" s="3" t="s">
        <v>39</v>
      </c>
      <c r="B1172" t="s">
        <v>804</v>
      </c>
      <c r="C1172" t="s">
        <v>1944</v>
      </c>
      <c r="D1172" t="s">
        <v>26</v>
      </c>
      <c r="E1172" t="s">
        <v>62</v>
      </c>
      <c r="F1172">
        <v>1</v>
      </c>
      <c r="G1172" s="3" t="s">
        <v>32</v>
      </c>
      <c r="H1172" s="44" t="s">
        <v>15</v>
      </c>
      <c r="I1172" s="17">
        <v>706000</v>
      </c>
      <c r="J1172" s="17">
        <f>IF(Gastos[[#This Row],[Divisa]]="$", I1172*1, IF(Gastos[[#This Row],[Divisa]]="U$D", I1172*$N$1, IF(Gastos[[#This Row],[Divisa]]="EUR", I1172*$N$2, 0)))</f>
        <v>706000</v>
      </c>
      <c r="K1172" s="54">
        <f>Gastos[[#This Row],[Importe AR$]]/$N$1</f>
        <v>452.56410256410254</v>
      </c>
      <c r="M1172" s="69">
        <v>46113</v>
      </c>
      <c r="N1172" s="43">
        <f>IF(Gastos[[#This Row],[Fecha_Cheque]]&gt;0,WEEKNUM(Gastos[[#This Row],[Fecha_Cheque]]),MID(Gastos[[#This Row],[Semana]],6,2))</f>
        <v>14</v>
      </c>
      <c r="O1172" t="s">
        <v>1945</v>
      </c>
      <c r="P1172" t="s">
        <v>27</v>
      </c>
    </row>
    <row r="1173" spans="1:16" hidden="1" x14ac:dyDescent="0.25">
      <c r="A1173" s="3" t="s">
        <v>39</v>
      </c>
      <c r="B1173" t="s">
        <v>804</v>
      </c>
      <c r="C1173" t="s">
        <v>1944</v>
      </c>
      <c r="D1173" t="s">
        <v>26</v>
      </c>
      <c r="E1173" t="s">
        <v>62</v>
      </c>
      <c r="F1173">
        <v>1</v>
      </c>
      <c r="G1173" s="3" t="s">
        <v>32</v>
      </c>
      <c r="H1173" s="44" t="s">
        <v>15</v>
      </c>
      <c r="I1173" s="17">
        <v>750000</v>
      </c>
      <c r="J1173" s="17">
        <f>IF(Gastos[[#This Row],[Divisa]]="$", I1173*1, IF(Gastos[[#This Row],[Divisa]]="U$D", I1173*$N$1, IF(Gastos[[#This Row],[Divisa]]="EUR", I1173*$N$2, 0)))</f>
        <v>750000</v>
      </c>
      <c r="K1173" s="54">
        <f>Gastos[[#This Row],[Importe AR$]]/$N$1</f>
        <v>480.76923076923077</v>
      </c>
      <c r="M1173" s="69">
        <v>46115</v>
      </c>
      <c r="N1173" s="43">
        <f>IF(Gastos[[#This Row],[Fecha_Cheque]]&gt;0,WEEKNUM(Gastos[[#This Row],[Fecha_Cheque]]),MID(Gastos[[#This Row],[Semana]],6,2))</f>
        <v>14</v>
      </c>
      <c r="O1173" t="s">
        <v>1945</v>
      </c>
      <c r="P1173" t="s">
        <v>27</v>
      </c>
    </row>
    <row r="1174" spans="1:16" hidden="1" x14ac:dyDescent="0.25">
      <c r="A1174" s="3" t="s">
        <v>39</v>
      </c>
      <c r="B1174" t="s">
        <v>804</v>
      </c>
      <c r="C1174" t="s">
        <v>1944</v>
      </c>
      <c r="D1174" t="s">
        <v>26</v>
      </c>
      <c r="E1174" t="s">
        <v>62</v>
      </c>
      <c r="F1174">
        <v>1</v>
      </c>
      <c r="G1174" s="3" t="s">
        <v>32</v>
      </c>
      <c r="H1174" s="44" t="s">
        <v>15</v>
      </c>
      <c r="I1174" s="17">
        <v>770000</v>
      </c>
      <c r="J1174" s="17">
        <f>IF(Gastos[[#This Row],[Divisa]]="$", I1174*1, IF(Gastos[[#This Row],[Divisa]]="U$D", I1174*$N$1, IF(Gastos[[#This Row],[Divisa]]="EUR", I1174*$N$2, 0)))</f>
        <v>770000</v>
      </c>
      <c r="K1174" s="54">
        <f>Gastos[[#This Row],[Importe AR$]]/$N$1</f>
        <v>493.58974358974359</v>
      </c>
      <c r="M1174" s="69">
        <v>46118</v>
      </c>
      <c r="N1174" s="43">
        <f>IF(Gastos[[#This Row],[Fecha_Cheque]]&gt;0,WEEKNUM(Gastos[[#This Row],[Fecha_Cheque]]),MID(Gastos[[#This Row],[Semana]],6,2))</f>
        <v>15</v>
      </c>
      <c r="O1174" t="s">
        <v>1945</v>
      </c>
      <c r="P1174" t="s">
        <v>27</v>
      </c>
    </row>
    <row r="1175" spans="1:16" hidden="1" x14ac:dyDescent="0.25">
      <c r="A1175" s="3" t="s">
        <v>39</v>
      </c>
      <c r="B1175" t="s">
        <v>804</v>
      </c>
      <c r="C1175" t="s">
        <v>1944</v>
      </c>
      <c r="D1175" t="s">
        <v>26</v>
      </c>
      <c r="E1175" t="s">
        <v>62</v>
      </c>
      <c r="F1175">
        <v>1</v>
      </c>
      <c r="G1175" s="3" t="s">
        <v>32</v>
      </c>
      <c r="H1175" s="44" t="s">
        <v>15</v>
      </c>
      <c r="I1175" s="17">
        <v>887500</v>
      </c>
      <c r="J1175" s="17">
        <f>IF(Gastos[[#This Row],[Divisa]]="$", I1175*1, IF(Gastos[[#This Row],[Divisa]]="U$D", I1175*$N$1, IF(Gastos[[#This Row],[Divisa]]="EUR", I1175*$N$2, 0)))</f>
        <v>887500</v>
      </c>
      <c r="K1175" s="54">
        <f>Gastos[[#This Row],[Importe AR$]]/$N$1</f>
        <v>568.91025641025647</v>
      </c>
      <c r="M1175" s="69">
        <v>46112</v>
      </c>
      <c r="N1175" s="43">
        <f>IF(Gastos[[#This Row],[Fecha_Cheque]]&gt;0,WEEKNUM(Gastos[[#This Row],[Fecha_Cheque]]),MID(Gastos[[#This Row],[Semana]],6,2))</f>
        <v>14</v>
      </c>
      <c r="O1175" t="s">
        <v>1945</v>
      </c>
      <c r="P1175" t="s">
        <v>27</v>
      </c>
    </row>
    <row r="1176" spans="1:16" hidden="1" x14ac:dyDescent="0.25">
      <c r="A1176" s="3" t="s">
        <v>39</v>
      </c>
      <c r="B1176" t="s">
        <v>804</v>
      </c>
      <c r="C1176" t="s">
        <v>1944</v>
      </c>
      <c r="D1176" t="s">
        <v>26</v>
      </c>
      <c r="E1176" t="s">
        <v>62</v>
      </c>
      <c r="F1176">
        <v>1</v>
      </c>
      <c r="G1176" s="3" t="s">
        <v>32</v>
      </c>
      <c r="H1176" s="44" t="s">
        <v>15</v>
      </c>
      <c r="I1176" s="17">
        <v>4300000</v>
      </c>
      <c r="J1176" s="17">
        <f>IF(Gastos[[#This Row],[Divisa]]="$", I1176*1, IF(Gastos[[#This Row],[Divisa]]="U$D", I1176*$N$1, IF(Gastos[[#This Row],[Divisa]]="EUR", I1176*$N$2, 0)))</f>
        <v>4300000</v>
      </c>
      <c r="K1176" s="54">
        <f>Gastos[[#This Row],[Importe AR$]]/$N$1</f>
        <v>2756.4102564102564</v>
      </c>
      <c r="M1176" s="69">
        <v>46114</v>
      </c>
      <c r="N1176" s="43">
        <f>IF(Gastos[[#This Row],[Fecha_Cheque]]&gt;0,WEEKNUM(Gastos[[#This Row],[Fecha_Cheque]]),MID(Gastos[[#This Row],[Semana]],6,2))</f>
        <v>14</v>
      </c>
      <c r="O1176" t="s">
        <v>1945</v>
      </c>
      <c r="P1176" t="s">
        <v>27</v>
      </c>
    </row>
    <row r="1177" spans="1:16" hidden="1" x14ac:dyDescent="0.25">
      <c r="A1177" s="3" t="s">
        <v>39</v>
      </c>
      <c r="B1177" t="s">
        <v>804</v>
      </c>
      <c r="C1177" t="s">
        <v>1944</v>
      </c>
      <c r="D1177" t="s">
        <v>26</v>
      </c>
      <c r="E1177" t="s">
        <v>62</v>
      </c>
      <c r="F1177">
        <v>1</v>
      </c>
      <c r="G1177" s="3" t="s">
        <v>32</v>
      </c>
      <c r="H1177" s="44" t="s">
        <v>15</v>
      </c>
      <c r="I1177" s="17">
        <v>5955174.4000000004</v>
      </c>
      <c r="J1177" s="17">
        <f>IF(Gastos[[#This Row],[Divisa]]="$", I1177*1, IF(Gastos[[#This Row],[Divisa]]="U$D", I1177*$N$1, IF(Gastos[[#This Row],[Divisa]]="EUR", I1177*$N$2, 0)))</f>
        <v>5955174.4000000004</v>
      </c>
      <c r="K1177" s="54">
        <f>Gastos[[#This Row],[Importe AR$]]/$N$1</f>
        <v>3817.4194871794875</v>
      </c>
      <c r="M1177" s="69">
        <v>46172</v>
      </c>
      <c r="N1177" s="43">
        <f>IF(Gastos[[#This Row],[Fecha_Cheque]]&gt;0,WEEKNUM(Gastos[[#This Row],[Fecha_Cheque]]),MID(Gastos[[#This Row],[Semana]],6,2))</f>
        <v>22</v>
      </c>
      <c r="O1177" t="s">
        <v>1945</v>
      </c>
      <c r="P1177" t="s">
        <v>27</v>
      </c>
    </row>
    <row r="1178" spans="1:16" hidden="1" x14ac:dyDescent="0.25">
      <c r="A1178" s="3" t="s">
        <v>39</v>
      </c>
      <c r="B1178" t="s">
        <v>804</v>
      </c>
      <c r="C1178" t="s">
        <v>1944</v>
      </c>
      <c r="D1178" t="s">
        <v>26</v>
      </c>
      <c r="E1178" t="s">
        <v>62</v>
      </c>
      <c r="F1178">
        <v>1</v>
      </c>
      <c r="G1178" s="3" t="s">
        <v>32</v>
      </c>
      <c r="H1178" s="44" t="s">
        <v>15</v>
      </c>
      <c r="I1178" s="17">
        <v>44042897.039999999</v>
      </c>
      <c r="J1178" s="17">
        <f>IF(Gastos[[#This Row],[Divisa]]="$", I1178*1, IF(Gastos[[#This Row],[Divisa]]="U$D", I1178*$N$1, IF(Gastos[[#This Row],[Divisa]]="EUR", I1178*$N$2, 0)))</f>
        <v>44042897.039999999</v>
      </c>
      <c r="K1178" s="54">
        <f>Gastos[[#This Row],[Importe AR$]]/$N$1</f>
        <v>28232.626307692306</v>
      </c>
      <c r="M1178" s="69">
        <v>46197</v>
      </c>
      <c r="N1178" s="43">
        <f>IF(Gastos[[#This Row],[Fecha_Cheque]]&gt;0,WEEKNUM(Gastos[[#This Row],[Fecha_Cheque]]),MID(Gastos[[#This Row],[Semana]],6,2))</f>
        <v>26</v>
      </c>
      <c r="O1178" t="s">
        <v>1945</v>
      </c>
      <c r="P1178" t="s">
        <v>27</v>
      </c>
    </row>
    <row r="1179" spans="1:16" hidden="1" x14ac:dyDescent="0.25">
      <c r="A1179" s="3" t="s">
        <v>39</v>
      </c>
      <c r="B1179" t="s">
        <v>804</v>
      </c>
      <c r="C1179" t="s">
        <v>2610</v>
      </c>
      <c r="D1179" t="s">
        <v>26</v>
      </c>
      <c r="E1179" t="s">
        <v>62</v>
      </c>
      <c r="F1179">
        <v>1</v>
      </c>
      <c r="G1179" s="3" t="s">
        <v>5</v>
      </c>
      <c r="H1179" s="44" t="s">
        <v>15</v>
      </c>
      <c r="I1179" s="17">
        <v>5000000</v>
      </c>
      <c r="J1179" s="17">
        <f>IF(Gastos[[#This Row],[Divisa]]="$", I1179*1, IF(Gastos[[#This Row],[Divisa]]="U$D", I1179*$N$1, IF(Gastos[[#This Row],[Divisa]]="EUR", I1179*$N$2, 0)))</f>
        <v>5000000</v>
      </c>
      <c r="K1179" s="54">
        <f>Gastos[[#This Row],[Importe AR$]]/$N$1</f>
        <v>3205.1282051282051</v>
      </c>
      <c r="M1179" s="69"/>
      <c r="N1179" s="43" t="str">
        <f>IF(Gastos[[#This Row],[Fecha_Cheque]]&gt;0,WEEKNUM(Gastos[[#This Row],[Fecha_Cheque]]),MID(Gastos[[#This Row],[Semana]],6,2))</f>
        <v>14</v>
      </c>
      <c r="O1179" t="s">
        <v>2611</v>
      </c>
      <c r="P1179" t="s">
        <v>27</v>
      </c>
    </row>
    <row r="1180" spans="1:16" hidden="1" x14ac:dyDescent="0.25">
      <c r="A1180" s="3" t="s">
        <v>2751</v>
      </c>
      <c r="B1180" t="s">
        <v>804</v>
      </c>
      <c r="C1180" t="s">
        <v>2867</v>
      </c>
      <c r="D1180" t="s">
        <v>26</v>
      </c>
      <c r="E1180" t="s">
        <v>91</v>
      </c>
      <c r="F1180">
        <v>1</v>
      </c>
      <c r="G1180" s="3" t="s">
        <v>32</v>
      </c>
      <c r="H1180" s="44" t="s">
        <v>15</v>
      </c>
      <c r="I1180" s="17">
        <v>15000000</v>
      </c>
      <c r="J1180" s="17">
        <f>IF(Gastos[[#This Row],[Divisa]]="$", I1180*1, IF(Gastos[[#This Row],[Divisa]]="U$D", I1180*$N$1, IF(Gastos[[#This Row],[Divisa]]="EUR", I1180*$N$2, 0)))</f>
        <v>15000000</v>
      </c>
      <c r="K1180" s="54">
        <f>Gastos[[#This Row],[Importe AR$]]/$N$1</f>
        <v>9615.3846153846152</v>
      </c>
      <c r="M1180" s="69">
        <v>46150</v>
      </c>
      <c r="N1180" s="43">
        <f>IF(Gastos[[#This Row],[Fecha_Cheque]]&gt;0,WEEKNUM(Gastos[[#This Row],[Fecha_Cheque]]),MID(Gastos[[#This Row],[Semana]],6,2))</f>
        <v>19</v>
      </c>
      <c r="O1180" t="s">
        <v>2895</v>
      </c>
      <c r="P1180" t="s">
        <v>27</v>
      </c>
    </row>
    <row r="1181" spans="1:16" hidden="1" x14ac:dyDescent="0.25">
      <c r="A1181" s="3" t="s">
        <v>2751</v>
      </c>
      <c r="B1181" t="s">
        <v>804</v>
      </c>
      <c r="C1181" t="s">
        <v>2867</v>
      </c>
      <c r="D1181" t="s">
        <v>26</v>
      </c>
      <c r="E1181" t="s">
        <v>91</v>
      </c>
      <c r="F1181">
        <v>1</v>
      </c>
      <c r="G1181" s="3" t="s">
        <v>32</v>
      </c>
      <c r="H1181" s="44" t="s">
        <v>15</v>
      </c>
      <c r="I1181" s="17">
        <v>15000000</v>
      </c>
      <c r="J1181" s="17">
        <f>IF(Gastos[[#This Row],[Divisa]]="$", I1181*1, IF(Gastos[[#This Row],[Divisa]]="U$D", I1181*$N$1, IF(Gastos[[#This Row],[Divisa]]="EUR", I1181*$N$2, 0)))</f>
        <v>15000000</v>
      </c>
      <c r="K1181" s="54">
        <f>Gastos[[#This Row],[Importe AR$]]/$N$1</f>
        <v>9615.3846153846152</v>
      </c>
      <c r="M1181" s="69">
        <v>46157</v>
      </c>
      <c r="N1181" s="43">
        <f>IF(Gastos[[#This Row],[Fecha_Cheque]]&gt;0,WEEKNUM(Gastos[[#This Row],[Fecha_Cheque]]),MID(Gastos[[#This Row],[Semana]],6,2))</f>
        <v>20</v>
      </c>
      <c r="O1181" t="s">
        <v>2895</v>
      </c>
      <c r="P1181" t="s">
        <v>27</v>
      </c>
    </row>
    <row r="1182" spans="1:16" hidden="1" x14ac:dyDescent="0.25">
      <c r="A1182" s="3" t="s">
        <v>2751</v>
      </c>
      <c r="B1182" t="s">
        <v>804</v>
      </c>
      <c r="C1182" t="s">
        <v>2867</v>
      </c>
      <c r="D1182" t="s">
        <v>26</v>
      </c>
      <c r="E1182" t="s">
        <v>91</v>
      </c>
      <c r="F1182">
        <v>1</v>
      </c>
      <c r="G1182" s="3" t="s">
        <v>32</v>
      </c>
      <c r="H1182" s="44" t="s">
        <v>15</v>
      </c>
      <c r="I1182" s="17">
        <v>26855780.420000002</v>
      </c>
      <c r="J1182" s="17">
        <f>IF(Gastos[[#This Row],[Divisa]]="$", I1182*1, IF(Gastos[[#This Row],[Divisa]]="U$D", I1182*$N$1, IF(Gastos[[#This Row],[Divisa]]="EUR", I1182*$N$2, 0)))</f>
        <v>26855780.420000002</v>
      </c>
      <c r="K1182" s="54">
        <f>Gastos[[#This Row],[Importe AR$]]/$N$1</f>
        <v>17215.243858974362</v>
      </c>
      <c r="M1182" s="69">
        <v>46192</v>
      </c>
      <c r="N1182" s="43">
        <f>IF(Gastos[[#This Row],[Fecha_Cheque]]&gt;0,WEEKNUM(Gastos[[#This Row],[Fecha_Cheque]]),MID(Gastos[[#This Row],[Semana]],6,2))</f>
        <v>25</v>
      </c>
      <c r="O1182" t="s">
        <v>2895</v>
      </c>
      <c r="P1182" t="s">
        <v>27</v>
      </c>
    </row>
    <row r="1183" spans="1:16" hidden="1" x14ac:dyDescent="0.25">
      <c r="A1183" s="3" t="s">
        <v>2751</v>
      </c>
      <c r="B1183" t="s">
        <v>804</v>
      </c>
      <c r="C1183" t="s">
        <v>2867</v>
      </c>
      <c r="D1183" t="s">
        <v>26</v>
      </c>
      <c r="E1183" t="s">
        <v>91</v>
      </c>
      <c r="F1183">
        <v>1</v>
      </c>
      <c r="G1183" s="3" t="s">
        <v>32</v>
      </c>
      <c r="H1183" s="44" t="s">
        <v>15</v>
      </c>
      <c r="I1183" s="17">
        <v>52612219.579999998</v>
      </c>
      <c r="J1183" s="17">
        <f>IF(Gastos[[#This Row],[Divisa]]="$", I1183*1, IF(Gastos[[#This Row],[Divisa]]="U$D", I1183*$N$1, IF(Gastos[[#This Row],[Divisa]]="EUR", I1183*$N$2, 0)))</f>
        <v>52612219.579999998</v>
      </c>
      <c r="K1183" s="54">
        <f>Gastos[[#This Row],[Importe AR$]]/$N$1</f>
        <v>33725.781782051279</v>
      </c>
      <c r="M1183" s="69">
        <v>46217</v>
      </c>
      <c r="N1183" s="43">
        <f>IF(Gastos[[#This Row],[Fecha_Cheque]]&gt;0,WEEKNUM(Gastos[[#This Row],[Fecha_Cheque]]),MID(Gastos[[#This Row],[Semana]],6,2))</f>
        <v>29</v>
      </c>
      <c r="O1183" t="s">
        <v>2895</v>
      </c>
      <c r="P1183" t="s">
        <v>27</v>
      </c>
    </row>
    <row r="1184" spans="1:16" hidden="1" x14ac:dyDescent="0.25">
      <c r="A1184" s="3" t="s">
        <v>2763</v>
      </c>
      <c r="B1184" t="s">
        <v>804</v>
      </c>
      <c r="C1184" t="s">
        <v>814</v>
      </c>
      <c r="D1184" t="s">
        <v>26</v>
      </c>
      <c r="E1184" t="s">
        <v>91</v>
      </c>
      <c r="F1184">
        <v>1</v>
      </c>
      <c r="G1184" s="3" t="s">
        <v>32</v>
      </c>
      <c r="H1184" s="44" t="s">
        <v>15</v>
      </c>
      <c r="I1184" s="17">
        <v>11683166.67</v>
      </c>
      <c r="J1184" s="17">
        <f>IF(Gastos[[#This Row],[Divisa]]="$", I1184*1, IF(Gastos[[#This Row],[Divisa]]="U$D", I1184*$N$1, IF(Gastos[[#This Row],[Divisa]]="EUR", I1184*$N$2, 0)))</f>
        <v>11683166.67</v>
      </c>
      <c r="K1184" s="54">
        <f>Gastos[[#This Row],[Importe AR$]]/$N$1</f>
        <v>7489.2094038461537</v>
      </c>
      <c r="M1184" s="69">
        <v>46193</v>
      </c>
      <c r="N1184" s="43">
        <f>IF(Gastos[[#This Row],[Fecha_Cheque]]&gt;0,WEEKNUM(Gastos[[#This Row],[Fecha_Cheque]]),MID(Gastos[[#This Row],[Semana]],6,2))</f>
        <v>25</v>
      </c>
      <c r="O1184" t="s">
        <v>3197</v>
      </c>
      <c r="P1184" t="s">
        <v>27</v>
      </c>
    </row>
    <row r="1185" spans="1:16" hidden="1" x14ac:dyDescent="0.25">
      <c r="A1185" s="3" t="s">
        <v>2763</v>
      </c>
      <c r="B1185" t="s">
        <v>804</v>
      </c>
      <c r="C1185" t="s">
        <v>814</v>
      </c>
      <c r="D1185" t="s">
        <v>26</v>
      </c>
      <c r="E1185" t="s">
        <v>91</v>
      </c>
      <c r="F1185">
        <v>1</v>
      </c>
      <c r="G1185" s="3" t="s">
        <v>32</v>
      </c>
      <c r="H1185" s="44" t="s">
        <v>15</v>
      </c>
      <c r="I1185" s="17">
        <v>11683166.67</v>
      </c>
      <c r="J1185" s="17">
        <f>IF(Gastos[[#This Row],[Divisa]]="$", I1185*1, IF(Gastos[[#This Row],[Divisa]]="U$D", I1185*$N$1, IF(Gastos[[#This Row],[Divisa]]="EUR", I1185*$N$2, 0)))</f>
        <v>11683166.67</v>
      </c>
      <c r="K1185" s="54">
        <f>Gastos[[#This Row],[Importe AR$]]/$N$1</f>
        <v>7489.2094038461537</v>
      </c>
      <c r="M1185" s="69">
        <v>46216</v>
      </c>
      <c r="N1185" s="43">
        <f>IF(Gastos[[#This Row],[Fecha_Cheque]]&gt;0,WEEKNUM(Gastos[[#This Row],[Fecha_Cheque]]),MID(Gastos[[#This Row],[Semana]],6,2))</f>
        <v>29</v>
      </c>
      <c r="O1185" t="s">
        <v>3197</v>
      </c>
      <c r="P1185" t="s">
        <v>27</v>
      </c>
    </row>
    <row r="1186" spans="1:16" hidden="1" x14ac:dyDescent="0.25">
      <c r="A1186" s="3" t="s">
        <v>2763</v>
      </c>
      <c r="B1186" t="s">
        <v>804</v>
      </c>
      <c r="C1186" t="s">
        <v>814</v>
      </c>
      <c r="D1186" t="s">
        <v>26</v>
      </c>
      <c r="E1186" t="s">
        <v>91</v>
      </c>
      <c r="F1186">
        <v>1</v>
      </c>
      <c r="G1186" s="3" t="s">
        <v>32</v>
      </c>
      <c r="H1186" s="44" t="s">
        <v>15</v>
      </c>
      <c r="I1186" s="17">
        <v>11683166.67</v>
      </c>
      <c r="J1186" s="17">
        <f>IF(Gastos[[#This Row],[Divisa]]="$", I1186*1, IF(Gastos[[#This Row],[Divisa]]="U$D", I1186*$N$1, IF(Gastos[[#This Row],[Divisa]]="EUR", I1186*$N$2, 0)))</f>
        <v>11683166.67</v>
      </c>
      <c r="K1186" s="54">
        <f>Gastos[[#This Row],[Importe AR$]]/$N$1</f>
        <v>7489.2094038461537</v>
      </c>
      <c r="M1186" s="69">
        <v>46224</v>
      </c>
      <c r="N1186" s="43">
        <f>IF(Gastos[[#This Row],[Fecha_Cheque]]&gt;0,WEEKNUM(Gastos[[#This Row],[Fecha_Cheque]]),MID(Gastos[[#This Row],[Semana]],6,2))</f>
        <v>30</v>
      </c>
      <c r="O1186" t="s">
        <v>3197</v>
      </c>
      <c r="P1186" t="s">
        <v>27</v>
      </c>
    </row>
    <row r="1187" spans="1:16" hidden="1" x14ac:dyDescent="0.25">
      <c r="A1187" s="3" t="s">
        <v>2763</v>
      </c>
      <c r="B1187" t="s">
        <v>804</v>
      </c>
      <c r="C1187" t="s">
        <v>814</v>
      </c>
      <c r="D1187" t="s">
        <v>26</v>
      </c>
      <c r="E1187" t="s">
        <v>91</v>
      </c>
      <c r="F1187">
        <v>1</v>
      </c>
      <c r="G1187" s="3" t="s">
        <v>32</v>
      </c>
      <c r="H1187" s="44" t="s">
        <v>15</v>
      </c>
      <c r="I1187" s="17">
        <v>11683166.67</v>
      </c>
      <c r="J1187" s="17">
        <f>IF(Gastos[[#This Row],[Divisa]]="$", I1187*1, IF(Gastos[[#This Row],[Divisa]]="U$D", I1187*$N$1, IF(Gastos[[#This Row],[Divisa]]="EUR", I1187*$N$2, 0)))</f>
        <v>11683166.67</v>
      </c>
      <c r="K1187" s="54">
        <f>Gastos[[#This Row],[Importe AR$]]/$N$1</f>
        <v>7489.2094038461537</v>
      </c>
      <c r="M1187" s="69">
        <v>46234</v>
      </c>
      <c r="N1187" s="43">
        <f>IF(Gastos[[#This Row],[Fecha_Cheque]]&gt;0,WEEKNUM(Gastos[[#This Row],[Fecha_Cheque]]),MID(Gastos[[#This Row],[Semana]],6,2))</f>
        <v>31</v>
      </c>
      <c r="O1187" t="s">
        <v>3197</v>
      </c>
      <c r="P1187" t="s">
        <v>27</v>
      </c>
    </row>
    <row r="1188" spans="1:16" hidden="1" x14ac:dyDescent="0.25">
      <c r="A1188" s="3" t="s">
        <v>2763</v>
      </c>
      <c r="B1188" t="s">
        <v>804</v>
      </c>
      <c r="C1188" t="s">
        <v>814</v>
      </c>
      <c r="D1188" t="s">
        <v>26</v>
      </c>
      <c r="E1188" t="s">
        <v>91</v>
      </c>
      <c r="F1188">
        <v>1</v>
      </c>
      <c r="G1188" s="3" t="s">
        <v>32</v>
      </c>
      <c r="H1188" s="44" t="s">
        <v>15</v>
      </c>
      <c r="I1188" s="17">
        <v>11683166.67</v>
      </c>
      <c r="J1188" s="17">
        <f>IF(Gastos[[#This Row],[Divisa]]="$", I1188*1, IF(Gastos[[#This Row],[Divisa]]="U$D", I1188*$N$1, IF(Gastos[[#This Row],[Divisa]]="EUR", I1188*$N$2, 0)))</f>
        <v>11683166.67</v>
      </c>
      <c r="K1188" s="54">
        <f>Gastos[[#This Row],[Importe AR$]]/$N$1</f>
        <v>7489.2094038461537</v>
      </c>
      <c r="M1188" s="69">
        <v>46241</v>
      </c>
      <c r="N1188" s="43">
        <f>IF(Gastos[[#This Row],[Fecha_Cheque]]&gt;0,WEEKNUM(Gastos[[#This Row],[Fecha_Cheque]]),MID(Gastos[[#This Row],[Semana]],6,2))</f>
        <v>32</v>
      </c>
      <c r="O1188" t="s">
        <v>3197</v>
      </c>
      <c r="P1188" t="s">
        <v>27</v>
      </c>
    </row>
    <row r="1189" spans="1:16" hidden="1" x14ac:dyDescent="0.25">
      <c r="A1189" s="3" t="s">
        <v>2763</v>
      </c>
      <c r="B1189" t="s">
        <v>804</v>
      </c>
      <c r="C1189" t="s">
        <v>814</v>
      </c>
      <c r="D1189" t="s">
        <v>26</v>
      </c>
      <c r="E1189" t="s">
        <v>91</v>
      </c>
      <c r="F1189">
        <v>1</v>
      </c>
      <c r="G1189" s="3" t="s">
        <v>32</v>
      </c>
      <c r="H1189" s="44" t="s">
        <v>15</v>
      </c>
      <c r="I1189" s="17">
        <v>11683166.65</v>
      </c>
      <c r="J1189" s="17">
        <f>IF(Gastos[[#This Row],[Divisa]]="$", I1189*1, IF(Gastos[[#This Row],[Divisa]]="U$D", I1189*$N$1, IF(Gastos[[#This Row],[Divisa]]="EUR", I1189*$N$2, 0)))</f>
        <v>11683166.65</v>
      </c>
      <c r="K1189" s="54">
        <f>Gastos[[#This Row],[Importe AR$]]/$N$1</f>
        <v>7489.2093910256417</v>
      </c>
      <c r="M1189" s="69">
        <v>46251</v>
      </c>
      <c r="N1189" s="43">
        <f>IF(Gastos[[#This Row],[Fecha_Cheque]]&gt;0,WEEKNUM(Gastos[[#This Row],[Fecha_Cheque]]),MID(Gastos[[#This Row],[Semana]],6,2))</f>
        <v>34</v>
      </c>
      <c r="O1189" t="s">
        <v>3197</v>
      </c>
      <c r="P1189" t="s">
        <v>27</v>
      </c>
    </row>
    <row r="1190" spans="1:16" hidden="1" x14ac:dyDescent="0.25">
      <c r="A1190" s="3" t="s">
        <v>3617</v>
      </c>
      <c r="B1190" t="s">
        <v>3575</v>
      </c>
      <c r="C1190" t="s">
        <v>3670</v>
      </c>
      <c r="D1190" t="s">
        <v>26</v>
      </c>
      <c r="E1190" t="s">
        <v>91</v>
      </c>
      <c r="F1190">
        <v>1</v>
      </c>
      <c r="G1190" s="3" t="s">
        <v>32</v>
      </c>
      <c r="H1190" s="44" t="s">
        <v>15</v>
      </c>
      <c r="I1190" s="17">
        <v>3212624.89</v>
      </c>
      <c r="J1190" s="17">
        <f>IF(Gastos[[#This Row],[Divisa]]="$", I1190*1, IF(Gastos[[#This Row],[Divisa]]="U$D", I1190*$N$1, IF(Gastos[[#This Row],[Divisa]]="EUR", I1190*$N$2, 0)))</f>
        <v>3212624.89</v>
      </c>
      <c r="K1190" s="54">
        <f>Gastos[[#This Row],[Importe AR$]]/$N$1</f>
        <v>2059.3749294871795</v>
      </c>
      <c r="M1190" s="69">
        <v>46196</v>
      </c>
      <c r="N1190" s="43">
        <f>IF(Gastos[[#This Row],[Fecha_Cheque]]&gt;0,WEEKNUM(Gastos[[#This Row],[Fecha_Cheque]]),MID(Gastos[[#This Row],[Semana]],6,2))</f>
        <v>26</v>
      </c>
      <c r="O1190" t="s">
        <v>3671</v>
      </c>
      <c r="P1190" t="s">
        <v>27</v>
      </c>
    </row>
    <row r="1191" spans="1:16" hidden="1" x14ac:dyDescent="0.25">
      <c r="A1191" s="3" t="s">
        <v>3617</v>
      </c>
      <c r="B1191" t="s">
        <v>3575</v>
      </c>
      <c r="C1191" t="s">
        <v>3670</v>
      </c>
      <c r="D1191" t="s">
        <v>26</v>
      </c>
      <c r="E1191" t="s">
        <v>91</v>
      </c>
      <c r="F1191">
        <v>1</v>
      </c>
      <c r="G1191" s="3" t="s">
        <v>32</v>
      </c>
      <c r="H1191" s="44" t="s">
        <v>15</v>
      </c>
      <c r="I1191" s="17">
        <v>4000000</v>
      </c>
      <c r="J1191" s="17">
        <f>IF(Gastos[[#This Row],[Divisa]]="$", I1191*1, IF(Gastos[[#This Row],[Divisa]]="U$D", I1191*$N$1, IF(Gastos[[#This Row],[Divisa]]="EUR", I1191*$N$2, 0)))</f>
        <v>4000000</v>
      </c>
      <c r="K1191" s="54">
        <f>Gastos[[#This Row],[Importe AR$]]/$N$1</f>
        <v>2564.102564102564</v>
      </c>
      <c r="M1191" s="69">
        <v>46196</v>
      </c>
      <c r="N1191" s="43">
        <f>IF(Gastos[[#This Row],[Fecha_Cheque]]&gt;0,WEEKNUM(Gastos[[#This Row],[Fecha_Cheque]]),MID(Gastos[[#This Row],[Semana]],6,2))</f>
        <v>26</v>
      </c>
      <c r="O1191" t="s">
        <v>3671</v>
      </c>
      <c r="P1191" t="s">
        <v>27</v>
      </c>
    </row>
    <row r="1192" spans="1:16" hidden="1" x14ac:dyDescent="0.25">
      <c r="A1192" s="3" t="s">
        <v>3617</v>
      </c>
      <c r="B1192" t="s">
        <v>3575</v>
      </c>
      <c r="C1192" t="s">
        <v>3670</v>
      </c>
      <c r="D1192" t="s">
        <v>26</v>
      </c>
      <c r="E1192" t="s">
        <v>91</v>
      </c>
      <c r="F1192">
        <v>1</v>
      </c>
      <c r="G1192" s="3" t="s">
        <v>32</v>
      </c>
      <c r="H1192" s="44" t="s">
        <v>15</v>
      </c>
      <c r="I1192" s="17">
        <v>11097043.460000001</v>
      </c>
      <c r="J1192" s="17">
        <f>IF(Gastos[[#This Row],[Divisa]]="$", I1192*1, IF(Gastos[[#This Row],[Divisa]]="U$D", I1192*$N$1, IF(Gastos[[#This Row],[Divisa]]="EUR", I1192*$N$2, 0)))</f>
        <v>11097043.460000001</v>
      </c>
      <c r="K1192" s="54">
        <f>Gastos[[#This Row],[Importe AR$]]/$N$1</f>
        <v>7113.4893974358984</v>
      </c>
      <c r="M1192" s="69">
        <v>46249</v>
      </c>
      <c r="N1192" s="43">
        <f>IF(Gastos[[#This Row],[Fecha_Cheque]]&gt;0,WEEKNUM(Gastos[[#This Row],[Fecha_Cheque]]),MID(Gastos[[#This Row],[Semana]],6,2))</f>
        <v>33</v>
      </c>
      <c r="O1192" t="s">
        <v>3671</v>
      </c>
      <c r="P1192" t="s">
        <v>27</v>
      </c>
    </row>
    <row r="1193" spans="1:16" hidden="1" x14ac:dyDescent="0.25">
      <c r="A1193" s="3" t="s">
        <v>3617</v>
      </c>
      <c r="B1193" t="s">
        <v>3575</v>
      </c>
      <c r="C1193" t="s">
        <v>3670</v>
      </c>
      <c r="D1193" t="s">
        <v>26</v>
      </c>
      <c r="E1193" t="s">
        <v>91</v>
      </c>
      <c r="F1193">
        <v>1</v>
      </c>
      <c r="G1193" s="3" t="s">
        <v>32</v>
      </c>
      <c r="H1193" s="44" t="s">
        <v>15</v>
      </c>
      <c r="I1193" s="17">
        <v>11097043.460000001</v>
      </c>
      <c r="J1193" s="17">
        <f>IF(Gastos[[#This Row],[Divisa]]="$", I1193*1, IF(Gastos[[#This Row],[Divisa]]="U$D", I1193*$N$1, IF(Gastos[[#This Row],[Divisa]]="EUR", I1193*$N$2, 0)))</f>
        <v>11097043.460000001</v>
      </c>
      <c r="K1193" s="54">
        <f>Gastos[[#This Row],[Importe AR$]]/$N$1</f>
        <v>7113.4893974358984</v>
      </c>
      <c r="M1193" s="69">
        <v>46254</v>
      </c>
      <c r="N1193" s="43">
        <f>IF(Gastos[[#This Row],[Fecha_Cheque]]&gt;0,WEEKNUM(Gastos[[#This Row],[Fecha_Cheque]]),MID(Gastos[[#This Row],[Semana]],6,2))</f>
        <v>34</v>
      </c>
      <c r="O1193" t="s">
        <v>3671</v>
      </c>
      <c r="P1193" t="s">
        <v>27</v>
      </c>
    </row>
    <row r="1194" spans="1:16" hidden="1" x14ac:dyDescent="0.25">
      <c r="A1194" s="3" t="s">
        <v>3617</v>
      </c>
      <c r="B1194" t="s">
        <v>3575</v>
      </c>
      <c r="C1194" t="s">
        <v>3670</v>
      </c>
      <c r="D1194" t="s">
        <v>26</v>
      </c>
      <c r="E1194" t="s">
        <v>91</v>
      </c>
      <c r="F1194">
        <v>1</v>
      </c>
      <c r="G1194" s="3" t="s">
        <v>32</v>
      </c>
      <c r="H1194" s="44" t="s">
        <v>15</v>
      </c>
      <c r="I1194" s="17">
        <v>11097043.460000001</v>
      </c>
      <c r="J1194" s="17">
        <f>IF(Gastos[[#This Row],[Divisa]]="$", I1194*1, IF(Gastos[[#This Row],[Divisa]]="U$D", I1194*$N$1, IF(Gastos[[#This Row],[Divisa]]="EUR", I1194*$N$2, 0)))</f>
        <v>11097043.460000001</v>
      </c>
      <c r="K1194" s="54">
        <f>Gastos[[#This Row],[Importe AR$]]/$N$1</f>
        <v>7113.4893974358984</v>
      </c>
      <c r="M1194" s="69">
        <v>46264</v>
      </c>
      <c r="N1194" s="43">
        <f>IF(Gastos[[#This Row],[Fecha_Cheque]]&gt;0,WEEKNUM(Gastos[[#This Row],[Fecha_Cheque]]),MID(Gastos[[#This Row],[Semana]],6,2))</f>
        <v>36</v>
      </c>
      <c r="O1194" t="s">
        <v>3671</v>
      </c>
      <c r="P1194" t="s">
        <v>27</v>
      </c>
    </row>
    <row r="1195" spans="1:16" hidden="1" x14ac:dyDescent="0.25">
      <c r="A1195" s="3" t="s">
        <v>3617</v>
      </c>
      <c r="B1195" t="s">
        <v>3575</v>
      </c>
      <c r="C1195" t="s">
        <v>3670</v>
      </c>
      <c r="D1195" t="s">
        <v>26</v>
      </c>
      <c r="E1195" t="s">
        <v>91</v>
      </c>
      <c r="F1195">
        <v>1</v>
      </c>
      <c r="G1195" s="3" t="s">
        <v>32</v>
      </c>
      <c r="H1195" s="44" t="s">
        <v>15</v>
      </c>
      <c r="I1195" s="17">
        <v>11097043.460000001</v>
      </c>
      <c r="J1195" s="17">
        <f>IF(Gastos[[#This Row],[Divisa]]="$", I1195*1, IF(Gastos[[#This Row],[Divisa]]="U$D", I1195*$N$1, IF(Gastos[[#This Row],[Divisa]]="EUR", I1195*$N$2, 0)))</f>
        <v>11097043.460000001</v>
      </c>
      <c r="K1195" s="54">
        <f>Gastos[[#This Row],[Importe AR$]]/$N$1</f>
        <v>7113.4893974358984</v>
      </c>
      <c r="M1195" s="69">
        <v>46274</v>
      </c>
      <c r="N1195" s="43">
        <f>IF(Gastos[[#This Row],[Fecha_Cheque]]&gt;0,WEEKNUM(Gastos[[#This Row],[Fecha_Cheque]]),MID(Gastos[[#This Row],[Semana]],6,2))</f>
        <v>37</v>
      </c>
      <c r="O1195" t="s">
        <v>3671</v>
      </c>
      <c r="P1195" t="s">
        <v>27</v>
      </c>
    </row>
    <row r="1196" spans="1:16" hidden="1" x14ac:dyDescent="0.25">
      <c r="A1196" s="3" t="s">
        <v>3617</v>
      </c>
      <c r="B1196" t="s">
        <v>3575</v>
      </c>
      <c r="C1196" t="s">
        <v>3670</v>
      </c>
      <c r="D1196" t="s">
        <v>26</v>
      </c>
      <c r="E1196" t="s">
        <v>91</v>
      </c>
      <c r="F1196">
        <v>1</v>
      </c>
      <c r="G1196" s="3" t="s">
        <v>32</v>
      </c>
      <c r="H1196" s="44" t="s">
        <v>15</v>
      </c>
      <c r="I1196" s="17">
        <v>11097043.460000001</v>
      </c>
      <c r="J1196" s="17">
        <f>IF(Gastos[[#This Row],[Divisa]]="$", I1196*1, IF(Gastos[[#This Row],[Divisa]]="U$D", I1196*$N$1, IF(Gastos[[#This Row],[Divisa]]="EUR", I1196*$N$2, 0)))</f>
        <v>11097043.460000001</v>
      </c>
      <c r="K1196" s="54">
        <f>Gastos[[#This Row],[Importe AR$]]/$N$1</f>
        <v>7113.4893974358984</v>
      </c>
      <c r="M1196" s="69">
        <v>46284</v>
      </c>
      <c r="N1196" s="43">
        <f>IF(Gastos[[#This Row],[Fecha_Cheque]]&gt;0,WEEKNUM(Gastos[[#This Row],[Fecha_Cheque]]),MID(Gastos[[#This Row],[Semana]],6,2))</f>
        <v>38</v>
      </c>
      <c r="O1196" t="s">
        <v>3671</v>
      </c>
      <c r="P1196" t="s">
        <v>27</v>
      </c>
    </row>
    <row r="1197" spans="1:16" hidden="1" x14ac:dyDescent="0.25">
      <c r="A1197" s="3" t="s">
        <v>2740</v>
      </c>
      <c r="B1197" t="s">
        <v>3575</v>
      </c>
      <c r="C1197" t="s">
        <v>3576</v>
      </c>
      <c r="D1197" t="s">
        <v>26</v>
      </c>
      <c r="E1197" t="s">
        <v>62</v>
      </c>
      <c r="F1197">
        <v>1</v>
      </c>
      <c r="G1197" s="3" t="s">
        <v>32</v>
      </c>
      <c r="H1197" s="44" t="s">
        <v>15</v>
      </c>
      <c r="I1197" s="17">
        <v>2000000</v>
      </c>
      <c r="J1197" s="17">
        <f>IF(Gastos[[#This Row],[Divisa]]="$", I1197*1, IF(Gastos[[#This Row],[Divisa]]="U$D", I1197*$N$1, IF(Gastos[[#This Row],[Divisa]]="EUR", I1197*$N$2, 0)))</f>
        <v>2000000</v>
      </c>
      <c r="K1197" s="54">
        <f>Gastos[[#This Row],[Importe AR$]]/$N$1</f>
        <v>1282.051282051282</v>
      </c>
      <c r="M1197" s="69">
        <v>46179</v>
      </c>
      <c r="N1197" s="43">
        <f>IF(Gastos[[#This Row],[Fecha_Cheque]]&gt;0,WEEKNUM(Gastos[[#This Row],[Fecha_Cheque]]),MID(Gastos[[#This Row],[Semana]],6,2))</f>
        <v>23</v>
      </c>
      <c r="O1197" t="s">
        <v>3577</v>
      </c>
      <c r="P1197" t="s">
        <v>27</v>
      </c>
    </row>
    <row r="1198" spans="1:16" hidden="1" x14ac:dyDescent="0.25">
      <c r="A1198" s="3" t="s">
        <v>2740</v>
      </c>
      <c r="B1198" t="s">
        <v>3575</v>
      </c>
      <c r="C1198" t="s">
        <v>3576</v>
      </c>
      <c r="D1198" t="s">
        <v>26</v>
      </c>
      <c r="E1198" t="s">
        <v>62</v>
      </c>
      <c r="F1198">
        <v>1</v>
      </c>
      <c r="G1198" s="3" t="s">
        <v>32</v>
      </c>
      <c r="H1198" s="44" t="s">
        <v>15</v>
      </c>
      <c r="I1198" s="17">
        <v>2000000</v>
      </c>
      <c r="J1198" s="17">
        <f>IF(Gastos[[#This Row],[Divisa]]="$", I1198*1, IF(Gastos[[#This Row],[Divisa]]="U$D", I1198*$N$1, IF(Gastos[[#This Row],[Divisa]]="EUR", I1198*$N$2, 0)))</f>
        <v>2000000</v>
      </c>
      <c r="K1198" s="54">
        <f>Gastos[[#This Row],[Importe AR$]]/$N$1</f>
        <v>1282.051282051282</v>
      </c>
      <c r="M1198" s="69">
        <v>46186</v>
      </c>
      <c r="N1198" s="43">
        <f>IF(Gastos[[#This Row],[Fecha_Cheque]]&gt;0,WEEKNUM(Gastos[[#This Row],[Fecha_Cheque]]),MID(Gastos[[#This Row],[Semana]],6,2))</f>
        <v>24</v>
      </c>
      <c r="O1198" t="s">
        <v>3577</v>
      </c>
      <c r="P1198" t="s">
        <v>27</v>
      </c>
    </row>
    <row r="1199" spans="1:16" hidden="1" x14ac:dyDescent="0.25">
      <c r="A1199" s="3" t="s">
        <v>2740</v>
      </c>
      <c r="B1199" t="s">
        <v>3575</v>
      </c>
      <c r="C1199" t="s">
        <v>3576</v>
      </c>
      <c r="D1199" t="s">
        <v>26</v>
      </c>
      <c r="E1199" t="s">
        <v>62</v>
      </c>
      <c r="F1199">
        <v>1</v>
      </c>
      <c r="G1199" s="3" t="s">
        <v>32</v>
      </c>
      <c r="H1199" s="44" t="s">
        <v>15</v>
      </c>
      <c r="I1199" s="17">
        <v>2000000</v>
      </c>
      <c r="J1199" s="17">
        <f>IF(Gastos[[#This Row],[Divisa]]="$", I1199*1, IF(Gastos[[#This Row],[Divisa]]="U$D", I1199*$N$1, IF(Gastos[[#This Row],[Divisa]]="EUR", I1199*$N$2, 0)))</f>
        <v>2000000</v>
      </c>
      <c r="K1199" s="54">
        <f>Gastos[[#This Row],[Importe AR$]]/$N$1</f>
        <v>1282.051282051282</v>
      </c>
      <c r="M1199" s="69">
        <v>46193</v>
      </c>
      <c r="N1199" s="43">
        <f>IF(Gastos[[#This Row],[Fecha_Cheque]]&gt;0,WEEKNUM(Gastos[[#This Row],[Fecha_Cheque]]),MID(Gastos[[#This Row],[Semana]],6,2))</f>
        <v>25</v>
      </c>
      <c r="O1199" t="s">
        <v>3577</v>
      </c>
      <c r="P1199" t="s">
        <v>27</v>
      </c>
    </row>
    <row r="1200" spans="1:16" hidden="1" x14ac:dyDescent="0.25">
      <c r="A1200" s="3" t="s">
        <v>2740</v>
      </c>
      <c r="B1200" t="s">
        <v>3575</v>
      </c>
      <c r="C1200" t="s">
        <v>3576</v>
      </c>
      <c r="D1200" t="s">
        <v>26</v>
      </c>
      <c r="E1200" t="s">
        <v>62</v>
      </c>
      <c r="F1200">
        <v>1</v>
      </c>
      <c r="G1200" s="3" t="s">
        <v>32</v>
      </c>
      <c r="H1200" s="44" t="s">
        <v>15</v>
      </c>
      <c r="I1200" s="17">
        <v>1908354</v>
      </c>
      <c r="J1200" s="17">
        <f>IF(Gastos[[#This Row],[Divisa]]="$", I1200*1, IF(Gastos[[#This Row],[Divisa]]="U$D", I1200*$N$1, IF(Gastos[[#This Row],[Divisa]]="EUR", I1200*$N$2, 0)))</f>
        <v>1908354</v>
      </c>
      <c r="K1200" s="54">
        <f>Gastos[[#This Row],[Importe AR$]]/$N$1</f>
        <v>1223.3038461538461</v>
      </c>
      <c r="M1200" s="69">
        <v>46200</v>
      </c>
      <c r="N1200" s="43">
        <f>IF(Gastos[[#This Row],[Fecha_Cheque]]&gt;0,WEEKNUM(Gastos[[#This Row],[Fecha_Cheque]]),MID(Gastos[[#This Row],[Semana]],6,2))</f>
        <v>26</v>
      </c>
      <c r="O1200" t="s">
        <v>3577</v>
      </c>
      <c r="P1200" t="s">
        <v>27</v>
      </c>
    </row>
    <row r="1201" spans="1:16" hidden="1" x14ac:dyDescent="0.25">
      <c r="A1201" s="3" t="s">
        <v>2740</v>
      </c>
      <c r="B1201" t="s">
        <v>3575</v>
      </c>
      <c r="C1201" t="s">
        <v>3576</v>
      </c>
      <c r="D1201" t="s">
        <v>26</v>
      </c>
      <c r="E1201" t="s">
        <v>62</v>
      </c>
      <c r="F1201">
        <v>1</v>
      </c>
      <c r="G1201" s="3" t="s">
        <v>32</v>
      </c>
      <c r="H1201" s="44" t="s">
        <v>15</v>
      </c>
      <c r="I1201" s="17">
        <v>1683449</v>
      </c>
      <c r="J1201" s="17">
        <f>IF(Gastos[[#This Row],[Divisa]]="$", I1201*1, IF(Gastos[[#This Row],[Divisa]]="U$D", I1201*$N$1, IF(Gastos[[#This Row],[Divisa]]="EUR", I1201*$N$2, 0)))</f>
        <v>1683449</v>
      </c>
      <c r="K1201" s="54">
        <f>Gastos[[#This Row],[Importe AR$]]/$N$1</f>
        <v>1079.1339743589745</v>
      </c>
      <c r="M1201" s="69">
        <v>46207</v>
      </c>
      <c r="N1201" s="43">
        <f>IF(Gastos[[#This Row],[Fecha_Cheque]]&gt;0,WEEKNUM(Gastos[[#This Row],[Fecha_Cheque]]),MID(Gastos[[#This Row],[Semana]],6,2))</f>
        <v>27</v>
      </c>
      <c r="O1201" t="s">
        <v>3577</v>
      </c>
      <c r="P1201" t="s">
        <v>27</v>
      </c>
    </row>
    <row r="1202" spans="1:16" hidden="1" x14ac:dyDescent="0.25">
      <c r="A1202" s="3" t="s">
        <v>2740</v>
      </c>
      <c r="B1202" t="s">
        <v>3575</v>
      </c>
      <c r="C1202" t="s">
        <v>3576</v>
      </c>
      <c r="D1202" t="s">
        <v>26</v>
      </c>
      <c r="E1202" t="s">
        <v>62</v>
      </c>
      <c r="F1202">
        <v>1</v>
      </c>
      <c r="G1202" s="3" t="s">
        <v>32</v>
      </c>
      <c r="H1202" s="44" t="s">
        <v>15</v>
      </c>
      <c r="I1202" s="17">
        <v>800000</v>
      </c>
      <c r="J1202" s="17">
        <f>IF(Gastos[[#This Row],[Divisa]]="$", I1202*1, IF(Gastos[[#This Row],[Divisa]]="U$D", I1202*$N$1, IF(Gastos[[#This Row],[Divisa]]="EUR", I1202*$N$2, 0)))</f>
        <v>800000</v>
      </c>
      <c r="K1202" s="54">
        <f>Gastos[[#This Row],[Importe AR$]]/$N$1</f>
        <v>512.82051282051282</v>
      </c>
      <c r="M1202" s="69">
        <v>46217</v>
      </c>
      <c r="N1202" s="43">
        <f>IF(Gastos[[#This Row],[Fecha_Cheque]]&gt;0,WEEKNUM(Gastos[[#This Row],[Fecha_Cheque]]),MID(Gastos[[#This Row],[Semana]],6,2))</f>
        <v>29</v>
      </c>
      <c r="O1202" t="s">
        <v>3577</v>
      </c>
      <c r="P1202" t="s">
        <v>27</v>
      </c>
    </row>
    <row r="1203" spans="1:16" hidden="1" x14ac:dyDescent="0.25">
      <c r="A1203" s="3" t="s">
        <v>2740</v>
      </c>
      <c r="B1203" t="s">
        <v>3575</v>
      </c>
      <c r="C1203" t="s">
        <v>3576</v>
      </c>
      <c r="D1203" t="s">
        <v>26</v>
      </c>
      <c r="E1203" t="s">
        <v>62</v>
      </c>
      <c r="F1203">
        <v>1</v>
      </c>
      <c r="G1203" s="3" t="s">
        <v>32</v>
      </c>
      <c r="H1203" s="44" t="s">
        <v>15</v>
      </c>
      <c r="I1203" s="17">
        <v>1010000</v>
      </c>
      <c r="J1203" s="17">
        <f>IF(Gastos[[#This Row],[Divisa]]="$", I1203*1, IF(Gastos[[#This Row],[Divisa]]="U$D", I1203*$N$1, IF(Gastos[[#This Row],[Divisa]]="EUR", I1203*$N$2, 0)))</f>
        <v>1010000</v>
      </c>
      <c r="K1203" s="54">
        <f>Gastos[[#This Row],[Importe AR$]]/$N$1</f>
        <v>647.43589743589746</v>
      </c>
      <c r="M1203" s="69">
        <v>46218</v>
      </c>
      <c r="N1203" s="43">
        <f>IF(Gastos[[#This Row],[Fecha_Cheque]]&gt;0,WEEKNUM(Gastos[[#This Row],[Fecha_Cheque]]),MID(Gastos[[#This Row],[Semana]],6,2))</f>
        <v>29</v>
      </c>
      <c r="O1203" t="s">
        <v>3577</v>
      </c>
      <c r="P1203" t="s">
        <v>27</v>
      </c>
    </row>
    <row r="1204" spans="1:16" hidden="1" x14ac:dyDescent="0.25">
      <c r="A1204" s="3" t="s">
        <v>2740</v>
      </c>
      <c r="B1204" t="s">
        <v>3575</v>
      </c>
      <c r="C1204" t="s">
        <v>3576</v>
      </c>
      <c r="D1204" t="s">
        <v>26</v>
      </c>
      <c r="E1204" t="s">
        <v>62</v>
      </c>
      <c r="F1204">
        <v>1</v>
      </c>
      <c r="G1204" s="3" t="s">
        <v>32</v>
      </c>
      <c r="H1204" s="44" t="s">
        <v>15</v>
      </c>
      <c r="I1204" s="17">
        <v>1463700</v>
      </c>
      <c r="J1204" s="17">
        <f>IF(Gastos[[#This Row],[Divisa]]="$", I1204*1, IF(Gastos[[#This Row],[Divisa]]="U$D", I1204*$N$1, IF(Gastos[[#This Row],[Divisa]]="EUR", I1204*$N$2, 0)))</f>
        <v>1463700</v>
      </c>
      <c r="K1204" s="54">
        <f>Gastos[[#This Row],[Importe AR$]]/$N$1</f>
        <v>938.26923076923072</v>
      </c>
      <c r="M1204" s="69">
        <v>46219</v>
      </c>
      <c r="N1204" s="43">
        <f>IF(Gastos[[#This Row],[Fecha_Cheque]]&gt;0,WEEKNUM(Gastos[[#This Row],[Fecha_Cheque]]),MID(Gastos[[#This Row],[Semana]],6,2))</f>
        <v>29</v>
      </c>
      <c r="O1204" t="s">
        <v>3577</v>
      </c>
      <c r="P1204" t="s">
        <v>27</v>
      </c>
    </row>
    <row r="1205" spans="1:16" hidden="1" x14ac:dyDescent="0.25">
      <c r="A1205" s="3" t="s">
        <v>2740</v>
      </c>
      <c r="B1205" t="s">
        <v>3575</v>
      </c>
      <c r="C1205" t="s">
        <v>3576</v>
      </c>
      <c r="D1205" t="s">
        <v>26</v>
      </c>
      <c r="E1205" t="s">
        <v>62</v>
      </c>
      <c r="F1205">
        <v>1</v>
      </c>
      <c r="G1205" s="3" t="s">
        <v>32</v>
      </c>
      <c r="H1205" s="44" t="s">
        <v>15</v>
      </c>
      <c r="I1205" s="17">
        <v>200000</v>
      </c>
      <c r="J1205" s="17">
        <f>IF(Gastos[[#This Row],[Divisa]]="$", I1205*1, IF(Gastos[[#This Row],[Divisa]]="U$D", I1205*$N$1, IF(Gastos[[#This Row],[Divisa]]="EUR", I1205*$N$2, 0)))</f>
        <v>200000</v>
      </c>
      <c r="K1205" s="54">
        <f>Gastos[[#This Row],[Importe AR$]]/$N$1</f>
        <v>128.2051282051282</v>
      </c>
      <c r="M1205" s="69">
        <v>46223</v>
      </c>
      <c r="N1205" s="43">
        <f>IF(Gastos[[#This Row],[Fecha_Cheque]]&gt;0,WEEKNUM(Gastos[[#This Row],[Fecha_Cheque]]),MID(Gastos[[#This Row],[Semana]],6,2))</f>
        <v>30</v>
      </c>
      <c r="O1205" t="s">
        <v>3577</v>
      </c>
      <c r="P1205" t="s">
        <v>27</v>
      </c>
    </row>
    <row r="1206" spans="1:16" hidden="1" x14ac:dyDescent="0.25">
      <c r="A1206" s="3" t="s">
        <v>2740</v>
      </c>
      <c r="B1206" t="s">
        <v>3575</v>
      </c>
      <c r="C1206" t="s">
        <v>3576</v>
      </c>
      <c r="D1206" t="s">
        <v>26</v>
      </c>
      <c r="E1206" t="s">
        <v>62</v>
      </c>
      <c r="F1206">
        <v>1</v>
      </c>
      <c r="G1206" s="3" t="s">
        <v>32</v>
      </c>
      <c r="H1206" s="44" t="s">
        <v>15</v>
      </c>
      <c r="I1206" s="17">
        <v>800000</v>
      </c>
      <c r="J1206" s="17">
        <f>IF(Gastos[[#This Row],[Divisa]]="$", I1206*1, IF(Gastos[[#This Row],[Divisa]]="U$D", I1206*$N$1, IF(Gastos[[#This Row],[Divisa]]="EUR", I1206*$N$2, 0)))</f>
        <v>800000</v>
      </c>
      <c r="K1206" s="54">
        <f>Gastos[[#This Row],[Importe AR$]]/$N$1</f>
        <v>512.82051282051282</v>
      </c>
      <c r="M1206" s="69">
        <v>46223</v>
      </c>
      <c r="N1206" s="43">
        <f>IF(Gastos[[#This Row],[Fecha_Cheque]]&gt;0,WEEKNUM(Gastos[[#This Row],[Fecha_Cheque]]),MID(Gastos[[#This Row],[Semana]],6,2))</f>
        <v>30</v>
      </c>
      <c r="O1206" t="s">
        <v>3577</v>
      </c>
      <c r="P1206" t="s">
        <v>27</v>
      </c>
    </row>
    <row r="1207" spans="1:16" hidden="1" x14ac:dyDescent="0.25">
      <c r="A1207" s="3" t="s">
        <v>2740</v>
      </c>
      <c r="B1207" t="s">
        <v>3575</v>
      </c>
      <c r="C1207" t="s">
        <v>3576</v>
      </c>
      <c r="D1207" t="s">
        <v>26</v>
      </c>
      <c r="E1207" t="s">
        <v>62</v>
      </c>
      <c r="F1207">
        <v>1</v>
      </c>
      <c r="G1207" s="3" t="s">
        <v>32</v>
      </c>
      <c r="H1207" s="44" t="s">
        <v>15</v>
      </c>
      <c r="I1207" s="17">
        <v>411360</v>
      </c>
      <c r="J1207" s="17">
        <f>IF(Gastos[[#This Row],[Divisa]]="$", I1207*1, IF(Gastos[[#This Row],[Divisa]]="U$D", I1207*$N$1, IF(Gastos[[#This Row],[Divisa]]="EUR", I1207*$N$2, 0)))</f>
        <v>411360</v>
      </c>
      <c r="K1207" s="54">
        <f>Gastos[[#This Row],[Importe AR$]]/$N$1</f>
        <v>263.69230769230768</v>
      </c>
      <c r="M1207" s="69">
        <v>46223</v>
      </c>
      <c r="N1207" s="43">
        <f>IF(Gastos[[#This Row],[Fecha_Cheque]]&gt;0,WEEKNUM(Gastos[[#This Row],[Fecha_Cheque]]),MID(Gastos[[#This Row],[Semana]],6,2))</f>
        <v>30</v>
      </c>
      <c r="O1207" t="s">
        <v>3577</v>
      </c>
      <c r="P1207" t="s">
        <v>27</v>
      </c>
    </row>
    <row r="1208" spans="1:16" hidden="1" x14ac:dyDescent="0.25">
      <c r="A1208" s="3" t="s">
        <v>2740</v>
      </c>
      <c r="B1208" t="s">
        <v>3575</v>
      </c>
      <c r="C1208" t="s">
        <v>3576</v>
      </c>
      <c r="D1208" t="s">
        <v>26</v>
      </c>
      <c r="E1208" t="s">
        <v>62</v>
      </c>
      <c r="F1208">
        <v>1</v>
      </c>
      <c r="G1208" s="3" t="s">
        <v>32</v>
      </c>
      <c r="H1208" s="44" t="s">
        <v>15</v>
      </c>
      <c r="I1208" s="17">
        <v>3210000</v>
      </c>
      <c r="J1208" s="17">
        <f>IF(Gastos[[#This Row],[Divisa]]="$", I1208*1, IF(Gastos[[#This Row],[Divisa]]="U$D", I1208*$N$1, IF(Gastos[[#This Row],[Divisa]]="EUR", I1208*$N$2, 0)))</f>
        <v>3210000</v>
      </c>
      <c r="K1208" s="54">
        <f>Gastos[[#This Row],[Importe AR$]]/$N$1</f>
        <v>2057.6923076923076</v>
      </c>
      <c r="M1208" s="69">
        <v>46224</v>
      </c>
      <c r="N1208" s="43">
        <f>IF(Gastos[[#This Row],[Fecha_Cheque]]&gt;0,WEEKNUM(Gastos[[#This Row],[Fecha_Cheque]]),MID(Gastos[[#This Row],[Semana]],6,2))</f>
        <v>30</v>
      </c>
      <c r="O1208" t="s">
        <v>3577</v>
      </c>
      <c r="P1208" t="s">
        <v>27</v>
      </c>
    </row>
    <row r="1209" spans="1:16" hidden="1" x14ac:dyDescent="0.25">
      <c r="A1209" s="3" t="s">
        <v>2740</v>
      </c>
      <c r="B1209" t="s">
        <v>3575</v>
      </c>
      <c r="C1209" t="s">
        <v>3576</v>
      </c>
      <c r="D1209" t="s">
        <v>26</v>
      </c>
      <c r="E1209" t="s">
        <v>62</v>
      </c>
      <c r="F1209">
        <v>1</v>
      </c>
      <c r="G1209" s="3" t="s">
        <v>32</v>
      </c>
      <c r="H1209" s="44" t="s">
        <v>15</v>
      </c>
      <c r="I1209" s="17">
        <v>550000</v>
      </c>
      <c r="J1209" s="17">
        <f>IF(Gastos[[#This Row],[Divisa]]="$", I1209*1, IF(Gastos[[#This Row],[Divisa]]="U$D", I1209*$N$1, IF(Gastos[[#This Row],[Divisa]]="EUR", I1209*$N$2, 0)))</f>
        <v>550000</v>
      </c>
      <c r="K1209" s="54">
        <f>Gastos[[#This Row],[Importe AR$]]/$N$1</f>
        <v>352.56410256410254</v>
      </c>
      <c r="M1209" s="69">
        <v>46224</v>
      </c>
      <c r="N1209" s="43">
        <f>IF(Gastos[[#This Row],[Fecha_Cheque]]&gt;0,WEEKNUM(Gastos[[#This Row],[Fecha_Cheque]]),MID(Gastos[[#This Row],[Semana]],6,2))</f>
        <v>30</v>
      </c>
      <c r="O1209" t="s">
        <v>3577</v>
      </c>
      <c r="P1209" t="s">
        <v>27</v>
      </c>
    </row>
    <row r="1210" spans="1:16" hidden="1" x14ac:dyDescent="0.25">
      <c r="A1210" s="3" t="s">
        <v>2740</v>
      </c>
      <c r="B1210" t="s">
        <v>3575</v>
      </c>
      <c r="C1210" t="s">
        <v>3576</v>
      </c>
      <c r="D1210" t="s">
        <v>26</v>
      </c>
      <c r="E1210" t="s">
        <v>62</v>
      </c>
      <c r="F1210">
        <v>1</v>
      </c>
      <c r="G1210" s="3" t="s">
        <v>32</v>
      </c>
      <c r="H1210" s="44" t="s">
        <v>15</v>
      </c>
      <c r="I1210" s="17">
        <v>1550000</v>
      </c>
      <c r="J1210" s="17">
        <f>IF(Gastos[[#This Row],[Divisa]]="$", I1210*1, IF(Gastos[[#This Row],[Divisa]]="U$D", I1210*$N$1, IF(Gastos[[#This Row],[Divisa]]="EUR", I1210*$N$2, 0)))</f>
        <v>1550000</v>
      </c>
      <c r="K1210" s="54">
        <f>Gastos[[#This Row],[Importe AR$]]/$N$1</f>
        <v>993.58974358974353</v>
      </c>
      <c r="M1210" s="69">
        <v>46224</v>
      </c>
      <c r="N1210" s="43">
        <f>IF(Gastos[[#This Row],[Fecha_Cheque]]&gt;0,WEEKNUM(Gastos[[#This Row],[Fecha_Cheque]]),MID(Gastos[[#This Row],[Semana]],6,2))</f>
        <v>30</v>
      </c>
      <c r="O1210" t="s">
        <v>3577</v>
      </c>
      <c r="P1210" t="s">
        <v>27</v>
      </c>
    </row>
    <row r="1211" spans="1:16" hidden="1" x14ac:dyDescent="0.25">
      <c r="A1211" s="3" t="s">
        <v>2740</v>
      </c>
      <c r="B1211" t="s">
        <v>3575</v>
      </c>
      <c r="C1211" t="s">
        <v>3576</v>
      </c>
      <c r="D1211" t="s">
        <v>26</v>
      </c>
      <c r="E1211" t="s">
        <v>62</v>
      </c>
      <c r="F1211">
        <v>1</v>
      </c>
      <c r="G1211" s="3" t="s">
        <v>32</v>
      </c>
      <c r="H1211" s="44" t="s">
        <v>15</v>
      </c>
      <c r="I1211" s="17">
        <v>7000000</v>
      </c>
      <c r="J1211" s="17">
        <f>IF(Gastos[[#This Row],[Divisa]]="$", I1211*1, IF(Gastos[[#This Row],[Divisa]]="U$D", I1211*$N$1, IF(Gastos[[#This Row],[Divisa]]="EUR", I1211*$N$2, 0)))</f>
        <v>7000000</v>
      </c>
      <c r="K1211" s="54">
        <f>Gastos[[#This Row],[Importe AR$]]/$N$1</f>
        <v>4487.1794871794873</v>
      </c>
      <c r="M1211" s="69">
        <v>46225</v>
      </c>
      <c r="N1211" s="43">
        <f>IF(Gastos[[#This Row],[Fecha_Cheque]]&gt;0,WEEKNUM(Gastos[[#This Row],[Fecha_Cheque]]),MID(Gastos[[#This Row],[Semana]],6,2))</f>
        <v>30</v>
      </c>
      <c r="O1211" t="s">
        <v>3577</v>
      </c>
      <c r="P1211" t="s">
        <v>27</v>
      </c>
    </row>
    <row r="1212" spans="1:16" hidden="1" x14ac:dyDescent="0.25">
      <c r="A1212" s="3" t="s">
        <v>2740</v>
      </c>
      <c r="B1212" t="s">
        <v>3575</v>
      </c>
      <c r="C1212" t="s">
        <v>3576</v>
      </c>
      <c r="D1212" t="s">
        <v>26</v>
      </c>
      <c r="E1212" t="s">
        <v>62</v>
      </c>
      <c r="F1212">
        <v>1</v>
      </c>
      <c r="G1212" s="3" t="s">
        <v>32</v>
      </c>
      <c r="H1212" s="44" t="s">
        <v>15</v>
      </c>
      <c r="I1212" s="17">
        <v>5043137</v>
      </c>
      <c r="J1212" s="17">
        <f>IF(Gastos[[#This Row],[Divisa]]="$", I1212*1, IF(Gastos[[#This Row],[Divisa]]="U$D", I1212*$N$1, IF(Gastos[[#This Row],[Divisa]]="EUR", I1212*$N$2, 0)))</f>
        <v>5043137</v>
      </c>
      <c r="K1212" s="54">
        <f>Gastos[[#This Row],[Importe AR$]]/$N$1</f>
        <v>3232.7801282051282</v>
      </c>
      <c r="M1212" s="69">
        <v>46203</v>
      </c>
      <c r="N1212" s="43">
        <f>IF(Gastos[[#This Row],[Fecha_Cheque]]&gt;0,WEEKNUM(Gastos[[#This Row],[Fecha_Cheque]]),MID(Gastos[[#This Row],[Semana]],6,2))</f>
        <v>27</v>
      </c>
      <c r="O1212" t="s">
        <v>3577</v>
      </c>
      <c r="P1212" t="s">
        <v>27</v>
      </c>
    </row>
    <row r="1213" spans="1:16" hidden="1" x14ac:dyDescent="0.25">
      <c r="A1213" s="3" t="s">
        <v>4211</v>
      </c>
      <c r="B1213" t="s">
        <v>3575</v>
      </c>
      <c r="C1213" t="s">
        <v>4110</v>
      </c>
      <c r="D1213" t="s">
        <v>26</v>
      </c>
      <c r="E1213" t="s">
        <v>91</v>
      </c>
      <c r="F1213">
        <v>1</v>
      </c>
      <c r="G1213" s="3" t="s">
        <v>5</v>
      </c>
      <c r="H1213" s="44" t="s">
        <v>15</v>
      </c>
      <c r="I1213" s="17">
        <v>11097043.460000001</v>
      </c>
      <c r="J1213" s="17">
        <f>IF(Gastos[[#This Row],[Divisa]]="$", I1213*1, IF(Gastos[[#This Row],[Divisa]]="U$D", I1213*$N$1, IF(Gastos[[#This Row],[Divisa]]="EUR", I1213*$N$2, 0)))</f>
        <v>11097043.460000001</v>
      </c>
      <c r="K1213" s="54">
        <f>Gastos[[#This Row],[Importe AR$]]/$N$1</f>
        <v>7113.4893974358984</v>
      </c>
      <c r="M1213" s="69"/>
      <c r="N1213" s="43" t="str">
        <f>IF(Gastos[[#This Row],[Fecha_Cheque]]&gt;0,WEEKNUM(Gastos[[#This Row],[Fecha_Cheque]]),MID(Gastos[[#This Row],[Semana]],6,2))</f>
        <v>37</v>
      </c>
      <c r="O1213" t="s">
        <v>4215</v>
      </c>
      <c r="P1213" t="s">
        <v>27</v>
      </c>
    </row>
    <row r="1214" spans="1:16" hidden="1" x14ac:dyDescent="0.25">
      <c r="A1214" s="3" t="s">
        <v>4211</v>
      </c>
      <c r="B1214" t="s">
        <v>3575</v>
      </c>
      <c r="C1214" t="s">
        <v>4265</v>
      </c>
      <c r="D1214" t="s">
        <v>26</v>
      </c>
      <c r="E1214" t="s">
        <v>91</v>
      </c>
      <c r="F1214">
        <v>1</v>
      </c>
      <c r="G1214" s="3" t="s">
        <v>5</v>
      </c>
      <c r="H1214" s="44" t="s">
        <v>15</v>
      </c>
      <c r="I1214" s="17">
        <v>11097043.460000001</v>
      </c>
      <c r="J1214" s="17">
        <f>IF(Gastos[[#This Row],[Divisa]]="$", I1214*1, IF(Gastos[[#This Row],[Divisa]]="U$D", I1214*$N$1, IF(Gastos[[#This Row],[Divisa]]="EUR", I1214*$N$2, 0)))</f>
        <v>11097043.460000001</v>
      </c>
      <c r="K1214" s="54">
        <f>Gastos[[#This Row],[Importe AR$]]/$N$1</f>
        <v>7113.4893974358984</v>
      </c>
      <c r="M1214" s="69"/>
      <c r="N1214" s="43" t="str">
        <f>IF(Gastos[[#This Row],[Fecha_Cheque]]&gt;0,WEEKNUM(Gastos[[#This Row],[Fecha_Cheque]]),MID(Gastos[[#This Row],[Semana]],6,2))</f>
        <v>37</v>
      </c>
      <c r="O1214" t="s">
        <v>4261</v>
      </c>
      <c r="P1214" t="s">
        <v>27</v>
      </c>
    </row>
    <row r="1215" spans="1:16" hidden="1" x14ac:dyDescent="0.25">
      <c r="A1215" s="3" t="s">
        <v>4211</v>
      </c>
      <c r="B1215" t="s">
        <v>3575</v>
      </c>
      <c r="C1215" t="s">
        <v>4282</v>
      </c>
      <c r="D1215" t="s">
        <v>26</v>
      </c>
      <c r="E1215" t="s">
        <v>91</v>
      </c>
      <c r="F1215">
        <v>1</v>
      </c>
      <c r="G1215" s="3" t="s">
        <v>5</v>
      </c>
      <c r="H1215" s="44" t="s">
        <v>15</v>
      </c>
      <c r="I1215" s="17">
        <v>11097043.460000001</v>
      </c>
      <c r="J1215" s="17">
        <f>IF(Gastos[[#This Row],[Divisa]]="$", I1215*1, IF(Gastos[[#This Row],[Divisa]]="U$D", I1215*$N$1, IF(Gastos[[#This Row],[Divisa]]="EUR", I1215*$N$2, 0)))</f>
        <v>11097043.460000001</v>
      </c>
      <c r="K1215" s="54">
        <f>Gastos[[#This Row],[Importe AR$]]/$N$1</f>
        <v>7113.4893974358984</v>
      </c>
      <c r="M1215" s="69"/>
      <c r="N1215" s="43" t="str">
        <f>IF(Gastos[[#This Row],[Fecha_Cheque]]&gt;0,WEEKNUM(Gastos[[#This Row],[Fecha_Cheque]]),MID(Gastos[[#This Row],[Semana]],6,2))</f>
        <v>37</v>
      </c>
      <c r="O1215" t="s">
        <v>4215</v>
      </c>
      <c r="P1215" t="s">
        <v>27</v>
      </c>
    </row>
    <row r="1216" spans="1:16" x14ac:dyDescent="0.25">
      <c r="A1216" s="3" t="s">
        <v>4655</v>
      </c>
      <c r="B1216" t="s">
        <v>3763</v>
      </c>
      <c r="C1216" t="s">
        <v>4085</v>
      </c>
      <c r="D1216" t="s">
        <v>26</v>
      </c>
      <c r="E1216" t="s">
        <v>31</v>
      </c>
      <c r="F1216">
        <v>1</v>
      </c>
      <c r="G1216" s="3" t="s">
        <v>32</v>
      </c>
      <c r="H1216" s="44" t="s">
        <v>15</v>
      </c>
      <c r="I1216" s="17">
        <v>0</v>
      </c>
      <c r="J1216" s="17">
        <f>IF(Gastos[[#This Row],[Divisa]]="$", I1216*1, IF(Gastos[[#This Row],[Divisa]]="U$D", I1216*$N$1, IF(Gastos[[#This Row],[Divisa]]="EUR", I1216*$N$2, 0)))</f>
        <v>0</v>
      </c>
      <c r="K1216" s="54">
        <f>Gastos[[#This Row],[Importe AR$]]/$N$1</f>
        <v>0</v>
      </c>
      <c r="L1216" t="s">
        <v>4143</v>
      </c>
      <c r="M1216" s="69"/>
      <c r="N1216" s="43" t="str">
        <f>IF(Gastos[[#This Row],[Fecha_Cheque]]&gt;0,WEEKNUM(Gastos[[#This Row],[Fecha_Cheque]]),MID(Gastos[[#This Row],[Semana]],6,2))</f>
        <v>44</v>
      </c>
    </row>
    <row r="1217" spans="1:16" x14ac:dyDescent="0.25">
      <c r="A1217" s="3" t="s">
        <v>4655</v>
      </c>
      <c r="B1217" t="s">
        <v>3714</v>
      </c>
      <c r="C1217" t="s">
        <v>4110</v>
      </c>
      <c r="D1217" t="s">
        <v>26</v>
      </c>
      <c r="E1217" t="s">
        <v>62</v>
      </c>
      <c r="F1217">
        <v>1</v>
      </c>
      <c r="G1217" s="3" t="s">
        <v>32</v>
      </c>
      <c r="H1217" s="44" t="s">
        <v>15</v>
      </c>
      <c r="I1217" s="17">
        <v>11313488</v>
      </c>
      <c r="J1217" s="17">
        <f>IF(Gastos[[#This Row],[Divisa]]="$", I1217*1, IF(Gastos[[#This Row],[Divisa]]="U$D", I1217*$N$1, IF(Gastos[[#This Row],[Divisa]]="EUR", I1217*$N$2, 0)))</f>
        <v>11313488</v>
      </c>
      <c r="K1217" s="54">
        <f>Gastos[[#This Row],[Importe AR$]]/$N$1</f>
        <v>7252.2358974358976</v>
      </c>
      <c r="M1217" s="69"/>
      <c r="N1217" s="43" t="str">
        <f>IF(Gastos[[#This Row],[Fecha_Cheque]]&gt;0,WEEKNUM(Gastos[[#This Row],[Fecha_Cheque]]),MID(Gastos[[#This Row],[Semana]],6,2))</f>
        <v>44</v>
      </c>
      <c r="P1217" t="s">
        <v>7</v>
      </c>
    </row>
    <row r="1218" spans="1:16" x14ac:dyDescent="0.25">
      <c r="A1218" s="3" t="s">
        <v>4655</v>
      </c>
      <c r="B1218" t="s">
        <v>3714</v>
      </c>
      <c r="C1218" t="s">
        <v>2181</v>
      </c>
      <c r="D1218" t="s">
        <v>26</v>
      </c>
      <c r="E1218" t="s">
        <v>62</v>
      </c>
      <c r="F1218">
        <v>1</v>
      </c>
      <c r="G1218" s="3" t="s">
        <v>32</v>
      </c>
      <c r="H1218" s="44" t="s">
        <v>2</v>
      </c>
      <c r="I1218" s="17">
        <v>3292.6</v>
      </c>
      <c r="J1218" s="17">
        <f>IF(Gastos[[#This Row],[Divisa]]="$", I1218*1, IF(Gastos[[#This Row],[Divisa]]="U$D", I1218*$N$1, IF(Gastos[[#This Row],[Divisa]]="EUR", I1218*$N$2, 0)))</f>
        <v>5136456</v>
      </c>
      <c r="K1218" s="54">
        <f>Gastos[[#This Row],[Importe AR$]]/$N$1</f>
        <v>3292.6</v>
      </c>
      <c r="M1218" s="69"/>
      <c r="N1218" s="43" t="str">
        <f>IF(Gastos[[#This Row],[Fecha_Cheque]]&gt;0,WEEKNUM(Gastos[[#This Row],[Fecha_Cheque]]),MID(Gastos[[#This Row],[Semana]],6,2))</f>
        <v>44</v>
      </c>
    </row>
    <row r="1219" spans="1:16" x14ac:dyDescent="0.25">
      <c r="A1219" s="3" t="s">
        <v>4655</v>
      </c>
      <c r="B1219" t="s">
        <v>3575</v>
      </c>
      <c r="C1219" t="s">
        <v>4535</v>
      </c>
      <c r="D1219" t="s">
        <v>26</v>
      </c>
      <c r="E1219" t="s">
        <v>91</v>
      </c>
      <c r="F1219">
        <v>1</v>
      </c>
      <c r="G1219" s="3" t="s">
        <v>32</v>
      </c>
      <c r="H1219" s="44" t="s">
        <v>15</v>
      </c>
      <c r="I1219" s="17">
        <v>52000000</v>
      </c>
      <c r="J1219" s="17">
        <f>IF(Gastos[[#This Row],[Divisa]]="$", I1219*1, IF(Gastos[[#This Row],[Divisa]]="U$D", I1219*$N$1, IF(Gastos[[#This Row],[Divisa]]="EUR", I1219*$N$2, 0)))</f>
        <v>52000000</v>
      </c>
      <c r="K1219" s="54">
        <f>Gastos[[#This Row],[Importe AR$]]/$N$1</f>
        <v>33333.333333333336</v>
      </c>
      <c r="M1219" s="69"/>
      <c r="N1219" s="43" t="str">
        <f>IF(Gastos[[#This Row],[Fecha_Cheque]]&gt;0,WEEKNUM(Gastos[[#This Row],[Fecha_Cheque]]),MID(Gastos[[#This Row],[Semana]],6,2))</f>
        <v>44</v>
      </c>
    </row>
    <row r="1220" spans="1:16" x14ac:dyDescent="0.25">
      <c r="A1220" s="3" t="s">
        <v>4655</v>
      </c>
      <c r="B1220" t="s">
        <v>3575</v>
      </c>
      <c r="C1220" t="s">
        <v>4535</v>
      </c>
      <c r="D1220" t="s">
        <v>26</v>
      </c>
      <c r="E1220" t="s">
        <v>91</v>
      </c>
      <c r="F1220">
        <v>1</v>
      </c>
      <c r="G1220" s="3" t="s">
        <v>32</v>
      </c>
      <c r="H1220" s="44" t="s">
        <v>15</v>
      </c>
      <c r="I1220" s="17">
        <v>22000000</v>
      </c>
      <c r="J1220" s="17">
        <f>IF(Gastos[[#This Row],[Divisa]]="$", I1220*1, IF(Gastos[[#This Row],[Divisa]]="U$D", I1220*$N$1, IF(Gastos[[#This Row],[Divisa]]="EUR", I1220*$N$2, 0)))</f>
        <v>22000000</v>
      </c>
      <c r="K1220" s="54">
        <f>Gastos[[#This Row],[Importe AR$]]/$N$1</f>
        <v>14102.564102564103</v>
      </c>
      <c r="M1220" s="69"/>
      <c r="N1220" s="43" t="str">
        <f>IF(Gastos[[#This Row],[Fecha_Cheque]]&gt;0,WEEKNUM(Gastos[[#This Row],[Fecha_Cheque]]),MID(Gastos[[#This Row],[Semana]],6,2))</f>
        <v>44</v>
      </c>
    </row>
    <row r="1221" spans="1:16" hidden="1" x14ac:dyDescent="0.25">
      <c r="A1221" s="3" t="s">
        <v>4119</v>
      </c>
      <c r="B1221" t="s">
        <v>4125</v>
      </c>
      <c r="C1221" t="s">
        <v>814</v>
      </c>
      <c r="D1221" t="s">
        <v>26</v>
      </c>
      <c r="E1221" t="s">
        <v>91</v>
      </c>
      <c r="F1221">
        <v>1</v>
      </c>
      <c r="G1221" s="3" t="s">
        <v>32</v>
      </c>
      <c r="H1221" s="44" t="s">
        <v>15</v>
      </c>
      <c r="I1221" s="17">
        <v>940000</v>
      </c>
      <c r="J1221" s="17">
        <f>IF(Gastos[[#This Row],[Divisa]]="$", I1221*1, IF(Gastos[[#This Row],[Divisa]]="U$D", I1221*$N$1, IF(Gastos[[#This Row],[Divisa]]="EUR", I1221*$N$2, 0)))</f>
        <v>940000</v>
      </c>
      <c r="K1221" s="54">
        <f>Gastos[[#This Row],[Importe AR$]]/$N$1</f>
        <v>602.56410256410254</v>
      </c>
      <c r="M1221" s="69">
        <v>46283</v>
      </c>
      <c r="N1221" s="43">
        <f>IF(Gastos[[#This Row],[Fecha_Cheque]]&gt;0,WEEKNUM(Gastos[[#This Row],[Fecha_Cheque]]),MID(Gastos[[#This Row],[Semana]],6,2))</f>
        <v>38</v>
      </c>
      <c r="O1221" t="s">
        <v>4126</v>
      </c>
      <c r="P1221" t="s">
        <v>27</v>
      </c>
    </row>
    <row r="1222" spans="1:16" hidden="1" x14ac:dyDescent="0.25">
      <c r="A1222" s="3" t="s">
        <v>4119</v>
      </c>
      <c r="B1222" t="s">
        <v>4125</v>
      </c>
      <c r="C1222" t="s">
        <v>814</v>
      </c>
      <c r="D1222" t="s">
        <v>26</v>
      </c>
      <c r="E1222" t="s">
        <v>91</v>
      </c>
      <c r="F1222">
        <v>1</v>
      </c>
      <c r="G1222" s="3" t="s">
        <v>32</v>
      </c>
      <c r="H1222" s="44" t="s">
        <v>15</v>
      </c>
      <c r="I1222" s="17">
        <v>2388538</v>
      </c>
      <c r="J1222" s="17">
        <f>IF(Gastos[[#This Row],[Divisa]]="$", I1222*1, IF(Gastos[[#This Row],[Divisa]]="U$D", I1222*$N$1, IF(Gastos[[#This Row],[Divisa]]="EUR", I1222*$N$2, 0)))</f>
        <v>2388538</v>
      </c>
      <c r="K1222" s="54">
        <f>Gastos[[#This Row],[Importe AR$]]/$N$1</f>
        <v>1531.1141025641025</v>
      </c>
      <c r="M1222" s="69">
        <v>46288</v>
      </c>
      <c r="N1222" s="43">
        <f>IF(Gastos[[#This Row],[Fecha_Cheque]]&gt;0,WEEKNUM(Gastos[[#This Row],[Fecha_Cheque]]),MID(Gastos[[#This Row],[Semana]],6,2))</f>
        <v>39</v>
      </c>
      <c r="O1222" t="s">
        <v>4126</v>
      </c>
      <c r="P1222" t="s">
        <v>27</v>
      </c>
    </row>
    <row r="1223" spans="1:16" hidden="1" x14ac:dyDescent="0.25">
      <c r="A1223" s="3" t="s">
        <v>4119</v>
      </c>
      <c r="B1223" t="s">
        <v>4125</v>
      </c>
      <c r="C1223" t="s">
        <v>814</v>
      </c>
      <c r="D1223" t="s">
        <v>26</v>
      </c>
      <c r="E1223" t="s">
        <v>91</v>
      </c>
      <c r="F1223">
        <v>1</v>
      </c>
      <c r="G1223" s="3" t="s">
        <v>32</v>
      </c>
      <c r="H1223" s="44" t="s">
        <v>15</v>
      </c>
      <c r="I1223" s="17">
        <v>3273216.98</v>
      </c>
      <c r="J1223" s="17">
        <f>IF(Gastos[[#This Row],[Divisa]]="$", I1223*1, IF(Gastos[[#This Row],[Divisa]]="U$D", I1223*$N$1, IF(Gastos[[#This Row],[Divisa]]="EUR", I1223*$N$2, 0)))</f>
        <v>3273216.98</v>
      </c>
      <c r="K1223" s="54">
        <f>Gastos[[#This Row],[Importe AR$]]/$N$1</f>
        <v>2098.2160128205128</v>
      </c>
      <c r="M1223" s="69">
        <v>46289</v>
      </c>
      <c r="N1223" s="43">
        <f>IF(Gastos[[#This Row],[Fecha_Cheque]]&gt;0,WEEKNUM(Gastos[[#This Row],[Fecha_Cheque]]),MID(Gastos[[#This Row],[Semana]],6,2))</f>
        <v>39</v>
      </c>
      <c r="O1223" t="s">
        <v>4126</v>
      </c>
      <c r="P1223" t="s">
        <v>27</v>
      </c>
    </row>
    <row r="1224" spans="1:16" hidden="1" x14ac:dyDescent="0.25">
      <c r="A1224" s="3" t="s">
        <v>4119</v>
      </c>
      <c r="B1224" t="s">
        <v>4125</v>
      </c>
      <c r="C1224" t="s">
        <v>814</v>
      </c>
      <c r="D1224" t="s">
        <v>26</v>
      </c>
      <c r="E1224" t="s">
        <v>91</v>
      </c>
      <c r="F1224">
        <v>1</v>
      </c>
      <c r="G1224" s="3" t="s">
        <v>32</v>
      </c>
      <c r="H1224" s="44" t="s">
        <v>15</v>
      </c>
      <c r="I1224" s="17">
        <v>314719.83</v>
      </c>
      <c r="J1224" s="17">
        <f>IF(Gastos[[#This Row],[Divisa]]="$", I1224*1, IF(Gastos[[#This Row],[Divisa]]="U$D", I1224*$N$1, IF(Gastos[[#This Row],[Divisa]]="EUR", I1224*$N$2, 0)))</f>
        <v>314719.83</v>
      </c>
      <c r="K1224" s="54">
        <f>Gastos[[#This Row],[Importe AR$]]/$N$1</f>
        <v>201.74348076923079</v>
      </c>
      <c r="M1224" s="69">
        <v>46268</v>
      </c>
      <c r="N1224" s="43">
        <f>IF(Gastos[[#This Row],[Fecha_Cheque]]&gt;0,WEEKNUM(Gastos[[#This Row],[Fecha_Cheque]]),MID(Gastos[[#This Row],[Semana]],6,2))</f>
        <v>36</v>
      </c>
      <c r="O1224" t="s">
        <v>4126</v>
      </c>
      <c r="P1224" t="s">
        <v>27</v>
      </c>
    </row>
    <row r="1225" spans="1:16" hidden="1" x14ac:dyDescent="0.25">
      <c r="A1225" s="3" t="s">
        <v>4119</v>
      </c>
      <c r="B1225" t="s">
        <v>4125</v>
      </c>
      <c r="C1225" t="s">
        <v>814</v>
      </c>
      <c r="D1225" t="s">
        <v>26</v>
      </c>
      <c r="E1225" t="s">
        <v>91</v>
      </c>
      <c r="F1225">
        <v>1</v>
      </c>
      <c r="G1225" s="3" t="s">
        <v>4</v>
      </c>
      <c r="H1225" s="44" t="s">
        <v>15</v>
      </c>
      <c r="I1225" s="17">
        <v>130000</v>
      </c>
      <c r="J1225" s="17">
        <f>IF(Gastos[[#This Row],[Divisa]]="$", I1225*1, IF(Gastos[[#This Row],[Divisa]]="U$D", I1225*$N$1, IF(Gastos[[#This Row],[Divisa]]="EUR", I1225*$N$2, 0)))</f>
        <v>130000</v>
      </c>
      <c r="K1225" s="54">
        <f>Gastos[[#This Row],[Importe AR$]]/$N$1</f>
        <v>83.333333333333329</v>
      </c>
      <c r="M1225" s="69"/>
      <c r="N1225" s="43" t="str">
        <f>IF(Gastos[[#This Row],[Fecha_Cheque]]&gt;0,WEEKNUM(Gastos[[#This Row],[Fecha_Cheque]]),MID(Gastos[[#This Row],[Semana]],6,2))</f>
        <v>35</v>
      </c>
      <c r="O1225" t="s">
        <v>4126</v>
      </c>
      <c r="P1225" t="s">
        <v>27</v>
      </c>
    </row>
    <row r="1226" spans="1:16" x14ac:dyDescent="0.25">
      <c r="A1226" s="3" t="s">
        <v>4655</v>
      </c>
      <c r="B1226" t="s">
        <v>3575</v>
      </c>
      <c r="C1226" t="s">
        <v>4700</v>
      </c>
      <c r="D1226" t="s">
        <v>26</v>
      </c>
      <c r="E1226" t="s">
        <v>62</v>
      </c>
      <c r="F1226">
        <v>1</v>
      </c>
      <c r="G1226" s="3" t="s">
        <v>32</v>
      </c>
      <c r="H1226" s="44" t="s">
        <v>15</v>
      </c>
      <c r="I1226" s="17">
        <v>76702000</v>
      </c>
      <c r="J1226" s="17">
        <f>IF(Gastos[[#This Row],[Divisa]]="$", I1226*1, IF(Gastos[[#This Row],[Divisa]]="U$D", I1226*$N$1, IF(Gastos[[#This Row],[Divisa]]="EUR", I1226*$N$2, 0)))</f>
        <v>76702000</v>
      </c>
      <c r="K1226" s="54">
        <f>Gastos[[#This Row],[Importe AR$]]/$N$1</f>
        <v>49167.948717948719</v>
      </c>
      <c r="L1226" s="100"/>
      <c r="M1226" s="101"/>
      <c r="N1226" s="102" t="str">
        <f>IF(Gastos[[#This Row],[Fecha_Cheque]]&gt;0,WEEKNUM(Gastos[[#This Row],[Fecha_Cheque]]),MID(Gastos[[#This Row],[Semana]],6,2))</f>
        <v>44</v>
      </c>
      <c r="O1226" s="100"/>
      <c r="P1226" s="100"/>
    </row>
    <row r="1227" spans="1:16" x14ac:dyDescent="0.25">
      <c r="A1227" s="3" t="s">
        <v>4655</v>
      </c>
      <c r="B1227" t="s">
        <v>3575</v>
      </c>
      <c r="C1227" t="s">
        <v>4701</v>
      </c>
      <c r="D1227" t="s">
        <v>26</v>
      </c>
      <c r="E1227" t="s">
        <v>62</v>
      </c>
      <c r="F1227">
        <v>1</v>
      </c>
      <c r="G1227" s="3" t="s">
        <v>32</v>
      </c>
      <c r="H1227" s="44" t="s">
        <v>15</v>
      </c>
      <c r="I1227" s="17">
        <v>47064000</v>
      </c>
      <c r="J1227" s="17">
        <f>IF(Gastos[[#This Row],[Divisa]]="$", I1227*1, IF(Gastos[[#This Row],[Divisa]]="U$D", I1227*$N$1, IF(Gastos[[#This Row],[Divisa]]="EUR", I1227*$N$2, 0)))</f>
        <v>47064000</v>
      </c>
      <c r="K1227" s="54">
        <f>Gastos[[#This Row],[Importe AR$]]/$N$1</f>
        <v>30169.23076923077</v>
      </c>
      <c r="M1227" s="69"/>
      <c r="N1227" s="43" t="str">
        <f>IF(Gastos[[#This Row],[Fecha_Cheque]]&gt;0,WEEKNUM(Gastos[[#This Row],[Fecha_Cheque]]),MID(Gastos[[#This Row],[Semana]],6,2))</f>
        <v>44</v>
      </c>
      <c r="P1227" t="s">
        <v>7</v>
      </c>
    </row>
    <row r="1228" spans="1:16" hidden="1" x14ac:dyDescent="0.25">
      <c r="A1228" s="3" t="s">
        <v>619</v>
      </c>
      <c r="B1228" t="s">
        <v>1488</v>
      </c>
      <c r="C1228" t="s">
        <v>1489</v>
      </c>
      <c r="D1228" t="s">
        <v>26</v>
      </c>
      <c r="E1228" t="s">
        <v>42</v>
      </c>
      <c r="F1228">
        <v>2</v>
      </c>
      <c r="G1228" s="3" t="s">
        <v>4</v>
      </c>
      <c r="H1228" s="46" t="s">
        <v>15</v>
      </c>
      <c r="I1228" s="17">
        <v>68600</v>
      </c>
      <c r="J1228" s="17">
        <f>IF(Gastos[[#This Row],[Divisa]]="$", I1228*1, IF(Gastos[[#This Row],[Divisa]]="U$D", I1228*$N$1, IF(Gastos[[#This Row],[Divisa]]="EUR", I1228*$N$2, 0)))</f>
        <v>68600</v>
      </c>
      <c r="K1228" s="54">
        <f>Gastos[[#This Row],[Importe AR$]]/$N$1</f>
        <v>43.974358974358971</v>
      </c>
      <c r="M1228" s="69"/>
      <c r="N1228" s="43" t="str">
        <f>IF(Gastos[[#This Row],[Fecha_Cheque]]&gt;0,WEEKNUM(Gastos[[#This Row],[Fecha_Cheque]]),MID(Gastos[[#This Row],[Semana]],6,2))</f>
        <v>10</v>
      </c>
      <c r="O1228" t="s">
        <v>1490</v>
      </c>
      <c r="P1228" t="s">
        <v>27</v>
      </c>
    </row>
    <row r="1229" spans="1:16" hidden="1" x14ac:dyDescent="0.25">
      <c r="A1229" s="3" t="s">
        <v>619</v>
      </c>
      <c r="B1229" t="s">
        <v>1488</v>
      </c>
      <c r="C1229" t="s">
        <v>1489</v>
      </c>
      <c r="D1229" t="s">
        <v>26</v>
      </c>
      <c r="E1229" t="s">
        <v>91</v>
      </c>
      <c r="F1229">
        <v>2</v>
      </c>
      <c r="G1229" s="3" t="s">
        <v>32</v>
      </c>
      <c r="H1229" s="46" t="s">
        <v>15</v>
      </c>
      <c r="I1229" s="17">
        <v>425000</v>
      </c>
      <c r="J1229" s="17">
        <f>IF(Gastos[[#This Row],[Divisa]]="$", I1229*1, IF(Gastos[[#This Row],[Divisa]]="U$D", I1229*$N$1, IF(Gastos[[#This Row],[Divisa]]="EUR", I1229*$N$2, 0)))</f>
        <v>425000</v>
      </c>
      <c r="K1229" s="54">
        <f>Gastos[[#This Row],[Importe AR$]]/$N$1</f>
        <v>272.43589743589746</v>
      </c>
      <c r="M1229" s="69"/>
      <c r="N1229" s="43" t="str">
        <f>IF(Gastos[[#This Row],[Fecha_Cheque]]&gt;0,WEEKNUM(Gastos[[#This Row],[Fecha_Cheque]]),MID(Gastos[[#This Row],[Semana]],6,2))</f>
        <v>10</v>
      </c>
      <c r="O1229" t="s">
        <v>1490</v>
      </c>
      <c r="P1229" t="s">
        <v>27</v>
      </c>
    </row>
    <row r="1230" spans="1:16" hidden="1" x14ac:dyDescent="0.25">
      <c r="A1230" s="3" t="s">
        <v>619</v>
      </c>
      <c r="B1230" t="s">
        <v>1488</v>
      </c>
      <c r="C1230" t="s">
        <v>1489</v>
      </c>
      <c r="D1230" t="s">
        <v>26</v>
      </c>
      <c r="E1230" t="s">
        <v>91</v>
      </c>
      <c r="F1230">
        <v>2</v>
      </c>
      <c r="G1230" s="3" t="s">
        <v>32</v>
      </c>
      <c r="H1230" s="46" t="s">
        <v>15</v>
      </c>
      <c r="I1230" s="17">
        <v>600000</v>
      </c>
      <c r="J1230" s="17">
        <f>IF(Gastos[[#This Row],[Divisa]]="$", I1230*1, IF(Gastos[[#This Row],[Divisa]]="U$D", I1230*$N$1, IF(Gastos[[#This Row],[Divisa]]="EUR", I1230*$N$2, 0)))</f>
        <v>600000</v>
      </c>
      <c r="K1230" s="54">
        <f>Gastos[[#This Row],[Importe AR$]]/$N$1</f>
        <v>384.61538461538464</v>
      </c>
      <c r="M1230" s="69"/>
      <c r="N1230" s="43" t="str">
        <f>IF(Gastos[[#This Row],[Fecha_Cheque]]&gt;0,WEEKNUM(Gastos[[#This Row],[Fecha_Cheque]]),MID(Gastos[[#This Row],[Semana]],6,2))</f>
        <v>10</v>
      </c>
      <c r="O1230" t="s">
        <v>1490</v>
      </c>
      <c r="P1230" t="s">
        <v>27</v>
      </c>
    </row>
    <row r="1231" spans="1:16" hidden="1" x14ac:dyDescent="0.25">
      <c r="A1231" s="3" t="s">
        <v>619</v>
      </c>
      <c r="B1231" t="s">
        <v>1488</v>
      </c>
      <c r="C1231" t="s">
        <v>1489</v>
      </c>
      <c r="D1231" t="s">
        <v>26</v>
      </c>
      <c r="E1231" t="s">
        <v>91</v>
      </c>
      <c r="F1231">
        <v>2</v>
      </c>
      <c r="G1231" s="3" t="s">
        <v>32</v>
      </c>
      <c r="H1231" s="46" t="s">
        <v>15</v>
      </c>
      <c r="I1231" s="17">
        <v>4400000</v>
      </c>
      <c r="J1231" s="17">
        <f>IF(Gastos[[#This Row],[Divisa]]="$", I1231*1, IF(Gastos[[#This Row],[Divisa]]="U$D", I1231*$N$1, IF(Gastos[[#This Row],[Divisa]]="EUR", I1231*$N$2, 0)))</f>
        <v>4400000</v>
      </c>
      <c r="K1231" s="54">
        <f>Gastos[[#This Row],[Importe AR$]]/$N$1</f>
        <v>2820.5128205128203</v>
      </c>
      <c r="M1231" s="69"/>
      <c r="N1231" s="43" t="str">
        <f>IF(Gastos[[#This Row],[Fecha_Cheque]]&gt;0,WEEKNUM(Gastos[[#This Row],[Fecha_Cheque]]),MID(Gastos[[#This Row],[Semana]],6,2))</f>
        <v>10</v>
      </c>
      <c r="O1231" t="s">
        <v>1490</v>
      </c>
      <c r="P1231" t="s">
        <v>27</v>
      </c>
    </row>
    <row r="1232" spans="1:16" hidden="1" x14ac:dyDescent="0.25">
      <c r="A1232" s="3" t="s">
        <v>332</v>
      </c>
      <c r="B1232" t="s">
        <v>1488</v>
      </c>
      <c r="C1232" t="s">
        <v>1923</v>
      </c>
      <c r="D1232" t="s">
        <v>26</v>
      </c>
      <c r="E1232" t="s">
        <v>62</v>
      </c>
      <c r="F1232">
        <v>1</v>
      </c>
      <c r="G1232" s="3" t="s">
        <v>5</v>
      </c>
      <c r="H1232" s="46" t="s">
        <v>15</v>
      </c>
      <c r="I1232" s="17">
        <v>5975000</v>
      </c>
      <c r="J1232" s="17">
        <f>IF(Gastos[[#This Row],[Divisa]]="$", I1232*1, IF(Gastos[[#This Row],[Divisa]]="U$D", I1232*$N$1, IF(Gastos[[#This Row],[Divisa]]="EUR", I1232*$N$2, 0)))</f>
        <v>5975000</v>
      </c>
      <c r="K1232" s="54">
        <f>Gastos[[#This Row],[Importe AR$]]/$N$1</f>
        <v>3830.1282051282051</v>
      </c>
      <c r="M1232" s="69"/>
      <c r="N1232" s="43" t="str">
        <f>IF(Gastos[[#This Row],[Fecha_Cheque]]&gt;0,WEEKNUM(Gastos[[#This Row],[Fecha_Cheque]]),MID(Gastos[[#This Row],[Semana]],6,2))</f>
        <v>12</v>
      </c>
      <c r="O1232" t="s">
        <v>1924</v>
      </c>
      <c r="P1232" t="s">
        <v>27</v>
      </c>
    </row>
    <row r="1233" spans="1:16" hidden="1" x14ac:dyDescent="0.25">
      <c r="A1233" s="3" t="s">
        <v>332</v>
      </c>
      <c r="B1233" t="s">
        <v>1488</v>
      </c>
      <c r="C1233" t="s">
        <v>1923</v>
      </c>
      <c r="D1233" t="s">
        <v>26</v>
      </c>
      <c r="E1233" t="s">
        <v>62</v>
      </c>
      <c r="F1233">
        <v>2</v>
      </c>
      <c r="G1233" s="3" t="s">
        <v>32</v>
      </c>
      <c r="H1233" s="44" t="s">
        <v>15</v>
      </c>
      <c r="I1233" s="17">
        <v>337586.21</v>
      </c>
      <c r="J1233" s="17">
        <f>IF(Gastos[[#This Row],[Divisa]]="$", I1233*1, IF(Gastos[[#This Row],[Divisa]]="U$D", I1233*$N$1, IF(Gastos[[#This Row],[Divisa]]="EUR", I1233*$N$2, 0)))</f>
        <v>337586.21</v>
      </c>
      <c r="K1233" s="54">
        <f>Gastos[[#This Row],[Importe AR$]]/$N$1</f>
        <v>216.40141666666668</v>
      </c>
      <c r="M1233" s="69">
        <v>46123</v>
      </c>
      <c r="N1233" s="43">
        <f>IF(Gastos[[#This Row],[Fecha_Cheque]]&gt;0,WEEKNUM(Gastos[[#This Row],[Fecha_Cheque]]),MID(Gastos[[#This Row],[Semana]],6,2))</f>
        <v>15</v>
      </c>
      <c r="O1233" t="s">
        <v>1925</v>
      </c>
      <c r="P1233" t="s">
        <v>27</v>
      </c>
    </row>
    <row r="1234" spans="1:16" hidden="1" x14ac:dyDescent="0.25">
      <c r="A1234" s="3" t="s">
        <v>332</v>
      </c>
      <c r="B1234" t="s">
        <v>1488</v>
      </c>
      <c r="C1234" t="s">
        <v>1923</v>
      </c>
      <c r="D1234" t="s">
        <v>26</v>
      </c>
      <c r="E1234" t="s">
        <v>62</v>
      </c>
      <c r="F1234">
        <v>2</v>
      </c>
      <c r="G1234" s="3" t="s">
        <v>32</v>
      </c>
      <c r="H1234" s="44" t="s">
        <v>15</v>
      </c>
      <c r="I1234" s="17">
        <v>177544</v>
      </c>
      <c r="J1234" s="17">
        <f>IF(Gastos[[#This Row],[Divisa]]="$", I1234*1, IF(Gastos[[#This Row],[Divisa]]="U$D", I1234*$N$1, IF(Gastos[[#This Row],[Divisa]]="EUR", I1234*$N$2, 0)))</f>
        <v>177544</v>
      </c>
      <c r="K1234" s="54">
        <f>Gastos[[#This Row],[Importe AR$]]/$N$1</f>
        <v>113.81025641025641</v>
      </c>
      <c r="M1234" s="69">
        <v>46126</v>
      </c>
      <c r="N1234" s="43">
        <f>IF(Gastos[[#This Row],[Fecha_Cheque]]&gt;0,WEEKNUM(Gastos[[#This Row],[Fecha_Cheque]]),MID(Gastos[[#This Row],[Semana]],6,2))</f>
        <v>16</v>
      </c>
      <c r="O1234" t="s">
        <v>1925</v>
      </c>
      <c r="P1234" t="s">
        <v>27</v>
      </c>
    </row>
    <row r="1235" spans="1:16" hidden="1" x14ac:dyDescent="0.25">
      <c r="A1235" s="3" t="s">
        <v>332</v>
      </c>
      <c r="B1235" t="s">
        <v>1488</v>
      </c>
      <c r="C1235" t="s">
        <v>1923</v>
      </c>
      <c r="D1235" t="s">
        <v>26</v>
      </c>
      <c r="E1235" t="s">
        <v>62</v>
      </c>
      <c r="F1235">
        <v>2</v>
      </c>
      <c r="G1235" s="3" t="s">
        <v>32</v>
      </c>
      <c r="H1235" s="44" t="s">
        <v>15</v>
      </c>
      <c r="I1235" s="17">
        <v>835694</v>
      </c>
      <c r="J1235" s="17">
        <f>IF(Gastos[[#This Row],[Divisa]]="$", I1235*1, IF(Gastos[[#This Row],[Divisa]]="U$D", I1235*$N$1, IF(Gastos[[#This Row],[Divisa]]="EUR", I1235*$N$2, 0)))</f>
        <v>835694</v>
      </c>
      <c r="K1235" s="54">
        <f>Gastos[[#This Row],[Importe AR$]]/$N$1</f>
        <v>535.70128205128208</v>
      </c>
      <c r="M1235" s="69">
        <v>46123</v>
      </c>
      <c r="N1235" s="43">
        <f>IF(Gastos[[#This Row],[Fecha_Cheque]]&gt;0,WEEKNUM(Gastos[[#This Row],[Fecha_Cheque]]),MID(Gastos[[#This Row],[Semana]],6,2))</f>
        <v>15</v>
      </c>
      <c r="O1235" t="s">
        <v>1925</v>
      </c>
      <c r="P1235" t="s">
        <v>27</v>
      </c>
    </row>
    <row r="1236" spans="1:16" hidden="1" x14ac:dyDescent="0.25">
      <c r="A1236" s="3" t="s">
        <v>332</v>
      </c>
      <c r="B1236" t="s">
        <v>1488</v>
      </c>
      <c r="C1236" t="s">
        <v>1923</v>
      </c>
      <c r="D1236" t="s">
        <v>26</v>
      </c>
      <c r="E1236" t="s">
        <v>62</v>
      </c>
      <c r="F1236">
        <v>2</v>
      </c>
      <c r="G1236" s="3" t="s">
        <v>32</v>
      </c>
      <c r="H1236" s="44" t="s">
        <v>15</v>
      </c>
      <c r="I1236" s="17">
        <v>1000000</v>
      </c>
      <c r="J1236" s="17">
        <f>IF(Gastos[[#This Row],[Divisa]]="$", I1236*1, IF(Gastos[[#This Row],[Divisa]]="U$D", I1236*$N$1, IF(Gastos[[#This Row],[Divisa]]="EUR", I1236*$N$2, 0)))</f>
        <v>1000000</v>
      </c>
      <c r="K1236" s="54">
        <f>Gastos[[#This Row],[Importe AR$]]/$N$1</f>
        <v>641.02564102564099</v>
      </c>
      <c r="M1236" s="69">
        <v>46130</v>
      </c>
      <c r="N1236" s="43">
        <f>IF(Gastos[[#This Row],[Fecha_Cheque]]&gt;0,WEEKNUM(Gastos[[#This Row],[Fecha_Cheque]]),MID(Gastos[[#This Row],[Semana]],6,2))</f>
        <v>16</v>
      </c>
      <c r="O1236" t="s">
        <v>1925</v>
      </c>
      <c r="P1236" t="s">
        <v>27</v>
      </c>
    </row>
    <row r="1237" spans="1:16" hidden="1" x14ac:dyDescent="0.25">
      <c r="A1237" s="3" t="s">
        <v>332</v>
      </c>
      <c r="B1237" t="s">
        <v>1488</v>
      </c>
      <c r="C1237" t="s">
        <v>1923</v>
      </c>
      <c r="D1237" t="s">
        <v>26</v>
      </c>
      <c r="E1237" t="s">
        <v>62</v>
      </c>
      <c r="F1237">
        <v>2</v>
      </c>
      <c r="G1237" s="3" t="s">
        <v>32</v>
      </c>
      <c r="H1237" s="44" t="s">
        <v>15</v>
      </c>
      <c r="I1237" s="17">
        <v>1235694</v>
      </c>
      <c r="J1237" s="17">
        <f>IF(Gastos[[#This Row],[Divisa]]="$", I1237*1, IF(Gastos[[#This Row],[Divisa]]="U$D", I1237*$N$1, IF(Gastos[[#This Row],[Divisa]]="EUR", I1237*$N$2, 0)))</f>
        <v>1235694</v>
      </c>
      <c r="K1237" s="54">
        <f>Gastos[[#This Row],[Importe AR$]]/$N$1</f>
        <v>792.11153846153843</v>
      </c>
      <c r="M1237" s="69">
        <v>46126</v>
      </c>
      <c r="N1237" s="43">
        <f>IF(Gastos[[#This Row],[Fecha_Cheque]]&gt;0,WEEKNUM(Gastos[[#This Row],[Fecha_Cheque]]),MID(Gastos[[#This Row],[Semana]],6,2))</f>
        <v>16</v>
      </c>
      <c r="O1237" t="s">
        <v>1925</v>
      </c>
      <c r="P1237" t="s">
        <v>27</v>
      </c>
    </row>
    <row r="1238" spans="1:16" hidden="1" x14ac:dyDescent="0.25">
      <c r="A1238" s="3" t="s">
        <v>332</v>
      </c>
      <c r="B1238" t="s">
        <v>1488</v>
      </c>
      <c r="C1238" t="s">
        <v>1923</v>
      </c>
      <c r="D1238" t="s">
        <v>26</v>
      </c>
      <c r="E1238" t="s">
        <v>62</v>
      </c>
      <c r="F1238">
        <v>2</v>
      </c>
      <c r="G1238" s="3" t="s">
        <v>32</v>
      </c>
      <c r="H1238" s="44" t="s">
        <v>15</v>
      </c>
      <c r="I1238" s="17">
        <v>1500000</v>
      </c>
      <c r="J1238" s="17">
        <f>IF(Gastos[[#This Row],[Divisa]]="$", I1238*1, IF(Gastos[[#This Row],[Divisa]]="U$D", I1238*$N$1, IF(Gastos[[#This Row],[Divisa]]="EUR", I1238*$N$2, 0)))</f>
        <v>1500000</v>
      </c>
      <c r="K1238" s="54">
        <f>Gastos[[#This Row],[Importe AR$]]/$N$1</f>
        <v>961.53846153846155</v>
      </c>
      <c r="M1238" s="69">
        <v>46116</v>
      </c>
      <c r="N1238" s="43">
        <f>IF(Gastos[[#This Row],[Fecha_Cheque]]&gt;0,WEEKNUM(Gastos[[#This Row],[Fecha_Cheque]]),MID(Gastos[[#This Row],[Semana]],6,2))</f>
        <v>14</v>
      </c>
      <c r="O1238" t="s">
        <v>1925</v>
      </c>
      <c r="P1238" t="s">
        <v>27</v>
      </c>
    </row>
    <row r="1239" spans="1:16" hidden="1" x14ac:dyDescent="0.25">
      <c r="A1239" s="3" t="s">
        <v>332</v>
      </c>
      <c r="B1239" t="s">
        <v>1488</v>
      </c>
      <c r="C1239" t="s">
        <v>1923</v>
      </c>
      <c r="D1239" t="s">
        <v>26</v>
      </c>
      <c r="E1239" t="s">
        <v>62</v>
      </c>
      <c r="F1239">
        <v>2</v>
      </c>
      <c r="G1239" s="3" t="s">
        <v>32</v>
      </c>
      <c r="H1239" s="44" t="s">
        <v>15</v>
      </c>
      <c r="I1239" s="17">
        <v>1500000</v>
      </c>
      <c r="J1239" s="17">
        <f>IF(Gastos[[#This Row],[Divisa]]="$", I1239*1, IF(Gastos[[#This Row],[Divisa]]="U$D", I1239*$N$1, IF(Gastos[[#This Row],[Divisa]]="EUR", I1239*$N$2, 0)))</f>
        <v>1500000</v>
      </c>
      <c r="K1239" s="54">
        <f>Gastos[[#This Row],[Importe AR$]]/$N$1</f>
        <v>961.53846153846155</v>
      </c>
      <c r="M1239" s="69">
        <v>46115</v>
      </c>
      <c r="N1239" s="43">
        <f>IF(Gastos[[#This Row],[Fecha_Cheque]]&gt;0,WEEKNUM(Gastos[[#This Row],[Fecha_Cheque]]),MID(Gastos[[#This Row],[Semana]],6,2))</f>
        <v>14</v>
      </c>
      <c r="O1239" t="s">
        <v>1925</v>
      </c>
      <c r="P1239" t="s">
        <v>27</v>
      </c>
    </row>
    <row r="1240" spans="1:16" hidden="1" x14ac:dyDescent="0.25">
      <c r="A1240" s="3" t="s">
        <v>332</v>
      </c>
      <c r="B1240" t="s">
        <v>1488</v>
      </c>
      <c r="C1240" t="s">
        <v>1923</v>
      </c>
      <c r="D1240" t="s">
        <v>26</v>
      </c>
      <c r="E1240" t="s">
        <v>42</v>
      </c>
      <c r="F1240">
        <v>2</v>
      </c>
      <c r="G1240" s="3" t="s">
        <v>4</v>
      </c>
      <c r="H1240" s="44" t="s">
        <v>15</v>
      </c>
      <c r="I1240" s="17">
        <v>1434481.79</v>
      </c>
      <c r="J1240" s="17">
        <f>IF(Gastos[[#This Row],[Divisa]]="$", I1240*1, IF(Gastos[[#This Row],[Divisa]]="U$D", I1240*$N$1, IF(Gastos[[#This Row],[Divisa]]="EUR", I1240*$N$2, 0)))</f>
        <v>1434481.79</v>
      </c>
      <c r="K1240" s="54">
        <f>Gastos[[#This Row],[Importe AR$]]/$N$1</f>
        <v>919.539608974359</v>
      </c>
      <c r="M1240" s="69"/>
      <c r="N1240" s="43" t="str">
        <f>IF(Gastos[[#This Row],[Fecha_Cheque]]&gt;0,WEEKNUM(Gastos[[#This Row],[Fecha_Cheque]]),MID(Gastos[[#This Row],[Semana]],6,2))</f>
        <v>12</v>
      </c>
      <c r="O1240" t="s">
        <v>1925</v>
      </c>
      <c r="P1240" t="s">
        <v>27</v>
      </c>
    </row>
    <row r="1241" spans="1:16" hidden="1" x14ac:dyDescent="0.25">
      <c r="A1241" s="3" t="s">
        <v>2711</v>
      </c>
      <c r="B1241" t="s">
        <v>1488</v>
      </c>
      <c r="C1241" t="s">
        <v>2838</v>
      </c>
      <c r="D1241" t="s">
        <v>26</v>
      </c>
      <c r="E1241" t="s">
        <v>91</v>
      </c>
      <c r="F1241">
        <v>2</v>
      </c>
      <c r="G1241" s="3" t="s">
        <v>32</v>
      </c>
      <c r="H1241" s="44" t="s">
        <v>15</v>
      </c>
      <c r="I1241" s="17">
        <v>1274072.3999999999</v>
      </c>
      <c r="J1241" s="17">
        <f>IF(Gastos[[#This Row],[Divisa]]="$", I1241*1, IF(Gastos[[#This Row],[Divisa]]="U$D", I1241*$N$1, IF(Gastos[[#This Row],[Divisa]]="EUR", I1241*$N$2, 0)))</f>
        <v>1274072.3999999999</v>
      </c>
      <c r="K1241" s="54">
        <f>Gastos[[#This Row],[Importe AR$]]/$N$1</f>
        <v>816.71307692307687</v>
      </c>
      <c r="M1241" s="69">
        <v>46135</v>
      </c>
      <c r="N1241" s="43">
        <f>IF(Gastos[[#This Row],[Fecha_Cheque]]&gt;0,WEEKNUM(Gastos[[#This Row],[Fecha_Cheque]]),MID(Gastos[[#This Row],[Semana]],6,2))</f>
        <v>17</v>
      </c>
      <c r="O1241" t="s">
        <v>2839</v>
      </c>
      <c r="P1241" t="s">
        <v>27</v>
      </c>
    </row>
    <row r="1242" spans="1:16" hidden="1" x14ac:dyDescent="0.25">
      <c r="A1242" s="3" t="s">
        <v>2711</v>
      </c>
      <c r="B1242" t="s">
        <v>1488</v>
      </c>
      <c r="C1242" t="s">
        <v>2838</v>
      </c>
      <c r="D1242" t="s">
        <v>26</v>
      </c>
      <c r="E1242" t="s">
        <v>91</v>
      </c>
      <c r="F1242">
        <v>2</v>
      </c>
      <c r="G1242" s="3" t="s">
        <v>32</v>
      </c>
      <c r="H1242" s="44" t="s">
        <v>15</v>
      </c>
      <c r="I1242" s="17">
        <v>1274072.3999999999</v>
      </c>
      <c r="J1242" s="17">
        <f>IF(Gastos[[#This Row],[Divisa]]="$", I1242*1, IF(Gastos[[#This Row],[Divisa]]="U$D", I1242*$N$1, IF(Gastos[[#This Row],[Divisa]]="EUR", I1242*$N$2, 0)))</f>
        <v>1274072.3999999999</v>
      </c>
      <c r="K1242" s="54">
        <f>Gastos[[#This Row],[Importe AR$]]/$N$1</f>
        <v>816.71307692307687</v>
      </c>
      <c r="M1242" s="69">
        <v>46128</v>
      </c>
      <c r="N1242" s="43">
        <f>IF(Gastos[[#This Row],[Fecha_Cheque]]&gt;0,WEEKNUM(Gastos[[#This Row],[Fecha_Cheque]]),MID(Gastos[[#This Row],[Semana]],6,2))</f>
        <v>16</v>
      </c>
      <c r="O1242" t="s">
        <v>2839</v>
      </c>
      <c r="P1242" t="s">
        <v>27</v>
      </c>
    </row>
    <row r="1243" spans="1:16" hidden="1" x14ac:dyDescent="0.25">
      <c r="A1243" s="3" t="s">
        <v>2711</v>
      </c>
      <c r="B1243" t="s">
        <v>1488</v>
      </c>
      <c r="C1243" t="s">
        <v>2838</v>
      </c>
      <c r="D1243" t="s">
        <v>26</v>
      </c>
      <c r="E1243" t="s">
        <v>91</v>
      </c>
      <c r="F1243">
        <v>2</v>
      </c>
      <c r="G1243" s="3" t="s">
        <v>32</v>
      </c>
      <c r="H1243" s="44" t="s">
        <v>15</v>
      </c>
      <c r="I1243" s="17">
        <v>5196927.97</v>
      </c>
      <c r="J1243" s="17">
        <f>IF(Gastos[[#This Row],[Divisa]]="$", I1243*1, IF(Gastos[[#This Row],[Divisa]]="U$D", I1243*$N$1, IF(Gastos[[#This Row],[Divisa]]="EUR", I1243*$N$2, 0)))</f>
        <v>5196927.97</v>
      </c>
      <c r="K1243" s="54">
        <f>Gastos[[#This Row],[Importe AR$]]/$N$1</f>
        <v>3331.3640833333334</v>
      </c>
      <c r="M1243" s="69">
        <v>46151</v>
      </c>
      <c r="N1243" s="43">
        <f>IF(Gastos[[#This Row],[Fecha_Cheque]]&gt;0,WEEKNUM(Gastos[[#This Row],[Fecha_Cheque]]),MID(Gastos[[#This Row],[Semana]],6,2))</f>
        <v>19</v>
      </c>
      <c r="O1243" t="s">
        <v>2839</v>
      </c>
      <c r="P1243" t="s">
        <v>27</v>
      </c>
    </row>
    <row r="1244" spans="1:16" hidden="1" x14ac:dyDescent="0.25">
      <c r="A1244" s="3" t="s">
        <v>2711</v>
      </c>
      <c r="B1244" t="s">
        <v>1488</v>
      </c>
      <c r="C1244" t="s">
        <v>2838</v>
      </c>
      <c r="D1244" t="s">
        <v>26</v>
      </c>
      <c r="E1244" t="s">
        <v>91</v>
      </c>
      <c r="F1244">
        <v>2</v>
      </c>
      <c r="G1244" s="3" t="s">
        <v>32</v>
      </c>
      <c r="H1244" s="44" t="s">
        <v>15</v>
      </c>
      <c r="I1244" s="17">
        <v>850927.23</v>
      </c>
      <c r="J1244" s="17">
        <f>IF(Gastos[[#This Row],[Divisa]]="$", I1244*1, IF(Gastos[[#This Row],[Divisa]]="U$D", I1244*$N$1, IF(Gastos[[#This Row],[Divisa]]="EUR", I1244*$N$2, 0)))</f>
        <v>850927.23</v>
      </c>
      <c r="K1244" s="54">
        <f>Gastos[[#This Row],[Importe AR$]]/$N$1</f>
        <v>545.46617307692304</v>
      </c>
      <c r="M1244" s="69">
        <v>46121</v>
      </c>
      <c r="N1244" s="43">
        <f>IF(Gastos[[#This Row],[Fecha_Cheque]]&gt;0,WEEKNUM(Gastos[[#This Row],[Fecha_Cheque]]),MID(Gastos[[#This Row],[Semana]],6,2))</f>
        <v>15</v>
      </c>
      <c r="O1244" t="s">
        <v>2839</v>
      </c>
      <c r="P1244" t="s">
        <v>27</v>
      </c>
    </row>
    <row r="1245" spans="1:16" hidden="1" x14ac:dyDescent="0.25">
      <c r="A1245" s="3" t="s">
        <v>232</v>
      </c>
      <c r="B1245" t="s">
        <v>835</v>
      </c>
      <c r="C1245" t="s">
        <v>125</v>
      </c>
      <c r="D1245" t="s">
        <v>26</v>
      </c>
      <c r="E1245" t="s">
        <v>31</v>
      </c>
      <c r="F1245">
        <v>1</v>
      </c>
      <c r="G1245" s="3" t="s">
        <v>5</v>
      </c>
      <c r="H1245" s="46" t="s">
        <v>15</v>
      </c>
      <c r="I1245" s="17">
        <v>1333226</v>
      </c>
      <c r="J1245" s="17">
        <f>IF(Gastos[[#This Row],[Divisa]]="$", I1245*1, IF(Gastos[[#This Row],[Divisa]]="U$D", I1245*$N$1, IF(Gastos[[#This Row],[Divisa]]="EUR", I1245*$N$2, 0)))</f>
        <v>1333226</v>
      </c>
      <c r="K1245" s="54">
        <f>Gastos[[#This Row],[Importe AR$]]/$N$1</f>
        <v>854.63205128205129</v>
      </c>
      <c r="M1245" s="69"/>
      <c r="N1245" s="43" t="str">
        <f>IF(Gastos[[#This Row],[Fecha_Cheque]]&gt;0,WEEKNUM(Gastos[[#This Row],[Fecha_Cheque]]),MID(Gastos[[#This Row],[Semana]],6,2))</f>
        <v>44</v>
      </c>
      <c r="O1245" t="s">
        <v>836</v>
      </c>
      <c r="P1245" t="s">
        <v>27</v>
      </c>
    </row>
    <row r="1246" spans="1:16" hidden="1" x14ac:dyDescent="0.25">
      <c r="A1246" s="3" t="s">
        <v>210</v>
      </c>
      <c r="B1246" t="s">
        <v>837</v>
      </c>
      <c r="C1246" t="s">
        <v>838</v>
      </c>
      <c r="D1246" t="s">
        <v>26</v>
      </c>
      <c r="E1246" t="s">
        <v>31</v>
      </c>
      <c r="F1246">
        <v>1</v>
      </c>
      <c r="G1246" s="3" t="s">
        <v>32</v>
      </c>
      <c r="H1246" s="46" t="s">
        <v>15</v>
      </c>
      <c r="I1246" s="17">
        <v>336884.43</v>
      </c>
      <c r="J1246" s="17">
        <f>IF(Gastos[[#This Row],[Divisa]]="$", I1246*1, IF(Gastos[[#This Row],[Divisa]]="U$D", I1246*$N$1, IF(Gastos[[#This Row],[Divisa]]="EUR", I1246*$N$2, 0)))</f>
        <v>336884.43</v>
      </c>
      <c r="K1246" s="54">
        <f>Gastos[[#This Row],[Importe AR$]]/$N$1</f>
        <v>215.95155769230769</v>
      </c>
      <c r="M1246" s="69">
        <v>45940</v>
      </c>
      <c r="N1246" s="43">
        <f>IF(Gastos[[#This Row],[Fecha_Cheque]]&gt;0,WEEKNUM(Gastos[[#This Row],[Fecha_Cheque]]),MID(Gastos[[#This Row],[Semana]],6,2))</f>
        <v>41</v>
      </c>
      <c r="O1246" t="s">
        <v>123</v>
      </c>
      <c r="P1246" t="s">
        <v>27</v>
      </c>
    </row>
    <row r="1247" spans="1:16" hidden="1" x14ac:dyDescent="0.25">
      <c r="A1247" s="3" t="s">
        <v>124</v>
      </c>
      <c r="B1247" t="s">
        <v>839</v>
      </c>
      <c r="C1247" t="s">
        <v>574</v>
      </c>
      <c r="D1247" t="s">
        <v>26</v>
      </c>
      <c r="E1247" t="s">
        <v>31</v>
      </c>
      <c r="F1247">
        <v>1</v>
      </c>
      <c r="G1247" s="3" t="s">
        <v>32</v>
      </c>
      <c r="H1247" s="46" t="s">
        <v>15</v>
      </c>
      <c r="I1247" s="17">
        <v>402131.57</v>
      </c>
      <c r="J1247" s="17">
        <f>IF(Gastos[[#This Row],[Divisa]]="$", I1247*1, IF(Gastos[[#This Row],[Divisa]]="U$D", I1247*$N$1, IF(Gastos[[#This Row],[Divisa]]="EUR", I1247*$N$2, 0)))</f>
        <v>402131.57</v>
      </c>
      <c r="K1247" s="54">
        <f>Gastos[[#This Row],[Importe AR$]]/$N$1</f>
        <v>257.77664743589742</v>
      </c>
      <c r="M1247" s="69"/>
      <c r="N1247" s="43" t="str">
        <f>IF(Gastos[[#This Row],[Fecha_Cheque]]&gt;0,WEEKNUM(Gastos[[#This Row],[Fecha_Cheque]]),MID(Gastos[[#This Row],[Semana]],6,2))</f>
        <v>42</v>
      </c>
      <c r="O1247" t="s">
        <v>840</v>
      </c>
      <c r="P1247" t="s">
        <v>27</v>
      </c>
    </row>
    <row r="1248" spans="1:16" hidden="1" x14ac:dyDescent="0.25">
      <c r="A1248" s="3" t="s">
        <v>332</v>
      </c>
      <c r="B1248" t="s">
        <v>839</v>
      </c>
      <c r="C1248" t="s">
        <v>574</v>
      </c>
      <c r="D1248" t="s">
        <v>26</v>
      </c>
      <c r="E1248" t="s">
        <v>225</v>
      </c>
      <c r="F1248">
        <v>1</v>
      </c>
      <c r="G1248" s="3" t="s">
        <v>32</v>
      </c>
      <c r="H1248" s="46" t="s">
        <v>15</v>
      </c>
      <c r="I1248" s="17">
        <v>400000</v>
      </c>
      <c r="J1248" s="17">
        <f>IF(Gastos[[#This Row],[Divisa]]="$", I1248*1, IF(Gastos[[#This Row],[Divisa]]="U$D", I1248*$N$1, IF(Gastos[[#This Row],[Divisa]]="EUR", I1248*$N$2, 0)))</f>
        <v>400000</v>
      </c>
      <c r="K1248" s="54">
        <f>Gastos[[#This Row],[Importe AR$]]/$N$1</f>
        <v>256.41025641025641</v>
      </c>
      <c r="M1248" s="69">
        <v>46125</v>
      </c>
      <c r="N1248" s="43">
        <f>IF(Gastos[[#This Row],[Fecha_Cheque]]&gt;0,WEEKNUM(Gastos[[#This Row],[Fecha_Cheque]]),MID(Gastos[[#This Row],[Semana]],6,2))</f>
        <v>16</v>
      </c>
      <c r="O1248" t="s">
        <v>1935</v>
      </c>
      <c r="P1248" t="s">
        <v>27</v>
      </c>
    </row>
    <row r="1249" spans="1:16" hidden="1" x14ac:dyDescent="0.25">
      <c r="A1249" s="3" t="s">
        <v>332</v>
      </c>
      <c r="B1249" t="s">
        <v>839</v>
      </c>
      <c r="C1249" t="s">
        <v>574</v>
      </c>
      <c r="D1249" t="s">
        <v>26</v>
      </c>
      <c r="E1249" t="s">
        <v>225</v>
      </c>
      <c r="F1249">
        <v>1</v>
      </c>
      <c r="G1249" s="3" t="s">
        <v>32</v>
      </c>
      <c r="H1249" s="44" t="s">
        <v>15</v>
      </c>
      <c r="I1249" s="17">
        <v>1014125</v>
      </c>
      <c r="J1249" s="17">
        <f>IF(Gastos[[#This Row],[Divisa]]="$", I1249*1, IF(Gastos[[#This Row],[Divisa]]="U$D", I1249*$N$1, IF(Gastos[[#This Row],[Divisa]]="EUR", I1249*$N$2, 0)))</f>
        <v>1014125</v>
      </c>
      <c r="K1249" s="54">
        <f>Gastos[[#This Row],[Importe AR$]]/$N$1</f>
        <v>650.08012820512818</v>
      </c>
      <c r="M1249" s="69">
        <v>46133</v>
      </c>
      <c r="N1249" s="43">
        <f>IF(Gastos[[#This Row],[Fecha_Cheque]]&gt;0,WEEKNUM(Gastos[[#This Row],[Fecha_Cheque]]),MID(Gastos[[#This Row],[Semana]],6,2))</f>
        <v>17</v>
      </c>
      <c r="O1249" t="s">
        <v>1935</v>
      </c>
      <c r="P1249" t="s">
        <v>27</v>
      </c>
    </row>
    <row r="1250" spans="1:16" hidden="1" x14ac:dyDescent="0.25">
      <c r="A1250" s="3" t="s">
        <v>332</v>
      </c>
      <c r="B1250" t="s">
        <v>839</v>
      </c>
      <c r="C1250" t="s">
        <v>574</v>
      </c>
      <c r="D1250" t="s">
        <v>26</v>
      </c>
      <c r="E1250" t="s">
        <v>225</v>
      </c>
      <c r="F1250">
        <v>1</v>
      </c>
      <c r="G1250" s="3" t="s">
        <v>32</v>
      </c>
      <c r="H1250" s="44" t="s">
        <v>15</v>
      </c>
      <c r="I1250" s="17">
        <v>18893.97</v>
      </c>
      <c r="J1250" s="17">
        <f>IF(Gastos[[#This Row],[Divisa]]="$", I1250*1, IF(Gastos[[#This Row],[Divisa]]="U$D", I1250*$N$1, IF(Gastos[[#This Row],[Divisa]]="EUR", I1250*$N$2, 0)))</f>
        <v>18893.97</v>
      </c>
      <c r="K1250" s="54">
        <f>Gastos[[#This Row],[Importe AR$]]/$N$1</f>
        <v>12.111519230769231</v>
      </c>
      <c r="L1250" t="s">
        <v>340</v>
      </c>
      <c r="M1250" s="69"/>
      <c r="N1250" s="43" t="str">
        <f>IF(Gastos[[#This Row],[Fecha_Cheque]]&gt;0,WEEKNUM(Gastos[[#This Row],[Fecha_Cheque]]),MID(Gastos[[#This Row],[Semana]],6,2))</f>
        <v>12</v>
      </c>
      <c r="O1250" t="s">
        <v>1935</v>
      </c>
      <c r="P1250" t="s">
        <v>27</v>
      </c>
    </row>
    <row r="1251" spans="1:16" hidden="1" x14ac:dyDescent="0.25">
      <c r="A1251" s="3" t="s">
        <v>3617</v>
      </c>
      <c r="B1251" t="s">
        <v>839</v>
      </c>
      <c r="C1251" t="s">
        <v>3589</v>
      </c>
      <c r="D1251" t="s">
        <v>26</v>
      </c>
      <c r="E1251" t="s">
        <v>225</v>
      </c>
      <c r="F1251">
        <v>1</v>
      </c>
      <c r="G1251" s="3" t="s">
        <v>32</v>
      </c>
      <c r="H1251" s="44" t="s">
        <v>15</v>
      </c>
      <c r="I1251" s="17">
        <v>3212624.89</v>
      </c>
      <c r="J1251" s="17">
        <f>IF(Gastos[[#This Row],[Divisa]]="$", I1251*1, IF(Gastos[[#This Row],[Divisa]]="U$D", I1251*$N$1, IF(Gastos[[#This Row],[Divisa]]="EUR", I1251*$N$2, 0)))</f>
        <v>3212624.89</v>
      </c>
      <c r="K1251" s="54">
        <f>Gastos[[#This Row],[Importe AR$]]/$N$1</f>
        <v>2059.3749294871795</v>
      </c>
      <c r="M1251" s="69">
        <v>46196</v>
      </c>
      <c r="N1251" s="43">
        <f>IF(Gastos[[#This Row],[Fecha_Cheque]]&gt;0,WEEKNUM(Gastos[[#This Row],[Fecha_Cheque]]),MID(Gastos[[#This Row],[Semana]],6,2))</f>
        <v>26</v>
      </c>
      <c r="O1251" t="s">
        <v>3631</v>
      </c>
      <c r="P1251" t="s">
        <v>27</v>
      </c>
    </row>
    <row r="1252" spans="1:16" hidden="1" x14ac:dyDescent="0.25">
      <c r="A1252" s="3" t="s">
        <v>3617</v>
      </c>
      <c r="B1252" t="s">
        <v>839</v>
      </c>
      <c r="C1252" t="s">
        <v>3589</v>
      </c>
      <c r="D1252" t="s">
        <v>26</v>
      </c>
      <c r="E1252" t="s">
        <v>225</v>
      </c>
      <c r="F1252">
        <v>1</v>
      </c>
      <c r="G1252" s="3" t="s">
        <v>32</v>
      </c>
      <c r="H1252" s="44" t="s">
        <v>15</v>
      </c>
      <c r="I1252" s="17">
        <v>5772.5</v>
      </c>
      <c r="J1252" s="17">
        <f>IF(Gastos[[#This Row],[Divisa]]="$", I1252*1, IF(Gastos[[#This Row],[Divisa]]="U$D", I1252*$N$1, IF(Gastos[[#This Row],[Divisa]]="EUR", I1252*$N$2, 0)))</f>
        <v>5772.5</v>
      </c>
      <c r="K1252" s="54">
        <f>Gastos[[#This Row],[Importe AR$]]/$N$1</f>
        <v>3.7003205128205128</v>
      </c>
      <c r="L1252" t="s">
        <v>340</v>
      </c>
      <c r="M1252" s="69"/>
      <c r="N1252" s="43" t="str">
        <f>IF(Gastos[[#This Row],[Fecha_Cheque]]&gt;0,WEEKNUM(Gastos[[#This Row],[Fecha_Cheque]]),MID(Gastos[[#This Row],[Semana]],6,2))</f>
        <v>27</v>
      </c>
      <c r="O1252" t="s">
        <v>3631</v>
      </c>
      <c r="P1252" t="s">
        <v>27</v>
      </c>
    </row>
    <row r="1253" spans="1:16" x14ac:dyDescent="0.25">
      <c r="A1253" s="3" t="s">
        <v>4655</v>
      </c>
      <c r="B1253" t="s">
        <v>3575</v>
      </c>
      <c r="C1253" t="s">
        <v>4533</v>
      </c>
      <c r="D1253" t="s">
        <v>26</v>
      </c>
      <c r="E1253" t="s">
        <v>91</v>
      </c>
      <c r="F1253">
        <v>1</v>
      </c>
      <c r="G1253" s="3" t="s">
        <v>32</v>
      </c>
      <c r="H1253" s="44" t="s">
        <v>15</v>
      </c>
      <c r="I1253" s="17">
        <v>39597000</v>
      </c>
      <c r="J1253" s="17">
        <f>IF(Gastos[[#This Row],[Divisa]]="$", I1253*1, IF(Gastos[[#This Row],[Divisa]]="U$D", I1253*$N$1, IF(Gastos[[#This Row],[Divisa]]="EUR", I1253*$N$2, 0)))</f>
        <v>39597000</v>
      </c>
      <c r="K1253" s="54">
        <f>Gastos[[#This Row],[Importe AR$]]/$N$1</f>
        <v>25382.692307692309</v>
      </c>
      <c r="M1253" s="69"/>
      <c r="N1253" s="43" t="str">
        <f>IF(Gastos[[#This Row],[Fecha_Cheque]]&gt;0,WEEKNUM(Gastos[[#This Row],[Fecha_Cheque]]),MID(Gastos[[#This Row],[Semana]],6,2))</f>
        <v>44</v>
      </c>
    </row>
    <row r="1254" spans="1:16" x14ac:dyDescent="0.25">
      <c r="A1254" s="3" t="s">
        <v>4655</v>
      </c>
      <c r="B1254" t="s">
        <v>3575</v>
      </c>
      <c r="C1254" t="s">
        <v>4702</v>
      </c>
      <c r="D1254" t="s">
        <v>26</v>
      </c>
      <c r="E1254" t="s">
        <v>91</v>
      </c>
      <c r="F1254">
        <v>1</v>
      </c>
      <c r="G1254" s="3" t="s">
        <v>32</v>
      </c>
      <c r="H1254" s="44" t="s">
        <v>15</v>
      </c>
      <c r="I1254" s="17">
        <v>44381131.649999999</v>
      </c>
      <c r="J1254" s="17">
        <f>IF(Gastos[[#This Row],[Divisa]]="$", I1254*1, IF(Gastos[[#This Row],[Divisa]]="U$D", I1254*$N$1, IF(Gastos[[#This Row],[Divisa]]="EUR", I1254*$N$2, 0)))</f>
        <v>44381131.649999999</v>
      </c>
      <c r="K1254" s="54">
        <f>Gastos[[#This Row],[Importe AR$]]/$N$1</f>
        <v>28449.443365384614</v>
      </c>
      <c r="L1254" s="100"/>
      <c r="M1254" s="101"/>
      <c r="N1254" s="102" t="str">
        <f>IF(Gastos[[#This Row],[Fecha_Cheque]]&gt;0,WEEKNUM(Gastos[[#This Row],[Fecha_Cheque]]),MID(Gastos[[#This Row],[Semana]],6,2))</f>
        <v>44</v>
      </c>
      <c r="O1254" s="100"/>
      <c r="P1254" s="100"/>
    </row>
    <row r="1255" spans="1:16" x14ac:dyDescent="0.25">
      <c r="A1255" s="3" t="s">
        <v>4655</v>
      </c>
      <c r="B1255" t="s">
        <v>3575</v>
      </c>
      <c r="C1255" t="s">
        <v>4534</v>
      </c>
      <c r="D1255" t="s">
        <v>26</v>
      </c>
      <c r="E1255" t="s">
        <v>62</v>
      </c>
      <c r="F1255">
        <v>1</v>
      </c>
      <c r="G1255" s="3" t="s">
        <v>32</v>
      </c>
      <c r="H1255" s="44" t="s">
        <v>15</v>
      </c>
      <c r="I1255" s="17">
        <v>72187000</v>
      </c>
      <c r="J1255" s="17">
        <f>IF(Gastos[[#This Row],[Divisa]]="$", I1255*1, IF(Gastos[[#This Row],[Divisa]]="U$D", I1255*$N$1, IF(Gastos[[#This Row],[Divisa]]="EUR", I1255*$N$2, 0)))</f>
        <v>72187000</v>
      </c>
      <c r="K1255" s="54">
        <f>Gastos[[#This Row],[Importe AR$]]/$N$1</f>
        <v>46273.717948717946</v>
      </c>
      <c r="M1255" s="69"/>
      <c r="N1255" s="43" t="str">
        <f>IF(Gastos[[#This Row],[Fecha_Cheque]]&gt;0,WEEKNUM(Gastos[[#This Row],[Fecha_Cheque]]),MID(Gastos[[#This Row],[Semana]],6,2))</f>
        <v>44</v>
      </c>
      <c r="P1255" t="s">
        <v>7</v>
      </c>
    </row>
    <row r="1256" spans="1:16" x14ac:dyDescent="0.25">
      <c r="A1256" s="99" t="s">
        <v>4655</v>
      </c>
      <c r="B1256" s="100" t="s">
        <v>4690</v>
      </c>
      <c r="C1256" t="s">
        <v>814</v>
      </c>
      <c r="D1256" s="100" t="s">
        <v>26</v>
      </c>
      <c r="E1256" s="100" t="s">
        <v>91</v>
      </c>
      <c r="F1256" s="100">
        <v>1</v>
      </c>
      <c r="G1256" s="99" t="s">
        <v>32</v>
      </c>
      <c r="H1256" s="44" t="s">
        <v>15</v>
      </c>
      <c r="I1256" s="17">
        <v>3000000</v>
      </c>
      <c r="J1256" s="17">
        <f>IF(Gastos[[#This Row],[Divisa]]="$", I1256*1, IF(Gastos[[#This Row],[Divisa]]="U$D", I1256*$N$1, IF(Gastos[[#This Row],[Divisa]]="EUR", I1256*$N$2, 0)))</f>
        <v>3000000</v>
      </c>
      <c r="K1256" s="54">
        <f>Gastos[[#This Row],[Importe AR$]]/$N$1</f>
        <v>1923.0769230769231</v>
      </c>
      <c r="L1256" s="100"/>
      <c r="M1256" s="101">
        <v>46343</v>
      </c>
      <c r="N1256" s="102">
        <f>IF(Gastos[[#This Row],[Fecha_Cheque]]&gt;0,WEEKNUM(Gastos[[#This Row],[Fecha_Cheque]]),MID(Gastos[[#This Row],[Semana]],6,2))</f>
        <v>47</v>
      </c>
      <c r="O1256" s="100" t="s">
        <v>4691</v>
      </c>
      <c r="P1256" s="100" t="s">
        <v>27</v>
      </c>
    </row>
    <row r="1257" spans="1:16" x14ac:dyDescent="0.25">
      <c r="A1257" s="99" t="s">
        <v>4655</v>
      </c>
      <c r="B1257" s="100" t="s">
        <v>4690</v>
      </c>
      <c r="C1257" t="s">
        <v>814</v>
      </c>
      <c r="D1257" s="100" t="s">
        <v>26</v>
      </c>
      <c r="E1257" s="100" t="s">
        <v>91</v>
      </c>
      <c r="F1257" s="100">
        <v>1</v>
      </c>
      <c r="G1257" s="99" t="s">
        <v>32</v>
      </c>
      <c r="H1257" s="44" t="s">
        <v>15</v>
      </c>
      <c r="I1257" s="17">
        <v>3000000</v>
      </c>
      <c r="J1257" s="17">
        <f>IF(Gastos[[#This Row],[Divisa]]="$", I1257*1, IF(Gastos[[#This Row],[Divisa]]="U$D", I1257*$N$1, IF(Gastos[[#This Row],[Divisa]]="EUR", I1257*$N$2, 0)))</f>
        <v>3000000</v>
      </c>
      <c r="K1257" s="54">
        <f>Gastos[[#This Row],[Importe AR$]]/$N$1</f>
        <v>1923.0769230769231</v>
      </c>
      <c r="L1257" s="100"/>
      <c r="M1257" s="101">
        <v>2411</v>
      </c>
      <c r="N1257" s="102">
        <f>IF(Gastos[[#This Row],[Fecha_Cheque]]&gt;0,WEEKNUM(Gastos[[#This Row],[Fecha_Cheque]]),MID(Gastos[[#This Row],[Semana]],6,2))</f>
        <v>32</v>
      </c>
      <c r="O1257" s="100" t="s">
        <v>4691</v>
      </c>
      <c r="P1257" s="100" t="s">
        <v>27</v>
      </c>
    </row>
    <row r="1258" spans="1:16" hidden="1" x14ac:dyDescent="0.25">
      <c r="A1258" s="3" t="s">
        <v>4569</v>
      </c>
      <c r="B1258" t="s">
        <v>4531</v>
      </c>
      <c r="C1258" t="s">
        <v>4532</v>
      </c>
      <c r="D1258" t="s">
        <v>26</v>
      </c>
      <c r="E1258" t="s">
        <v>62</v>
      </c>
      <c r="F1258">
        <v>1</v>
      </c>
      <c r="G1258" s="3" t="s">
        <v>32</v>
      </c>
      <c r="H1258" s="44" t="s">
        <v>15</v>
      </c>
      <c r="I1258" s="17">
        <v>956000</v>
      </c>
      <c r="J1258" s="17">
        <f>IF(Gastos[[#This Row],[Divisa]]="$", I1258*1, IF(Gastos[[#This Row],[Divisa]]="U$D", I1258*$N$1, IF(Gastos[[#This Row],[Divisa]]="EUR", I1258*$N$2, 0)))</f>
        <v>956000</v>
      </c>
      <c r="K1258" s="54">
        <f>Gastos[[#This Row],[Importe AR$]]/$N$1</f>
        <v>612.82051282051282</v>
      </c>
      <c r="M1258" s="69">
        <v>46335</v>
      </c>
      <c r="N1258" s="43">
        <f>IF(Gastos[[#This Row],[Fecha_Cheque]]&gt;0,WEEKNUM(Gastos[[#This Row],[Fecha_Cheque]]),MID(Gastos[[#This Row],[Semana]],6,2))</f>
        <v>46</v>
      </c>
      <c r="O1258" t="s">
        <v>4618</v>
      </c>
      <c r="P1258" t="s">
        <v>27</v>
      </c>
    </row>
    <row r="1259" spans="1:16" hidden="1" x14ac:dyDescent="0.25">
      <c r="A1259" s="3" t="s">
        <v>4569</v>
      </c>
      <c r="B1259" t="s">
        <v>4531</v>
      </c>
      <c r="C1259" t="s">
        <v>4532</v>
      </c>
      <c r="D1259" t="s">
        <v>26</v>
      </c>
      <c r="E1259" t="s">
        <v>62</v>
      </c>
      <c r="F1259">
        <v>1</v>
      </c>
      <c r="G1259" s="3" t="s">
        <v>5</v>
      </c>
      <c r="H1259" s="44" t="s">
        <v>15</v>
      </c>
      <c r="I1259" s="17">
        <v>264050.25</v>
      </c>
      <c r="J1259" s="17">
        <f>IF(Gastos[[#This Row],[Divisa]]="$", I1259*1, IF(Gastos[[#This Row],[Divisa]]="U$D", I1259*$N$1, IF(Gastos[[#This Row],[Divisa]]="EUR", I1259*$N$2, 0)))</f>
        <v>264050.25</v>
      </c>
      <c r="K1259" s="54">
        <f>Gastos[[#This Row],[Importe AR$]]/$N$1</f>
        <v>169.26298076923078</v>
      </c>
      <c r="M1259" s="69"/>
      <c r="N1259" s="43" t="str">
        <f>IF(Gastos[[#This Row],[Fecha_Cheque]]&gt;0,WEEKNUM(Gastos[[#This Row],[Fecha_Cheque]]),MID(Gastos[[#This Row],[Semana]],6,2))</f>
        <v>43</v>
      </c>
      <c r="O1259" t="s">
        <v>4618</v>
      </c>
      <c r="P1259" t="s">
        <v>27</v>
      </c>
    </row>
    <row r="1260" spans="1:16" hidden="1" x14ac:dyDescent="0.25">
      <c r="A1260" s="3" t="s">
        <v>4569</v>
      </c>
      <c r="B1260" t="s">
        <v>4531</v>
      </c>
      <c r="C1260" t="s">
        <v>4532</v>
      </c>
      <c r="D1260" t="s">
        <v>26</v>
      </c>
      <c r="E1260" t="s">
        <v>62</v>
      </c>
      <c r="F1260">
        <v>1</v>
      </c>
      <c r="G1260" s="3" t="s">
        <v>32</v>
      </c>
      <c r="H1260" s="44" t="s">
        <v>15</v>
      </c>
      <c r="I1260" s="17">
        <v>15949.75</v>
      </c>
      <c r="J1260" s="17">
        <f>IF(Gastos[[#This Row],[Divisa]]="$", I1260*1, IF(Gastos[[#This Row],[Divisa]]="U$D", I1260*$N$1, IF(Gastos[[#This Row],[Divisa]]="EUR", I1260*$N$2, 0)))</f>
        <v>15949.75</v>
      </c>
      <c r="K1260" s="54">
        <f>Gastos[[#This Row],[Importe AR$]]/$N$1</f>
        <v>10.224198717948719</v>
      </c>
      <c r="L1260" t="s">
        <v>340</v>
      </c>
      <c r="M1260" s="69"/>
      <c r="N1260" s="43" t="str">
        <f>IF(Gastos[[#This Row],[Fecha_Cheque]]&gt;0,WEEKNUM(Gastos[[#This Row],[Fecha_Cheque]]),MID(Gastos[[#This Row],[Semana]],6,2))</f>
        <v>43</v>
      </c>
      <c r="O1260" t="s">
        <v>4618</v>
      </c>
      <c r="P1260" t="s">
        <v>27</v>
      </c>
    </row>
    <row r="1261" spans="1:16" hidden="1" x14ac:dyDescent="0.25">
      <c r="A1261" s="3" t="s">
        <v>538</v>
      </c>
      <c r="B1261" t="s">
        <v>842</v>
      </c>
      <c r="C1261" t="s">
        <v>843</v>
      </c>
      <c r="D1261" t="s">
        <v>26</v>
      </c>
      <c r="E1261" t="s">
        <v>31</v>
      </c>
      <c r="F1261">
        <v>1</v>
      </c>
      <c r="G1261" s="3" t="s">
        <v>32</v>
      </c>
      <c r="H1261" s="46" t="s">
        <v>15</v>
      </c>
      <c r="I1261" s="17">
        <v>265898.84999999998</v>
      </c>
      <c r="J1261" s="17">
        <f>IF(Gastos[[#This Row],[Divisa]]="$", I1261*1, IF(Gastos[[#This Row],[Divisa]]="U$D", I1261*$N$1, IF(Gastos[[#This Row],[Divisa]]="EUR", I1261*$N$2, 0)))</f>
        <v>265898.84999999998</v>
      </c>
      <c r="K1261" s="54">
        <f>Gastos[[#This Row],[Importe AR$]]/$N$1</f>
        <v>170.44798076923075</v>
      </c>
      <c r="M1261" s="69"/>
      <c r="N1261" s="43" t="str">
        <f>IF(Gastos[[#This Row],[Fecha_Cheque]]&gt;0,WEEKNUM(Gastos[[#This Row],[Fecha_Cheque]]),MID(Gastos[[#This Row],[Semana]],6,2))</f>
        <v>13</v>
      </c>
      <c r="P1261" t="s">
        <v>27</v>
      </c>
    </row>
    <row r="1262" spans="1:16" hidden="1" x14ac:dyDescent="0.25">
      <c r="A1262" s="3" t="s">
        <v>85</v>
      </c>
      <c r="B1262" t="s">
        <v>842</v>
      </c>
      <c r="C1262" t="s">
        <v>844</v>
      </c>
      <c r="D1262" t="s">
        <v>26</v>
      </c>
      <c r="E1262" t="s">
        <v>31</v>
      </c>
      <c r="F1262">
        <v>1</v>
      </c>
      <c r="G1262" s="3" t="s">
        <v>32</v>
      </c>
      <c r="H1262" s="46" t="s">
        <v>15</v>
      </c>
      <c r="I1262" s="17">
        <v>944630</v>
      </c>
      <c r="J1262" s="17">
        <f>IF(Gastos[[#This Row],[Divisa]]="$", I1262*1, IF(Gastos[[#This Row],[Divisa]]="U$D", I1262*$N$1, IF(Gastos[[#This Row],[Divisa]]="EUR", I1262*$N$2, 0)))</f>
        <v>944630</v>
      </c>
      <c r="K1262" s="54">
        <f>Gastos[[#This Row],[Importe AR$]]/$N$1</f>
        <v>605.53205128205127</v>
      </c>
      <c r="L1262" t="s">
        <v>215</v>
      </c>
      <c r="M1262" s="69">
        <v>45855</v>
      </c>
      <c r="N1262" s="43">
        <f>IF(Gastos[[#This Row],[Fecha_Cheque]]&gt;0,WEEKNUM(Gastos[[#This Row],[Fecha_Cheque]]),MID(Gastos[[#This Row],[Semana]],6,2))</f>
        <v>29</v>
      </c>
      <c r="O1262" t="s">
        <v>845</v>
      </c>
      <c r="P1262" t="s">
        <v>27</v>
      </c>
    </row>
    <row r="1263" spans="1:16" hidden="1" x14ac:dyDescent="0.25">
      <c r="A1263" s="3" t="s">
        <v>114</v>
      </c>
      <c r="B1263" t="s">
        <v>842</v>
      </c>
      <c r="C1263" t="s">
        <v>846</v>
      </c>
      <c r="D1263" t="s">
        <v>26</v>
      </c>
      <c r="E1263" t="s">
        <v>31</v>
      </c>
      <c r="F1263">
        <v>1</v>
      </c>
      <c r="G1263" s="3" t="s">
        <v>32</v>
      </c>
      <c r="H1263" s="46" t="s">
        <v>15</v>
      </c>
      <c r="I1263" s="17">
        <v>218534.58</v>
      </c>
      <c r="J1263" s="17">
        <f>IF(Gastos[[#This Row],[Divisa]]="$", I1263*1, IF(Gastos[[#This Row],[Divisa]]="U$D", I1263*$N$1, IF(Gastos[[#This Row],[Divisa]]="EUR", I1263*$N$2, 0)))</f>
        <v>218534.58</v>
      </c>
      <c r="K1263" s="54">
        <f>Gastos[[#This Row],[Importe AR$]]/$N$1</f>
        <v>140.08626923076923</v>
      </c>
      <c r="L1263" t="s">
        <v>150</v>
      </c>
      <c r="M1263" s="69">
        <v>45858</v>
      </c>
      <c r="N1263" s="43">
        <f>IF(Gastos[[#This Row],[Fecha_Cheque]]&gt;0,WEEKNUM(Gastos[[#This Row],[Fecha_Cheque]]),MID(Gastos[[#This Row],[Semana]],6,2))</f>
        <v>30</v>
      </c>
      <c r="O1263" t="s">
        <v>847</v>
      </c>
      <c r="P1263" t="s">
        <v>27</v>
      </c>
    </row>
    <row r="1264" spans="1:16" hidden="1" x14ac:dyDescent="0.25">
      <c r="A1264" s="3" t="s">
        <v>124</v>
      </c>
      <c r="B1264" t="s">
        <v>842</v>
      </c>
      <c r="C1264" t="s">
        <v>218</v>
      </c>
      <c r="D1264" t="s">
        <v>26</v>
      </c>
      <c r="E1264" t="s">
        <v>42</v>
      </c>
      <c r="F1264">
        <v>1</v>
      </c>
      <c r="G1264" s="3" t="s">
        <v>4</v>
      </c>
      <c r="H1264" s="46" t="s">
        <v>15</v>
      </c>
      <c r="I1264" s="17">
        <v>14046.06</v>
      </c>
      <c r="J1264" s="17">
        <f>IF(Gastos[[#This Row],[Divisa]]="$", I1264*1, IF(Gastos[[#This Row],[Divisa]]="U$D", I1264*$N$1, IF(Gastos[[#This Row],[Divisa]]="EUR", I1264*$N$2, 0)))</f>
        <v>14046.06</v>
      </c>
      <c r="K1264" s="54">
        <f>Gastos[[#This Row],[Importe AR$]]/$N$1</f>
        <v>9.0038846153846155</v>
      </c>
      <c r="M1264" s="69"/>
      <c r="N1264" s="43" t="str">
        <f>IF(Gastos[[#This Row],[Fecha_Cheque]]&gt;0,WEEKNUM(Gastos[[#This Row],[Fecha_Cheque]]),MID(Gastos[[#This Row],[Semana]],6,2))</f>
        <v>42</v>
      </c>
      <c r="O1264" t="s">
        <v>848</v>
      </c>
      <c r="P1264" t="s">
        <v>27</v>
      </c>
    </row>
    <row r="1265" spans="1:16" hidden="1" x14ac:dyDescent="0.25">
      <c r="A1265" s="3" t="s">
        <v>124</v>
      </c>
      <c r="B1265" t="s">
        <v>842</v>
      </c>
      <c r="C1265" t="s">
        <v>218</v>
      </c>
      <c r="D1265" t="s">
        <v>26</v>
      </c>
      <c r="E1265" t="s">
        <v>31</v>
      </c>
      <c r="F1265">
        <v>1</v>
      </c>
      <c r="G1265" s="3" t="s">
        <v>32</v>
      </c>
      <c r="H1265" s="46" t="s">
        <v>15</v>
      </c>
      <c r="I1265" s="17">
        <v>327809</v>
      </c>
      <c r="J1265" s="17">
        <f>IF(Gastos[[#This Row],[Divisa]]="$", I1265*1, IF(Gastos[[#This Row],[Divisa]]="U$D", I1265*$N$1, IF(Gastos[[#This Row],[Divisa]]="EUR", I1265*$N$2, 0)))</f>
        <v>327809</v>
      </c>
      <c r="K1265" s="54">
        <f>Gastos[[#This Row],[Importe AR$]]/$N$1</f>
        <v>210.13397435897437</v>
      </c>
      <c r="M1265" s="69"/>
      <c r="N1265" s="43" t="str">
        <f>IF(Gastos[[#This Row],[Fecha_Cheque]]&gt;0,WEEKNUM(Gastos[[#This Row],[Fecha_Cheque]]),MID(Gastos[[#This Row],[Semana]],6,2))</f>
        <v>42</v>
      </c>
      <c r="O1265" t="s">
        <v>848</v>
      </c>
      <c r="P1265" t="s">
        <v>27</v>
      </c>
    </row>
    <row r="1266" spans="1:16" hidden="1" x14ac:dyDescent="0.25">
      <c r="A1266" s="3" t="s">
        <v>232</v>
      </c>
      <c r="B1266" t="s">
        <v>842</v>
      </c>
      <c r="C1266" t="s">
        <v>218</v>
      </c>
      <c r="D1266" t="s">
        <v>26</v>
      </c>
      <c r="E1266" t="s">
        <v>225</v>
      </c>
      <c r="F1266">
        <v>1</v>
      </c>
      <c r="G1266" s="3" t="s">
        <v>32</v>
      </c>
      <c r="H1266" s="46" t="s">
        <v>15</v>
      </c>
      <c r="I1266" s="17">
        <v>336450</v>
      </c>
      <c r="J1266" s="17">
        <f>IF(Gastos[[#This Row],[Divisa]]="$", I1266*1, IF(Gastos[[#This Row],[Divisa]]="U$D", I1266*$N$1, IF(Gastos[[#This Row],[Divisa]]="EUR", I1266*$N$2, 0)))</f>
        <v>336450</v>
      </c>
      <c r="K1266" s="54">
        <f>Gastos[[#This Row],[Importe AR$]]/$N$1</f>
        <v>215.67307692307693</v>
      </c>
      <c r="M1266" s="69">
        <v>45980</v>
      </c>
      <c r="N1266" s="43">
        <f>IF(Gastos[[#This Row],[Fecha_Cheque]]&gt;0,WEEKNUM(Gastos[[#This Row],[Fecha_Cheque]]),MID(Gastos[[#This Row],[Semana]],6,2))</f>
        <v>47</v>
      </c>
      <c r="O1266" t="s">
        <v>849</v>
      </c>
      <c r="P1266" t="s">
        <v>27</v>
      </c>
    </row>
    <row r="1267" spans="1:16" hidden="1" x14ac:dyDescent="0.25">
      <c r="A1267" s="3" t="s">
        <v>232</v>
      </c>
      <c r="B1267" t="s">
        <v>842</v>
      </c>
      <c r="C1267" t="s">
        <v>218</v>
      </c>
      <c r="D1267" t="s">
        <v>26</v>
      </c>
      <c r="E1267" t="s">
        <v>42</v>
      </c>
      <c r="F1267">
        <v>1</v>
      </c>
      <c r="G1267" s="3" t="s">
        <v>4</v>
      </c>
      <c r="H1267" s="46" t="s">
        <v>15</v>
      </c>
      <c r="I1267" s="17">
        <v>74632.22</v>
      </c>
      <c r="J1267" s="17">
        <f>IF(Gastos[[#This Row],[Divisa]]="$", I1267*1, IF(Gastos[[#This Row],[Divisa]]="U$D", I1267*$N$1, IF(Gastos[[#This Row],[Divisa]]="EUR", I1267*$N$2, 0)))</f>
        <v>74632.22</v>
      </c>
      <c r="K1267" s="54">
        <f>Gastos[[#This Row],[Importe AR$]]/$N$1</f>
        <v>47.841166666666666</v>
      </c>
      <c r="M1267" s="69"/>
      <c r="N1267" s="43" t="str">
        <f>IF(Gastos[[#This Row],[Fecha_Cheque]]&gt;0,WEEKNUM(Gastos[[#This Row],[Fecha_Cheque]]),MID(Gastos[[#This Row],[Semana]],6,2))</f>
        <v>44</v>
      </c>
      <c r="O1267" t="s">
        <v>849</v>
      </c>
      <c r="P1267" t="s">
        <v>27</v>
      </c>
    </row>
    <row r="1268" spans="1:16" hidden="1" x14ac:dyDescent="0.25">
      <c r="A1268" s="3" t="s">
        <v>397</v>
      </c>
      <c r="B1268" t="s">
        <v>842</v>
      </c>
      <c r="C1268" t="s">
        <v>218</v>
      </c>
      <c r="D1268" t="s">
        <v>26</v>
      </c>
      <c r="E1268" t="s">
        <v>225</v>
      </c>
      <c r="F1268">
        <v>1</v>
      </c>
      <c r="G1268" s="3" t="s">
        <v>32</v>
      </c>
      <c r="H1268" s="46" t="s">
        <v>15</v>
      </c>
      <c r="I1268" s="17">
        <v>425000</v>
      </c>
      <c r="J1268" s="17">
        <f>IF(Gastos[[#This Row],[Divisa]]="$", I1268*1, IF(Gastos[[#This Row],[Divisa]]="U$D", I1268*$N$1, IF(Gastos[[#This Row],[Divisa]]="EUR", I1268*$N$2, 0)))</f>
        <v>425000</v>
      </c>
      <c r="K1268" s="54">
        <f>Gastos[[#This Row],[Importe AR$]]/$N$1</f>
        <v>272.43589743589746</v>
      </c>
      <c r="L1268" s="26">
        <v>46074</v>
      </c>
      <c r="M1268" s="69"/>
      <c r="N1268" s="43" t="str">
        <f>IF(Gastos[[#This Row],[Fecha_Cheque]]&gt;0,WEEKNUM(Gastos[[#This Row],[Fecha_Cheque]]),MID(Gastos[[#This Row],[Semana]],6,2))</f>
        <v>11</v>
      </c>
      <c r="O1268" t="s">
        <v>1910</v>
      </c>
      <c r="P1268" t="s">
        <v>27</v>
      </c>
    </row>
    <row r="1269" spans="1:16" hidden="1" x14ac:dyDescent="0.25">
      <c r="A1269" s="3" t="s">
        <v>397</v>
      </c>
      <c r="B1269" t="s">
        <v>842</v>
      </c>
      <c r="C1269" t="s">
        <v>218</v>
      </c>
      <c r="D1269" t="s">
        <v>26</v>
      </c>
      <c r="E1269" t="s">
        <v>225</v>
      </c>
      <c r="F1269">
        <v>1</v>
      </c>
      <c r="G1269" s="3" t="s">
        <v>32</v>
      </c>
      <c r="H1269" s="44" t="s">
        <v>15</v>
      </c>
      <c r="I1269" s="17">
        <v>625000</v>
      </c>
      <c r="J1269" s="17">
        <f>IF(Gastos[[#This Row],[Divisa]]="$", I1269*1, IF(Gastos[[#This Row],[Divisa]]="U$D", I1269*$N$1, IF(Gastos[[#This Row],[Divisa]]="EUR", I1269*$N$2, 0)))</f>
        <v>625000</v>
      </c>
      <c r="K1269" s="54">
        <f>Gastos[[#This Row],[Importe AR$]]/$N$1</f>
        <v>400.64102564102564</v>
      </c>
      <c r="L1269" s="26">
        <v>46069</v>
      </c>
      <c r="M1269" s="69"/>
      <c r="N1269" s="43" t="str">
        <f>IF(Gastos[[#This Row],[Fecha_Cheque]]&gt;0,WEEKNUM(Gastos[[#This Row],[Fecha_Cheque]]),MID(Gastos[[#This Row],[Semana]],6,2))</f>
        <v>11</v>
      </c>
      <c r="O1269" t="s">
        <v>1910</v>
      </c>
      <c r="P1269" t="s">
        <v>27</v>
      </c>
    </row>
    <row r="1270" spans="1:16" hidden="1" x14ac:dyDescent="0.25">
      <c r="A1270" s="3" t="s">
        <v>397</v>
      </c>
      <c r="B1270" t="s">
        <v>842</v>
      </c>
      <c r="C1270" t="s">
        <v>218</v>
      </c>
      <c r="D1270" t="s">
        <v>26</v>
      </c>
      <c r="E1270" t="s">
        <v>225</v>
      </c>
      <c r="F1270">
        <v>1</v>
      </c>
      <c r="G1270" s="3" t="s">
        <v>32</v>
      </c>
      <c r="H1270" s="44" t="s">
        <v>15</v>
      </c>
      <c r="I1270" s="17">
        <v>12875.37</v>
      </c>
      <c r="J1270" s="17">
        <f>IF(Gastos[[#This Row],[Divisa]]="$", I1270*1, IF(Gastos[[#This Row],[Divisa]]="U$D", I1270*$N$1, IF(Gastos[[#This Row],[Divisa]]="EUR", I1270*$N$2, 0)))</f>
        <v>12875.37</v>
      </c>
      <c r="K1270" s="54">
        <f>Gastos[[#This Row],[Importe AR$]]/$N$1</f>
        <v>8.2534423076923087</v>
      </c>
      <c r="L1270" s="26"/>
      <c r="M1270" s="69"/>
      <c r="N1270" s="43" t="str">
        <f>IF(Gastos[[#This Row],[Fecha_Cheque]]&gt;0,WEEKNUM(Gastos[[#This Row],[Fecha_Cheque]]),MID(Gastos[[#This Row],[Semana]],6,2))</f>
        <v>11</v>
      </c>
      <c r="O1270" t="s">
        <v>1910</v>
      </c>
      <c r="P1270" t="s">
        <v>27</v>
      </c>
    </row>
    <row r="1271" spans="1:16" hidden="1" x14ac:dyDescent="0.25">
      <c r="A1271" s="3" t="s">
        <v>2773</v>
      </c>
      <c r="B1271" t="s">
        <v>842</v>
      </c>
      <c r="C1271" t="s">
        <v>218</v>
      </c>
      <c r="D1271" t="s">
        <v>26</v>
      </c>
      <c r="E1271" t="s">
        <v>62</v>
      </c>
      <c r="F1271">
        <v>1</v>
      </c>
      <c r="G1271" s="3" t="s">
        <v>32</v>
      </c>
      <c r="H1271" s="44" t="s">
        <v>15</v>
      </c>
      <c r="I1271" s="17">
        <v>610000</v>
      </c>
      <c r="J1271" s="17">
        <f>IF(Gastos[[#This Row],[Divisa]]="$", I1271*1, IF(Gastos[[#This Row],[Divisa]]="U$D", I1271*$N$1, IF(Gastos[[#This Row],[Divisa]]="EUR", I1271*$N$2, 0)))</f>
        <v>610000</v>
      </c>
      <c r="K1271" s="54">
        <f>Gastos[[#This Row],[Importe AR$]]/$N$1</f>
        <v>391.02564102564105</v>
      </c>
      <c r="M1271" s="69">
        <v>46188</v>
      </c>
      <c r="N1271" s="43">
        <f>IF(Gastos[[#This Row],[Fecha_Cheque]]&gt;0,WEEKNUM(Gastos[[#This Row],[Fecha_Cheque]]),MID(Gastos[[#This Row],[Semana]],6,2))</f>
        <v>25</v>
      </c>
      <c r="O1271" t="s">
        <v>3061</v>
      </c>
      <c r="P1271" t="s">
        <v>27</v>
      </c>
    </row>
    <row r="1272" spans="1:16" hidden="1" x14ac:dyDescent="0.25">
      <c r="A1272" s="3" t="s">
        <v>2773</v>
      </c>
      <c r="B1272" t="s">
        <v>842</v>
      </c>
      <c r="C1272" t="s">
        <v>218</v>
      </c>
      <c r="D1272" t="s">
        <v>26</v>
      </c>
      <c r="E1272" t="s">
        <v>62</v>
      </c>
      <c r="F1272">
        <v>1</v>
      </c>
      <c r="G1272" s="3" t="s">
        <v>32</v>
      </c>
      <c r="H1272" s="44" t="s">
        <v>15</v>
      </c>
      <c r="I1272" s="17">
        <v>7720</v>
      </c>
      <c r="J1272" s="17">
        <f>IF(Gastos[[#This Row],[Divisa]]="$", I1272*1, IF(Gastos[[#This Row],[Divisa]]="U$D", I1272*$N$1, IF(Gastos[[#This Row],[Divisa]]="EUR", I1272*$N$2, 0)))</f>
        <v>7720</v>
      </c>
      <c r="K1272" s="54">
        <f>Gastos[[#This Row],[Importe AR$]]/$N$1</f>
        <v>4.9487179487179489</v>
      </c>
      <c r="L1272" t="s">
        <v>340</v>
      </c>
      <c r="M1272" s="69"/>
      <c r="N1272" s="43" t="str">
        <f>IF(Gastos[[#This Row],[Fecha_Cheque]]&gt;0,WEEKNUM(Gastos[[#This Row],[Fecha_Cheque]]),MID(Gastos[[#This Row],[Semana]],6,2))</f>
        <v>20</v>
      </c>
      <c r="O1272" t="s">
        <v>3061</v>
      </c>
      <c r="P1272" t="s">
        <v>27</v>
      </c>
    </row>
    <row r="1273" spans="1:16" hidden="1" x14ac:dyDescent="0.25">
      <c r="A1273" s="3" t="s">
        <v>4513</v>
      </c>
      <c r="B1273" t="s">
        <v>842</v>
      </c>
      <c r="C1273" t="s">
        <v>4549</v>
      </c>
      <c r="D1273" t="s">
        <v>26</v>
      </c>
      <c r="E1273" t="s">
        <v>62</v>
      </c>
      <c r="F1273">
        <v>1</v>
      </c>
      <c r="G1273" s="3" t="s">
        <v>5</v>
      </c>
      <c r="H1273" s="44" t="s">
        <v>15</v>
      </c>
      <c r="I1273" s="17">
        <v>190400</v>
      </c>
      <c r="J1273" s="17">
        <f>IF(Gastos[[#This Row],[Divisa]]="$", I1273*1, IF(Gastos[[#This Row],[Divisa]]="U$D", I1273*$N$1, IF(Gastos[[#This Row],[Divisa]]="EUR", I1273*$N$2, 0)))</f>
        <v>190400</v>
      </c>
      <c r="K1273" s="54">
        <f>Gastos[[#This Row],[Importe AR$]]/$N$1</f>
        <v>122.05128205128206</v>
      </c>
      <c r="M1273" s="69"/>
      <c r="N1273" s="43" t="str">
        <f>IF(Gastos[[#This Row],[Fecha_Cheque]]&gt;0,WEEKNUM(Gastos[[#This Row],[Fecha_Cheque]]),MID(Gastos[[#This Row],[Semana]],6,2))</f>
        <v>42</v>
      </c>
      <c r="O1273" t="s">
        <v>4550</v>
      </c>
      <c r="P1273" t="s">
        <v>27</v>
      </c>
    </row>
    <row r="1274" spans="1:16" hidden="1" x14ac:dyDescent="0.25">
      <c r="A1274" s="3" t="s">
        <v>124</v>
      </c>
      <c r="B1274" t="s">
        <v>851</v>
      </c>
      <c r="C1274" t="s">
        <v>852</v>
      </c>
      <c r="D1274" t="s">
        <v>26</v>
      </c>
      <c r="E1274" t="s">
        <v>31</v>
      </c>
      <c r="F1274">
        <v>1</v>
      </c>
      <c r="G1274" s="3" t="s">
        <v>32</v>
      </c>
      <c r="H1274" s="46" t="s">
        <v>15</v>
      </c>
      <c r="I1274" s="17">
        <v>1333226</v>
      </c>
      <c r="J1274" s="17">
        <f>IF(Gastos[[#This Row],[Divisa]]="$", I1274*1, IF(Gastos[[#This Row],[Divisa]]="U$D", I1274*$N$1, IF(Gastos[[#This Row],[Divisa]]="EUR", I1274*$N$2, 0)))</f>
        <v>1333226</v>
      </c>
      <c r="K1274" s="54">
        <f>Gastos[[#This Row],[Importe AR$]]/$N$1</f>
        <v>854.63205128205129</v>
      </c>
      <c r="M1274" s="69">
        <v>45929</v>
      </c>
      <c r="N1274" s="43">
        <f>IF(Gastos[[#This Row],[Fecha_Cheque]]&gt;0,WEEKNUM(Gastos[[#This Row],[Fecha_Cheque]]),MID(Gastos[[#This Row],[Semana]],6,2))</f>
        <v>40</v>
      </c>
      <c r="O1274" t="s">
        <v>853</v>
      </c>
      <c r="P1274" t="s">
        <v>27</v>
      </c>
    </row>
    <row r="1275" spans="1:16" hidden="1" x14ac:dyDescent="0.25">
      <c r="A1275" s="3" t="s">
        <v>124</v>
      </c>
      <c r="B1275" t="s">
        <v>851</v>
      </c>
      <c r="C1275" t="s">
        <v>852</v>
      </c>
      <c r="D1275" t="s">
        <v>26</v>
      </c>
      <c r="E1275" t="s">
        <v>42</v>
      </c>
      <c r="F1275">
        <v>1</v>
      </c>
      <c r="G1275" s="3" t="s">
        <v>4</v>
      </c>
      <c r="H1275" s="46" t="s">
        <v>15</v>
      </c>
      <c r="I1275" s="17">
        <v>262975.38</v>
      </c>
      <c r="J1275" s="17">
        <f>IF(Gastos[[#This Row],[Divisa]]="$", I1275*1, IF(Gastos[[#This Row],[Divisa]]="U$D", I1275*$N$1, IF(Gastos[[#This Row],[Divisa]]="EUR", I1275*$N$2, 0)))</f>
        <v>262975.38</v>
      </c>
      <c r="K1275" s="54">
        <f>Gastos[[#This Row],[Importe AR$]]/$N$1</f>
        <v>168.57396153846153</v>
      </c>
      <c r="M1275" s="69"/>
      <c r="N1275" s="43" t="str">
        <f>IF(Gastos[[#This Row],[Fecha_Cheque]]&gt;0,WEEKNUM(Gastos[[#This Row],[Fecha_Cheque]]),MID(Gastos[[#This Row],[Semana]],6,2))</f>
        <v>42</v>
      </c>
      <c r="O1275" t="s">
        <v>853</v>
      </c>
      <c r="P1275" t="s">
        <v>27</v>
      </c>
    </row>
    <row r="1276" spans="1:16" hidden="1" x14ac:dyDescent="0.25">
      <c r="A1276" s="3" t="s">
        <v>28</v>
      </c>
      <c r="B1276" t="s">
        <v>854</v>
      </c>
      <c r="C1276" t="s">
        <v>855</v>
      </c>
      <c r="D1276" t="s">
        <v>26</v>
      </c>
      <c r="E1276" t="s">
        <v>31</v>
      </c>
      <c r="F1276">
        <v>1</v>
      </c>
      <c r="G1276" s="3" t="s">
        <v>32</v>
      </c>
      <c r="H1276" s="46" t="s">
        <v>15</v>
      </c>
      <c r="I1276" s="17">
        <v>458629</v>
      </c>
      <c r="J1276" s="17">
        <f>IF(Gastos[[#This Row],[Divisa]]="$", I1276*1, IF(Gastos[[#This Row],[Divisa]]="U$D", I1276*$N$1, IF(Gastos[[#This Row],[Divisa]]="EUR", I1276*$N$2, 0)))</f>
        <v>458629</v>
      </c>
      <c r="K1276" s="54">
        <f>Gastos[[#This Row],[Importe AR$]]/$N$1</f>
        <v>293.99294871794871</v>
      </c>
      <c r="L1276" t="s">
        <v>215</v>
      </c>
      <c r="M1276" s="69"/>
      <c r="N1276" s="43" t="str">
        <f>IF(Gastos[[#This Row],[Fecha_Cheque]]&gt;0,WEEKNUM(Gastos[[#This Row],[Fecha_Cheque]]),MID(Gastos[[#This Row],[Semana]],6,2))</f>
        <v>21</v>
      </c>
      <c r="O1276" t="s">
        <v>856</v>
      </c>
      <c r="P1276" t="s">
        <v>27</v>
      </c>
    </row>
    <row r="1277" spans="1:16" hidden="1" x14ac:dyDescent="0.25">
      <c r="A1277" s="3" t="s">
        <v>232</v>
      </c>
      <c r="B1277" t="s">
        <v>854</v>
      </c>
      <c r="C1277" t="s">
        <v>857</v>
      </c>
      <c r="D1277" t="s">
        <v>26</v>
      </c>
      <c r="E1277" t="s">
        <v>31</v>
      </c>
      <c r="F1277">
        <v>1</v>
      </c>
      <c r="G1277" s="3" t="s">
        <v>5</v>
      </c>
      <c r="H1277" s="46" t="s">
        <v>15</v>
      </c>
      <c r="I1277" s="17">
        <v>298304</v>
      </c>
      <c r="J1277" s="17">
        <f>IF(Gastos[[#This Row],[Divisa]]="$", I1277*1, IF(Gastos[[#This Row],[Divisa]]="U$D", I1277*$N$1, IF(Gastos[[#This Row],[Divisa]]="EUR", I1277*$N$2, 0)))</f>
        <v>298304</v>
      </c>
      <c r="K1277" s="54">
        <f>Gastos[[#This Row],[Importe AR$]]/$N$1</f>
        <v>191.22051282051282</v>
      </c>
      <c r="M1277" s="69"/>
      <c r="N1277" s="43" t="str">
        <f>IF(Gastos[[#This Row],[Fecha_Cheque]]&gt;0,WEEKNUM(Gastos[[#This Row],[Fecha_Cheque]]),MID(Gastos[[#This Row],[Semana]],6,2))</f>
        <v>44</v>
      </c>
      <c r="O1277" t="s">
        <v>858</v>
      </c>
      <c r="P1277" t="s">
        <v>27</v>
      </c>
    </row>
    <row r="1278" spans="1:16" hidden="1" x14ac:dyDescent="0.25">
      <c r="A1278" s="3" t="s">
        <v>68</v>
      </c>
      <c r="B1278" t="s">
        <v>859</v>
      </c>
      <c r="C1278" t="s">
        <v>860</v>
      </c>
      <c r="D1278" t="s">
        <v>26</v>
      </c>
      <c r="E1278" t="s">
        <v>31</v>
      </c>
      <c r="F1278">
        <v>1</v>
      </c>
      <c r="G1278" s="3" t="s">
        <v>5</v>
      </c>
      <c r="H1278" s="46" t="s">
        <v>15</v>
      </c>
      <c r="I1278" s="17">
        <v>306185</v>
      </c>
      <c r="J1278" s="17">
        <f>IF(Gastos[[#This Row],[Divisa]]="$", I1278*1, IF(Gastos[[#This Row],[Divisa]]="U$D", I1278*$N$1, IF(Gastos[[#This Row],[Divisa]]="EUR", I1278*$N$2, 0)))</f>
        <v>306185</v>
      </c>
      <c r="K1278" s="54">
        <f>Gastos[[#This Row],[Importe AR$]]/$N$1</f>
        <v>196.27243589743588</v>
      </c>
      <c r="M1278" s="69"/>
      <c r="N1278" s="43" t="str">
        <f>IF(Gastos[[#This Row],[Fecha_Cheque]]&gt;0,WEEKNUM(Gastos[[#This Row],[Fecha_Cheque]]),MID(Gastos[[#This Row],[Semana]],6,2))</f>
        <v>05</v>
      </c>
      <c r="O1278" t="s">
        <v>861</v>
      </c>
      <c r="P1278" t="s">
        <v>27</v>
      </c>
    </row>
    <row r="1279" spans="1:16" hidden="1" x14ac:dyDescent="0.25">
      <c r="A1279" s="3" t="s">
        <v>3567</v>
      </c>
      <c r="B1279" t="s">
        <v>3578</v>
      </c>
      <c r="C1279" t="s">
        <v>1096</v>
      </c>
      <c r="D1279" t="s">
        <v>26</v>
      </c>
      <c r="E1279" t="s">
        <v>31</v>
      </c>
      <c r="F1279">
        <v>1</v>
      </c>
      <c r="G1279" s="3" t="s">
        <v>32</v>
      </c>
      <c r="H1279" s="44" t="s">
        <v>15</v>
      </c>
      <c r="I1279" s="17">
        <v>2584492.8199999998</v>
      </c>
      <c r="J1279" s="17">
        <f>IF(Gastos[[#This Row],[Divisa]]="$", I1279*1, IF(Gastos[[#This Row],[Divisa]]="U$D", I1279*$N$1, IF(Gastos[[#This Row],[Divisa]]="EUR", I1279*$N$2, 0)))</f>
        <v>2584492.8199999998</v>
      </c>
      <c r="K1279" s="54">
        <f>Gastos[[#This Row],[Importe AR$]]/$N$1</f>
        <v>1656.7261666666666</v>
      </c>
      <c r="M1279" s="69">
        <v>46222</v>
      </c>
      <c r="N1279" s="43">
        <f>IF(Gastos[[#This Row],[Fecha_Cheque]]&gt;0,WEEKNUM(Gastos[[#This Row],[Fecha_Cheque]]),MID(Gastos[[#This Row],[Semana]],6,2))</f>
        <v>30</v>
      </c>
      <c r="O1279" t="s">
        <v>3579</v>
      </c>
      <c r="P1279" t="s">
        <v>27</v>
      </c>
    </row>
    <row r="1280" spans="1:16" hidden="1" x14ac:dyDescent="0.25">
      <c r="A1280" s="3" t="s">
        <v>3567</v>
      </c>
      <c r="B1280" t="s">
        <v>3578</v>
      </c>
      <c r="C1280" t="s">
        <v>1096</v>
      </c>
      <c r="D1280" t="s">
        <v>26</v>
      </c>
      <c r="E1280" t="s">
        <v>31</v>
      </c>
      <c r="F1280">
        <v>1</v>
      </c>
      <c r="G1280" s="3" t="s">
        <v>32</v>
      </c>
      <c r="H1280" s="44" t="s">
        <v>15</v>
      </c>
      <c r="I1280" s="17">
        <v>38881.56</v>
      </c>
      <c r="J1280" s="17">
        <f>IF(Gastos[[#This Row],[Divisa]]="$", I1280*1, IF(Gastos[[#This Row],[Divisa]]="U$D", I1280*$N$1, IF(Gastos[[#This Row],[Divisa]]="EUR", I1280*$N$2, 0)))</f>
        <v>38881.56</v>
      </c>
      <c r="K1280" s="54">
        <f>Gastos[[#This Row],[Importe AR$]]/$N$1</f>
        <v>24.924076923076921</v>
      </c>
      <c r="L1280" t="s">
        <v>340</v>
      </c>
      <c r="M1280" s="69"/>
      <c r="N1280" s="43" t="str">
        <f>IF(Gastos[[#This Row],[Fecha_Cheque]]&gt;0,WEEKNUM(Gastos[[#This Row],[Fecha_Cheque]]),MID(Gastos[[#This Row],[Semana]],6,2))</f>
        <v>26</v>
      </c>
      <c r="O1280" t="s">
        <v>3579</v>
      </c>
      <c r="P1280" t="s">
        <v>27</v>
      </c>
    </row>
    <row r="1281" spans="1:16" hidden="1" x14ac:dyDescent="0.25">
      <c r="A1281" s="3" t="s">
        <v>152</v>
      </c>
      <c r="B1281" t="s">
        <v>862</v>
      </c>
      <c r="C1281" t="s">
        <v>863</v>
      </c>
      <c r="D1281" t="s">
        <v>26</v>
      </c>
      <c r="E1281" t="s">
        <v>31</v>
      </c>
      <c r="F1281">
        <v>1</v>
      </c>
      <c r="G1281" s="3" t="s">
        <v>5</v>
      </c>
      <c r="H1281" s="46" t="s">
        <v>15</v>
      </c>
      <c r="I1281" s="17">
        <v>658135.43999999994</v>
      </c>
      <c r="J1281" s="17">
        <f>IF(Gastos[[#This Row],[Divisa]]="$", I1281*1, IF(Gastos[[#This Row],[Divisa]]="U$D", I1281*$N$1, IF(Gastos[[#This Row],[Divisa]]="EUR", I1281*$N$2, 0)))</f>
        <v>658135.43999999994</v>
      </c>
      <c r="K1281" s="54">
        <f>Gastos[[#This Row],[Importe AR$]]/$N$1</f>
        <v>421.88169230769228</v>
      </c>
      <c r="M1281" s="69"/>
      <c r="N1281" s="43" t="str">
        <f>IF(Gastos[[#This Row],[Fecha_Cheque]]&gt;0,WEEKNUM(Gastos[[#This Row],[Fecha_Cheque]]),MID(Gastos[[#This Row],[Semana]],6,2))</f>
        <v>04</v>
      </c>
      <c r="O1281" t="s">
        <v>864</v>
      </c>
      <c r="P1281" t="s">
        <v>27</v>
      </c>
    </row>
    <row r="1282" spans="1:16" hidden="1" x14ac:dyDescent="0.25">
      <c r="A1282" s="3" t="s">
        <v>64</v>
      </c>
      <c r="B1282" t="s">
        <v>862</v>
      </c>
      <c r="C1282" t="s">
        <v>865</v>
      </c>
      <c r="D1282" t="s">
        <v>26</v>
      </c>
      <c r="E1282" t="s">
        <v>31</v>
      </c>
      <c r="F1282">
        <v>1</v>
      </c>
      <c r="G1282" s="3" t="s">
        <v>32</v>
      </c>
      <c r="H1282" s="46" t="s">
        <v>15</v>
      </c>
      <c r="I1282" s="17">
        <v>880658.8</v>
      </c>
      <c r="J1282" s="17">
        <f>IF(Gastos[[#This Row],[Divisa]]="$", I1282*1, IF(Gastos[[#This Row],[Divisa]]="U$D", I1282*$N$1, IF(Gastos[[#This Row],[Divisa]]="EUR", I1282*$N$2, 0)))</f>
        <v>880658.8</v>
      </c>
      <c r="K1282" s="54">
        <f>Gastos[[#This Row],[Importe AR$]]/$N$1</f>
        <v>564.52487179487184</v>
      </c>
      <c r="M1282" s="69">
        <v>45882</v>
      </c>
      <c r="N1282" s="43">
        <f>IF(Gastos[[#This Row],[Fecha_Cheque]]&gt;0,WEEKNUM(Gastos[[#This Row],[Fecha_Cheque]]),MID(Gastos[[#This Row],[Semana]],6,2))</f>
        <v>33</v>
      </c>
      <c r="P1282" t="s">
        <v>27</v>
      </c>
    </row>
    <row r="1283" spans="1:16" hidden="1" x14ac:dyDescent="0.25">
      <c r="A1283" s="3" t="s">
        <v>64</v>
      </c>
      <c r="B1283" t="s">
        <v>862</v>
      </c>
      <c r="C1283" t="s">
        <v>865</v>
      </c>
      <c r="D1283" t="s">
        <v>26</v>
      </c>
      <c r="E1283" t="s">
        <v>31</v>
      </c>
      <c r="F1283">
        <v>1</v>
      </c>
      <c r="G1283" s="3" t="s">
        <v>32</v>
      </c>
      <c r="H1283" s="46" t="s">
        <v>15</v>
      </c>
      <c r="I1283" s="17">
        <v>1318800</v>
      </c>
      <c r="J1283" s="17">
        <f>IF(Gastos[[#This Row],[Divisa]]="$", I1283*1, IF(Gastos[[#This Row],[Divisa]]="U$D", I1283*$N$1, IF(Gastos[[#This Row],[Divisa]]="EUR", I1283*$N$2, 0)))</f>
        <v>1318800</v>
      </c>
      <c r="K1283" s="54">
        <f>Gastos[[#This Row],[Importe AR$]]/$N$1</f>
        <v>845.38461538461536</v>
      </c>
      <c r="M1283" s="69">
        <v>45910</v>
      </c>
      <c r="N1283" s="43">
        <f>IF(Gastos[[#This Row],[Fecha_Cheque]]&gt;0,WEEKNUM(Gastos[[#This Row],[Fecha_Cheque]]),MID(Gastos[[#This Row],[Semana]],6,2))</f>
        <v>37</v>
      </c>
      <c r="P1283" t="s">
        <v>27</v>
      </c>
    </row>
    <row r="1284" spans="1:16" hidden="1" x14ac:dyDescent="0.25">
      <c r="A1284" s="3" t="s">
        <v>310</v>
      </c>
      <c r="B1284" t="s">
        <v>862</v>
      </c>
      <c r="D1284" t="s">
        <v>26</v>
      </c>
      <c r="E1284" t="s">
        <v>31</v>
      </c>
      <c r="F1284">
        <v>1</v>
      </c>
      <c r="G1284" s="3" t="s">
        <v>5</v>
      </c>
      <c r="H1284" s="46" t="s">
        <v>15</v>
      </c>
      <c r="I1284" s="17">
        <v>1316034.29</v>
      </c>
      <c r="J1284" s="17">
        <f>IF(Gastos[[#This Row],[Divisa]]="$", I1284*1, IF(Gastos[[#This Row],[Divisa]]="U$D", I1284*$N$1, IF(Gastos[[#This Row],[Divisa]]="EUR", I1284*$N$2, 0)))</f>
        <v>1316034.29</v>
      </c>
      <c r="K1284" s="54">
        <f>Gastos[[#This Row],[Importe AR$]]/$N$1</f>
        <v>843.61172435897436</v>
      </c>
      <c r="M1284" s="69"/>
      <c r="N1284" s="43" t="str">
        <f>IF(Gastos[[#This Row],[Fecha_Cheque]]&gt;0,WEEKNUM(Gastos[[#This Row],[Fecha_Cheque]]),MID(Gastos[[#This Row],[Semana]],6,2))</f>
        <v>36</v>
      </c>
      <c r="O1284" t="s">
        <v>123</v>
      </c>
      <c r="P1284" t="s">
        <v>27</v>
      </c>
    </row>
    <row r="1285" spans="1:16" hidden="1" x14ac:dyDescent="0.25">
      <c r="A1285" s="3" t="s">
        <v>72</v>
      </c>
      <c r="B1285" t="s">
        <v>866</v>
      </c>
      <c r="C1285" t="s">
        <v>867</v>
      </c>
      <c r="D1285" t="s">
        <v>26</v>
      </c>
      <c r="E1285" t="s">
        <v>31</v>
      </c>
      <c r="F1285">
        <v>1</v>
      </c>
      <c r="G1285" s="3" t="s">
        <v>5</v>
      </c>
      <c r="H1285" s="46" t="s">
        <v>15</v>
      </c>
      <c r="I1285" s="17">
        <v>231839.03</v>
      </c>
      <c r="J1285" s="17">
        <f>IF(Gastos[[#This Row],[Divisa]]="$", I1285*1, IF(Gastos[[#This Row],[Divisa]]="U$D", I1285*$N$1, IF(Gastos[[#This Row],[Divisa]]="EUR", I1285*$N$2, 0)))</f>
        <v>231839.03</v>
      </c>
      <c r="K1285" s="54">
        <f>Gastos[[#This Row],[Importe AR$]]/$N$1</f>
        <v>148.61476282051282</v>
      </c>
      <c r="M1285" s="69"/>
      <c r="N1285" s="43" t="str">
        <f>IF(Gastos[[#This Row],[Fecha_Cheque]]&gt;0,WEEKNUM(Gastos[[#This Row],[Fecha_Cheque]]),MID(Gastos[[#This Row],[Semana]],6,2))</f>
        <v>48</v>
      </c>
      <c r="O1285" t="s">
        <v>868</v>
      </c>
      <c r="P1285" t="s">
        <v>27</v>
      </c>
    </row>
    <row r="1286" spans="1:16" hidden="1" x14ac:dyDescent="0.25">
      <c r="A1286" s="3" t="s">
        <v>2740</v>
      </c>
      <c r="B1286" t="s">
        <v>2878</v>
      </c>
      <c r="D1286" t="s">
        <v>26</v>
      </c>
      <c r="E1286" t="s">
        <v>31</v>
      </c>
      <c r="F1286">
        <v>1</v>
      </c>
      <c r="G1286" s="3" t="s">
        <v>5</v>
      </c>
      <c r="H1286" s="44" t="s">
        <v>15</v>
      </c>
      <c r="I1286" s="17">
        <v>595329.28000000003</v>
      </c>
      <c r="J1286" s="17">
        <f>IF(Gastos[[#This Row],[Divisa]]="$", I1286*1, IF(Gastos[[#This Row],[Divisa]]="U$D", I1286*$N$1, IF(Gastos[[#This Row],[Divisa]]="EUR", I1286*$N$2, 0)))</f>
        <v>595329.28000000003</v>
      </c>
      <c r="K1286" s="54">
        <f>Gastos[[#This Row],[Importe AR$]]/$N$1</f>
        <v>381.62133333333333</v>
      </c>
      <c r="M1286" s="69"/>
      <c r="N1286" s="43" t="str">
        <f>IF(Gastos[[#This Row],[Fecha_Cheque]]&gt;0,WEEKNUM(Gastos[[#This Row],[Fecha_Cheque]]),MID(Gastos[[#This Row],[Semana]],6,2))</f>
        <v>16</v>
      </c>
      <c r="O1286" t="s">
        <v>2879</v>
      </c>
      <c r="P1286" t="s">
        <v>27</v>
      </c>
    </row>
    <row r="1287" spans="1:16" hidden="1" x14ac:dyDescent="0.25">
      <c r="A1287" s="3" t="s">
        <v>2740</v>
      </c>
      <c r="B1287" t="s">
        <v>2878</v>
      </c>
      <c r="D1287" t="s">
        <v>26</v>
      </c>
      <c r="E1287" t="s">
        <v>31</v>
      </c>
      <c r="F1287">
        <v>1</v>
      </c>
      <c r="G1287" s="3" t="s">
        <v>5</v>
      </c>
      <c r="H1287" s="44" t="s">
        <v>15</v>
      </c>
      <c r="I1287" s="17">
        <v>5450.24</v>
      </c>
      <c r="J1287" s="17">
        <f>IF(Gastos[[#This Row],[Divisa]]="$", I1287*1, IF(Gastos[[#This Row],[Divisa]]="U$D", I1287*$N$1, IF(Gastos[[#This Row],[Divisa]]="EUR", I1287*$N$2, 0)))</f>
        <v>5450.24</v>
      </c>
      <c r="K1287" s="54">
        <f>Gastos[[#This Row],[Importe AR$]]/$N$1</f>
        <v>3.4937435897435898</v>
      </c>
      <c r="M1287" s="69"/>
      <c r="N1287" s="43" t="str">
        <f>IF(Gastos[[#This Row],[Fecha_Cheque]]&gt;0,WEEKNUM(Gastos[[#This Row],[Fecha_Cheque]]),MID(Gastos[[#This Row],[Semana]],6,2))</f>
        <v>16</v>
      </c>
      <c r="O1287" t="s">
        <v>2879</v>
      </c>
      <c r="P1287" t="s">
        <v>27</v>
      </c>
    </row>
    <row r="1288" spans="1:16" hidden="1" x14ac:dyDescent="0.25">
      <c r="A1288" s="3" t="s">
        <v>2726</v>
      </c>
      <c r="B1288" t="s">
        <v>866</v>
      </c>
      <c r="C1288" t="s">
        <v>3460</v>
      </c>
      <c r="D1288" t="s">
        <v>26</v>
      </c>
      <c r="E1288" t="s">
        <v>31</v>
      </c>
      <c r="F1288">
        <v>1</v>
      </c>
      <c r="G1288" s="3" t="s">
        <v>32</v>
      </c>
      <c r="H1288" s="44" t="s">
        <v>15</v>
      </c>
      <c r="I1288" s="17">
        <v>563570</v>
      </c>
      <c r="J1288" s="17">
        <f>IF(Gastos[[#This Row],[Divisa]]="$", I1288*1, IF(Gastos[[#This Row],[Divisa]]="U$D", I1288*$N$1, IF(Gastos[[#This Row],[Divisa]]="EUR", I1288*$N$2, 0)))</f>
        <v>563570</v>
      </c>
      <c r="K1288" s="54">
        <f>Gastos[[#This Row],[Importe AR$]]/$N$1</f>
        <v>361.2628205128205</v>
      </c>
      <c r="M1288" s="69">
        <v>46215</v>
      </c>
      <c r="N1288" s="43">
        <f>IF(Gastos[[#This Row],[Fecha_Cheque]]&gt;0,WEEKNUM(Gastos[[#This Row],[Fecha_Cheque]]),MID(Gastos[[#This Row],[Semana]],6,2))</f>
        <v>29</v>
      </c>
      <c r="O1288" t="s">
        <v>3461</v>
      </c>
      <c r="P1288" t="s">
        <v>27</v>
      </c>
    </row>
    <row r="1289" spans="1:16" hidden="1" x14ac:dyDescent="0.25">
      <c r="A1289" s="3" t="s">
        <v>2726</v>
      </c>
      <c r="B1289" t="s">
        <v>866</v>
      </c>
      <c r="C1289" t="s">
        <v>3460</v>
      </c>
      <c r="D1289" t="s">
        <v>26</v>
      </c>
      <c r="E1289" t="s">
        <v>31</v>
      </c>
      <c r="F1289">
        <v>1</v>
      </c>
      <c r="G1289" s="3" t="s">
        <v>32</v>
      </c>
      <c r="H1289" s="44" t="s">
        <v>15</v>
      </c>
      <c r="I1289" s="17">
        <v>6930</v>
      </c>
      <c r="J1289" s="17">
        <f>IF(Gastos[[#This Row],[Divisa]]="$", I1289*1, IF(Gastos[[#This Row],[Divisa]]="U$D", I1289*$N$1, IF(Gastos[[#This Row],[Divisa]]="EUR", I1289*$N$2, 0)))</f>
        <v>6930</v>
      </c>
      <c r="K1289" s="54">
        <f>Gastos[[#This Row],[Importe AR$]]/$N$1</f>
        <v>4.4423076923076925</v>
      </c>
      <c r="L1289" t="s">
        <v>340</v>
      </c>
      <c r="M1289" s="69"/>
      <c r="N1289" s="43" t="str">
        <f>IF(Gastos[[#This Row],[Fecha_Cheque]]&gt;0,WEEKNUM(Gastos[[#This Row],[Fecha_Cheque]]),MID(Gastos[[#This Row],[Semana]],6,2))</f>
        <v>24</v>
      </c>
      <c r="O1289" t="s">
        <v>3461</v>
      </c>
      <c r="P1289" t="s">
        <v>27</v>
      </c>
    </row>
    <row r="1290" spans="1:16" hidden="1" x14ac:dyDescent="0.25">
      <c r="A1290" s="3" t="s">
        <v>52</v>
      </c>
      <c r="B1290" t="s">
        <v>869</v>
      </c>
      <c r="C1290" t="s">
        <v>870</v>
      </c>
      <c r="D1290" t="s">
        <v>26</v>
      </c>
      <c r="E1290" t="s">
        <v>31</v>
      </c>
      <c r="F1290">
        <v>1</v>
      </c>
      <c r="G1290" s="3" t="s">
        <v>5</v>
      </c>
      <c r="H1290" s="46" t="s">
        <v>15</v>
      </c>
      <c r="I1290" s="19">
        <v>288000</v>
      </c>
      <c r="J1290" s="17">
        <f>IF(Gastos[[#This Row],[Divisa]]="$", I1290*1, IF(Gastos[[#This Row],[Divisa]]="U$D", I1290*$N$1, IF(Gastos[[#This Row],[Divisa]]="EUR", I1290*$N$2, 0)))</f>
        <v>288000</v>
      </c>
      <c r="K1290" s="55">
        <f>Gastos[[#This Row],[Importe AR$]]/$N$1</f>
        <v>184.61538461538461</v>
      </c>
      <c r="M1290" s="69"/>
      <c r="N1290" s="43" t="str">
        <f>IF(Gastos[[#This Row],[Fecha_Cheque]]&gt;0,WEEKNUM(Gastos[[#This Row],[Fecha_Cheque]]),MID(Gastos[[#This Row],[Semana]],6,2))</f>
        <v>12</v>
      </c>
      <c r="P1290" t="s">
        <v>27</v>
      </c>
    </row>
    <row r="1291" spans="1:16" hidden="1" x14ac:dyDescent="0.25">
      <c r="A1291" s="3" t="s">
        <v>416</v>
      </c>
      <c r="B1291" t="s">
        <v>871</v>
      </c>
      <c r="C1291" t="s">
        <v>872</v>
      </c>
      <c r="D1291" t="s">
        <v>26</v>
      </c>
      <c r="E1291" t="s">
        <v>42</v>
      </c>
      <c r="F1291">
        <v>1</v>
      </c>
      <c r="G1291" s="3" t="s">
        <v>4</v>
      </c>
      <c r="H1291" s="46" t="s">
        <v>15</v>
      </c>
      <c r="I1291" s="17">
        <v>41000</v>
      </c>
      <c r="J1291" s="17">
        <f>IF(Gastos[[#This Row],[Divisa]]="$", I1291*1, IF(Gastos[[#This Row],[Divisa]]="U$D", I1291*$N$1, IF(Gastos[[#This Row],[Divisa]]="EUR", I1291*$N$2, 0)))</f>
        <v>41000</v>
      </c>
      <c r="K1291" s="54">
        <f>Gastos[[#This Row],[Importe AR$]]/$N$1</f>
        <v>26.282051282051281</v>
      </c>
      <c r="M1291" s="69"/>
      <c r="N1291" s="43" t="str">
        <f>IF(Gastos[[#This Row],[Fecha_Cheque]]&gt;0,WEEKNUM(Gastos[[#This Row],[Fecha_Cheque]]),MID(Gastos[[#This Row],[Semana]],6,2))</f>
        <v>52</v>
      </c>
      <c r="O1291" t="s">
        <v>873</v>
      </c>
      <c r="P1291" t="s">
        <v>27</v>
      </c>
    </row>
    <row r="1292" spans="1:16" hidden="1" x14ac:dyDescent="0.25">
      <c r="A1292" s="3" t="s">
        <v>416</v>
      </c>
      <c r="B1292" t="s">
        <v>871</v>
      </c>
      <c r="C1292" t="s">
        <v>872</v>
      </c>
      <c r="D1292" t="s">
        <v>26</v>
      </c>
      <c r="E1292" t="s">
        <v>42</v>
      </c>
      <c r="F1292">
        <v>1</v>
      </c>
      <c r="G1292" s="3" t="s">
        <v>4</v>
      </c>
      <c r="H1292" s="46" t="s">
        <v>15</v>
      </c>
      <c r="I1292" s="17">
        <v>11000</v>
      </c>
      <c r="J1292" s="17">
        <f>IF(Gastos[[#This Row],[Divisa]]="$", I1292*1, IF(Gastos[[#This Row],[Divisa]]="U$D", I1292*$N$1, IF(Gastos[[#This Row],[Divisa]]="EUR", I1292*$N$2, 0)))</f>
        <v>11000</v>
      </c>
      <c r="K1292" s="54">
        <f>Gastos[[#This Row],[Importe AR$]]/$N$1</f>
        <v>7.0512820512820511</v>
      </c>
      <c r="M1292" s="69"/>
      <c r="N1292" s="43" t="str">
        <f>IF(Gastos[[#This Row],[Fecha_Cheque]]&gt;0,WEEKNUM(Gastos[[#This Row],[Fecha_Cheque]]),MID(Gastos[[#This Row],[Semana]],6,2))</f>
        <v>52</v>
      </c>
      <c r="O1292" t="s">
        <v>874</v>
      </c>
      <c r="P1292" t="s">
        <v>27</v>
      </c>
    </row>
    <row r="1293" spans="1:16" hidden="1" x14ac:dyDescent="0.25">
      <c r="A1293" s="3" t="s">
        <v>378</v>
      </c>
      <c r="B1293" t="s">
        <v>871</v>
      </c>
      <c r="C1293" t="s">
        <v>875</v>
      </c>
      <c r="D1293" t="s">
        <v>26</v>
      </c>
      <c r="E1293" t="s">
        <v>42</v>
      </c>
      <c r="F1293">
        <v>1</v>
      </c>
      <c r="G1293" s="3" t="s">
        <v>4</v>
      </c>
      <c r="H1293" s="46" t="s">
        <v>15</v>
      </c>
      <c r="I1293" s="17">
        <v>18000</v>
      </c>
      <c r="J1293" s="17">
        <f>IF(Gastos[[#This Row],[Divisa]]="$", I1293*1, IF(Gastos[[#This Row],[Divisa]]="U$D", I1293*$N$1, IF(Gastos[[#This Row],[Divisa]]="EUR", I1293*$N$2, 0)))</f>
        <v>18000</v>
      </c>
      <c r="K1293" s="54">
        <f>Gastos[[#This Row],[Importe AR$]]/$N$1</f>
        <v>11.538461538461538</v>
      </c>
      <c r="M1293" s="69"/>
      <c r="N1293" s="43" t="str">
        <f>IF(Gastos[[#This Row],[Fecha_Cheque]]&gt;0,WEEKNUM(Gastos[[#This Row],[Fecha_Cheque]]),MID(Gastos[[#This Row],[Semana]],6,2))</f>
        <v>03</v>
      </c>
      <c r="O1293" t="s">
        <v>876</v>
      </c>
      <c r="P1293" t="s">
        <v>27</v>
      </c>
    </row>
    <row r="1294" spans="1:16" hidden="1" x14ac:dyDescent="0.25">
      <c r="A1294" s="3" t="s">
        <v>378</v>
      </c>
      <c r="B1294" t="s">
        <v>871</v>
      </c>
      <c r="C1294" t="s">
        <v>875</v>
      </c>
      <c r="D1294" t="s">
        <v>26</v>
      </c>
      <c r="E1294" t="s">
        <v>42</v>
      </c>
      <c r="F1294">
        <v>1</v>
      </c>
      <c r="G1294" s="3" t="s">
        <v>4</v>
      </c>
      <c r="H1294" s="46" t="s">
        <v>15</v>
      </c>
      <c r="I1294" s="17">
        <f>44000</f>
        <v>44000</v>
      </c>
      <c r="J1294" s="17">
        <f>IF(Gastos[[#This Row],[Divisa]]="$", I1294*1, IF(Gastos[[#This Row],[Divisa]]="U$D", I1294*$N$1, IF(Gastos[[#This Row],[Divisa]]="EUR", I1294*$N$2, 0)))</f>
        <v>44000</v>
      </c>
      <c r="K1294" s="54">
        <f>Gastos[[#This Row],[Importe AR$]]/$N$1</f>
        <v>28.205128205128204</v>
      </c>
      <c r="M1294" s="69"/>
      <c r="N1294" s="43" t="str">
        <f>IF(Gastos[[#This Row],[Fecha_Cheque]]&gt;0,WEEKNUM(Gastos[[#This Row],[Fecha_Cheque]]),MID(Gastos[[#This Row],[Semana]],6,2))</f>
        <v>03</v>
      </c>
      <c r="O1294" t="s">
        <v>877</v>
      </c>
      <c r="P1294" t="s">
        <v>27</v>
      </c>
    </row>
    <row r="1295" spans="1:16" hidden="1" x14ac:dyDescent="0.25">
      <c r="A1295" s="3" t="s">
        <v>2711</v>
      </c>
      <c r="B1295" t="s">
        <v>871</v>
      </c>
      <c r="C1295" t="s">
        <v>2845</v>
      </c>
      <c r="D1295" t="s">
        <v>26</v>
      </c>
      <c r="E1295" t="s">
        <v>42</v>
      </c>
      <c r="F1295">
        <v>1</v>
      </c>
      <c r="G1295" s="3" t="s">
        <v>4</v>
      </c>
      <c r="H1295" s="44" t="s">
        <v>15</v>
      </c>
      <c r="I1295" s="17">
        <v>30000</v>
      </c>
      <c r="J1295" s="17">
        <f>IF(Gastos[[#This Row],[Divisa]]="$", I1295*1, IF(Gastos[[#This Row],[Divisa]]="U$D", I1295*$N$1, IF(Gastos[[#This Row],[Divisa]]="EUR", I1295*$N$2, 0)))</f>
        <v>30000</v>
      </c>
      <c r="K1295" s="54">
        <f>Gastos[[#This Row],[Importe AR$]]/$N$1</f>
        <v>19.23076923076923</v>
      </c>
      <c r="M1295" s="69"/>
      <c r="N1295" s="43" t="str">
        <f>IF(Gastos[[#This Row],[Fecha_Cheque]]&gt;0,WEEKNUM(Gastos[[#This Row],[Fecha_Cheque]]),MID(Gastos[[#This Row],[Semana]],6,2))</f>
        <v>15</v>
      </c>
      <c r="O1295" t="s">
        <v>2846</v>
      </c>
      <c r="P1295" t="s">
        <v>27</v>
      </c>
    </row>
    <row r="1296" spans="1:16" hidden="1" x14ac:dyDescent="0.25">
      <c r="A1296" s="3" t="s">
        <v>2751</v>
      </c>
      <c r="B1296" t="s">
        <v>871</v>
      </c>
      <c r="C1296" t="s">
        <v>2911</v>
      </c>
      <c r="D1296" t="s">
        <v>26</v>
      </c>
      <c r="E1296" t="s">
        <v>42</v>
      </c>
      <c r="F1296">
        <v>1</v>
      </c>
      <c r="G1296" s="3" t="s">
        <v>4</v>
      </c>
      <c r="H1296" s="44" t="s">
        <v>15</v>
      </c>
      <c r="I1296" s="17">
        <v>11000</v>
      </c>
      <c r="J1296" s="17">
        <f>IF(Gastos[[#This Row],[Divisa]]="$", I1296*1, IF(Gastos[[#This Row],[Divisa]]="U$D", I1296*$N$1, IF(Gastos[[#This Row],[Divisa]]="EUR", I1296*$N$2, 0)))</f>
        <v>11000</v>
      </c>
      <c r="K1296" s="54">
        <f>Gastos[[#This Row],[Importe AR$]]/$N$1</f>
        <v>7.0512820512820511</v>
      </c>
      <c r="M1296" s="69"/>
      <c r="N1296" s="43" t="str">
        <f>IF(Gastos[[#This Row],[Fecha_Cheque]]&gt;0,WEEKNUM(Gastos[[#This Row],[Fecha_Cheque]]),MID(Gastos[[#This Row],[Semana]],6,2))</f>
        <v>18</v>
      </c>
      <c r="O1296" t="s">
        <v>2912</v>
      </c>
      <c r="P1296" t="s">
        <v>27</v>
      </c>
    </row>
    <row r="1297" spans="1:16" hidden="1" x14ac:dyDescent="0.25">
      <c r="A1297" s="3" t="s">
        <v>2751</v>
      </c>
      <c r="B1297" t="s">
        <v>871</v>
      </c>
      <c r="C1297" t="s">
        <v>2911</v>
      </c>
      <c r="D1297" t="s">
        <v>26</v>
      </c>
      <c r="E1297" t="s">
        <v>42</v>
      </c>
      <c r="F1297">
        <v>1</v>
      </c>
      <c r="G1297" s="3" t="s">
        <v>4</v>
      </c>
      <c r="H1297" s="44" t="s">
        <v>15</v>
      </c>
      <c r="I1297" s="17">
        <v>18000</v>
      </c>
      <c r="J1297" s="17">
        <f>IF(Gastos[[#This Row],[Divisa]]="$", I1297*1, IF(Gastos[[#This Row],[Divisa]]="U$D", I1297*$N$1, IF(Gastos[[#This Row],[Divisa]]="EUR", I1297*$N$2, 0)))</f>
        <v>18000</v>
      </c>
      <c r="K1297" s="54">
        <f>Gastos[[#This Row],[Importe AR$]]/$N$1</f>
        <v>11.538461538461538</v>
      </c>
      <c r="M1297" s="69"/>
      <c r="N1297" s="43" t="str">
        <f>IF(Gastos[[#This Row],[Fecha_Cheque]]&gt;0,WEEKNUM(Gastos[[#This Row],[Fecha_Cheque]]),MID(Gastos[[#This Row],[Semana]],6,2))</f>
        <v>18</v>
      </c>
      <c r="O1297" t="s">
        <v>2916</v>
      </c>
      <c r="P1297" t="s">
        <v>27</v>
      </c>
    </row>
    <row r="1298" spans="1:16" hidden="1" x14ac:dyDescent="0.25">
      <c r="A1298" s="3" t="s">
        <v>2804</v>
      </c>
      <c r="B1298" t="s">
        <v>871</v>
      </c>
      <c r="C1298" t="s">
        <v>2997</v>
      </c>
      <c r="D1298" t="s">
        <v>26</v>
      </c>
      <c r="E1298" t="s">
        <v>42</v>
      </c>
      <c r="F1298">
        <v>1</v>
      </c>
      <c r="G1298" s="3" t="s">
        <v>4</v>
      </c>
      <c r="H1298" s="44" t="s">
        <v>15</v>
      </c>
      <c r="I1298" s="17">
        <v>45000</v>
      </c>
      <c r="J1298" s="17">
        <f>IF(Gastos[[#This Row],[Divisa]]="$", I1298*1, IF(Gastos[[#This Row],[Divisa]]="U$D", I1298*$N$1, IF(Gastos[[#This Row],[Divisa]]="EUR", I1298*$N$2, 0)))</f>
        <v>45000</v>
      </c>
      <c r="K1298" s="54">
        <f>Gastos[[#This Row],[Importe AR$]]/$N$1</f>
        <v>28.846153846153847</v>
      </c>
      <c r="M1298" s="69"/>
      <c r="N1298" s="43" t="str">
        <f>IF(Gastos[[#This Row],[Fecha_Cheque]]&gt;0,WEEKNUM(Gastos[[#This Row],[Fecha_Cheque]]),MID(Gastos[[#This Row],[Semana]],6,2))</f>
        <v>19</v>
      </c>
      <c r="O1298" t="s">
        <v>2998</v>
      </c>
      <c r="P1298" t="s">
        <v>27</v>
      </c>
    </row>
    <row r="1299" spans="1:16" hidden="1" x14ac:dyDescent="0.25">
      <c r="A1299" s="3" t="s">
        <v>2804</v>
      </c>
      <c r="B1299" t="s">
        <v>871</v>
      </c>
      <c r="C1299" t="s">
        <v>3001</v>
      </c>
      <c r="D1299" t="s">
        <v>26</v>
      </c>
      <c r="E1299" t="s">
        <v>42</v>
      </c>
      <c r="F1299">
        <v>1</v>
      </c>
      <c r="G1299" s="3" t="s">
        <v>4</v>
      </c>
      <c r="H1299" s="44" t="s">
        <v>15</v>
      </c>
      <c r="I1299" s="17">
        <v>111200</v>
      </c>
      <c r="J1299" s="17">
        <f>IF(Gastos[[#This Row],[Divisa]]="$", I1299*1, IF(Gastos[[#This Row],[Divisa]]="U$D", I1299*$N$1, IF(Gastos[[#This Row],[Divisa]]="EUR", I1299*$N$2, 0)))</f>
        <v>111200</v>
      </c>
      <c r="K1299" s="54">
        <f>Gastos[[#This Row],[Importe AR$]]/$N$1</f>
        <v>71.282051282051285</v>
      </c>
      <c r="M1299" s="69"/>
      <c r="N1299" s="43" t="str">
        <f>IF(Gastos[[#This Row],[Fecha_Cheque]]&gt;0,WEEKNUM(Gastos[[#This Row],[Fecha_Cheque]]),MID(Gastos[[#This Row],[Semana]],6,2))</f>
        <v>19</v>
      </c>
      <c r="O1299" t="s">
        <v>3002</v>
      </c>
      <c r="P1299" t="s">
        <v>27</v>
      </c>
    </row>
    <row r="1300" spans="1:16" hidden="1" x14ac:dyDescent="0.25">
      <c r="A1300" s="3" t="s">
        <v>2726</v>
      </c>
      <c r="B1300" t="s">
        <v>871</v>
      </c>
      <c r="C1300" t="s">
        <v>3248</v>
      </c>
      <c r="D1300" t="s">
        <v>26</v>
      </c>
      <c r="E1300" t="s">
        <v>42</v>
      </c>
      <c r="F1300">
        <v>1</v>
      </c>
      <c r="G1300" s="3" t="s">
        <v>4</v>
      </c>
      <c r="H1300" s="44" t="s">
        <v>15</v>
      </c>
      <c r="I1300" s="17">
        <v>18000</v>
      </c>
      <c r="J1300" s="17">
        <f>IF(Gastos[[#This Row],[Divisa]]="$", I1300*1, IF(Gastos[[#This Row],[Divisa]]="U$D", I1300*$N$1, IF(Gastos[[#This Row],[Divisa]]="EUR", I1300*$N$2, 0)))</f>
        <v>18000</v>
      </c>
      <c r="K1300" s="54">
        <f>Gastos[[#This Row],[Importe AR$]]/$N$1</f>
        <v>11.538461538461538</v>
      </c>
      <c r="M1300" s="69"/>
      <c r="N1300" s="43" t="str">
        <f>IF(Gastos[[#This Row],[Fecha_Cheque]]&gt;0,WEEKNUM(Gastos[[#This Row],[Fecha_Cheque]]),MID(Gastos[[#This Row],[Semana]],6,2))</f>
        <v>24</v>
      </c>
      <c r="O1300" t="s">
        <v>3249</v>
      </c>
      <c r="P1300" t="s">
        <v>27</v>
      </c>
    </row>
    <row r="1301" spans="1:16" hidden="1" x14ac:dyDescent="0.25">
      <c r="A1301" s="3" t="s">
        <v>2726</v>
      </c>
      <c r="B1301" t="s">
        <v>871</v>
      </c>
      <c r="C1301" t="s">
        <v>3251</v>
      </c>
      <c r="D1301" t="s">
        <v>26</v>
      </c>
      <c r="E1301" t="s">
        <v>42</v>
      </c>
      <c r="F1301">
        <v>1</v>
      </c>
      <c r="G1301" s="3" t="s">
        <v>4</v>
      </c>
      <c r="H1301" s="44" t="s">
        <v>15</v>
      </c>
      <c r="I1301" s="17">
        <v>83000</v>
      </c>
      <c r="J1301" s="17">
        <f>IF(Gastos[[#This Row],[Divisa]]="$", I1301*1, IF(Gastos[[#This Row],[Divisa]]="U$D", I1301*$N$1, IF(Gastos[[#This Row],[Divisa]]="EUR", I1301*$N$2, 0)))</f>
        <v>83000</v>
      </c>
      <c r="K1301" s="54">
        <f>Gastos[[#This Row],[Importe AR$]]/$N$1</f>
        <v>53.205128205128204</v>
      </c>
      <c r="M1301" s="69"/>
      <c r="N1301" s="43" t="str">
        <f>IF(Gastos[[#This Row],[Fecha_Cheque]]&gt;0,WEEKNUM(Gastos[[#This Row],[Fecha_Cheque]]),MID(Gastos[[#This Row],[Semana]],6,2))</f>
        <v>24</v>
      </c>
      <c r="O1301" t="s">
        <v>3252</v>
      </c>
      <c r="P1301" t="s">
        <v>27</v>
      </c>
    </row>
    <row r="1302" spans="1:16" hidden="1" x14ac:dyDescent="0.25">
      <c r="A1302" s="3" t="s">
        <v>3439</v>
      </c>
      <c r="B1302" t="s">
        <v>871</v>
      </c>
      <c r="C1302" t="s">
        <v>3516</v>
      </c>
      <c r="D1302" t="s">
        <v>26</v>
      </c>
      <c r="E1302" t="s">
        <v>42</v>
      </c>
      <c r="F1302">
        <v>1</v>
      </c>
      <c r="G1302" s="3" t="s">
        <v>4</v>
      </c>
      <c r="H1302" s="44" t="s">
        <v>15</v>
      </c>
      <c r="I1302" s="17">
        <v>55000</v>
      </c>
      <c r="J1302" s="17">
        <f>IF(Gastos[[#This Row],[Divisa]]="$", I1302*1, IF(Gastos[[#This Row],[Divisa]]="U$D", I1302*$N$1, IF(Gastos[[#This Row],[Divisa]]="EUR", I1302*$N$2, 0)))</f>
        <v>55000</v>
      </c>
      <c r="K1302" s="54">
        <f>Gastos[[#This Row],[Importe AR$]]/$N$1</f>
        <v>35.256410256410255</v>
      </c>
      <c r="M1302" s="69"/>
      <c r="N1302" s="43" t="str">
        <f>IF(Gastos[[#This Row],[Fecha_Cheque]]&gt;0,WEEKNUM(Gastos[[#This Row],[Fecha_Cheque]]),MID(Gastos[[#This Row],[Semana]],6,2))</f>
        <v>25</v>
      </c>
      <c r="O1302" t="s">
        <v>3517</v>
      </c>
      <c r="P1302" t="s">
        <v>27</v>
      </c>
    </row>
    <row r="1303" spans="1:16" hidden="1" x14ac:dyDescent="0.25">
      <c r="A1303" s="3" t="s">
        <v>3439</v>
      </c>
      <c r="B1303" t="s">
        <v>871</v>
      </c>
      <c r="C1303" t="s">
        <v>3518</v>
      </c>
      <c r="D1303" t="s">
        <v>26</v>
      </c>
      <c r="E1303" t="s">
        <v>42</v>
      </c>
      <c r="F1303">
        <v>1</v>
      </c>
      <c r="G1303" s="3" t="s">
        <v>4</v>
      </c>
      <c r="H1303" s="44" t="s">
        <v>15</v>
      </c>
      <c r="I1303" s="17">
        <v>45000</v>
      </c>
      <c r="J1303" s="17">
        <f>IF(Gastos[[#This Row],[Divisa]]="$", I1303*1, IF(Gastos[[#This Row],[Divisa]]="U$D", I1303*$N$1, IF(Gastos[[#This Row],[Divisa]]="EUR", I1303*$N$2, 0)))</f>
        <v>45000</v>
      </c>
      <c r="K1303" s="54">
        <f>Gastos[[#This Row],[Importe AR$]]/$N$1</f>
        <v>28.846153846153847</v>
      </c>
      <c r="M1303" s="69"/>
      <c r="N1303" s="43" t="str">
        <f>IF(Gastos[[#This Row],[Fecha_Cheque]]&gt;0,WEEKNUM(Gastos[[#This Row],[Fecha_Cheque]]),MID(Gastos[[#This Row],[Semana]],6,2))</f>
        <v>25</v>
      </c>
      <c r="O1303" t="s">
        <v>3519</v>
      </c>
      <c r="P1303" t="s">
        <v>27</v>
      </c>
    </row>
    <row r="1304" spans="1:16" hidden="1" x14ac:dyDescent="0.25">
      <c r="A1304" s="3" t="s">
        <v>3439</v>
      </c>
      <c r="B1304" t="s">
        <v>871</v>
      </c>
      <c r="C1304" t="s">
        <v>3520</v>
      </c>
      <c r="D1304" t="s">
        <v>26</v>
      </c>
      <c r="E1304" t="s">
        <v>42</v>
      </c>
      <c r="F1304">
        <v>1</v>
      </c>
      <c r="G1304" s="3" t="s">
        <v>4</v>
      </c>
      <c r="H1304" s="44" t="s">
        <v>15</v>
      </c>
      <c r="I1304" s="17">
        <v>11000</v>
      </c>
      <c r="J1304" s="17">
        <f>IF(Gastos[[#This Row],[Divisa]]="$", I1304*1, IF(Gastos[[#This Row],[Divisa]]="U$D", I1304*$N$1, IF(Gastos[[#This Row],[Divisa]]="EUR", I1304*$N$2, 0)))</f>
        <v>11000</v>
      </c>
      <c r="K1304" s="54">
        <f>Gastos[[#This Row],[Importe AR$]]/$N$1</f>
        <v>7.0512820512820511</v>
      </c>
      <c r="M1304" s="69"/>
      <c r="N1304" s="43" t="str">
        <f>IF(Gastos[[#This Row],[Fecha_Cheque]]&gt;0,WEEKNUM(Gastos[[#This Row],[Fecha_Cheque]]),MID(Gastos[[#This Row],[Semana]],6,2))</f>
        <v>25</v>
      </c>
      <c r="O1304" t="s">
        <v>3521</v>
      </c>
      <c r="P1304" t="s">
        <v>27</v>
      </c>
    </row>
    <row r="1305" spans="1:16" hidden="1" x14ac:dyDescent="0.25">
      <c r="A1305" s="3" t="s">
        <v>3439</v>
      </c>
      <c r="B1305" t="s">
        <v>871</v>
      </c>
      <c r="C1305" t="s">
        <v>3522</v>
      </c>
      <c r="D1305" t="s">
        <v>26</v>
      </c>
      <c r="E1305" t="s">
        <v>42</v>
      </c>
      <c r="F1305">
        <v>1</v>
      </c>
      <c r="G1305" s="3" t="s">
        <v>4</v>
      </c>
      <c r="H1305" s="44" t="s">
        <v>15</v>
      </c>
      <c r="I1305" s="17">
        <v>11000</v>
      </c>
      <c r="J1305" s="17">
        <f>IF(Gastos[[#This Row],[Divisa]]="$", I1305*1, IF(Gastos[[#This Row],[Divisa]]="U$D", I1305*$N$1, IF(Gastos[[#This Row],[Divisa]]="EUR", I1305*$N$2, 0)))</f>
        <v>11000</v>
      </c>
      <c r="K1305" s="54">
        <f>Gastos[[#This Row],[Importe AR$]]/$N$1</f>
        <v>7.0512820512820511</v>
      </c>
      <c r="M1305" s="69"/>
      <c r="N1305" s="43" t="str">
        <f>IF(Gastos[[#This Row],[Fecha_Cheque]]&gt;0,WEEKNUM(Gastos[[#This Row],[Fecha_Cheque]]),MID(Gastos[[#This Row],[Semana]],6,2))</f>
        <v>25</v>
      </c>
      <c r="O1305" t="s">
        <v>3523</v>
      </c>
      <c r="P1305" t="s">
        <v>27</v>
      </c>
    </row>
    <row r="1306" spans="1:16" hidden="1" x14ac:dyDescent="0.25">
      <c r="A1306" s="3" t="s">
        <v>3617</v>
      </c>
      <c r="B1306" t="s">
        <v>871</v>
      </c>
      <c r="C1306" t="s">
        <v>3680</v>
      </c>
      <c r="D1306" t="s">
        <v>26</v>
      </c>
      <c r="E1306" t="s">
        <v>42</v>
      </c>
      <c r="F1306">
        <v>1</v>
      </c>
      <c r="G1306" s="3" t="s">
        <v>4</v>
      </c>
      <c r="H1306" s="44" t="s">
        <v>15</v>
      </c>
      <c r="I1306" s="17">
        <v>11000</v>
      </c>
      <c r="J1306" s="17">
        <f>IF(Gastos[[#This Row],[Divisa]]="$", I1306*1, IF(Gastos[[#This Row],[Divisa]]="U$D", I1306*$N$1, IF(Gastos[[#This Row],[Divisa]]="EUR", I1306*$N$2, 0)))</f>
        <v>11000</v>
      </c>
      <c r="K1306" s="54">
        <f>Gastos[[#This Row],[Importe AR$]]/$N$1</f>
        <v>7.0512820512820511</v>
      </c>
      <c r="M1306" s="69"/>
      <c r="N1306" s="43" t="str">
        <f>IF(Gastos[[#This Row],[Fecha_Cheque]]&gt;0,WEEKNUM(Gastos[[#This Row],[Fecha_Cheque]]),MID(Gastos[[#This Row],[Semana]],6,2))</f>
        <v>27</v>
      </c>
      <c r="O1306" t="s">
        <v>3681</v>
      </c>
      <c r="P1306" t="s">
        <v>27</v>
      </c>
    </row>
    <row r="1307" spans="1:16" hidden="1" x14ac:dyDescent="0.25">
      <c r="A1307" s="3" t="s">
        <v>3693</v>
      </c>
      <c r="B1307" t="s">
        <v>871</v>
      </c>
      <c r="C1307" t="s">
        <v>3723</v>
      </c>
      <c r="D1307" t="s">
        <v>26</v>
      </c>
      <c r="E1307" t="s">
        <v>42</v>
      </c>
      <c r="F1307">
        <v>1</v>
      </c>
      <c r="G1307" s="3" t="s">
        <v>4</v>
      </c>
      <c r="H1307" s="44" t="s">
        <v>15</v>
      </c>
      <c r="I1307" s="17">
        <v>11000</v>
      </c>
      <c r="J1307" s="17">
        <f>IF(Gastos[[#This Row],[Divisa]]="$", I1307*1, IF(Gastos[[#This Row],[Divisa]]="U$D", I1307*$N$1, IF(Gastos[[#This Row],[Divisa]]="EUR", I1307*$N$2, 0)))</f>
        <v>11000</v>
      </c>
      <c r="K1307" s="54">
        <f>Gastos[[#This Row],[Importe AR$]]/$N$1</f>
        <v>7.0512820512820511</v>
      </c>
      <c r="M1307" s="69"/>
      <c r="N1307" s="43" t="str">
        <f>IF(Gastos[[#This Row],[Fecha_Cheque]]&gt;0,WEEKNUM(Gastos[[#This Row],[Fecha_Cheque]]),MID(Gastos[[#This Row],[Semana]],6,2))</f>
        <v>28</v>
      </c>
      <c r="O1307" t="s">
        <v>3724</v>
      </c>
      <c r="P1307" t="s">
        <v>27</v>
      </c>
    </row>
    <row r="1308" spans="1:16" hidden="1" x14ac:dyDescent="0.25">
      <c r="A1308" s="3" t="s">
        <v>3754</v>
      </c>
      <c r="B1308" t="s">
        <v>871</v>
      </c>
      <c r="C1308" t="s">
        <v>3783</v>
      </c>
      <c r="D1308" t="s">
        <v>26</v>
      </c>
      <c r="E1308" t="s">
        <v>42</v>
      </c>
      <c r="F1308">
        <v>1</v>
      </c>
      <c r="G1308" s="3" t="s">
        <v>4</v>
      </c>
      <c r="H1308" s="44" t="s">
        <v>15</v>
      </c>
      <c r="I1308" s="17">
        <v>164000</v>
      </c>
      <c r="J1308" s="17">
        <f>IF(Gastos[[#This Row],[Divisa]]="$", I1308*1, IF(Gastos[[#This Row],[Divisa]]="U$D", I1308*$N$1, IF(Gastos[[#This Row],[Divisa]]="EUR", I1308*$N$2, 0)))</f>
        <v>164000</v>
      </c>
      <c r="K1308" s="54">
        <f>Gastos[[#This Row],[Importe AR$]]/$N$1</f>
        <v>105.12820512820512</v>
      </c>
      <c r="M1308" s="69"/>
      <c r="N1308" s="43" t="str">
        <f>IF(Gastos[[#This Row],[Fecha_Cheque]]&gt;0,WEEKNUM(Gastos[[#This Row],[Fecha_Cheque]]),MID(Gastos[[#This Row],[Semana]],6,2))</f>
        <v>29</v>
      </c>
      <c r="O1308" t="s">
        <v>3784</v>
      </c>
      <c r="P1308" t="s">
        <v>27</v>
      </c>
    </row>
    <row r="1309" spans="1:16" hidden="1" x14ac:dyDescent="0.25">
      <c r="A1309" s="3" t="s">
        <v>4005</v>
      </c>
      <c r="B1309" t="s">
        <v>871</v>
      </c>
      <c r="C1309" t="s">
        <v>4049</v>
      </c>
      <c r="D1309" t="s">
        <v>26</v>
      </c>
      <c r="E1309" t="s">
        <v>42</v>
      </c>
      <c r="F1309">
        <v>1</v>
      </c>
      <c r="G1309" s="3" t="s">
        <v>4</v>
      </c>
      <c r="H1309" s="44" t="s">
        <v>15</v>
      </c>
      <c r="I1309" s="17">
        <v>90000</v>
      </c>
      <c r="J1309" s="17">
        <f>IF(Gastos[[#This Row],[Divisa]]="$", I1309*1, IF(Gastos[[#This Row],[Divisa]]="U$D", I1309*$N$1, IF(Gastos[[#This Row],[Divisa]]="EUR", I1309*$N$2, 0)))</f>
        <v>90000</v>
      </c>
      <c r="K1309" s="54">
        <f>Gastos[[#This Row],[Importe AR$]]/$N$1</f>
        <v>57.692307692307693</v>
      </c>
      <c r="M1309" s="69"/>
      <c r="N1309" s="43" t="str">
        <f>IF(Gastos[[#This Row],[Fecha_Cheque]]&gt;0,WEEKNUM(Gastos[[#This Row],[Fecha_Cheque]]),MID(Gastos[[#This Row],[Semana]],6,2))</f>
        <v>33</v>
      </c>
      <c r="O1309" t="s">
        <v>4050</v>
      </c>
      <c r="P1309" t="s">
        <v>27</v>
      </c>
    </row>
    <row r="1310" spans="1:16" hidden="1" x14ac:dyDescent="0.25">
      <c r="A1310" s="3" t="s">
        <v>4005</v>
      </c>
      <c r="B1310" t="s">
        <v>871</v>
      </c>
      <c r="C1310" t="s">
        <v>4049</v>
      </c>
      <c r="D1310" t="s">
        <v>26</v>
      </c>
      <c r="E1310" t="s">
        <v>42</v>
      </c>
      <c r="F1310">
        <v>1</v>
      </c>
      <c r="G1310" s="3" t="s">
        <v>4</v>
      </c>
      <c r="H1310" s="44" t="s">
        <v>15</v>
      </c>
      <c r="I1310" s="17">
        <v>9000</v>
      </c>
      <c r="J1310" s="17">
        <f>IF(Gastos[[#This Row],[Divisa]]="$", I1310*1, IF(Gastos[[#This Row],[Divisa]]="U$D", I1310*$N$1, IF(Gastos[[#This Row],[Divisa]]="EUR", I1310*$N$2, 0)))</f>
        <v>9000</v>
      </c>
      <c r="K1310" s="54">
        <f>Gastos[[#This Row],[Importe AR$]]/$N$1</f>
        <v>5.7692307692307692</v>
      </c>
      <c r="M1310" s="69"/>
      <c r="N1310" s="43" t="str">
        <f>IF(Gastos[[#This Row],[Fecha_Cheque]]&gt;0,WEEKNUM(Gastos[[#This Row],[Fecha_Cheque]]),MID(Gastos[[#This Row],[Semana]],6,2))</f>
        <v>33</v>
      </c>
      <c r="O1310" t="s">
        <v>4055</v>
      </c>
      <c r="P1310" t="s">
        <v>27</v>
      </c>
    </row>
    <row r="1311" spans="1:16" hidden="1" x14ac:dyDescent="0.25">
      <c r="A1311" s="3" t="s">
        <v>4005</v>
      </c>
      <c r="B1311" t="s">
        <v>871</v>
      </c>
      <c r="C1311" t="s">
        <v>4061</v>
      </c>
      <c r="D1311" t="s">
        <v>26</v>
      </c>
      <c r="E1311" t="s">
        <v>42</v>
      </c>
      <c r="F1311">
        <v>1</v>
      </c>
      <c r="G1311" s="3" t="s">
        <v>4</v>
      </c>
      <c r="H1311" s="44" t="s">
        <v>15</v>
      </c>
      <c r="I1311" s="17">
        <v>11000</v>
      </c>
      <c r="J1311" s="17">
        <f>IF(Gastos[[#This Row],[Divisa]]="$", I1311*1, IF(Gastos[[#This Row],[Divisa]]="U$D", I1311*$N$1, IF(Gastos[[#This Row],[Divisa]]="EUR", I1311*$N$2, 0)))</f>
        <v>11000</v>
      </c>
      <c r="K1311" s="54">
        <f>Gastos[[#This Row],[Importe AR$]]/$N$1</f>
        <v>7.0512820512820511</v>
      </c>
      <c r="M1311" s="69"/>
      <c r="N1311" s="43" t="str">
        <f>IF(Gastos[[#This Row],[Fecha_Cheque]]&gt;0,WEEKNUM(Gastos[[#This Row],[Fecha_Cheque]]),MID(Gastos[[#This Row],[Semana]],6,2))</f>
        <v>33</v>
      </c>
      <c r="O1311" t="s">
        <v>4062</v>
      </c>
      <c r="P1311" t="s">
        <v>27</v>
      </c>
    </row>
    <row r="1312" spans="1:16" hidden="1" x14ac:dyDescent="0.25">
      <c r="A1312" s="3" t="s">
        <v>4119</v>
      </c>
      <c r="B1312" t="s">
        <v>871</v>
      </c>
      <c r="C1312" t="s">
        <v>4122</v>
      </c>
      <c r="D1312" t="s">
        <v>26</v>
      </c>
      <c r="E1312" t="s">
        <v>42</v>
      </c>
      <c r="F1312">
        <v>1</v>
      </c>
      <c r="G1312" s="3" t="s">
        <v>4</v>
      </c>
      <c r="H1312" s="44" t="s">
        <v>15</v>
      </c>
      <c r="I1312" s="17">
        <v>11000</v>
      </c>
      <c r="J1312" s="17">
        <f>IF(Gastos[[#This Row],[Divisa]]="$", I1312*1, IF(Gastos[[#This Row],[Divisa]]="U$D", I1312*$N$1, IF(Gastos[[#This Row],[Divisa]]="EUR", I1312*$N$2, 0)))</f>
        <v>11000</v>
      </c>
      <c r="K1312" s="54">
        <f>Gastos[[#This Row],[Importe AR$]]/$N$1</f>
        <v>7.0512820512820511</v>
      </c>
      <c r="M1312" s="69"/>
      <c r="N1312" s="43" t="str">
        <f>IF(Gastos[[#This Row],[Fecha_Cheque]]&gt;0,WEEKNUM(Gastos[[#This Row],[Fecha_Cheque]]),MID(Gastos[[#This Row],[Semana]],6,2))</f>
        <v>35</v>
      </c>
      <c r="O1312" t="s">
        <v>4123</v>
      </c>
      <c r="P1312" t="s">
        <v>27</v>
      </c>
    </row>
    <row r="1313" spans="1:16" hidden="1" x14ac:dyDescent="0.25">
      <c r="A1313" s="3" t="s">
        <v>4119</v>
      </c>
      <c r="B1313" t="s">
        <v>871</v>
      </c>
      <c r="C1313" t="s">
        <v>4141</v>
      </c>
      <c r="D1313" t="s">
        <v>26</v>
      </c>
      <c r="E1313" t="s">
        <v>31</v>
      </c>
      <c r="F1313">
        <v>1</v>
      </c>
      <c r="G1313" s="3" t="s">
        <v>4</v>
      </c>
      <c r="H1313" s="44" t="s">
        <v>15</v>
      </c>
      <c r="I1313" s="17">
        <v>11000</v>
      </c>
      <c r="J1313" s="17">
        <f>IF(Gastos[[#This Row],[Divisa]]="$", I1313*1, IF(Gastos[[#This Row],[Divisa]]="U$D", I1313*$N$1, IF(Gastos[[#This Row],[Divisa]]="EUR", I1313*$N$2, 0)))</f>
        <v>11000</v>
      </c>
      <c r="K1313" s="54">
        <f>Gastos[[#This Row],[Importe AR$]]/$N$1</f>
        <v>7.0512820512820511</v>
      </c>
      <c r="M1313" s="69"/>
      <c r="N1313" s="43" t="str">
        <f>IF(Gastos[[#This Row],[Fecha_Cheque]]&gt;0,WEEKNUM(Gastos[[#This Row],[Fecha_Cheque]]),MID(Gastos[[#This Row],[Semana]],6,2))</f>
        <v>35</v>
      </c>
      <c r="O1313" t="s">
        <v>4142</v>
      </c>
      <c r="P1313" t="s">
        <v>27</v>
      </c>
    </row>
    <row r="1314" spans="1:16" hidden="1" x14ac:dyDescent="0.25">
      <c r="A1314" s="3" t="s">
        <v>4211</v>
      </c>
      <c r="B1314" t="s">
        <v>871</v>
      </c>
      <c r="C1314" t="s">
        <v>4225</v>
      </c>
      <c r="D1314" t="s">
        <v>26</v>
      </c>
      <c r="E1314" t="s">
        <v>42</v>
      </c>
      <c r="F1314">
        <v>1</v>
      </c>
      <c r="G1314" s="3" t="s">
        <v>4</v>
      </c>
      <c r="H1314" s="44" t="s">
        <v>15</v>
      </c>
      <c r="I1314" s="17">
        <v>78000</v>
      </c>
      <c r="J1314" s="17">
        <f>IF(Gastos[[#This Row],[Divisa]]="$", I1314*1, IF(Gastos[[#This Row],[Divisa]]="U$D", I1314*$N$1, IF(Gastos[[#This Row],[Divisa]]="EUR", I1314*$N$2, 0)))</f>
        <v>78000</v>
      </c>
      <c r="K1314" s="54">
        <f>Gastos[[#This Row],[Importe AR$]]/$N$1</f>
        <v>50</v>
      </c>
      <c r="M1314" s="69"/>
      <c r="N1314" s="43" t="str">
        <f>IF(Gastos[[#This Row],[Fecha_Cheque]]&gt;0,WEEKNUM(Gastos[[#This Row],[Fecha_Cheque]]),MID(Gastos[[#This Row],[Semana]],6,2))</f>
        <v>37</v>
      </c>
      <c r="O1314" t="s">
        <v>4226</v>
      </c>
      <c r="P1314" t="s">
        <v>27</v>
      </c>
    </row>
    <row r="1315" spans="1:16" hidden="1" x14ac:dyDescent="0.25">
      <c r="A1315" s="3" t="s">
        <v>4211</v>
      </c>
      <c r="B1315" t="s">
        <v>871</v>
      </c>
      <c r="C1315" t="s">
        <v>4227</v>
      </c>
      <c r="D1315" t="s">
        <v>26</v>
      </c>
      <c r="E1315" t="s">
        <v>42</v>
      </c>
      <c r="F1315">
        <v>1</v>
      </c>
      <c r="G1315" s="3" t="s">
        <v>4</v>
      </c>
      <c r="H1315" s="44" t="s">
        <v>15</v>
      </c>
      <c r="I1315" s="17">
        <v>44000</v>
      </c>
      <c r="J1315" s="17">
        <f>IF(Gastos[[#This Row],[Divisa]]="$", I1315*1, IF(Gastos[[#This Row],[Divisa]]="U$D", I1315*$N$1, IF(Gastos[[#This Row],[Divisa]]="EUR", I1315*$N$2, 0)))</f>
        <v>44000</v>
      </c>
      <c r="K1315" s="54">
        <f>Gastos[[#This Row],[Importe AR$]]/$N$1</f>
        <v>28.205128205128204</v>
      </c>
      <c r="M1315" s="69"/>
      <c r="N1315" s="43" t="str">
        <f>IF(Gastos[[#This Row],[Fecha_Cheque]]&gt;0,WEEKNUM(Gastos[[#This Row],[Fecha_Cheque]]),MID(Gastos[[#This Row],[Semana]],6,2))</f>
        <v>37</v>
      </c>
      <c r="O1315" t="s">
        <v>4228</v>
      </c>
      <c r="P1315" t="s">
        <v>27</v>
      </c>
    </row>
    <row r="1316" spans="1:16" hidden="1" x14ac:dyDescent="0.25">
      <c r="A1316" s="3" t="s">
        <v>4211</v>
      </c>
      <c r="B1316" t="s">
        <v>871</v>
      </c>
      <c r="C1316" t="s">
        <v>4229</v>
      </c>
      <c r="D1316" t="s">
        <v>26</v>
      </c>
      <c r="E1316" t="s">
        <v>42</v>
      </c>
      <c r="F1316">
        <v>1</v>
      </c>
      <c r="G1316" s="3" t="s">
        <v>4</v>
      </c>
      <c r="H1316" s="44" t="s">
        <v>15</v>
      </c>
      <c r="I1316" s="17">
        <v>36000</v>
      </c>
      <c r="J1316" s="17">
        <f>IF(Gastos[[#This Row],[Divisa]]="$", I1316*1, IF(Gastos[[#This Row],[Divisa]]="U$D", I1316*$N$1, IF(Gastos[[#This Row],[Divisa]]="EUR", I1316*$N$2, 0)))</f>
        <v>36000</v>
      </c>
      <c r="K1316" s="54">
        <f>Gastos[[#This Row],[Importe AR$]]/$N$1</f>
        <v>23.076923076923077</v>
      </c>
      <c r="M1316" s="69"/>
      <c r="N1316" s="43" t="str">
        <f>IF(Gastos[[#This Row],[Fecha_Cheque]]&gt;0,WEEKNUM(Gastos[[#This Row],[Fecha_Cheque]]),MID(Gastos[[#This Row],[Semana]],6,2))</f>
        <v>37</v>
      </c>
      <c r="O1316" t="s">
        <v>4230</v>
      </c>
      <c r="P1316" t="s">
        <v>27</v>
      </c>
    </row>
    <row r="1317" spans="1:16" hidden="1" x14ac:dyDescent="0.25">
      <c r="A1317" s="3" t="s">
        <v>4374</v>
      </c>
      <c r="B1317" t="s">
        <v>871</v>
      </c>
      <c r="C1317" t="s">
        <v>4377</v>
      </c>
      <c r="D1317" t="s">
        <v>26</v>
      </c>
      <c r="E1317" t="s">
        <v>42</v>
      </c>
      <c r="F1317">
        <v>1</v>
      </c>
      <c r="G1317" s="3" t="s">
        <v>4</v>
      </c>
      <c r="H1317" s="44" t="s">
        <v>15</v>
      </c>
      <c r="I1317" s="17">
        <v>18000</v>
      </c>
      <c r="J1317" s="17">
        <f>IF(Gastos[[#This Row],[Divisa]]="$", I1317*1, IF(Gastos[[#This Row],[Divisa]]="U$D", I1317*$N$1, IF(Gastos[[#This Row],[Divisa]]="EUR", I1317*$N$2, 0)))</f>
        <v>18000</v>
      </c>
      <c r="K1317" s="54">
        <f>Gastos[[#This Row],[Importe AR$]]/$N$1</f>
        <v>11.538461538461538</v>
      </c>
      <c r="M1317" s="69"/>
      <c r="N1317" s="43" t="str">
        <f>IF(Gastos[[#This Row],[Fecha_Cheque]]&gt;0,WEEKNUM(Gastos[[#This Row],[Fecha_Cheque]]),MID(Gastos[[#This Row],[Semana]],6,2))</f>
        <v>39</v>
      </c>
      <c r="O1317" t="s">
        <v>4378</v>
      </c>
      <c r="P1317" t="s">
        <v>27</v>
      </c>
    </row>
    <row r="1318" spans="1:16" hidden="1" x14ac:dyDescent="0.25">
      <c r="A1318" s="3" t="s">
        <v>4447</v>
      </c>
      <c r="B1318" t="s">
        <v>871</v>
      </c>
      <c r="C1318" t="s">
        <v>4451</v>
      </c>
      <c r="D1318" t="s">
        <v>26</v>
      </c>
      <c r="E1318" t="s">
        <v>42</v>
      </c>
      <c r="F1318">
        <v>1</v>
      </c>
      <c r="G1318" s="3" t="s">
        <v>4</v>
      </c>
      <c r="H1318" s="44" t="s">
        <v>15</v>
      </c>
      <c r="I1318" s="17">
        <v>54000</v>
      </c>
      <c r="J1318" s="17">
        <f>IF(Gastos[[#This Row],[Divisa]]="$", I1318*1, IF(Gastos[[#This Row],[Divisa]]="U$D", I1318*$N$1, IF(Gastos[[#This Row],[Divisa]]="EUR", I1318*$N$2, 0)))</f>
        <v>54000</v>
      </c>
      <c r="K1318" s="54">
        <f>Gastos[[#This Row],[Importe AR$]]/$N$1</f>
        <v>34.615384615384613</v>
      </c>
      <c r="M1318" s="69"/>
      <c r="N1318" s="43" t="str">
        <f>IF(Gastos[[#This Row],[Fecha_Cheque]]&gt;0,WEEKNUM(Gastos[[#This Row],[Fecha_Cheque]]),MID(Gastos[[#This Row],[Semana]],6,2))</f>
        <v>41</v>
      </c>
      <c r="O1318" t="s">
        <v>4452</v>
      </c>
      <c r="P1318" t="s">
        <v>27</v>
      </c>
    </row>
    <row r="1319" spans="1:16" hidden="1" x14ac:dyDescent="0.25">
      <c r="A1319" s="3" t="s">
        <v>4447</v>
      </c>
      <c r="B1319" t="s">
        <v>871</v>
      </c>
      <c r="C1319" t="s">
        <v>4451</v>
      </c>
      <c r="D1319" t="s">
        <v>26</v>
      </c>
      <c r="E1319" t="s">
        <v>42</v>
      </c>
      <c r="F1319">
        <v>1</v>
      </c>
      <c r="G1319" s="3" t="s">
        <v>4</v>
      </c>
      <c r="H1319" s="44" t="s">
        <v>15</v>
      </c>
      <c r="I1319" s="17">
        <v>36200</v>
      </c>
      <c r="J1319" s="17">
        <f>IF(Gastos[[#This Row],[Divisa]]="$", I1319*1, IF(Gastos[[#This Row],[Divisa]]="U$D", I1319*$N$1, IF(Gastos[[#This Row],[Divisa]]="EUR", I1319*$N$2, 0)))</f>
        <v>36200</v>
      </c>
      <c r="K1319" s="54">
        <f>Gastos[[#This Row],[Importe AR$]]/$N$1</f>
        <v>23.205128205128204</v>
      </c>
      <c r="M1319" s="69"/>
      <c r="N1319" s="43" t="str">
        <f>IF(Gastos[[#This Row],[Fecha_Cheque]]&gt;0,WEEKNUM(Gastos[[#This Row],[Fecha_Cheque]]),MID(Gastos[[#This Row],[Semana]],6,2))</f>
        <v>41</v>
      </c>
      <c r="O1319" t="s">
        <v>4453</v>
      </c>
      <c r="P1319" t="s">
        <v>27</v>
      </c>
    </row>
    <row r="1320" spans="1:16" hidden="1" x14ac:dyDescent="0.25">
      <c r="A1320" s="3" t="s">
        <v>4447</v>
      </c>
      <c r="B1320" t="s">
        <v>871</v>
      </c>
      <c r="C1320" t="s">
        <v>4464</v>
      </c>
      <c r="D1320" t="s">
        <v>26</v>
      </c>
      <c r="E1320" t="s">
        <v>42</v>
      </c>
      <c r="F1320">
        <v>1</v>
      </c>
      <c r="G1320" s="3" t="s">
        <v>4</v>
      </c>
      <c r="H1320" s="44" t="s">
        <v>15</v>
      </c>
      <c r="I1320" s="17">
        <v>90400</v>
      </c>
      <c r="J1320" s="17">
        <f>IF(Gastos[[#This Row],[Divisa]]="$", I1320*1, IF(Gastos[[#This Row],[Divisa]]="U$D", I1320*$N$1, IF(Gastos[[#This Row],[Divisa]]="EUR", I1320*$N$2, 0)))</f>
        <v>90400</v>
      </c>
      <c r="K1320" s="54">
        <f>Gastos[[#This Row],[Importe AR$]]/$N$1</f>
        <v>57.948717948717949</v>
      </c>
      <c r="M1320" s="69"/>
      <c r="N1320" s="43" t="str">
        <f>IF(Gastos[[#This Row],[Fecha_Cheque]]&gt;0,WEEKNUM(Gastos[[#This Row],[Fecha_Cheque]]),MID(Gastos[[#This Row],[Semana]],6,2))</f>
        <v>41</v>
      </c>
      <c r="O1320" t="s">
        <v>4454</v>
      </c>
      <c r="P1320" t="s">
        <v>27</v>
      </c>
    </row>
    <row r="1321" spans="1:16" hidden="1" x14ac:dyDescent="0.25">
      <c r="A1321" s="3" t="s">
        <v>4447</v>
      </c>
      <c r="B1321" t="s">
        <v>871</v>
      </c>
      <c r="C1321" t="s">
        <v>4464</v>
      </c>
      <c r="D1321" t="s">
        <v>26</v>
      </c>
      <c r="E1321" t="s">
        <v>42</v>
      </c>
      <c r="F1321">
        <v>1</v>
      </c>
      <c r="G1321" s="3" t="s">
        <v>4</v>
      </c>
      <c r="H1321" s="44" t="s">
        <v>15</v>
      </c>
      <c r="I1321" s="17">
        <v>18000</v>
      </c>
      <c r="J1321" s="17">
        <f>IF(Gastos[[#This Row],[Divisa]]="$", I1321*1, IF(Gastos[[#This Row],[Divisa]]="U$D", I1321*$N$1, IF(Gastos[[#This Row],[Divisa]]="EUR", I1321*$N$2, 0)))</f>
        <v>18000</v>
      </c>
      <c r="K1321" s="54">
        <f>Gastos[[#This Row],[Importe AR$]]/$N$1</f>
        <v>11.538461538461538</v>
      </c>
      <c r="M1321" s="69"/>
      <c r="N1321" s="43" t="str">
        <f>IF(Gastos[[#This Row],[Fecha_Cheque]]&gt;0,WEEKNUM(Gastos[[#This Row],[Fecha_Cheque]]),MID(Gastos[[#This Row],[Semana]],6,2))</f>
        <v>41</v>
      </c>
      <c r="O1321" t="s">
        <v>4465</v>
      </c>
      <c r="P1321" t="s">
        <v>27</v>
      </c>
    </row>
    <row r="1322" spans="1:16" hidden="1" x14ac:dyDescent="0.25">
      <c r="A1322" s="3" t="s">
        <v>4447</v>
      </c>
      <c r="B1322" t="s">
        <v>871</v>
      </c>
      <c r="C1322" t="s">
        <v>4464</v>
      </c>
      <c r="D1322" t="s">
        <v>26</v>
      </c>
      <c r="E1322" t="s">
        <v>42</v>
      </c>
      <c r="F1322">
        <v>1</v>
      </c>
      <c r="G1322" s="3" t="s">
        <v>4</v>
      </c>
      <c r="H1322" s="44" t="s">
        <v>15</v>
      </c>
      <c r="I1322" s="17">
        <v>67400</v>
      </c>
      <c r="J1322" s="17">
        <f>IF(Gastos[[#This Row],[Divisa]]="$", I1322*1, IF(Gastos[[#This Row],[Divisa]]="U$D", I1322*$N$1, IF(Gastos[[#This Row],[Divisa]]="EUR", I1322*$N$2, 0)))</f>
        <v>67400</v>
      </c>
      <c r="K1322" s="54">
        <f>Gastos[[#This Row],[Importe AR$]]/$N$1</f>
        <v>43.205128205128204</v>
      </c>
      <c r="M1322" s="69"/>
      <c r="N1322" s="43" t="str">
        <f>IF(Gastos[[#This Row],[Fecha_Cheque]]&gt;0,WEEKNUM(Gastos[[#This Row],[Fecha_Cheque]]),MID(Gastos[[#This Row],[Semana]],6,2))</f>
        <v>41</v>
      </c>
      <c r="O1322" t="s">
        <v>4488</v>
      </c>
      <c r="P1322" t="s">
        <v>27</v>
      </c>
    </row>
    <row r="1323" spans="1:16" hidden="1" x14ac:dyDescent="0.25">
      <c r="A1323" s="3" t="s">
        <v>4569</v>
      </c>
      <c r="B1323" t="s">
        <v>871</v>
      </c>
      <c r="C1323" t="s">
        <v>4572</v>
      </c>
      <c r="D1323" t="s">
        <v>26</v>
      </c>
      <c r="E1323" t="s">
        <v>42</v>
      </c>
      <c r="F1323">
        <v>1</v>
      </c>
      <c r="G1323" s="3" t="s">
        <v>4</v>
      </c>
      <c r="H1323" s="44" t="s">
        <v>15</v>
      </c>
      <c r="I1323" s="17">
        <v>18000</v>
      </c>
      <c r="J1323" s="17">
        <f>IF(Gastos[[#This Row],[Divisa]]="$", I1323*1, IF(Gastos[[#This Row],[Divisa]]="U$D", I1323*$N$1, IF(Gastos[[#This Row],[Divisa]]="EUR", I1323*$N$2, 0)))</f>
        <v>18000</v>
      </c>
      <c r="K1323" s="54">
        <f>Gastos[[#This Row],[Importe AR$]]/$N$1</f>
        <v>11.538461538461538</v>
      </c>
      <c r="M1323" s="69"/>
      <c r="N1323" s="43" t="str">
        <f>IF(Gastos[[#This Row],[Fecha_Cheque]]&gt;0,WEEKNUM(Gastos[[#This Row],[Fecha_Cheque]]),MID(Gastos[[#This Row],[Semana]],6,2))</f>
        <v>43</v>
      </c>
      <c r="O1323" t="s">
        <v>4573</v>
      </c>
      <c r="P1323" t="s">
        <v>27</v>
      </c>
    </row>
    <row r="1324" spans="1:16" hidden="1" x14ac:dyDescent="0.25">
      <c r="A1324" s="3" t="s">
        <v>4569</v>
      </c>
      <c r="B1324" t="s">
        <v>871</v>
      </c>
      <c r="C1324" t="s">
        <v>4597</v>
      </c>
      <c r="D1324" t="s">
        <v>26</v>
      </c>
      <c r="E1324" t="s">
        <v>42</v>
      </c>
      <c r="F1324">
        <v>1</v>
      </c>
      <c r="G1324" s="3" t="s">
        <v>4</v>
      </c>
      <c r="H1324" s="44" t="s">
        <v>15</v>
      </c>
      <c r="I1324" s="17">
        <v>120000</v>
      </c>
      <c r="J1324" s="17">
        <f>IF(Gastos[[#This Row],[Divisa]]="$", I1324*1, IF(Gastos[[#This Row],[Divisa]]="U$D", I1324*$N$1, IF(Gastos[[#This Row],[Divisa]]="EUR", I1324*$N$2, 0)))</f>
        <v>120000</v>
      </c>
      <c r="K1324" s="54">
        <f>Gastos[[#This Row],[Importe AR$]]/$N$1</f>
        <v>76.92307692307692</v>
      </c>
      <c r="M1324" s="69"/>
      <c r="N1324" s="43" t="str">
        <f>IF(Gastos[[#This Row],[Fecha_Cheque]]&gt;0,WEEKNUM(Gastos[[#This Row],[Fecha_Cheque]]),MID(Gastos[[#This Row],[Semana]],6,2))</f>
        <v>43</v>
      </c>
      <c r="O1324" t="s">
        <v>4598</v>
      </c>
      <c r="P1324" t="s">
        <v>27</v>
      </c>
    </row>
    <row r="1325" spans="1:16" hidden="1" x14ac:dyDescent="0.25">
      <c r="A1325" s="3" t="s">
        <v>144</v>
      </c>
      <c r="B1325" t="s">
        <v>878</v>
      </c>
      <c r="D1325" t="s">
        <v>26</v>
      </c>
      <c r="E1325" t="s">
        <v>31</v>
      </c>
      <c r="F1325">
        <v>1</v>
      </c>
      <c r="G1325" s="3" t="s">
        <v>4</v>
      </c>
      <c r="H1325" s="46" t="s">
        <v>15</v>
      </c>
      <c r="I1325" s="17">
        <v>46000</v>
      </c>
      <c r="J1325" s="17">
        <f>IF(Gastos[[#This Row],[Divisa]]="$", I1325*1, IF(Gastos[[#This Row],[Divisa]]="U$D", I1325*$N$1, IF(Gastos[[#This Row],[Divisa]]="EUR", I1325*$N$2, 0)))</f>
        <v>46000</v>
      </c>
      <c r="K1325" s="54">
        <f>Gastos[[#This Row],[Importe AR$]]/$N$1</f>
        <v>29.487179487179485</v>
      </c>
      <c r="M1325" s="69"/>
      <c r="N1325" s="43" t="str">
        <f>IF(Gastos[[#This Row],[Fecha_Cheque]]&gt;0,WEEKNUM(Gastos[[#This Row],[Fecha_Cheque]]),MID(Gastos[[#This Row],[Semana]],6,2))</f>
        <v>16</v>
      </c>
      <c r="P1325" t="s">
        <v>27</v>
      </c>
    </row>
    <row r="1326" spans="1:16" hidden="1" x14ac:dyDescent="0.25">
      <c r="A1326" s="3" t="s">
        <v>144</v>
      </c>
      <c r="B1326" t="s">
        <v>878</v>
      </c>
      <c r="D1326" t="s">
        <v>26</v>
      </c>
      <c r="E1326" t="s">
        <v>31</v>
      </c>
      <c r="F1326">
        <v>1</v>
      </c>
      <c r="G1326" s="3" t="s">
        <v>4</v>
      </c>
      <c r="H1326" s="46" t="s">
        <v>15</v>
      </c>
      <c r="I1326" s="17">
        <v>21000</v>
      </c>
      <c r="J1326" s="17">
        <f>IF(Gastos[[#This Row],[Divisa]]="$", I1326*1, IF(Gastos[[#This Row],[Divisa]]="U$D", I1326*$N$1, IF(Gastos[[#This Row],[Divisa]]="EUR", I1326*$N$2, 0)))</f>
        <v>21000</v>
      </c>
      <c r="K1326" s="54">
        <f>Gastos[[#This Row],[Importe AR$]]/$N$1</f>
        <v>13.461538461538462</v>
      </c>
      <c r="M1326" s="69"/>
      <c r="N1326" s="43" t="str">
        <f>IF(Gastos[[#This Row],[Fecha_Cheque]]&gt;0,WEEKNUM(Gastos[[#This Row],[Fecha_Cheque]]),MID(Gastos[[#This Row],[Semana]],6,2))</f>
        <v>16</v>
      </c>
      <c r="P1326" t="s">
        <v>27</v>
      </c>
    </row>
    <row r="1327" spans="1:16" hidden="1" x14ac:dyDescent="0.25">
      <c r="A1327" s="3" t="s">
        <v>144</v>
      </c>
      <c r="B1327" t="s">
        <v>878</v>
      </c>
      <c r="D1327" t="s">
        <v>26</v>
      </c>
      <c r="E1327" t="s">
        <v>31</v>
      </c>
      <c r="F1327">
        <v>1</v>
      </c>
      <c r="G1327" s="3" t="s">
        <v>4</v>
      </c>
      <c r="H1327" s="46" t="s">
        <v>15</v>
      </c>
      <c r="I1327" s="17">
        <v>36660</v>
      </c>
      <c r="J1327" s="17">
        <f>IF(Gastos[[#This Row],[Divisa]]="$", I1327*1, IF(Gastos[[#This Row],[Divisa]]="U$D", I1327*$N$1, IF(Gastos[[#This Row],[Divisa]]="EUR", I1327*$N$2, 0)))</f>
        <v>36660</v>
      </c>
      <c r="K1327" s="54">
        <f>Gastos[[#This Row],[Importe AR$]]/$N$1</f>
        <v>23.5</v>
      </c>
      <c r="M1327" s="69"/>
      <c r="N1327" s="43" t="str">
        <f>IF(Gastos[[#This Row],[Fecha_Cheque]]&gt;0,WEEKNUM(Gastos[[#This Row],[Fecha_Cheque]]),MID(Gastos[[#This Row],[Semana]],6,2))</f>
        <v>16</v>
      </c>
      <c r="P1327" t="s">
        <v>27</v>
      </c>
    </row>
    <row r="1328" spans="1:16" hidden="1" x14ac:dyDescent="0.25">
      <c r="A1328" s="3" t="s">
        <v>34</v>
      </c>
      <c r="B1328" t="s">
        <v>879</v>
      </c>
      <c r="C1328" t="s">
        <v>880</v>
      </c>
      <c r="D1328" t="s">
        <v>26</v>
      </c>
      <c r="E1328" t="s">
        <v>31</v>
      </c>
      <c r="F1328">
        <v>1</v>
      </c>
      <c r="G1328" s="3" t="s">
        <v>5</v>
      </c>
      <c r="H1328" s="46" t="s">
        <v>15</v>
      </c>
      <c r="I1328" s="17">
        <v>371726.79</v>
      </c>
      <c r="J1328" s="17">
        <f>IF(Gastos[[#This Row],[Divisa]]="$", I1328*1, IF(Gastos[[#This Row],[Divisa]]="U$D", I1328*$N$1, IF(Gastos[[#This Row],[Divisa]]="EUR", I1328*$N$2, 0)))</f>
        <v>371726.79</v>
      </c>
      <c r="K1328" s="54">
        <f>Gastos[[#This Row],[Importe AR$]]/$N$1</f>
        <v>238.28640384615383</v>
      </c>
      <c r="M1328" s="69"/>
      <c r="N1328" s="43" t="str">
        <f>IF(Gastos[[#This Row],[Fecha_Cheque]]&gt;0,WEEKNUM(Gastos[[#This Row],[Fecha_Cheque]]),MID(Gastos[[#This Row],[Semana]],6,2))</f>
        <v>32</v>
      </c>
      <c r="O1328" t="s">
        <v>881</v>
      </c>
      <c r="P1328" t="s">
        <v>27</v>
      </c>
    </row>
    <row r="1329" spans="1:16" hidden="1" x14ac:dyDescent="0.25">
      <c r="A1329" s="3" t="s">
        <v>64</v>
      </c>
      <c r="B1329" t="s">
        <v>879</v>
      </c>
      <c r="C1329" t="s">
        <v>880</v>
      </c>
      <c r="D1329" t="s">
        <v>26</v>
      </c>
      <c r="E1329" t="s">
        <v>31</v>
      </c>
      <c r="F1329">
        <v>1</v>
      </c>
      <c r="G1329" s="3" t="s">
        <v>5</v>
      </c>
      <c r="H1329" s="46" t="s">
        <v>15</v>
      </c>
      <c r="I1329" s="17">
        <v>371726.79</v>
      </c>
      <c r="J1329" s="17">
        <f>IF(Gastos[[#This Row],[Divisa]]="$", I1329*1, IF(Gastos[[#This Row],[Divisa]]="U$D", I1329*$N$1, IF(Gastos[[#This Row],[Divisa]]="EUR", I1329*$N$2, 0)))</f>
        <v>371726.79</v>
      </c>
      <c r="K1329" s="54">
        <f>Gastos[[#This Row],[Importe AR$]]/$N$1</f>
        <v>238.28640384615383</v>
      </c>
      <c r="M1329" s="69"/>
      <c r="N1329" s="43" t="str">
        <f>IF(Gastos[[#This Row],[Fecha_Cheque]]&gt;0,WEEKNUM(Gastos[[#This Row],[Fecha_Cheque]]),MID(Gastos[[#This Row],[Semana]],6,2))</f>
        <v>33</v>
      </c>
      <c r="P1329" t="s">
        <v>27</v>
      </c>
    </row>
    <row r="1330" spans="1:16" hidden="1" x14ac:dyDescent="0.25">
      <c r="A1330" s="3" t="s">
        <v>53</v>
      </c>
      <c r="B1330" t="s">
        <v>879</v>
      </c>
      <c r="C1330" t="s">
        <v>882</v>
      </c>
      <c r="D1330" t="s">
        <v>26</v>
      </c>
      <c r="E1330" t="s">
        <v>31</v>
      </c>
      <c r="F1330">
        <v>1</v>
      </c>
      <c r="G1330" s="3" t="s">
        <v>5</v>
      </c>
      <c r="H1330" s="46" t="s">
        <v>15</v>
      </c>
      <c r="I1330" s="17">
        <v>371726.79</v>
      </c>
      <c r="J1330" s="17">
        <f>IF(Gastos[[#This Row],[Divisa]]="$", I1330*1, IF(Gastos[[#This Row],[Divisa]]="U$D", I1330*$N$1, IF(Gastos[[#This Row],[Divisa]]="EUR", I1330*$N$2, 0)))</f>
        <v>371726.79</v>
      </c>
      <c r="K1330" s="54">
        <f>Gastos[[#This Row],[Importe AR$]]/$N$1</f>
        <v>238.28640384615383</v>
      </c>
      <c r="M1330" s="69"/>
      <c r="N1330" s="43" t="str">
        <f>IF(Gastos[[#This Row],[Fecha_Cheque]]&gt;0,WEEKNUM(Gastos[[#This Row],[Fecha_Cheque]]),MID(Gastos[[#This Row],[Semana]],6,2))</f>
        <v>34</v>
      </c>
      <c r="P1330" t="s">
        <v>27</v>
      </c>
    </row>
    <row r="1331" spans="1:16" hidden="1" x14ac:dyDescent="0.25">
      <c r="A1331" s="3" t="s">
        <v>34</v>
      </c>
      <c r="B1331" t="s">
        <v>883</v>
      </c>
      <c r="C1331" t="s">
        <v>689</v>
      </c>
      <c r="D1331" t="s">
        <v>26</v>
      </c>
      <c r="E1331" t="s">
        <v>132</v>
      </c>
      <c r="F1331">
        <v>1</v>
      </c>
      <c r="G1331" s="3" t="s">
        <v>5</v>
      </c>
      <c r="H1331" s="46" t="s">
        <v>15</v>
      </c>
      <c r="I1331" s="17">
        <v>1500000</v>
      </c>
      <c r="J1331" s="17">
        <f>IF(Gastos[[#This Row],[Divisa]]="$", I1331*1, IF(Gastos[[#This Row],[Divisa]]="U$D", I1331*$N$1, IF(Gastos[[#This Row],[Divisa]]="EUR", I1331*$N$2, 0)))</f>
        <v>1500000</v>
      </c>
      <c r="K1331" s="54">
        <f>Gastos[[#This Row],[Importe AR$]]/$N$1</f>
        <v>961.53846153846155</v>
      </c>
      <c r="M1331" s="69"/>
      <c r="N1331" s="43" t="str">
        <f>IF(Gastos[[#This Row],[Fecha_Cheque]]&gt;0,WEEKNUM(Gastos[[#This Row],[Fecha_Cheque]]),MID(Gastos[[#This Row],[Semana]],6,2))</f>
        <v>32</v>
      </c>
      <c r="O1331" t="s">
        <v>884</v>
      </c>
      <c r="P1331" t="s">
        <v>27</v>
      </c>
    </row>
    <row r="1332" spans="1:16" hidden="1" x14ac:dyDescent="0.25">
      <c r="A1332" s="3" t="s">
        <v>128</v>
      </c>
      <c r="B1332" t="s">
        <v>883</v>
      </c>
      <c r="C1332" t="s">
        <v>885</v>
      </c>
      <c r="D1332" t="s">
        <v>26</v>
      </c>
      <c r="E1332" t="s">
        <v>31</v>
      </c>
      <c r="F1332">
        <v>1</v>
      </c>
      <c r="G1332" s="3" t="s">
        <v>5</v>
      </c>
      <c r="H1332" s="46" t="s">
        <v>15</v>
      </c>
      <c r="I1332" s="17">
        <v>500000</v>
      </c>
      <c r="J1332" s="17">
        <f>IF(Gastos[[#This Row],[Divisa]]="$", I1332*1, IF(Gastos[[#This Row],[Divisa]]="U$D", I1332*$N$1, IF(Gastos[[#This Row],[Divisa]]="EUR", I1332*$N$2, 0)))</f>
        <v>500000</v>
      </c>
      <c r="K1332" s="54">
        <f>Gastos[[#This Row],[Importe AR$]]/$N$1</f>
        <v>320.5128205128205</v>
      </c>
      <c r="M1332" s="69"/>
      <c r="N1332" s="43" t="str">
        <f>IF(Gastos[[#This Row],[Fecha_Cheque]]&gt;0,WEEKNUM(Gastos[[#This Row],[Fecha_Cheque]]),MID(Gastos[[#This Row],[Semana]],6,2))</f>
        <v>43</v>
      </c>
      <c r="O1332" t="s">
        <v>886</v>
      </c>
      <c r="P1332" t="s">
        <v>27</v>
      </c>
    </row>
    <row r="1333" spans="1:16" hidden="1" x14ac:dyDescent="0.25">
      <c r="A1333" s="3" t="s">
        <v>210</v>
      </c>
      <c r="B1333" t="s">
        <v>883</v>
      </c>
      <c r="C1333" t="s">
        <v>118</v>
      </c>
      <c r="D1333" t="s">
        <v>26</v>
      </c>
      <c r="E1333" t="s">
        <v>132</v>
      </c>
      <c r="F1333">
        <v>1</v>
      </c>
      <c r="G1333" s="3" t="s">
        <v>5</v>
      </c>
      <c r="H1333" s="46" t="s">
        <v>15</v>
      </c>
      <c r="I1333" s="17">
        <v>1500000</v>
      </c>
      <c r="J1333" s="17">
        <f>IF(Gastos[[#This Row],[Divisa]]="$", I1333*1, IF(Gastos[[#This Row],[Divisa]]="U$D", I1333*$N$1, IF(Gastos[[#This Row],[Divisa]]="EUR", I1333*$N$2, 0)))</f>
        <v>1500000</v>
      </c>
      <c r="K1333" s="54">
        <f>Gastos[[#This Row],[Importe AR$]]/$N$1</f>
        <v>961.53846153846155</v>
      </c>
      <c r="M1333" s="69"/>
      <c r="N1333" s="43" t="str">
        <f>IF(Gastos[[#This Row],[Fecha_Cheque]]&gt;0,WEEKNUM(Gastos[[#This Row],[Fecha_Cheque]]),MID(Gastos[[#This Row],[Semana]],6,2))</f>
        <v>37</v>
      </c>
      <c r="O1333" t="s">
        <v>887</v>
      </c>
      <c r="P1333" t="s">
        <v>27</v>
      </c>
    </row>
    <row r="1334" spans="1:16" hidden="1" x14ac:dyDescent="0.25">
      <c r="A1334" s="3" t="s">
        <v>124</v>
      </c>
      <c r="B1334" t="s">
        <v>883</v>
      </c>
      <c r="C1334" t="s">
        <v>885</v>
      </c>
      <c r="D1334" t="s">
        <v>26</v>
      </c>
      <c r="E1334" t="s">
        <v>132</v>
      </c>
      <c r="F1334">
        <v>1</v>
      </c>
      <c r="G1334" s="3" t="s">
        <v>5</v>
      </c>
      <c r="H1334" s="46" t="s">
        <v>15</v>
      </c>
      <c r="I1334" s="17">
        <v>1000000</v>
      </c>
      <c r="J1334" s="17">
        <f>IF(Gastos[[#This Row],[Divisa]]="$", I1334*1, IF(Gastos[[#This Row],[Divisa]]="U$D", I1334*$N$1, IF(Gastos[[#This Row],[Divisa]]="EUR", I1334*$N$2, 0)))</f>
        <v>1000000</v>
      </c>
      <c r="K1334" s="54">
        <f>Gastos[[#This Row],[Importe AR$]]/$N$1</f>
        <v>641.02564102564099</v>
      </c>
      <c r="M1334" s="69"/>
      <c r="N1334" s="43" t="str">
        <f>IF(Gastos[[#This Row],[Fecha_Cheque]]&gt;0,WEEKNUM(Gastos[[#This Row],[Fecha_Cheque]]),MID(Gastos[[#This Row],[Semana]],6,2))</f>
        <v>42</v>
      </c>
      <c r="O1334" t="s">
        <v>888</v>
      </c>
      <c r="P1334" t="s">
        <v>27</v>
      </c>
    </row>
    <row r="1335" spans="1:16" hidden="1" x14ac:dyDescent="0.25">
      <c r="A1335" s="3" t="s">
        <v>93</v>
      </c>
      <c r="B1335" t="s">
        <v>883</v>
      </c>
      <c r="D1335" t="s">
        <v>26</v>
      </c>
      <c r="E1335" t="s">
        <v>91</v>
      </c>
      <c r="F1335">
        <v>1</v>
      </c>
      <c r="G1335" s="3" t="s">
        <v>5</v>
      </c>
      <c r="H1335" s="46" t="s">
        <v>15</v>
      </c>
      <c r="I1335" s="17">
        <v>1500000</v>
      </c>
      <c r="J1335" s="17">
        <f>IF(Gastos[[#This Row],[Divisa]]="$", I1335*1, IF(Gastos[[#This Row],[Divisa]]="U$D", I1335*$N$1, IF(Gastos[[#This Row],[Divisa]]="EUR", I1335*$N$2, 0)))</f>
        <v>1500000</v>
      </c>
      <c r="K1335" s="54">
        <f>Gastos[[#This Row],[Importe AR$]]/$N$1</f>
        <v>961.53846153846155</v>
      </c>
      <c r="M1335" s="69"/>
      <c r="N1335" s="43" t="str">
        <f>IF(Gastos[[#This Row],[Fecha_Cheque]]&gt;0,WEEKNUM(Gastos[[#This Row],[Fecha_Cheque]]),MID(Gastos[[#This Row],[Semana]],6,2))</f>
        <v>50</v>
      </c>
      <c r="O1335" t="s">
        <v>889</v>
      </c>
      <c r="P1335" t="s">
        <v>27</v>
      </c>
    </row>
    <row r="1336" spans="1:16" hidden="1" x14ac:dyDescent="0.25">
      <c r="A1336" s="3" t="s">
        <v>75</v>
      </c>
      <c r="B1336" t="s">
        <v>883</v>
      </c>
      <c r="D1336" t="s">
        <v>26</v>
      </c>
      <c r="E1336" t="s">
        <v>91</v>
      </c>
      <c r="F1336">
        <v>1</v>
      </c>
      <c r="G1336" s="3" t="s">
        <v>5</v>
      </c>
      <c r="H1336" s="46" t="s">
        <v>15</v>
      </c>
      <c r="I1336" s="17">
        <v>1500000</v>
      </c>
      <c r="J1336" s="17">
        <f>IF(Gastos[[#This Row],[Divisa]]="$", I1336*1, IF(Gastos[[#This Row],[Divisa]]="U$D", I1336*$N$1, IF(Gastos[[#This Row],[Divisa]]="EUR", I1336*$N$2, 0)))</f>
        <v>1500000</v>
      </c>
      <c r="K1336" s="54">
        <f>Gastos[[#This Row],[Importe AR$]]/$N$1</f>
        <v>961.53846153846155</v>
      </c>
      <c r="M1336" s="69"/>
      <c r="N1336" s="43" t="str">
        <f>IF(Gastos[[#This Row],[Fecha_Cheque]]&gt;0,WEEKNUM(Gastos[[#This Row],[Fecha_Cheque]]),MID(Gastos[[#This Row],[Semana]],6,2))</f>
        <v>07</v>
      </c>
      <c r="O1336" t="s">
        <v>890</v>
      </c>
      <c r="P1336" t="s">
        <v>27</v>
      </c>
    </row>
    <row r="1337" spans="1:16" hidden="1" x14ac:dyDescent="0.25">
      <c r="A1337" s="3" t="s">
        <v>2711</v>
      </c>
      <c r="B1337" t="s">
        <v>883</v>
      </c>
      <c r="C1337" t="s">
        <v>2838</v>
      </c>
      <c r="D1337" t="s">
        <v>26</v>
      </c>
      <c r="E1337" t="s">
        <v>91</v>
      </c>
      <c r="F1337">
        <v>1</v>
      </c>
      <c r="G1337" s="3" t="s">
        <v>5</v>
      </c>
      <c r="H1337" s="44" t="s">
        <v>15</v>
      </c>
      <c r="I1337" s="17">
        <v>1500000</v>
      </c>
      <c r="J1337" s="17">
        <f>IF(Gastos[[#This Row],[Divisa]]="$", I1337*1, IF(Gastos[[#This Row],[Divisa]]="U$D", I1337*$N$1, IF(Gastos[[#This Row],[Divisa]]="EUR", I1337*$N$2, 0)))</f>
        <v>1500000</v>
      </c>
      <c r="K1337" s="54">
        <f>Gastos[[#This Row],[Importe AR$]]/$N$1</f>
        <v>961.53846153846155</v>
      </c>
      <c r="M1337" s="69"/>
      <c r="N1337" s="43" t="str">
        <f>IF(Gastos[[#This Row],[Fecha_Cheque]]&gt;0,WEEKNUM(Gastos[[#This Row],[Fecha_Cheque]]),MID(Gastos[[#This Row],[Semana]],6,2))</f>
        <v>15</v>
      </c>
      <c r="O1337" t="s">
        <v>2847</v>
      </c>
      <c r="P1337" t="s">
        <v>27</v>
      </c>
    </row>
    <row r="1338" spans="1:16" hidden="1" x14ac:dyDescent="0.25">
      <c r="A1338" s="3" t="s">
        <v>117</v>
      </c>
      <c r="B1338" t="s">
        <v>891</v>
      </c>
      <c r="C1338" t="s">
        <v>892</v>
      </c>
      <c r="D1338" t="s">
        <v>26</v>
      </c>
      <c r="E1338" t="s">
        <v>31</v>
      </c>
      <c r="F1338">
        <v>1</v>
      </c>
      <c r="G1338" s="3" t="s">
        <v>4</v>
      </c>
      <c r="H1338" s="46" t="s">
        <v>15</v>
      </c>
      <c r="I1338" s="17">
        <v>228000</v>
      </c>
      <c r="J1338" s="17">
        <f>IF(Gastos[[#This Row],[Divisa]]="$", I1338*1, IF(Gastos[[#This Row],[Divisa]]="U$D", I1338*$N$1, IF(Gastos[[#This Row],[Divisa]]="EUR", I1338*$N$2, 0)))</f>
        <v>228000</v>
      </c>
      <c r="K1338" s="54">
        <f>Gastos[[#This Row],[Importe AR$]]/$N$1</f>
        <v>146.15384615384616</v>
      </c>
      <c r="M1338" s="69"/>
      <c r="N1338" s="43" t="str">
        <f>IF(Gastos[[#This Row],[Fecha_Cheque]]&gt;0,WEEKNUM(Gastos[[#This Row],[Fecha_Cheque]]),MID(Gastos[[#This Row],[Semana]],6,2))</f>
        <v>35</v>
      </c>
      <c r="O1338" t="s">
        <v>893</v>
      </c>
      <c r="P1338" t="s">
        <v>27</v>
      </c>
    </row>
    <row r="1339" spans="1:16" hidden="1" x14ac:dyDescent="0.25">
      <c r="A1339" s="3" t="s">
        <v>53</v>
      </c>
      <c r="B1339" t="s">
        <v>891</v>
      </c>
      <c r="C1339" t="s">
        <v>894</v>
      </c>
      <c r="D1339" t="s">
        <v>26</v>
      </c>
      <c r="E1339" t="s">
        <v>31</v>
      </c>
      <c r="F1339">
        <v>1</v>
      </c>
      <c r="G1339" s="3" t="s">
        <v>32</v>
      </c>
      <c r="H1339" s="46" t="s">
        <v>15</v>
      </c>
      <c r="I1339" s="17">
        <v>267000</v>
      </c>
      <c r="J1339" s="17">
        <f>IF(Gastos[[#This Row],[Divisa]]="$", I1339*1, IF(Gastos[[#This Row],[Divisa]]="U$D", I1339*$N$1, IF(Gastos[[#This Row],[Divisa]]="EUR", I1339*$N$2, 0)))</f>
        <v>267000</v>
      </c>
      <c r="K1339" s="54">
        <f>Gastos[[#This Row],[Importe AR$]]/$N$1</f>
        <v>171.15384615384616</v>
      </c>
      <c r="M1339" s="69">
        <v>45918</v>
      </c>
      <c r="N1339" s="43">
        <f>IF(Gastos[[#This Row],[Fecha_Cheque]]&gt;0,WEEKNUM(Gastos[[#This Row],[Fecha_Cheque]]),MID(Gastos[[#This Row],[Semana]],6,2))</f>
        <v>38</v>
      </c>
      <c r="O1339" t="s">
        <v>123</v>
      </c>
      <c r="P1339" t="s">
        <v>27</v>
      </c>
    </row>
    <row r="1340" spans="1:16" hidden="1" x14ac:dyDescent="0.25">
      <c r="A1340" s="3" t="s">
        <v>2792</v>
      </c>
      <c r="B1340" t="s">
        <v>891</v>
      </c>
      <c r="C1340" t="s">
        <v>3077</v>
      </c>
      <c r="D1340" t="s">
        <v>26</v>
      </c>
      <c r="E1340" t="s">
        <v>42</v>
      </c>
      <c r="F1340">
        <v>1</v>
      </c>
      <c r="G1340" s="3" t="s">
        <v>4</v>
      </c>
      <c r="H1340" s="44" t="s">
        <v>15</v>
      </c>
      <c r="I1340" s="17">
        <v>11500</v>
      </c>
      <c r="J1340" s="17">
        <f>IF(Gastos[[#This Row],[Divisa]]="$", I1340*1, IF(Gastos[[#This Row],[Divisa]]="U$D", I1340*$N$1, IF(Gastos[[#This Row],[Divisa]]="EUR", I1340*$N$2, 0)))</f>
        <v>11500</v>
      </c>
      <c r="K1340" s="54">
        <f>Gastos[[#This Row],[Importe AR$]]/$N$1</f>
        <v>7.3717948717948714</v>
      </c>
      <c r="M1340" s="69"/>
      <c r="N1340" s="43" t="str">
        <f>IF(Gastos[[#This Row],[Fecha_Cheque]]&gt;0,WEEKNUM(Gastos[[#This Row],[Fecha_Cheque]]),MID(Gastos[[#This Row],[Semana]],6,2))</f>
        <v>21</v>
      </c>
      <c r="O1340" t="s">
        <v>3078</v>
      </c>
      <c r="P1340" t="s">
        <v>27</v>
      </c>
    </row>
    <row r="1341" spans="1:16" hidden="1" x14ac:dyDescent="0.25">
      <c r="A1341" s="3" t="s">
        <v>52</v>
      </c>
      <c r="B1341" t="s">
        <v>895</v>
      </c>
      <c r="C1341" t="s">
        <v>155</v>
      </c>
      <c r="D1341" t="s">
        <v>26</v>
      </c>
      <c r="E1341" t="s">
        <v>42</v>
      </c>
      <c r="F1341">
        <v>1</v>
      </c>
      <c r="G1341" s="3" t="s">
        <v>4</v>
      </c>
      <c r="H1341" s="46" t="s">
        <v>15</v>
      </c>
      <c r="I1341" s="19">
        <v>120000</v>
      </c>
      <c r="J1341" s="17">
        <f>IF(Gastos[[#This Row],[Divisa]]="$", I1341*1, IF(Gastos[[#This Row],[Divisa]]="U$D", I1341*$N$1, IF(Gastos[[#This Row],[Divisa]]="EUR", I1341*$N$2, 0)))</f>
        <v>120000</v>
      </c>
      <c r="K1341" s="55">
        <f>Gastos[[#This Row],[Importe AR$]]/$N$1</f>
        <v>76.92307692307692</v>
      </c>
      <c r="M1341" s="69"/>
      <c r="N1341" s="43" t="str">
        <f>IF(Gastos[[#This Row],[Fecha_Cheque]]&gt;0,WEEKNUM(Gastos[[#This Row],[Fecha_Cheque]]),MID(Gastos[[#This Row],[Semana]],6,2))</f>
        <v>12</v>
      </c>
      <c r="P1341" t="s">
        <v>27</v>
      </c>
    </row>
    <row r="1342" spans="1:16" hidden="1" x14ac:dyDescent="0.25">
      <c r="A1342" s="3" t="s">
        <v>216</v>
      </c>
      <c r="B1342" t="s">
        <v>895</v>
      </c>
      <c r="C1342" t="s">
        <v>155</v>
      </c>
      <c r="D1342" t="s">
        <v>26</v>
      </c>
      <c r="E1342" t="s">
        <v>42</v>
      </c>
      <c r="F1342">
        <v>1</v>
      </c>
      <c r="G1342" s="3" t="s">
        <v>4</v>
      </c>
      <c r="H1342" s="46" t="s">
        <v>15</v>
      </c>
      <c r="I1342" s="17">
        <f>113014.62+119000.08</f>
        <v>232014.7</v>
      </c>
      <c r="J1342" s="17">
        <f>IF(Gastos[[#This Row],[Divisa]]="$", I1342*1, IF(Gastos[[#This Row],[Divisa]]="U$D", I1342*$N$1, IF(Gastos[[#This Row],[Divisa]]="EUR", I1342*$N$2, 0)))</f>
        <v>232014.7</v>
      </c>
      <c r="K1342" s="54">
        <f>Gastos[[#This Row],[Importe AR$]]/$N$1</f>
        <v>148.7273717948718</v>
      </c>
      <c r="M1342" s="69"/>
      <c r="N1342" s="43" t="str">
        <f>IF(Gastos[[#This Row],[Fecha_Cheque]]&gt;0,WEEKNUM(Gastos[[#This Row],[Fecha_Cheque]]),MID(Gastos[[#This Row],[Semana]],6,2))</f>
        <v>15</v>
      </c>
      <c r="P1342" t="s">
        <v>27</v>
      </c>
    </row>
    <row r="1343" spans="1:16" hidden="1" x14ac:dyDescent="0.25">
      <c r="A1343" s="3" t="s">
        <v>144</v>
      </c>
      <c r="B1343" t="s">
        <v>895</v>
      </c>
      <c r="C1343" t="s">
        <v>155</v>
      </c>
      <c r="D1343" t="s">
        <v>26</v>
      </c>
      <c r="E1343" t="s">
        <v>42</v>
      </c>
      <c r="F1343">
        <v>1</v>
      </c>
      <c r="G1343" s="3" t="s">
        <v>4</v>
      </c>
      <c r="H1343" s="46" t="s">
        <v>15</v>
      </c>
      <c r="I1343" s="17">
        <v>120000</v>
      </c>
      <c r="J1343" s="17">
        <f>IF(Gastos[[#This Row],[Divisa]]="$", I1343*1, IF(Gastos[[#This Row],[Divisa]]="U$D", I1343*$N$1, IF(Gastos[[#This Row],[Divisa]]="EUR", I1343*$N$2, 0)))</f>
        <v>120000</v>
      </c>
      <c r="K1343" s="54">
        <f>Gastos[[#This Row],[Importe AR$]]/$N$1</f>
        <v>76.92307692307692</v>
      </c>
      <c r="M1343" s="69"/>
      <c r="N1343" s="43" t="str">
        <f>IF(Gastos[[#This Row],[Fecha_Cheque]]&gt;0,WEEKNUM(Gastos[[#This Row],[Fecha_Cheque]]),MID(Gastos[[#This Row],[Semana]],6,2))</f>
        <v>16</v>
      </c>
      <c r="P1343" t="s">
        <v>27</v>
      </c>
    </row>
    <row r="1344" spans="1:16" hidden="1" x14ac:dyDescent="0.25">
      <c r="A1344" s="3" t="s">
        <v>28</v>
      </c>
      <c r="B1344" t="s">
        <v>895</v>
      </c>
      <c r="C1344" t="s">
        <v>155</v>
      </c>
      <c r="D1344" t="s">
        <v>26</v>
      </c>
      <c r="E1344" t="s">
        <v>42</v>
      </c>
      <c r="F1344">
        <v>1</v>
      </c>
      <c r="G1344" s="3" t="s">
        <v>4</v>
      </c>
      <c r="H1344" s="46" t="s">
        <v>15</v>
      </c>
      <c r="I1344" s="17">
        <v>111000.57</v>
      </c>
      <c r="J1344" s="17">
        <f>IF(Gastos[[#This Row],[Divisa]]="$", I1344*1, IF(Gastos[[#This Row],[Divisa]]="U$D", I1344*$N$1, IF(Gastos[[#This Row],[Divisa]]="EUR", I1344*$N$2, 0)))</f>
        <v>111000.57</v>
      </c>
      <c r="K1344" s="54">
        <f>Gastos[[#This Row],[Importe AR$]]/$N$1</f>
        <v>71.154211538461539</v>
      </c>
      <c r="M1344" s="69"/>
      <c r="N1344" s="43" t="str">
        <f>IF(Gastos[[#This Row],[Fecha_Cheque]]&gt;0,WEEKNUM(Gastos[[#This Row],[Fecha_Cheque]]),MID(Gastos[[#This Row],[Semana]],6,2))</f>
        <v>21</v>
      </c>
      <c r="P1344" t="s">
        <v>27</v>
      </c>
    </row>
    <row r="1345" spans="1:16" hidden="1" x14ac:dyDescent="0.25">
      <c r="A1345" s="3" t="s">
        <v>290</v>
      </c>
      <c r="B1345" t="s">
        <v>895</v>
      </c>
      <c r="C1345" t="s">
        <v>155</v>
      </c>
      <c r="D1345" t="s">
        <v>26</v>
      </c>
      <c r="E1345" t="s">
        <v>42</v>
      </c>
      <c r="F1345">
        <v>1</v>
      </c>
      <c r="G1345" s="3" t="s">
        <v>4</v>
      </c>
      <c r="H1345" s="46" t="s">
        <v>15</v>
      </c>
      <c r="I1345" s="17">
        <v>120000</v>
      </c>
      <c r="J1345" s="17">
        <f>IF(Gastos[[#This Row],[Divisa]]="$", I1345*1, IF(Gastos[[#This Row],[Divisa]]="U$D", I1345*$N$1, IF(Gastos[[#This Row],[Divisa]]="EUR", I1345*$N$2, 0)))</f>
        <v>120000</v>
      </c>
      <c r="K1345" s="54">
        <f>Gastos[[#This Row],[Importe AR$]]/$N$1</f>
        <v>76.92307692307692</v>
      </c>
      <c r="M1345" s="69"/>
      <c r="N1345" s="43" t="str">
        <f>IF(Gastos[[#This Row],[Fecha_Cheque]]&gt;0,WEEKNUM(Gastos[[#This Row],[Fecha_Cheque]]),MID(Gastos[[#This Row],[Semana]],6,2))</f>
        <v>23</v>
      </c>
      <c r="P1345" t="s">
        <v>27</v>
      </c>
    </row>
    <row r="1346" spans="1:16" hidden="1" x14ac:dyDescent="0.25">
      <c r="A1346" s="3" t="s">
        <v>85</v>
      </c>
      <c r="B1346" t="s">
        <v>895</v>
      </c>
      <c r="C1346" t="s">
        <v>155</v>
      </c>
      <c r="D1346" t="s">
        <v>26</v>
      </c>
      <c r="E1346" t="s">
        <v>42</v>
      </c>
      <c r="F1346">
        <v>1</v>
      </c>
      <c r="G1346" s="3" t="s">
        <v>4</v>
      </c>
      <c r="H1346" s="46" t="s">
        <v>15</v>
      </c>
      <c r="I1346" s="17">
        <v>80033.55</v>
      </c>
      <c r="J1346" s="17">
        <f>IF(Gastos[[#This Row],[Divisa]]="$", I1346*1, IF(Gastos[[#This Row],[Divisa]]="U$D", I1346*$N$1, IF(Gastos[[#This Row],[Divisa]]="EUR", I1346*$N$2, 0)))</f>
        <v>80033.55</v>
      </c>
      <c r="K1346" s="54">
        <f>Gastos[[#This Row],[Importe AR$]]/$N$1</f>
        <v>51.303557692307692</v>
      </c>
      <c r="M1346" s="69"/>
      <c r="N1346" s="43" t="str">
        <f>IF(Gastos[[#This Row],[Fecha_Cheque]]&gt;0,WEEKNUM(Gastos[[#This Row],[Fecha_Cheque]]),MID(Gastos[[#This Row],[Semana]],6,2))</f>
        <v>26</v>
      </c>
      <c r="P1346" t="s">
        <v>27</v>
      </c>
    </row>
    <row r="1347" spans="1:16" hidden="1" x14ac:dyDescent="0.25">
      <c r="A1347" s="3" t="s">
        <v>85</v>
      </c>
      <c r="B1347" t="s">
        <v>895</v>
      </c>
      <c r="C1347" t="s">
        <v>735</v>
      </c>
      <c r="D1347" t="s">
        <v>61</v>
      </c>
      <c r="E1347" t="s">
        <v>132</v>
      </c>
      <c r="F1347">
        <v>2</v>
      </c>
      <c r="G1347" s="3" t="s">
        <v>4</v>
      </c>
      <c r="H1347" s="46" t="s">
        <v>15</v>
      </c>
      <c r="I1347" s="17">
        <v>1000000</v>
      </c>
      <c r="J1347" s="17">
        <f>IF(Gastos[[#This Row],[Divisa]]="$", I1347*1, IF(Gastos[[#This Row],[Divisa]]="U$D", I1347*$N$1, IF(Gastos[[#This Row],[Divisa]]="EUR", I1347*$N$2, 0)))</f>
        <v>1000000</v>
      </c>
      <c r="K1347" s="54">
        <f>Gastos[[#This Row],[Importe AR$]]/$N$1</f>
        <v>641.02564102564099</v>
      </c>
      <c r="M1347" s="69"/>
      <c r="N1347" s="43" t="str">
        <f>IF(Gastos[[#This Row],[Fecha_Cheque]]&gt;0,WEEKNUM(Gastos[[#This Row],[Fecha_Cheque]]),MID(Gastos[[#This Row],[Semana]],6,2))</f>
        <v>26</v>
      </c>
      <c r="O1347" t="s">
        <v>896</v>
      </c>
      <c r="P1347" t="s">
        <v>27</v>
      </c>
    </row>
    <row r="1348" spans="1:16" hidden="1" x14ac:dyDescent="0.25">
      <c r="A1348" s="3" t="s">
        <v>105</v>
      </c>
      <c r="B1348" t="s">
        <v>895</v>
      </c>
      <c r="C1348" t="s">
        <v>735</v>
      </c>
      <c r="D1348" t="s">
        <v>61</v>
      </c>
      <c r="E1348" t="s">
        <v>132</v>
      </c>
      <c r="F1348">
        <v>2</v>
      </c>
      <c r="G1348" s="3" t="s">
        <v>4</v>
      </c>
      <c r="H1348" s="46" t="s">
        <v>15</v>
      </c>
      <c r="I1348" s="17">
        <v>3000000</v>
      </c>
      <c r="J1348" s="17">
        <f>IF(Gastos[[#This Row],[Divisa]]="$", I1348*1, IF(Gastos[[#This Row],[Divisa]]="U$D", I1348*$N$1, IF(Gastos[[#This Row],[Divisa]]="EUR", I1348*$N$2, 0)))</f>
        <v>3000000</v>
      </c>
      <c r="K1348" s="54">
        <f>Gastos[[#This Row],[Importe AR$]]/$N$1</f>
        <v>1923.0769230769231</v>
      </c>
      <c r="M1348" s="69"/>
      <c r="N1348" s="43" t="str">
        <f>IF(Gastos[[#This Row],[Fecha_Cheque]]&gt;0,WEEKNUM(Gastos[[#This Row],[Fecha_Cheque]]),MID(Gastos[[#This Row],[Semana]],6,2))</f>
        <v>27</v>
      </c>
      <c r="O1348" t="s">
        <v>897</v>
      </c>
      <c r="P1348" t="s">
        <v>27</v>
      </c>
    </row>
    <row r="1349" spans="1:16" hidden="1" x14ac:dyDescent="0.25">
      <c r="A1349" s="3" t="s">
        <v>99</v>
      </c>
      <c r="B1349" t="s">
        <v>895</v>
      </c>
      <c r="C1349" t="s">
        <v>155</v>
      </c>
      <c r="D1349" t="s">
        <v>26</v>
      </c>
      <c r="E1349" t="s">
        <v>42</v>
      </c>
      <c r="F1349">
        <v>1</v>
      </c>
      <c r="G1349" s="3" t="s">
        <v>4</v>
      </c>
      <c r="H1349" s="46" t="s">
        <v>15</v>
      </c>
      <c r="I1349" s="17">
        <v>115240.1</v>
      </c>
      <c r="J1349" s="17">
        <f>IF(Gastos[[#This Row],[Divisa]]="$", I1349*1, IF(Gastos[[#This Row],[Divisa]]="U$D", I1349*$N$1, IF(Gastos[[#This Row],[Divisa]]="EUR", I1349*$N$2, 0)))</f>
        <v>115240.1</v>
      </c>
      <c r="K1349" s="54">
        <f>Gastos[[#This Row],[Importe AR$]]/$N$1</f>
        <v>73.871858974358972</v>
      </c>
      <c r="L1349" t="s">
        <v>479</v>
      </c>
      <c r="M1349" s="69"/>
      <c r="N1349" s="43" t="str">
        <f>IF(Gastos[[#This Row],[Fecha_Cheque]]&gt;0,WEEKNUM(Gastos[[#This Row],[Fecha_Cheque]]),MID(Gastos[[#This Row],[Semana]],6,2))</f>
        <v>28</v>
      </c>
      <c r="P1349" t="s">
        <v>27</v>
      </c>
    </row>
    <row r="1350" spans="1:16" hidden="1" x14ac:dyDescent="0.25">
      <c r="A1350" s="3" t="s">
        <v>114</v>
      </c>
      <c r="B1350" t="s">
        <v>895</v>
      </c>
      <c r="C1350" t="s">
        <v>155</v>
      </c>
      <c r="D1350" t="s">
        <v>26</v>
      </c>
      <c r="E1350" t="s">
        <v>42</v>
      </c>
      <c r="F1350">
        <v>1</v>
      </c>
      <c r="G1350" s="3" t="s">
        <v>4</v>
      </c>
      <c r="H1350" s="46" t="s">
        <v>15</v>
      </c>
      <c r="I1350" s="17">
        <v>113017.37</v>
      </c>
      <c r="J1350" s="17">
        <f>IF(Gastos[[#This Row],[Divisa]]="$", I1350*1, IF(Gastos[[#This Row],[Divisa]]="U$D", I1350*$N$1, IF(Gastos[[#This Row],[Divisa]]="EUR", I1350*$N$2, 0)))</f>
        <v>113017.37</v>
      </c>
      <c r="K1350" s="54">
        <f>Gastos[[#This Row],[Importe AR$]]/$N$1</f>
        <v>72.447032051282051</v>
      </c>
      <c r="M1350" s="69"/>
      <c r="N1350" s="43" t="str">
        <f>IF(Gastos[[#This Row],[Fecha_Cheque]]&gt;0,WEEKNUM(Gastos[[#This Row],[Fecha_Cheque]]),MID(Gastos[[#This Row],[Semana]],6,2))</f>
        <v>29</v>
      </c>
      <c r="O1350" t="s">
        <v>898</v>
      </c>
      <c r="P1350" t="s">
        <v>27</v>
      </c>
    </row>
    <row r="1351" spans="1:16" hidden="1" x14ac:dyDescent="0.25">
      <c r="A1351" s="3" t="s">
        <v>305</v>
      </c>
      <c r="B1351" t="s">
        <v>895</v>
      </c>
      <c r="C1351" t="s">
        <v>155</v>
      </c>
      <c r="D1351" t="s">
        <v>26</v>
      </c>
      <c r="E1351" t="s">
        <v>42</v>
      </c>
      <c r="F1351">
        <v>1</v>
      </c>
      <c r="G1351" s="3" t="s">
        <v>4</v>
      </c>
      <c r="H1351" s="46" t="s">
        <v>15</v>
      </c>
      <c r="I1351" s="17">
        <v>100000</v>
      </c>
      <c r="J1351" s="17">
        <f>IF(Gastos[[#This Row],[Divisa]]="$", I1351*1, IF(Gastos[[#This Row],[Divisa]]="U$D", I1351*$N$1, IF(Gastos[[#This Row],[Divisa]]="EUR", I1351*$N$2, 0)))</f>
        <v>100000</v>
      </c>
      <c r="K1351" s="54">
        <f>Gastos[[#This Row],[Importe AR$]]/$N$1</f>
        <v>64.102564102564102</v>
      </c>
      <c r="M1351" s="69"/>
      <c r="N1351" s="43" t="str">
        <f>IF(Gastos[[#This Row],[Fecha_Cheque]]&gt;0,WEEKNUM(Gastos[[#This Row],[Fecha_Cheque]]),MID(Gastos[[#This Row],[Semana]],6,2))</f>
        <v>31</v>
      </c>
      <c r="O1351" t="s">
        <v>899</v>
      </c>
      <c r="P1351" t="s">
        <v>27</v>
      </c>
    </row>
    <row r="1352" spans="1:16" hidden="1" x14ac:dyDescent="0.25">
      <c r="A1352" s="3" t="s">
        <v>34</v>
      </c>
      <c r="B1352" t="s">
        <v>895</v>
      </c>
      <c r="C1352" t="s">
        <v>155</v>
      </c>
      <c r="D1352" t="s">
        <v>26</v>
      </c>
      <c r="E1352" t="s">
        <v>42</v>
      </c>
      <c r="F1352">
        <v>1</v>
      </c>
      <c r="G1352" s="3" t="s">
        <v>4</v>
      </c>
      <c r="H1352" s="46" t="s">
        <v>15</v>
      </c>
      <c r="I1352" s="17">
        <v>100000.04</v>
      </c>
      <c r="J1352" s="17">
        <f>IF(Gastos[[#This Row],[Divisa]]="$", I1352*1, IF(Gastos[[#This Row],[Divisa]]="U$D", I1352*$N$1, IF(Gastos[[#This Row],[Divisa]]="EUR", I1352*$N$2, 0)))</f>
        <v>100000.04</v>
      </c>
      <c r="K1352" s="54">
        <f>Gastos[[#This Row],[Importe AR$]]/$N$1</f>
        <v>64.102589743589746</v>
      </c>
      <c r="M1352" s="69"/>
      <c r="N1352" s="43" t="str">
        <f>IF(Gastos[[#This Row],[Fecha_Cheque]]&gt;0,WEEKNUM(Gastos[[#This Row],[Fecha_Cheque]]),MID(Gastos[[#This Row],[Semana]],6,2))</f>
        <v>32</v>
      </c>
      <c r="O1352" t="s">
        <v>900</v>
      </c>
      <c r="P1352" t="s">
        <v>27</v>
      </c>
    </row>
    <row r="1353" spans="1:16" hidden="1" x14ac:dyDescent="0.25">
      <c r="A1353" s="3" t="s">
        <v>64</v>
      </c>
      <c r="B1353" t="s">
        <v>895</v>
      </c>
      <c r="C1353" t="s">
        <v>155</v>
      </c>
      <c r="D1353" t="s">
        <v>26</v>
      </c>
      <c r="E1353" t="s">
        <v>42</v>
      </c>
      <c r="F1353">
        <v>1</v>
      </c>
      <c r="G1353" s="3" t="s">
        <v>4</v>
      </c>
      <c r="H1353" s="46" t="s">
        <v>15</v>
      </c>
      <c r="I1353" s="17">
        <v>117996.8</v>
      </c>
      <c r="J1353" s="17">
        <f>IF(Gastos[[#This Row],[Divisa]]="$", I1353*1, IF(Gastos[[#This Row],[Divisa]]="U$D", I1353*$N$1, IF(Gastos[[#This Row],[Divisa]]="EUR", I1353*$N$2, 0)))</f>
        <v>117996.8</v>
      </c>
      <c r="K1353" s="54">
        <f>Gastos[[#This Row],[Importe AR$]]/$N$1</f>
        <v>75.638974358974366</v>
      </c>
      <c r="M1353" s="69"/>
      <c r="N1353" s="43" t="str">
        <f>IF(Gastos[[#This Row],[Fecha_Cheque]]&gt;0,WEEKNUM(Gastos[[#This Row],[Fecha_Cheque]]),MID(Gastos[[#This Row],[Semana]],6,2))</f>
        <v>33</v>
      </c>
      <c r="O1353" t="s">
        <v>123</v>
      </c>
      <c r="P1353" t="s">
        <v>27</v>
      </c>
    </row>
    <row r="1354" spans="1:16" hidden="1" x14ac:dyDescent="0.25">
      <c r="A1354" s="3" t="s">
        <v>117</v>
      </c>
      <c r="B1354" t="s">
        <v>895</v>
      </c>
      <c r="C1354" t="s">
        <v>155</v>
      </c>
      <c r="D1354" t="s">
        <v>26</v>
      </c>
      <c r="E1354" t="s">
        <v>42</v>
      </c>
      <c r="F1354">
        <v>1</v>
      </c>
      <c r="G1354" s="3" t="s">
        <v>4</v>
      </c>
      <c r="H1354" s="46" t="s">
        <v>15</v>
      </c>
      <c r="I1354" s="17">
        <v>120000</v>
      </c>
      <c r="J1354" s="17">
        <f>IF(Gastos[[#This Row],[Divisa]]="$", I1354*1, IF(Gastos[[#This Row],[Divisa]]="U$D", I1354*$N$1, IF(Gastos[[#This Row],[Divisa]]="EUR", I1354*$N$2, 0)))</f>
        <v>120000</v>
      </c>
      <c r="K1354" s="54">
        <f>Gastos[[#This Row],[Importe AR$]]/$N$1</f>
        <v>76.92307692307692</v>
      </c>
      <c r="M1354" s="69"/>
      <c r="N1354" s="43" t="str">
        <f>IF(Gastos[[#This Row],[Fecha_Cheque]]&gt;0,WEEKNUM(Gastos[[#This Row],[Fecha_Cheque]]),MID(Gastos[[#This Row],[Semana]],6,2))</f>
        <v>35</v>
      </c>
      <c r="O1354" t="s">
        <v>901</v>
      </c>
      <c r="P1354" t="s">
        <v>27</v>
      </c>
    </row>
    <row r="1355" spans="1:16" hidden="1" x14ac:dyDescent="0.25">
      <c r="A1355" s="3" t="s">
        <v>117</v>
      </c>
      <c r="B1355" t="s">
        <v>895</v>
      </c>
      <c r="C1355" t="s">
        <v>118</v>
      </c>
      <c r="D1355" t="s">
        <v>26</v>
      </c>
      <c r="E1355" t="s">
        <v>132</v>
      </c>
      <c r="F1355">
        <v>2</v>
      </c>
      <c r="G1355" s="3" t="s">
        <v>32</v>
      </c>
      <c r="H1355" s="46" t="s">
        <v>15</v>
      </c>
      <c r="I1355" s="17">
        <v>450000</v>
      </c>
      <c r="J1355" s="17">
        <f>IF(Gastos[[#This Row],[Divisa]]="$", I1355*1, IF(Gastos[[#This Row],[Divisa]]="U$D", I1355*$N$1, IF(Gastos[[#This Row],[Divisa]]="EUR", I1355*$N$2, 0)))</f>
        <v>450000</v>
      </c>
      <c r="K1355" s="54">
        <f>Gastos[[#This Row],[Importe AR$]]/$N$1</f>
        <v>288.46153846153845</v>
      </c>
      <c r="M1355" s="69">
        <v>45899</v>
      </c>
      <c r="N1355" s="43">
        <f>IF(Gastos[[#This Row],[Fecha_Cheque]]&gt;0,WEEKNUM(Gastos[[#This Row],[Fecha_Cheque]]),MID(Gastos[[#This Row],[Semana]],6,2))</f>
        <v>35</v>
      </c>
      <c r="O1355" t="s">
        <v>902</v>
      </c>
      <c r="P1355" t="s">
        <v>27</v>
      </c>
    </row>
    <row r="1356" spans="1:16" hidden="1" x14ac:dyDescent="0.25">
      <c r="A1356" s="3" t="s">
        <v>117</v>
      </c>
      <c r="B1356" t="s">
        <v>895</v>
      </c>
      <c r="C1356" t="s">
        <v>118</v>
      </c>
      <c r="D1356" t="s">
        <v>26</v>
      </c>
      <c r="E1356" t="s">
        <v>132</v>
      </c>
      <c r="F1356">
        <v>2</v>
      </c>
      <c r="G1356" s="3" t="s">
        <v>32</v>
      </c>
      <c r="H1356" s="46" t="s">
        <v>15</v>
      </c>
      <c r="I1356" s="17">
        <v>632000</v>
      </c>
      <c r="J1356" s="17">
        <f>IF(Gastos[[#This Row],[Divisa]]="$", I1356*1, IF(Gastos[[#This Row],[Divisa]]="U$D", I1356*$N$1, IF(Gastos[[#This Row],[Divisa]]="EUR", I1356*$N$2, 0)))</f>
        <v>632000</v>
      </c>
      <c r="K1356" s="54">
        <f>Gastos[[#This Row],[Importe AR$]]/$N$1</f>
        <v>405.12820512820514</v>
      </c>
      <c r="M1356" s="69">
        <v>45887</v>
      </c>
      <c r="N1356" s="43">
        <f>IF(Gastos[[#This Row],[Fecha_Cheque]]&gt;0,WEEKNUM(Gastos[[#This Row],[Fecha_Cheque]]),MID(Gastos[[#This Row],[Semana]],6,2))</f>
        <v>34</v>
      </c>
      <c r="O1356" t="s">
        <v>902</v>
      </c>
      <c r="P1356" t="s">
        <v>27</v>
      </c>
    </row>
    <row r="1357" spans="1:16" hidden="1" x14ac:dyDescent="0.25">
      <c r="A1357" s="3" t="s">
        <v>117</v>
      </c>
      <c r="B1357" t="s">
        <v>895</v>
      </c>
      <c r="C1357" t="s">
        <v>118</v>
      </c>
      <c r="D1357" t="s">
        <v>26</v>
      </c>
      <c r="E1357" t="s">
        <v>132</v>
      </c>
      <c r="F1357">
        <v>2</v>
      </c>
      <c r="G1357" s="3" t="s">
        <v>32</v>
      </c>
      <c r="H1357" s="46" t="s">
        <v>15</v>
      </c>
      <c r="I1357" s="17">
        <v>627322.11</v>
      </c>
      <c r="J1357" s="17">
        <f>IF(Gastos[[#This Row],[Divisa]]="$", I1357*1, IF(Gastos[[#This Row],[Divisa]]="U$D", I1357*$N$1, IF(Gastos[[#This Row],[Divisa]]="EUR", I1357*$N$2, 0)))</f>
        <v>627322.11</v>
      </c>
      <c r="K1357" s="54">
        <f>Gastos[[#This Row],[Importe AR$]]/$N$1</f>
        <v>402.12955769230769</v>
      </c>
      <c r="M1357" s="69">
        <v>45881</v>
      </c>
      <c r="N1357" s="43">
        <f>IF(Gastos[[#This Row],[Fecha_Cheque]]&gt;0,WEEKNUM(Gastos[[#This Row],[Fecha_Cheque]]),MID(Gastos[[#This Row],[Semana]],6,2))</f>
        <v>33</v>
      </c>
      <c r="O1357" t="s">
        <v>902</v>
      </c>
      <c r="P1357" t="s">
        <v>27</v>
      </c>
    </row>
    <row r="1358" spans="1:16" hidden="1" x14ac:dyDescent="0.25">
      <c r="A1358" s="3" t="s">
        <v>117</v>
      </c>
      <c r="B1358" t="s">
        <v>895</v>
      </c>
      <c r="C1358" t="s">
        <v>118</v>
      </c>
      <c r="D1358" t="s">
        <v>26</v>
      </c>
      <c r="E1358" t="s">
        <v>132</v>
      </c>
      <c r="F1358">
        <v>2</v>
      </c>
      <c r="G1358" s="3" t="s">
        <v>32</v>
      </c>
      <c r="H1358" s="46" t="s">
        <v>15</v>
      </c>
      <c r="I1358" s="17">
        <v>58900</v>
      </c>
      <c r="J1358" s="17">
        <f>IF(Gastos[[#This Row],[Divisa]]="$", I1358*1, IF(Gastos[[#This Row],[Divisa]]="U$D", I1358*$N$1, IF(Gastos[[#This Row],[Divisa]]="EUR", I1358*$N$2, 0)))</f>
        <v>58900</v>
      </c>
      <c r="K1358" s="54">
        <f>Gastos[[#This Row],[Importe AR$]]/$N$1</f>
        <v>37.756410256410255</v>
      </c>
      <c r="M1358" s="69">
        <v>45882</v>
      </c>
      <c r="N1358" s="43">
        <f>IF(Gastos[[#This Row],[Fecha_Cheque]]&gt;0,WEEKNUM(Gastos[[#This Row],[Fecha_Cheque]]),MID(Gastos[[#This Row],[Semana]],6,2))</f>
        <v>33</v>
      </c>
      <c r="O1358" t="s">
        <v>902</v>
      </c>
      <c r="P1358" t="s">
        <v>27</v>
      </c>
    </row>
    <row r="1359" spans="1:16" hidden="1" x14ac:dyDescent="0.25">
      <c r="A1359" s="3" t="s">
        <v>117</v>
      </c>
      <c r="B1359" t="s">
        <v>895</v>
      </c>
      <c r="C1359" t="s">
        <v>118</v>
      </c>
      <c r="D1359" t="s">
        <v>26</v>
      </c>
      <c r="E1359" t="s">
        <v>132</v>
      </c>
      <c r="F1359">
        <v>2</v>
      </c>
      <c r="G1359" s="3" t="s">
        <v>32</v>
      </c>
      <c r="H1359" s="46" t="s">
        <v>15</v>
      </c>
      <c r="I1359" s="17">
        <v>118000</v>
      </c>
      <c r="J1359" s="17">
        <f>IF(Gastos[[#This Row],[Divisa]]="$", I1359*1, IF(Gastos[[#This Row],[Divisa]]="U$D", I1359*$N$1, IF(Gastos[[#This Row],[Divisa]]="EUR", I1359*$N$2, 0)))</f>
        <v>118000</v>
      </c>
      <c r="K1359" s="54">
        <f>Gastos[[#This Row],[Importe AR$]]/$N$1</f>
        <v>75.641025641025635</v>
      </c>
      <c r="M1359" s="69">
        <v>45892</v>
      </c>
      <c r="N1359" s="43">
        <f>IF(Gastos[[#This Row],[Fecha_Cheque]]&gt;0,WEEKNUM(Gastos[[#This Row],[Fecha_Cheque]]),MID(Gastos[[#This Row],[Semana]],6,2))</f>
        <v>34</v>
      </c>
      <c r="O1359" t="s">
        <v>902</v>
      </c>
      <c r="P1359" t="s">
        <v>27</v>
      </c>
    </row>
    <row r="1360" spans="1:16" hidden="1" x14ac:dyDescent="0.25">
      <c r="A1360" s="3" t="s">
        <v>117</v>
      </c>
      <c r="B1360" t="s">
        <v>895</v>
      </c>
      <c r="C1360" t="s">
        <v>118</v>
      </c>
      <c r="D1360" t="s">
        <v>26</v>
      </c>
      <c r="E1360" t="s">
        <v>132</v>
      </c>
      <c r="F1360">
        <v>2</v>
      </c>
      <c r="G1360" s="3" t="s">
        <v>32</v>
      </c>
      <c r="H1360" s="46" t="s">
        <v>15</v>
      </c>
      <c r="I1360" s="17">
        <v>139000</v>
      </c>
      <c r="J1360" s="17">
        <f>IF(Gastos[[#This Row],[Divisa]]="$", I1360*1, IF(Gastos[[#This Row],[Divisa]]="U$D", I1360*$N$1, IF(Gastos[[#This Row],[Divisa]]="EUR", I1360*$N$2, 0)))</f>
        <v>139000</v>
      </c>
      <c r="K1360" s="54">
        <f>Gastos[[#This Row],[Importe AR$]]/$N$1</f>
        <v>89.102564102564102</v>
      </c>
      <c r="M1360" s="69">
        <v>45899</v>
      </c>
      <c r="N1360" s="43">
        <f>IF(Gastos[[#This Row],[Fecha_Cheque]]&gt;0,WEEKNUM(Gastos[[#This Row],[Fecha_Cheque]]),MID(Gastos[[#This Row],[Semana]],6,2))</f>
        <v>35</v>
      </c>
      <c r="O1360" t="s">
        <v>902</v>
      </c>
      <c r="P1360" t="s">
        <v>27</v>
      </c>
    </row>
    <row r="1361" spans="1:16" hidden="1" x14ac:dyDescent="0.25">
      <c r="A1361" s="3" t="s">
        <v>117</v>
      </c>
      <c r="B1361" t="s">
        <v>895</v>
      </c>
      <c r="C1361" t="s">
        <v>118</v>
      </c>
      <c r="D1361" t="s">
        <v>26</v>
      </c>
      <c r="E1361" t="s">
        <v>132</v>
      </c>
      <c r="F1361">
        <v>2</v>
      </c>
      <c r="G1361" s="3" t="s">
        <v>32</v>
      </c>
      <c r="H1361" s="46" t="s">
        <v>15</v>
      </c>
      <c r="I1361" s="17">
        <v>255876.81</v>
      </c>
      <c r="J1361" s="17">
        <f>IF(Gastos[[#This Row],[Divisa]]="$", I1361*1, IF(Gastos[[#This Row],[Divisa]]="U$D", I1361*$N$1, IF(Gastos[[#This Row],[Divisa]]="EUR", I1361*$N$2, 0)))</f>
        <v>255876.81</v>
      </c>
      <c r="K1361" s="54">
        <f>Gastos[[#This Row],[Importe AR$]]/$N$1</f>
        <v>164.02359615384614</v>
      </c>
      <c r="M1361" s="69">
        <v>45892</v>
      </c>
      <c r="N1361" s="43">
        <f>IF(Gastos[[#This Row],[Fecha_Cheque]]&gt;0,WEEKNUM(Gastos[[#This Row],[Fecha_Cheque]]),MID(Gastos[[#This Row],[Semana]],6,2))</f>
        <v>34</v>
      </c>
      <c r="O1361" t="s">
        <v>902</v>
      </c>
      <c r="P1361" t="s">
        <v>27</v>
      </c>
    </row>
    <row r="1362" spans="1:16" hidden="1" x14ac:dyDescent="0.25">
      <c r="A1362" s="3" t="s">
        <v>117</v>
      </c>
      <c r="B1362" t="s">
        <v>895</v>
      </c>
      <c r="C1362" t="s">
        <v>118</v>
      </c>
      <c r="D1362" t="s">
        <v>26</v>
      </c>
      <c r="E1362" t="s">
        <v>132</v>
      </c>
      <c r="F1362">
        <v>2</v>
      </c>
      <c r="G1362" s="3" t="s">
        <v>32</v>
      </c>
      <c r="H1362" s="46" t="s">
        <v>15</v>
      </c>
      <c r="I1362" s="17">
        <v>151624.19</v>
      </c>
      <c r="J1362" s="17">
        <f>IF(Gastos[[#This Row],[Divisa]]="$", I1362*1, IF(Gastos[[#This Row],[Divisa]]="U$D", I1362*$N$1, IF(Gastos[[#This Row],[Divisa]]="EUR", I1362*$N$2, 0)))</f>
        <v>151624.19</v>
      </c>
      <c r="K1362" s="54">
        <f>Gastos[[#This Row],[Importe AR$]]/$N$1</f>
        <v>97.194993589743589</v>
      </c>
      <c r="M1362" s="69">
        <v>45894</v>
      </c>
      <c r="N1362" s="43">
        <f>IF(Gastos[[#This Row],[Fecha_Cheque]]&gt;0,WEEKNUM(Gastos[[#This Row],[Fecha_Cheque]]),MID(Gastos[[#This Row],[Semana]],6,2))</f>
        <v>35</v>
      </c>
      <c r="O1362" t="s">
        <v>902</v>
      </c>
      <c r="P1362" t="s">
        <v>27</v>
      </c>
    </row>
    <row r="1363" spans="1:16" hidden="1" x14ac:dyDescent="0.25">
      <c r="A1363" s="3" t="s">
        <v>117</v>
      </c>
      <c r="B1363" t="s">
        <v>895</v>
      </c>
      <c r="C1363" t="s">
        <v>118</v>
      </c>
      <c r="D1363" t="s">
        <v>26</v>
      </c>
      <c r="E1363" t="s">
        <v>132</v>
      </c>
      <c r="F1363">
        <v>2</v>
      </c>
      <c r="G1363" s="3" t="s">
        <v>32</v>
      </c>
      <c r="H1363" s="46" t="s">
        <v>15</v>
      </c>
      <c r="I1363" s="17">
        <v>310144.69</v>
      </c>
      <c r="J1363" s="17">
        <f>IF(Gastos[[#This Row],[Divisa]]="$", I1363*1, IF(Gastos[[#This Row],[Divisa]]="U$D", I1363*$N$1, IF(Gastos[[#This Row],[Divisa]]="EUR", I1363*$N$2, 0)))</f>
        <v>310144.69</v>
      </c>
      <c r="K1363" s="54">
        <f>Gastos[[#This Row],[Importe AR$]]/$N$1</f>
        <v>198.81069871794872</v>
      </c>
      <c r="M1363" s="69">
        <v>45873</v>
      </c>
      <c r="N1363" s="43">
        <f>IF(Gastos[[#This Row],[Fecha_Cheque]]&gt;0,WEEKNUM(Gastos[[#This Row],[Fecha_Cheque]]),MID(Gastos[[#This Row],[Semana]],6,2))</f>
        <v>32</v>
      </c>
      <c r="O1363" t="s">
        <v>902</v>
      </c>
      <c r="P1363" t="s">
        <v>27</v>
      </c>
    </row>
    <row r="1364" spans="1:16" hidden="1" x14ac:dyDescent="0.25">
      <c r="A1364" s="3" t="s">
        <v>117</v>
      </c>
      <c r="B1364" t="s">
        <v>895</v>
      </c>
      <c r="C1364" t="s">
        <v>118</v>
      </c>
      <c r="D1364" t="s">
        <v>26</v>
      </c>
      <c r="E1364" t="s">
        <v>132</v>
      </c>
      <c r="F1364">
        <v>2</v>
      </c>
      <c r="G1364" s="3" t="s">
        <v>32</v>
      </c>
      <c r="H1364" s="46" t="s">
        <v>15</v>
      </c>
      <c r="I1364" s="17">
        <v>280000</v>
      </c>
      <c r="J1364" s="17">
        <f>IF(Gastos[[#This Row],[Divisa]]="$", I1364*1, IF(Gastos[[#This Row],[Divisa]]="U$D", I1364*$N$1, IF(Gastos[[#This Row],[Divisa]]="EUR", I1364*$N$2, 0)))</f>
        <v>280000</v>
      </c>
      <c r="K1364" s="54">
        <f>Gastos[[#This Row],[Importe AR$]]/$N$1</f>
        <v>179.48717948717947</v>
      </c>
      <c r="M1364" s="69">
        <v>45901</v>
      </c>
      <c r="N1364" s="43">
        <f>IF(Gastos[[#This Row],[Fecha_Cheque]]&gt;0,WEEKNUM(Gastos[[#This Row],[Fecha_Cheque]]),MID(Gastos[[#This Row],[Semana]],6,2))</f>
        <v>36</v>
      </c>
      <c r="O1364" t="s">
        <v>902</v>
      </c>
      <c r="P1364" t="s">
        <v>27</v>
      </c>
    </row>
    <row r="1365" spans="1:16" hidden="1" x14ac:dyDescent="0.25">
      <c r="A1365" s="3" t="s">
        <v>117</v>
      </c>
      <c r="B1365" t="s">
        <v>895</v>
      </c>
      <c r="C1365" t="s">
        <v>118</v>
      </c>
      <c r="D1365" t="s">
        <v>26</v>
      </c>
      <c r="E1365" t="s">
        <v>132</v>
      </c>
      <c r="F1365">
        <v>2</v>
      </c>
      <c r="G1365" s="3" t="s">
        <v>32</v>
      </c>
      <c r="H1365" s="46" t="s">
        <v>15</v>
      </c>
      <c r="I1365" s="17">
        <v>175486</v>
      </c>
      <c r="J1365" s="17">
        <f>IF(Gastos[[#This Row],[Divisa]]="$", I1365*1, IF(Gastos[[#This Row],[Divisa]]="U$D", I1365*$N$1, IF(Gastos[[#This Row],[Divisa]]="EUR", I1365*$N$2, 0)))</f>
        <v>175486</v>
      </c>
      <c r="K1365" s="54">
        <f>Gastos[[#This Row],[Importe AR$]]/$N$1</f>
        <v>112.49102564102564</v>
      </c>
      <c r="M1365" s="69">
        <v>45899</v>
      </c>
      <c r="N1365" s="43">
        <f>IF(Gastos[[#This Row],[Fecha_Cheque]]&gt;0,WEEKNUM(Gastos[[#This Row],[Fecha_Cheque]]),MID(Gastos[[#This Row],[Semana]],6,2))</f>
        <v>35</v>
      </c>
      <c r="O1365" t="s">
        <v>902</v>
      </c>
      <c r="P1365" t="s">
        <v>27</v>
      </c>
    </row>
    <row r="1366" spans="1:16" hidden="1" x14ac:dyDescent="0.25">
      <c r="A1366" s="3" t="s">
        <v>117</v>
      </c>
      <c r="B1366" t="s">
        <v>895</v>
      </c>
      <c r="C1366" t="s">
        <v>118</v>
      </c>
      <c r="D1366" t="s">
        <v>26</v>
      </c>
      <c r="E1366" t="s">
        <v>132</v>
      </c>
      <c r="F1366">
        <v>2</v>
      </c>
      <c r="G1366" s="3" t="s">
        <v>32</v>
      </c>
      <c r="H1366" s="46" t="s">
        <v>15</v>
      </c>
      <c r="I1366" s="17">
        <v>30000</v>
      </c>
      <c r="J1366" s="17">
        <f>IF(Gastos[[#This Row],[Divisa]]="$", I1366*1, IF(Gastos[[#This Row],[Divisa]]="U$D", I1366*$N$1, IF(Gastos[[#This Row],[Divisa]]="EUR", I1366*$N$2, 0)))</f>
        <v>30000</v>
      </c>
      <c r="K1366" s="54">
        <f>Gastos[[#This Row],[Importe AR$]]/$N$1</f>
        <v>19.23076923076923</v>
      </c>
      <c r="M1366" s="69">
        <v>45898</v>
      </c>
      <c r="N1366" s="43">
        <f>IF(Gastos[[#This Row],[Fecha_Cheque]]&gt;0,WEEKNUM(Gastos[[#This Row],[Fecha_Cheque]]),MID(Gastos[[#This Row],[Semana]],6,2))</f>
        <v>35</v>
      </c>
      <c r="O1366" t="s">
        <v>902</v>
      </c>
      <c r="P1366" t="s">
        <v>27</v>
      </c>
    </row>
    <row r="1367" spans="1:16" hidden="1" x14ac:dyDescent="0.25">
      <c r="A1367" s="3" t="s">
        <v>310</v>
      </c>
      <c r="B1367" t="s">
        <v>895</v>
      </c>
      <c r="C1367" t="s">
        <v>155</v>
      </c>
      <c r="D1367" t="s">
        <v>26</v>
      </c>
      <c r="E1367" t="s">
        <v>31</v>
      </c>
      <c r="F1367">
        <v>1</v>
      </c>
      <c r="G1367" s="3" t="s">
        <v>4</v>
      </c>
      <c r="H1367" s="46" t="s">
        <v>15</v>
      </c>
      <c r="I1367" s="17">
        <v>60035.72</v>
      </c>
      <c r="J1367" s="17">
        <f>IF(Gastos[[#This Row],[Divisa]]="$", I1367*1, IF(Gastos[[#This Row],[Divisa]]="U$D", I1367*$N$1, IF(Gastos[[#This Row],[Divisa]]="EUR", I1367*$N$2, 0)))</f>
        <v>60035.72</v>
      </c>
      <c r="K1367" s="54">
        <f>Gastos[[#This Row],[Importe AR$]]/$N$1</f>
        <v>38.484435897435901</v>
      </c>
      <c r="M1367" s="69"/>
      <c r="N1367" s="43" t="str">
        <f>IF(Gastos[[#This Row],[Fecha_Cheque]]&gt;0,WEEKNUM(Gastos[[#This Row],[Fecha_Cheque]]),MID(Gastos[[#This Row],[Semana]],6,2))</f>
        <v>36</v>
      </c>
      <c r="O1367" t="s">
        <v>123</v>
      </c>
      <c r="P1367" t="s">
        <v>27</v>
      </c>
    </row>
    <row r="1368" spans="1:16" hidden="1" x14ac:dyDescent="0.25">
      <c r="A1368" s="3" t="s">
        <v>310</v>
      </c>
      <c r="B1368" t="s">
        <v>895</v>
      </c>
      <c r="C1368" t="s">
        <v>155</v>
      </c>
      <c r="D1368" t="s">
        <v>26</v>
      </c>
      <c r="E1368" t="s">
        <v>31</v>
      </c>
      <c r="F1368">
        <v>1</v>
      </c>
      <c r="G1368" s="3" t="s">
        <v>4</v>
      </c>
      <c r="H1368" s="46" t="s">
        <v>15</v>
      </c>
      <c r="I1368" s="17">
        <v>100000</v>
      </c>
      <c r="J1368" s="17">
        <f>IF(Gastos[[#This Row],[Divisa]]="$", I1368*1, IF(Gastos[[#This Row],[Divisa]]="U$D", I1368*$N$1, IF(Gastos[[#This Row],[Divisa]]="EUR", I1368*$N$2, 0)))</f>
        <v>100000</v>
      </c>
      <c r="K1368" s="54">
        <f>Gastos[[#This Row],[Importe AR$]]/$N$1</f>
        <v>64.102564102564102</v>
      </c>
      <c r="M1368" s="69"/>
      <c r="N1368" s="43" t="str">
        <f>IF(Gastos[[#This Row],[Fecha_Cheque]]&gt;0,WEEKNUM(Gastos[[#This Row],[Fecha_Cheque]]),MID(Gastos[[#This Row],[Semana]],6,2))</f>
        <v>36</v>
      </c>
      <c r="O1368" t="s">
        <v>123</v>
      </c>
      <c r="P1368" t="s">
        <v>27</v>
      </c>
    </row>
    <row r="1369" spans="1:16" hidden="1" x14ac:dyDescent="0.25">
      <c r="A1369" s="3" t="s">
        <v>171</v>
      </c>
      <c r="B1369" t="s">
        <v>895</v>
      </c>
      <c r="C1369" t="s">
        <v>155</v>
      </c>
      <c r="D1369" t="s">
        <v>26</v>
      </c>
      <c r="E1369" t="s">
        <v>42</v>
      </c>
      <c r="F1369">
        <v>1</v>
      </c>
      <c r="G1369" s="3" t="s">
        <v>4</v>
      </c>
      <c r="H1369" s="46" t="s">
        <v>15</v>
      </c>
      <c r="I1369" s="17">
        <v>137018.41</v>
      </c>
      <c r="J1369" s="17">
        <f>IF(Gastos[[#This Row],[Divisa]]="$", I1369*1, IF(Gastos[[#This Row],[Divisa]]="U$D", I1369*$N$1, IF(Gastos[[#This Row],[Divisa]]="EUR", I1369*$N$2, 0)))</f>
        <v>137018.41</v>
      </c>
      <c r="K1369" s="54">
        <f>Gastos[[#This Row],[Importe AR$]]/$N$1</f>
        <v>87.832314102564098</v>
      </c>
      <c r="M1369" s="69"/>
      <c r="N1369" s="43" t="str">
        <f>IF(Gastos[[#This Row],[Fecha_Cheque]]&gt;0,WEEKNUM(Gastos[[#This Row],[Fecha_Cheque]]),MID(Gastos[[#This Row],[Semana]],6,2))</f>
        <v>38</v>
      </c>
      <c r="O1369" t="s">
        <v>903</v>
      </c>
      <c r="P1369" t="s">
        <v>27</v>
      </c>
    </row>
    <row r="1370" spans="1:16" hidden="1" x14ac:dyDescent="0.25">
      <c r="A1370" s="3" t="s">
        <v>89</v>
      </c>
      <c r="B1370" t="s">
        <v>895</v>
      </c>
      <c r="C1370" t="s">
        <v>155</v>
      </c>
      <c r="D1370" t="s">
        <v>26</v>
      </c>
      <c r="E1370" t="s">
        <v>42</v>
      </c>
      <c r="F1370">
        <v>1</v>
      </c>
      <c r="G1370" s="3" t="s">
        <v>4</v>
      </c>
      <c r="H1370" s="46" t="s">
        <v>15</v>
      </c>
      <c r="I1370" s="17">
        <v>137018.41</v>
      </c>
      <c r="J1370" s="17">
        <f>IF(Gastos[[#This Row],[Divisa]]="$", I1370*1, IF(Gastos[[#This Row],[Divisa]]="U$D", I1370*$N$1, IF(Gastos[[#This Row],[Divisa]]="EUR", I1370*$N$2, 0)))</f>
        <v>137018.41</v>
      </c>
      <c r="K1370" s="54">
        <f>Gastos[[#This Row],[Importe AR$]]/$N$1</f>
        <v>87.832314102564098</v>
      </c>
      <c r="M1370" s="69"/>
      <c r="N1370" s="43" t="str">
        <f>IF(Gastos[[#This Row],[Fecha_Cheque]]&gt;0,WEEKNUM(Gastos[[#This Row],[Fecha_Cheque]]),MID(Gastos[[#This Row],[Semana]],6,2))</f>
        <v>39</v>
      </c>
      <c r="O1370" t="s">
        <v>904</v>
      </c>
      <c r="P1370" t="s">
        <v>27</v>
      </c>
    </row>
    <row r="1371" spans="1:16" hidden="1" x14ac:dyDescent="0.25">
      <c r="A1371" s="3" t="s">
        <v>122</v>
      </c>
      <c r="B1371" t="s">
        <v>895</v>
      </c>
      <c r="C1371" t="s">
        <v>155</v>
      </c>
      <c r="D1371" t="s">
        <v>26</v>
      </c>
      <c r="E1371" t="s">
        <v>42</v>
      </c>
      <c r="F1371">
        <v>1</v>
      </c>
      <c r="G1371" s="3" t="s">
        <v>4</v>
      </c>
      <c r="H1371" s="46" t="s">
        <v>15</v>
      </c>
      <c r="I1371" s="17">
        <v>130000</v>
      </c>
      <c r="J1371" s="17">
        <f>IF(Gastos[[#This Row],[Divisa]]="$", I1371*1, IF(Gastos[[#This Row],[Divisa]]="U$D", I1371*$N$1, IF(Gastos[[#This Row],[Divisa]]="EUR", I1371*$N$2, 0)))</f>
        <v>130000</v>
      </c>
      <c r="K1371" s="54">
        <f>Gastos[[#This Row],[Importe AR$]]/$N$1</f>
        <v>83.333333333333329</v>
      </c>
      <c r="M1371" s="69"/>
      <c r="N1371" s="43" t="str">
        <f>IF(Gastos[[#This Row],[Fecha_Cheque]]&gt;0,WEEKNUM(Gastos[[#This Row],[Fecha_Cheque]]),MID(Gastos[[#This Row],[Semana]],6,2))</f>
        <v>40</v>
      </c>
      <c r="O1371" t="s">
        <v>905</v>
      </c>
      <c r="P1371" t="s">
        <v>27</v>
      </c>
    </row>
    <row r="1372" spans="1:16" hidden="1" x14ac:dyDescent="0.25">
      <c r="A1372" s="3" t="s">
        <v>56</v>
      </c>
      <c r="B1372" t="s">
        <v>895</v>
      </c>
      <c r="C1372" t="s">
        <v>155</v>
      </c>
      <c r="D1372" t="s">
        <v>26</v>
      </c>
      <c r="E1372" t="s">
        <v>42</v>
      </c>
      <c r="F1372">
        <v>1</v>
      </c>
      <c r="G1372" s="3" t="s">
        <v>4</v>
      </c>
      <c r="H1372" s="46" t="s">
        <v>15</v>
      </c>
      <c r="I1372" s="17">
        <v>130000</v>
      </c>
      <c r="J1372" s="17">
        <f>IF(Gastos[[#This Row],[Divisa]]="$", I1372*1, IF(Gastos[[#This Row],[Divisa]]="U$D", I1372*$N$1, IF(Gastos[[#This Row],[Divisa]]="EUR", I1372*$N$2, 0)))</f>
        <v>130000</v>
      </c>
      <c r="K1372" s="54">
        <f>Gastos[[#This Row],[Importe AR$]]/$N$1</f>
        <v>83.333333333333329</v>
      </c>
      <c r="M1372" s="69"/>
      <c r="N1372" s="43" t="str">
        <f>IF(Gastos[[#This Row],[Fecha_Cheque]]&gt;0,WEEKNUM(Gastos[[#This Row],[Fecha_Cheque]]),MID(Gastos[[#This Row],[Semana]],6,2))</f>
        <v>41</v>
      </c>
      <c r="O1372" t="s">
        <v>906</v>
      </c>
      <c r="P1372" t="s">
        <v>27</v>
      </c>
    </row>
    <row r="1373" spans="1:16" hidden="1" x14ac:dyDescent="0.25">
      <c r="A1373" s="3" t="s">
        <v>232</v>
      </c>
      <c r="B1373" t="s">
        <v>895</v>
      </c>
      <c r="C1373" t="s">
        <v>155</v>
      </c>
      <c r="D1373" t="s">
        <v>26</v>
      </c>
      <c r="E1373" t="s">
        <v>42</v>
      </c>
      <c r="F1373">
        <v>1</v>
      </c>
      <c r="G1373" s="3" t="s">
        <v>4</v>
      </c>
      <c r="H1373" s="46" t="s">
        <v>15</v>
      </c>
      <c r="I1373" s="17">
        <v>136004.4</v>
      </c>
      <c r="J1373" s="17">
        <f>IF(Gastos[[#This Row],[Divisa]]="$", I1373*1, IF(Gastos[[#This Row],[Divisa]]="U$D", I1373*$N$1, IF(Gastos[[#This Row],[Divisa]]="EUR", I1373*$N$2, 0)))</f>
        <v>136004.4</v>
      </c>
      <c r="K1373" s="54">
        <f>Gastos[[#This Row],[Importe AR$]]/$N$1</f>
        <v>87.182307692307688</v>
      </c>
      <c r="M1373" s="69"/>
      <c r="N1373" s="43" t="str">
        <f>IF(Gastos[[#This Row],[Fecha_Cheque]]&gt;0,WEEKNUM(Gastos[[#This Row],[Fecha_Cheque]]),MID(Gastos[[#This Row],[Semana]],6,2))</f>
        <v>44</v>
      </c>
      <c r="O1373" t="s">
        <v>907</v>
      </c>
      <c r="P1373" t="s">
        <v>27</v>
      </c>
    </row>
    <row r="1374" spans="1:16" hidden="1" x14ac:dyDescent="0.25">
      <c r="A1374" s="3" t="s">
        <v>232</v>
      </c>
      <c r="B1374" t="s">
        <v>895</v>
      </c>
      <c r="C1374" t="s">
        <v>155</v>
      </c>
      <c r="D1374" t="s">
        <v>26</v>
      </c>
      <c r="E1374" t="s">
        <v>42</v>
      </c>
      <c r="F1374">
        <v>1</v>
      </c>
      <c r="G1374" s="3" t="s">
        <v>4</v>
      </c>
      <c r="H1374" s="46" t="s">
        <v>15</v>
      </c>
      <c r="I1374" s="17">
        <v>129015</v>
      </c>
      <c r="J1374" s="17">
        <f>IF(Gastos[[#This Row],[Divisa]]="$", I1374*1, IF(Gastos[[#This Row],[Divisa]]="U$D", I1374*$N$1, IF(Gastos[[#This Row],[Divisa]]="EUR", I1374*$N$2, 0)))</f>
        <v>129015</v>
      </c>
      <c r="K1374" s="54">
        <f>Gastos[[#This Row],[Importe AR$]]/$N$1</f>
        <v>82.70192307692308</v>
      </c>
      <c r="M1374" s="69"/>
      <c r="N1374" s="43" t="str">
        <f>IF(Gastos[[#This Row],[Fecha_Cheque]]&gt;0,WEEKNUM(Gastos[[#This Row],[Fecha_Cheque]]),MID(Gastos[[#This Row],[Semana]],6,2))</f>
        <v>44</v>
      </c>
      <c r="O1374" t="s">
        <v>908</v>
      </c>
      <c r="P1374" t="s">
        <v>27</v>
      </c>
    </row>
    <row r="1375" spans="1:16" hidden="1" x14ac:dyDescent="0.25">
      <c r="A1375" s="3" t="s">
        <v>232</v>
      </c>
      <c r="B1375" t="s">
        <v>895</v>
      </c>
      <c r="C1375" t="s">
        <v>155</v>
      </c>
      <c r="D1375" t="s">
        <v>26</v>
      </c>
      <c r="E1375" t="s">
        <v>42</v>
      </c>
      <c r="F1375">
        <v>1</v>
      </c>
      <c r="G1375" s="3" t="s">
        <v>4</v>
      </c>
      <c r="H1375" s="46" t="s">
        <v>15</v>
      </c>
      <c r="I1375" s="17">
        <v>133999.99</v>
      </c>
      <c r="J1375" s="17">
        <f>IF(Gastos[[#This Row],[Divisa]]="$", I1375*1, IF(Gastos[[#This Row],[Divisa]]="U$D", I1375*$N$1, IF(Gastos[[#This Row],[Divisa]]="EUR", I1375*$N$2, 0)))</f>
        <v>133999.99</v>
      </c>
      <c r="K1375" s="54">
        <f>Gastos[[#This Row],[Importe AR$]]/$N$1</f>
        <v>85.89742948717948</v>
      </c>
      <c r="M1375" s="69"/>
      <c r="N1375" s="43" t="str">
        <f>IF(Gastos[[#This Row],[Fecha_Cheque]]&gt;0,WEEKNUM(Gastos[[#This Row],[Fecha_Cheque]]),MID(Gastos[[#This Row],[Semana]],6,2))</f>
        <v>44</v>
      </c>
      <c r="O1375" t="s">
        <v>907</v>
      </c>
      <c r="P1375" t="s">
        <v>27</v>
      </c>
    </row>
    <row r="1376" spans="1:16" hidden="1" x14ac:dyDescent="0.25">
      <c r="A1376" s="3" t="s">
        <v>130</v>
      </c>
      <c r="B1376" t="s">
        <v>895</v>
      </c>
      <c r="C1376" t="s">
        <v>155</v>
      </c>
      <c r="D1376" t="s">
        <v>26</v>
      </c>
      <c r="E1376" t="s">
        <v>42</v>
      </c>
      <c r="F1376">
        <v>1</v>
      </c>
      <c r="G1376" s="3" t="s">
        <v>4</v>
      </c>
      <c r="H1376" s="46" t="s">
        <v>15</v>
      </c>
      <c r="I1376" s="17">
        <v>130000</v>
      </c>
      <c r="J1376" s="17">
        <f>IF(Gastos[[#This Row],[Divisa]]="$", I1376*1, IF(Gastos[[#This Row],[Divisa]]="U$D", I1376*$N$1, IF(Gastos[[#This Row],[Divisa]]="EUR", I1376*$N$2, 0)))</f>
        <v>130000</v>
      </c>
      <c r="K1376" s="54">
        <f>Gastos[[#This Row],[Importe AR$]]/$N$1</f>
        <v>83.333333333333329</v>
      </c>
      <c r="M1376" s="69"/>
      <c r="N1376" s="43" t="str">
        <f>IF(Gastos[[#This Row],[Fecha_Cheque]]&gt;0,WEEKNUM(Gastos[[#This Row],[Fecha_Cheque]]),MID(Gastos[[#This Row],[Semana]],6,2))</f>
        <v>45</v>
      </c>
      <c r="O1376" t="s">
        <v>909</v>
      </c>
      <c r="P1376" t="s">
        <v>27</v>
      </c>
    </row>
    <row r="1377" spans="1:16" hidden="1" x14ac:dyDescent="0.25">
      <c r="A1377" s="3" t="s">
        <v>130</v>
      </c>
      <c r="B1377" t="s">
        <v>895</v>
      </c>
      <c r="C1377" t="s">
        <v>118</v>
      </c>
      <c r="D1377" t="s">
        <v>61</v>
      </c>
      <c r="E1377" t="s">
        <v>132</v>
      </c>
      <c r="F1377">
        <v>2</v>
      </c>
      <c r="G1377" s="3" t="s">
        <v>32</v>
      </c>
      <c r="H1377" s="46" t="s">
        <v>15</v>
      </c>
      <c r="I1377" s="17">
        <v>169340</v>
      </c>
      <c r="J1377" s="17">
        <f>IF(Gastos[[#This Row],[Divisa]]="$", I1377*1, IF(Gastos[[#This Row],[Divisa]]="U$D", I1377*$N$1, IF(Gastos[[#This Row],[Divisa]]="EUR", I1377*$N$2, 0)))</f>
        <v>169340</v>
      </c>
      <c r="K1377" s="54">
        <f>Gastos[[#This Row],[Importe AR$]]/$N$1</f>
        <v>108.55128205128206</v>
      </c>
      <c r="M1377" s="69">
        <v>45974</v>
      </c>
      <c r="N1377" s="43">
        <f>IF(Gastos[[#This Row],[Fecha_Cheque]]&gt;0,WEEKNUM(Gastos[[#This Row],[Fecha_Cheque]]),MID(Gastos[[#This Row],[Semana]],6,2))</f>
        <v>46</v>
      </c>
      <c r="O1377" t="s">
        <v>910</v>
      </c>
      <c r="P1377" t="s">
        <v>27</v>
      </c>
    </row>
    <row r="1378" spans="1:16" hidden="1" x14ac:dyDescent="0.25">
      <c r="A1378" s="3" t="s">
        <v>130</v>
      </c>
      <c r="B1378" t="s">
        <v>895</v>
      </c>
      <c r="C1378" t="s">
        <v>118</v>
      </c>
      <c r="D1378" t="s">
        <v>61</v>
      </c>
      <c r="E1378" t="s">
        <v>132</v>
      </c>
      <c r="F1378">
        <v>2</v>
      </c>
      <c r="G1378" s="3" t="s">
        <v>32</v>
      </c>
      <c r="H1378" s="46" t="s">
        <v>15</v>
      </c>
      <c r="I1378" s="17">
        <v>449200</v>
      </c>
      <c r="J1378" s="17">
        <f>IF(Gastos[[#This Row],[Divisa]]="$", I1378*1, IF(Gastos[[#This Row],[Divisa]]="U$D", I1378*$N$1, IF(Gastos[[#This Row],[Divisa]]="EUR", I1378*$N$2, 0)))</f>
        <v>449200</v>
      </c>
      <c r="K1378" s="54">
        <f>Gastos[[#This Row],[Importe AR$]]/$N$1</f>
        <v>287.94871794871796</v>
      </c>
      <c r="M1378" s="69">
        <v>46014</v>
      </c>
      <c r="N1378" s="43">
        <f>IF(Gastos[[#This Row],[Fecha_Cheque]]&gt;0,WEEKNUM(Gastos[[#This Row],[Fecha_Cheque]]),MID(Gastos[[#This Row],[Semana]],6,2))</f>
        <v>52</v>
      </c>
      <c r="O1378" t="s">
        <v>910</v>
      </c>
      <c r="P1378" t="s">
        <v>27</v>
      </c>
    </row>
    <row r="1379" spans="1:16" hidden="1" x14ac:dyDescent="0.25">
      <c r="A1379" s="3" t="s">
        <v>130</v>
      </c>
      <c r="B1379" t="s">
        <v>895</v>
      </c>
      <c r="C1379" t="s">
        <v>118</v>
      </c>
      <c r="D1379" t="s">
        <v>61</v>
      </c>
      <c r="E1379" t="s">
        <v>132</v>
      </c>
      <c r="F1379">
        <v>2</v>
      </c>
      <c r="G1379" s="3" t="s">
        <v>32</v>
      </c>
      <c r="H1379" s="46" t="s">
        <v>15</v>
      </c>
      <c r="I1379" s="17">
        <v>964500</v>
      </c>
      <c r="J1379" s="17">
        <f>IF(Gastos[[#This Row],[Divisa]]="$", I1379*1, IF(Gastos[[#This Row],[Divisa]]="U$D", I1379*$N$1, IF(Gastos[[#This Row],[Divisa]]="EUR", I1379*$N$2, 0)))</f>
        <v>964500</v>
      </c>
      <c r="K1379" s="54">
        <f>Gastos[[#This Row],[Importe AR$]]/$N$1</f>
        <v>618.26923076923072</v>
      </c>
      <c r="M1379" s="69">
        <v>46004</v>
      </c>
      <c r="N1379" s="43">
        <f>IF(Gastos[[#This Row],[Fecha_Cheque]]&gt;0,WEEKNUM(Gastos[[#This Row],[Fecha_Cheque]]),MID(Gastos[[#This Row],[Semana]],6,2))</f>
        <v>50</v>
      </c>
      <c r="O1379" t="s">
        <v>910</v>
      </c>
      <c r="P1379" t="s">
        <v>27</v>
      </c>
    </row>
    <row r="1380" spans="1:16" hidden="1" x14ac:dyDescent="0.25">
      <c r="A1380" s="3" t="s">
        <v>60</v>
      </c>
      <c r="B1380" t="s">
        <v>895</v>
      </c>
      <c r="C1380" t="s">
        <v>155</v>
      </c>
      <c r="D1380" t="s">
        <v>26</v>
      </c>
      <c r="E1380" t="s">
        <v>42</v>
      </c>
      <c r="F1380">
        <v>1</v>
      </c>
      <c r="G1380" s="3" t="s">
        <v>4</v>
      </c>
      <c r="H1380" s="46" t="s">
        <v>15</v>
      </c>
      <c r="I1380" s="17">
        <v>70000</v>
      </c>
      <c r="J1380" s="17">
        <f>IF(Gastos[[#This Row],[Divisa]]="$", I1380*1, IF(Gastos[[#This Row],[Divisa]]="U$D", I1380*$N$1, IF(Gastos[[#This Row],[Divisa]]="EUR", I1380*$N$2, 0)))</f>
        <v>70000</v>
      </c>
      <c r="K1380" s="54">
        <f>Gastos[[#This Row],[Importe AR$]]/$N$1</f>
        <v>44.871794871794869</v>
      </c>
      <c r="M1380" s="69"/>
      <c r="N1380" s="43" t="str">
        <f>IF(Gastos[[#This Row],[Fecha_Cheque]]&gt;0,WEEKNUM(Gastos[[#This Row],[Fecha_Cheque]]),MID(Gastos[[#This Row],[Semana]],6,2))</f>
        <v>46</v>
      </c>
      <c r="O1380" t="s">
        <v>911</v>
      </c>
      <c r="P1380" t="s">
        <v>27</v>
      </c>
    </row>
    <row r="1381" spans="1:16" hidden="1" x14ac:dyDescent="0.25">
      <c r="A1381" s="3" t="s">
        <v>60</v>
      </c>
      <c r="B1381" t="s">
        <v>895</v>
      </c>
      <c r="C1381" t="s">
        <v>118</v>
      </c>
      <c r="D1381" t="s">
        <v>26</v>
      </c>
      <c r="E1381" t="s">
        <v>132</v>
      </c>
      <c r="F1381">
        <v>2</v>
      </c>
      <c r="G1381" s="3" t="s">
        <v>4</v>
      </c>
      <c r="H1381" s="46" t="s">
        <v>15</v>
      </c>
      <c r="I1381" s="17">
        <v>1000000</v>
      </c>
      <c r="J1381" s="17">
        <f>IF(Gastos[[#This Row],[Divisa]]="$", I1381*1, IF(Gastos[[#This Row],[Divisa]]="U$D", I1381*$N$1, IF(Gastos[[#This Row],[Divisa]]="EUR", I1381*$N$2, 0)))</f>
        <v>1000000</v>
      </c>
      <c r="K1381" s="54">
        <f>Gastos[[#This Row],[Importe AR$]]/$N$1</f>
        <v>641.02564102564099</v>
      </c>
      <c r="M1381" s="69"/>
      <c r="N1381" s="43" t="str">
        <f>IF(Gastos[[#This Row],[Fecha_Cheque]]&gt;0,WEEKNUM(Gastos[[#This Row],[Fecha_Cheque]]),MID(Gastos[[#This Row],[Semana]],6,2))</f>
        <v>46</v>
      </c>
      <c r="O1381" t="s">
        <v>912</v>
      </c>
      <c r="P1381" t="s">
        <v>27</v>
      </c>
    </row>
    <row r="1382" spans="1:16" hidden="1" x14ac:dyDescent="0.25">
      <c r="A1382" s="3" t="s">
        <v>79</v>
      </c>
      <c r="B1382" t="s">
        <v>895</v>
      </c>
      <c r="C1382" t="s">
        <v>155</v>
      </c>
      <c r="D1382" t="s">
        <v>26</v>
      </c>
      <c r="E1382" t="s">
        <v>42</v>
      </c>
      <c r="F1382">
        <v>1</v>
      </c>
      <c r="G1382" s="3" t="s">
        <v>4</v>
      </c>
      <c r="H1382" s="46" t="s">
        <v>15</v>
      </c>
      <c r="I1382" s="17">
        <v>138004</v>
      </c>
      <c r="J1382" s="17">
        <f>IF(Gastos[[#This Row],[Divisa]]="$", I1382*1, IF(Gastos[[#This Row],[Divisa]]="U$D", I1382*$N$1, IF(Gastos[[#This Row],[Divisa]]="EUR", I1382*$N$2, 0)))</f>
        <v>138004</v>
      </c>
      <c r="K1382" s="54">
        <f>Gastos[[#This Row],[Importe AR$]]/$N$1</f>
        <v>88.464102564102561</v>
      </c>
      <c r="M1382" s="69"/>
      <c r="N1382" s="43" t="str">
        <f>IF(Gastos[[#This Row],[Fecha_Cheque]]&gt;0,WEEKNUM(Gastos[[#This Row],[Fecha_Cheque]]),MID(Gastos[[#This Row],[Semana]],6,2))</f>
        <v>47</v>
      </c>
      <c r="O1382" t="s">
        <v>913</v>
      </c>
      <c r="P1382" t="s">
        <v>27</v>
      </c>
    </row>
    <row r="1383" spans="1:16" hidden="1" x14ac:dyDescent="0.25">
      <c r="A1383" s="3" t="s">
        <v>44</v>
      </c>
      <c r="B1383" t="s">
        <v>895</v>
      </c>
      <c r="C1383" t="s">
        <v>118</v>
      </c>
      <c r="D1383" t="s">
        <v>26</v>
      </c>
      <c r="E1383" t="s">
        <v>132</v>
      </c>
      <c r="F1383">
        <v>2</v>
      </c>
      <c r="G1383" s="3" t="s">
        <v>32</v>
      </c>
      <c r="H1383" s="46" t="s">
        <v>15</v>
      </c>
      <c r="I1383" s="17">
        <v>1000000</v>
      </c>
      <c r="J1383" s="17">
        <f>IF(Gastos[[#This Row],[Divisa]]="$", I1383*1, IF(Gastos[[#This Row],[Divisa]]="U$D", I1383*$N$1, IF(Gastos[[#This Row],[Divisa]]="EUR", I1383*$N$2, 0)))</f>
        <v>1000000</v>
      </c>
      <c r="K1383" s="54">
        <f>Gastos[[#This Row],[Importe AR$]]/$N$1</f>
        <v>641.02564102564099</v>
      </c>
      <c r="M1383" s="69">
        <v>46042</v>
      </c>
      <c r="N1383" s="43">
        <f>IF(Gastos[[#This Row],[Fecha_Cheque]]&gt;0,WEEKNUM(Gastos[[#This Row],[Fecha_Cheque]]),MID(Gastos[[#This Row],[Semana]],6,2))</f>
        <v>4</v>
      </c>
      <c r="O1383" t="s">
        <v>914</v>
      </c>
      <c r="P1383" t="s">
        <v>27</v>
      </c>
    </row>
    <row r="1384" spans="1:16" hidden="1" x14ac:dyDescent="0.25">
      <c r="A1384" s="3" t="s">
        <v>44</v>
      </c>
      <c r="B1384" t="s">
        <v>895</v>
      </c>
      <c r="C1384" t="s">
        <v>118</v>
      </c>
      <c r="D1384" t="s">
        <v>26</v>
      </c>
      <c r="E1384" t="s">
        <v>132</v>
      </c>
      <c r="F1384">
        <v>2</v>
      </c>
      <c r="G1384" s="3" t="s">
        <v>32</v>
      </c>
      <c r="H1384" s="46" t="s">
        <v>15</v>
      </c>
      <c r="I1384" s="17">
        <v>1000000</v>
      </c>
      <c r="J1384" s="17">
        <f>IF(Gastos[[#This Row],[Divisa]]="$", I1384*1, IF(Gastos[[#This Row],[Divisa]]="U$D", I1384*$N$1, IF(Gastos[[#This Row],[Divisa]]="EUR", I1384*$N$2, 0)))</f>
        <v>1000000</v>
      </c>
      <c r="K1384" s="54">
        <f>Gastos[[#This Row],[Importe AR$]]/$N$1</f>
        <v>641.02564102564099</v>
      </c>
      <c r="L1384" s="8"/>
      <c r="M1384" s="69">
        <v>46042</v>
      </c>
      <c r="N1384" s="43">
        <f>IF(Gastos[[#This Row],[Fecha_Cheque]]&gt;0,WEEKNUM(Gastos[[#This Row],[Fecha_Cheque]]),MID(Gastos[[#This Row],[Semana]],6,2))</f>
        <v>4</v>
      </c>
      <c r="O1384" t="s">
        <v>914</v>
      </c>
      <c r="P1384" t="s">
        <v>27</v>
      </c>
    </row>
    <row r="1385" spans="1:16" hidden="1" x14ac:dyDescent="0.25">
      <c r="A1385" s="3" t="s">
        <v>416</v>
      </c>
      <c r="B1385" t="s">
        <v>895</v>
      </c>
      <c r="C1385" t="s">
        <v>118</v>
      </c>
      <c r="D1385" t="s">
        <v>26</v>
      </c>
      <c r="E1385" t="s">
        <v>132</v>
      </c>
      <c r="F1385">
        <v>2</v>
      </c>
      <c r="G1385" s="3" t="s">
        <v>32</v>
      </c>
      <c r="H1385" s="46" t="s">
        <v>15</v>
      </c>
      <c r="I1385" s="17">
        <f>Gastos[[#This Row],[Obs.]]*$N$1</f>
        <v>1077292.4275862069</v>
      </c>
      <c r="J1385" s="17">
        <f>IF(Gastos[[#This Row],[Divisa]]="$", I1385*1, IF(Gastos[[#This Row],[Divisa]]="U$D", I1385*$N$1, IF(Gastos[[#This Row],[Divisa]]="EUR", I1385*$N$2, 0)))</f>
        <v>1077292.4275862069</v>
      </c>
      <c r="K1385" s="54">
        <f>Gastos[[#This Row],[Importe AR$]]/$N$1</f>
        <v>690.57206896551725</v>
      </c>
      <c r="L1385" s="8">
        <v>690.57206896551725</v>
      </c>
      <c r="M1385" s="69">
        <v>46042</v>
      </c>
      <c r="N1385" s="43">
        <f>IF(Gastos[[#This Row],[Fecha_Cheque]]&gt;0,WEEKNUM(Gastos[[#This Row],[Fecha_Cheque]]),MID(Gastos[[#This Row],[Semana]],6,2))</f>
        <v>4</v>
      </c>
      <c r="O1385" t="s">
        <v>914</v>
      </c>
      <c r="P1385" t="s">
        <v>27</v>
      </c>
    </row>
    <row r="1386" spans="1:16" hidden="1" x14ac:dyDescent="0.25">
      <c r="A1386" s="3" t="s">
        <v>2711</v>
      </c>
      <c r="B1386" t="s">
        <v>895</v>
      </c>
      <c r="C1386" t="s">
        <v>2849</v>
      </c>
      <c r="D1386" t="s">
        <v>26</v>
      </c>
      <c r="E1386" t="s">
        <v>91</v>
      </c>
      <c r="F1386">
        <v>1</v>
      </c>
      <c r="G1386" s="3" t="s">
        <v>5</v>
      </c>
      <c r="H1386" s="46" t="s">
        <v>15</v>
      </c>
      <c r="I1386" s="17">
        <v>2200000</v>
      </c>
      <c r="J1386" s="17">
        <f>IF(Gastos[[#This Row],[Divisa]]="$", I1386*1, IF(Gastos[[#This Row],[Divisa]]="U$D", I1386*$N$1, IF(Gastos[[#This Row],[Divisa]]="EUR", I1386*$N$2, 0)))</f>
        <v>2200000</v>
      </c>
      <c r="K1386" s="54">
        <f>Gastos[[#This Row],[Importe AR$]]/$N$1</f>
        <v>1410.2564102564102</v>
      </c>
      <c r="M1386" s="69"/>
      <c r="N1386" s="43" t="str">
        <f>IF(Gastos[[#This Row],[Fecha_Cheque]]&gt;0,WEEKNUM(Gastos[[#This Row],[Fecha_Cheque]]),MID(Gastos[[#This Row],[Semana]],6,2))</f>
        <v>15</v>
      </c>
      <c r="O1386" t="s">
        <v>2850</v>
      </c>
      <c r="P1386" t="s">
        <v>27</v>
      </c>
    </row>
    <row r="1387" spans="1:16" hidden="1" x14ac:dyDescent="0.25">
      <c r="A1387" s="3" t="s">
        <v>4374</v>
      </c>
      <c r="B1387" t="s">
        <v>895</v>
      </c>
      <c r="C1387" t="s">
        <v>4381</v>
      </c>
      <c r="D1387" t="s">
        <v>26</v>
      </c>
      <c r="E1387" t="s">
        <v>62</v>
      </c>
      <c r="F1387">
        <v>1</v>
      </c>
      <c r="G1387" s="3" t="s">
        <v>5</v>
      </c>
      <c r="H1387" s="44" t="s">
        <v>15</v>
      </c>
      <c r="I1387" s="17">
        <v>160636.76</v>
      </c>
      <c r="J1387" s="17">
        <f>IF(Gastos[[#This Row],[Divisa]]="$", I1387*1, IF(Gastos[[#This Row],[Divisa]]="U$D", I1387*$N$1, IF(Gastos[[#This Row],[Divisa]]="EUR", I1387*$N$2, 0)))</f>
        <v>160636.76</v>
      </c>
      <c r="K1387" s="54">
        <f>Gastos[[#This Row],[Importe AR$]]/$N$1</f>
        <v>102.97228205128205</v>
      </c>
      <c r="M1387" s="69"/>
      <c r="N1387" s="43" t="str">
        <f>IF(Gastos[[#This Row],[Fecha_Cheque]]&gt;0,WEEKNUM(Gastos[[#This Row],[Fecha_Cheque]]),MID(Gastos[[#This Row],[Semana]],6,2))</f>
        <v>39</v>
      </c>
      <c r="O1387" t="s">
        <v>4382</v>
      </c>
      <c r="P1387" t="s">
        <v>27</v>
      </c>
    </row>
    <row r="1388" spans="1:16" hidden="1" x14ac:dyDescent="0.25">
      <c r="A1388" s="3" t="s">
        <v>4374</v>
      </c>
      <c r="B1388" t="s">
        <v>895</v>
      </c>
      <c r="C1388" t="s">
        <v>4381</v>
      </c>
      <c r="D1388" t="s">
        <v>26</v>
      </c>
      <c r="E1388" t="s">
        <v>62</v>
      </c>
      <c r="F1388">
        <v>1</v>
      </c>
      <c r="G1388" s="3" t="s">
        <v>32</v>
      </c>
      <c r="H1388" s="44" t="s">
        <v>15</v>
      </c>
      <c r="I1388" s="17">
        <v>400000</v>
      </c>
      <c r="J1388" s="17">
        <f>IF(Gastos[[#This Row],[Divisa]]="$", I1388*1, IF(Gastos[[#This Row],[Divisa]]="U$D", I1388*$N$1, IF(Gastos[[#This Row],[Divisa]]="EUR", I1388*$N$2, 0)))</f>
        <v>400000</v>
      </c>
      <c r="K1388" s="54">
        <f>Gastos[[#This Row],[Importe AR$]]/$N$1</f>
        <v>256.41025641025641</v>
      </c>
      <c r="M1388" s="69">
        <v>46353</v>
      </c>
      <c r="N1388" s="43">
        <f>IF(Gastos[[#This Row],[Fecha_Cheque]]&gt;0,WEEKNUM(Gastos[[#This Row],[Fecha_Cheque]]),MID(Gastos[[#This Row],[Semana]],6,2))</f>
        <v>48</v>
      </c>
      <c r="O1388" t="s">
        <v>4382</v>
      </c>
      <c r="P1388" t="s">
        <v>27</v>
      </c>
    </row>
    <row r="1389" spans="1:16" hidden="1" x14ac:dyDescent="0.25">
      <c r="A1389" s="3" t="s">
        <v>4374</v>
      </c>
      <c r="B1389" t="s">
        <v>895</v>
      </c>
      <c r="C1389" t="s">
        <v>4381</v>
      </c>
      <c r="D1389" t="s">
        <v>26</v>
      </c>
      <c r="E1389" t="s">
        <v>62</v>
      </c>
      <c r="F1389">
        <v>1</v>
      </c>
      <c r="G1389" s="3" t="s">
        <v>32</v>
      </c>
      <c r="H1389" s="44" t="s">
        <v>15</v>
      </c>
      <c r="I1389" s="17">
        <v>400000</v>
      </c>
      <c r="J1389" s="17">
        <f>IF(Gastos[[#This Row],[Divisa]]="$", I1389*1, IF(Gastos[[#This Row],[Divisa]]="U$D", I1389*$N$1, IF(Gastos[[#This Row],[Divisa]]="EUR", I1389*$N$2, 0)))</f>
        <v>400000</v>
      </c>
      <c r="K1389" s="54">
        <f>Gastos[[#This Row],[Importe AR$]]/$N$1</f>
        <v>256.41025641025641</v>
      </c>
      <c r="M1389" s="69">
        <v>46362</v>
      </c>
      <c r="N1389" s="43">
        <f>IF(Gastos[[#This Row],[Fecha_Cheque]]&gt;0,WEEKNUM(Gastos[[#This Row],[Fecha_Cheque]]),MID(Gastos[[#This Row],[Semana]],6,2))</f>
        <v>50</v>
      </c>
      <c r="O1389" t="s">
        <v>4382</v>
      </c>
      <c r="P1389" t="s">
        <v>27</v>
      </c>
    </row>
    <row r="1390" spans="1:16" hidden="1" x14ac:dyDescent="0.25">
      <c r="A1390" s="3" t="s">
        <v>4374</v>
      </c>
      <c r="B1390" t="s">
        <v>895</v>
      </c>
      <c r="C1390" t="s">
        <v>4381</v>
      </c>
      <c r="D1390" t="s">
        <v>26</v>
      </c>
      <c r="E1390" t="s">
        <v>62</v>
      </c>
      <c r="F1390">
        <v>1</v>
      </c>
      <c r="G1390" s="3" t="s">
        <v>32</v>
      </c>
      <c r="H1390" s="44" t="s">
        <v>15</v>
      </c>
      <c r="I1390" s="17">
        <v>400000</v>
      </c>
      <c r="J1390" s="17">
        <f>IF(Gastos[[#This Row],[Divisa]]="$", I1390*1, IF(Gastos[[#This Row],[Divisa]]="U$D", I1390*$N$1, IF(Gastos[[#This Row],[Divisa]]="EUR", I1390*$N$2, 0)))</f>
        <v>400000</v>
      </c>
      <c r="K1390" s="54">
        <f>Gastos[[#This Row],[Importe AR$]]/$N$1</f>
        <v>256.41025641025641</v>
      </c>
      <c r="M1390" s="69">
        <v>46372</v>
      </c>
      <c r="N1390" s="43">
        <f>IF(Gastos[[#This Row],[Fecha_Cheque]]&gt;0,WEEKNUM(Gastos[[#This Row],[Fecha_Cheque]]),MID(Gastos[[#This Row],[Semana]],6,2))</f>
        <v>51</v>
      </c>
      <c r="O1390" t="s">
        <v>4382</v>
      </c>
      <c r="P1390" t="s">
        <v>27</v>
      </c>
    </row>
    <row r="1391" spans="1:16" hidden="1" x14ac:dyDescent="0.25">
      <c r="A1391" s="3" t="s">
        <v>4374</v>
      </c>
      <c r="B1391" t="s">
        <v>895</v>
      </c>
      <c r="C1391" t="s">
        <v>4381</v>
      </c>
      <c r="D1391" t="s">
        <v>26</v>
      </c>
      <c r="E1391" t="s">
        <v>62</v>
      </c>
      <c r="F1391">
        <v>1</v>
      </c>
      <c r="G1391" s="3" t="s">
        <v>32</v>
      </c>
      <c r="H1391" s="44" t="s">
        <v>15</v>
      </c>
      <c r="I1391" s="17">
        <v>3159363.24</v>
      </c>
      <c r="J1391" s="17">
        <f>IF(Gastos[[#This Row],[Divisa]]="$", I1391*1, IF(Gastos[[#This Row],[Divisa]]="U$D", I1391*$N$1, IF(Gastos[[#This Row],[Divisa]]="EUR", I1391*$N$2, 0)))</f>
        <v>3159363.24</v>
      </c>
      <c r="K1391" s="54">
        <f>Gastos[[#This Row],[Importe AR$]]/$N$1</f>
        <v>2025.2328461538464</v>
      </c>
      <c r="M1391" s="69">
        <v>46310</v>
      </c>
      <c r="N1391" s="43">
        <f>IF(Gastos[[#This Row],[Fecha_Cheque]]&gt;0,WEEKNUM(Gastos[[#This Row],[Fecha_Cheque]]),MID(Gastos[[#This Row],[Semana]],6,2))</f>
        <v>42</v>
      </c>
      <c r="O1391" t="s">
        <v>4382</v>
      </c>
      <c r="P1391" t="s">
        <v>27</v>
      </c>
    </row>
    <row r="1392" spans="1:16" hidden="1" x14ac:dyDescent="0.25">
      <c r="A1392" s="3" t="s">
        <v>34</v>
      </c>
      <c r="B1392" t="s">
        <v>921</v>
      </c>
      <c r="C1392" t="s">
        <v>689</v>
      </c>
      <c r="D1392" t="s">
        <v>26</v>
      </c>
      <c r="E1392" t="s">
        <v>132</v>
      </c>
      <c r="F1392">
        <v>1</v>
      </c>
      <c r="G1392" s="3" t="s">
        <v>5</v>
      </c>
      <c r="H1392" s="46" t="s">
        <v>15</v>
      </c>
      <c r="I1392" s="17">
        <v>1500000</v>
      </c>
      <c r="J1392" s="17">
        <f>IF(Gastos[[#This Row],[Divisa]]="$", I1392*1, IF(Gastos[[#This Row],[Divisa]]="U$D", I1392*$N$1, IF(Gastos[[#This Row],[Divisa]]="EUR", I1392*$N$2, 0)))</f>
        <v>1500000</v>
      </c>
      <c r="K1392" s="54">
        <f>Gastos[[#This Row],[Importe AR$]]/$N$1</f>
        <v>961.53846153846155</v>
      </c>
      <c r="M1392" s="69"/>
      <c r="N1392" s="43" t="str">
        <f>IF(Gastos[[#This Row],[Fecha_Cheque]]&gt;0,WEEKNUM(Gastos[[#This Row],[Fecha_Cheque]]),MID(Gastos[[#This Row],[Semana]],6,2))</f>
        <v>32</v>
      </c>
      <c r="O1392" t="s">
        <v>922</v>
      </c>
      <c r="P1392" t="s">
        <v>27</v>
      </c>
    </row>
    <row r="1393" spans="1:16" hidden="1" x14ac:dyDescent="0.25">
      <c r="A1393" s="3" t="s">
        <v>290</v>
      </c>
      <c r="B1393" t="s">
        <v>921</v>
      </c>
      <c r="C1393" t="s">
        <v>885</v>
      </c>
      <c r="D1393" t="s">
        <v>26</v>
      </c>
      <c r="E1393" t="s">
        <v>132</v>
      </c>
      <c r="F1393">
        <v>1</v>
      </c>
      <c r="G1393" s="3" t="s">
        <v>5</v>
      </c>
      <c r="H1393" s="46" t="s">
        <v>15</v>
      </c>
      <c r="I1393" s="17">
        <v>921920</v>
      </c>
      <c r="J1393" s="17">
        <f>IF(Gastos[[#This Row],[Divisa]]="$", I1393*1, IF(Gastos[[#This Row],[Divisa]]="U$D", I1393*$N$1, IF(Gastos[[#This Row],[Divisa]]="EUR", I1393*$N$2, 0)))</f>
        <v>921920</v>
      </c>
      <c r="K1393" s="54">
        <f>Gastos[[#This Row],[Importe AR$]]/$N$1</f>
        <v>590.97435897435901</v>
      </c>
      <c r="M1393" s="69"/>
      <c r="N1393" s="43" t="str">
        <f>IF(Gastos[[#This Row],[Fecha_Cheque]]&gt;0,WEEKNUM(Gastos[[#This Row],[Fecha_Cheque]]),MID(Gastos[[#This Row],[Semana]],6,2))</f>
        <v>23</v>
      </c>
      <c r="P1393" t="s">
        <v>27</v>
      </c>
    </row>
    <row r="1394" spans="1:16" hidden="1" x14ac:dyDescent="0.25">
      <c r="A1394" s="3" t="s">
        <v>28</v>
      </c>
      <c r="B1394" t="s">
        <v>921</v>
      </c>
      <c r="C1394" t="s">
        <v>106</v>
      </c>
      <c r="D1394" t="s">
        <v>26</v>
      </c>
      <c r="E1394" t="s">
        <v>31</v>
      </c>
      <c r="F1394">
        <v>1</v>
      </c>
      <c r="G1394" s="3" t="s">
        <v>5</v>
      </c>
      <c r="H1394" s="46" t="s">
        <v>15</v>
      </c>
      <c r="I1394" s="17">
        <v>5000000</v>
      </c>
      <c r="J1394" s="17">
        <f>IF(Gastos[[#This Row],[Divisa]]="$", I1394*1, IF(Gastos[[#This Row],[Divisa]]="U$D", I1394*$N$1, IF(Gastos[[#This Row],[Divisa]]="EUR", I1394*$N$2, 0)))</f>
        <v>5000000</v>
      </c>
      <c r="K1394" s="54">
        <f>Gastos[[#This Row],[Importe AR$]]/$N$1</f>
        <v>3205.1282051282051</v>
      </c>
      <c r="M1394" s="69"/>
      <c r="N1394" s="43" t="str">
        <f>IF(Gastos[[#This Row],[Fecha_Cheque]]&gt;0,WEEKNUM(Gastos[[#This Row],[Fecha_Cheque]]),MID(Gastos[[#This Row],[Semana]],6,2))</f>
        <v>21</v>
      </c>
      <c r="P1394" t="s">
        <v>27</v>
      </c>
    </row>
    <row r="1395" spans="1:16" hidden="1" x14ac:dyDescent="0.25">
      <c r="A1395" s="3" t="s">
        <v>85</v>
      </c>
      <c r="B1395" t="s">
        <v>921</v>
      </c>
      <c r="C1395" t="s">
        <v>108</v>
      </c>
      <c r="D1395" t="s">
        <v>26</v>
      </c>
      <c r="E1395" t="s">
        <v>132</v>
      </c>
      <c r="F1395">
        <v>2</v>
      </c>
      <c r="G1395" s="3" t="s">
        <v>32</v>
      </c>
      <c r="H1395" s="46" t="s">
        <v>15</v>
      </c>
      <c r="I1395" s="17">
        <v>337000</v>
      </c>
      <c r="J1395" s="17">
        <f>IF(Gastos[[#This Row],[Divisa]]="$", I1395*1, IF(Gastos[[#This Row],[Divisa]]="U$D", I1395*$N$1, IF(Gastos[[#This Row],[Divisa]]="EUR", I1395*$N$2, 0)))</f>
        <v>337000</v>
      </c>
      <c r="K1395" s="54">
        <f>Gastos[[#This Row],[Importe AR$]]/$N$1</f>
        <v>216.02564102564102</v>
      </c>
      <c r="M1395" s="70" t="s">
        <v>923</v>
      </c>
      <c r="N1395" s="43">
        <f>IF(Gastos[[#This Row],[Fecha_Cheque]]&gt;0,WEEKNUM(Gastos[[#This Row],[Fecha_Cheque]]),MID(Gastos[[#This Row],[Semana]],6,2))</f>
        <v>29</v>
      </c>
      <c r="O1395" t="s">
        <v>924</v>
      </c>
      <c r="P1395" t="s">
        <v>27</v>
      </c>
    </row>
    <row r="1396" spans="1:16" hidden="1" x14ac:dyDescent="0.25">
      <c r="A1396" s="3" t="s">
        <v>85</v>
      </c>
      <c r="B1396" t="s">
        <v>921</v>
      </c>
      <c r="C1396" t="s">
        <v>108</v>
      </c>
      <c r="D1396" t="s">
        <v>26</v>
      </c>
      <c r="E1396" t="s">
        <v>132</v>
      </c>
      <c r="F1396">
        <v>2</v>
      </c>
      <c r="G1396" s="3" t="s">
        <v>32</v>
      </c>
      <c r="H1396" s="46" t="s">
        <v>15</v>
      </c>
      <c r="I1396" s="17">
        <v>400000</v>
      </c>
      <c r="J1396" s="17">
        <f>IF(Gastos[[#This Row],[Divisa]]="$", I1396*1, IF(Gastos[[#This Row],[Divisa]]="U$D", I1396*$N$1, IF(Gastos[[#This Row],[Divisa]]="EUR", I1396*$N$2, 0)))</f>
        <v>400000</v>
      </c>
      <c r="K1396" s="54">
        <f>Gastos[[#This Row],[Importe AR$]]/$N$1</f>
        <v>256.41025641025641</v>
      </c>
      <c r="M1396" s="70" t="s">
        <v>923</v>
      </c>
      <c r="N1396" s="43">
        <f>IF(Gastos[[#This Row],[Fecha_Cheque]]&gt;0,WEEKNUM(Gastos[[#This Row],[Fecha_Cheque]]),MID(Gastos[[#This Row],[Semana]],6,2))</f>
        <v>29</v>
      </c>
      <c r="O1396" t="s">
        <v>924</v>
      </c>
      <c r="P1396" t="s">
        <v>27</v>
      </c>
    </row>
    <row r="1397" spans="1:16" hidden="1" x14ac:dyDescent="0.25">
      <c r="A1397" s="3" t="s">
        <v>85</v>
      </c>
      <c r="B1397" t="s">
        <v>921</v>
      </c>
      <c r="C1397" t="s">
        <v>108</v>
      </c>
      <c r="D1397" t="s">
        <v>26</v>
      </c>
      <c r="E1397" t="s">
        <v>132</v>
      </c>
      <c r="F1397">
        <v>2</v>
      </c>
      <c r="G1397" s="3" t="s">
        <v>32</v>
      </c>
      <c r="H1397" s="46" t="s">
        <v>15</v>
      </c>
      <c r="I1397" s="17">
        <v>400000</v>
      </c>
      <c r="J1397" s="17">
        <f>IF(Gastos[[#This Row],[Divisa]]="$", I1397*1, IF(Gastos[[#This Row],[Divisa]]="U$D", I1397*$N$1, IF(Gastos[[#This Row],[Divisa]]="EUR", I1397*$N$2, 0)))</f>
        <v>400000</v>
      </c>
      <c r="K1397" s="54">
        <f>Gastos[[#This Row],[Importe AR$]]/$N$1</f>
        <v>256.41025641025641</v>
      </c>
      <c r="M1397" s="70" t="s">
        <v>925</v>
      </c>
      <c r="N1397" s="43">
        <f>IF(Gastos[[#This Row],[Fecha_Cheque]]&gt;0,WEEKNUM(Gastos[[#This Row],[Fecha_Cheque]]),MID(Gastos[[#This Row],[Semana]],6,2))</f>
        <v>30</v>
      </c>
      <c r="O1397" t="s">
        <v>924</v>
      </c>
      <c r="P1397" t="s">
        <v>27</v>
      </c>
    </row>
    <row r="1398" spans="1:16" hidden="1" x14ac:dyDescent="0.25">
      <c r="A1398" s="3" t="s">
        <v>85</v>
      </c>
      <c r="B1398" t="s">
        <v>921</v>
      </c>
      <c r="C1398" t="s">
        <v>108</v>
      </c>
      <c r="D1398" t="s">
        <v>26</v>
      </c>
      <c r="E1398" t="s">
        <v>132</v>
      </c>
      <c r="F1398">
        <v>2</v>
      </c>
      <c r="G1398" s="3" t="s">
        <v>32</v>
      </c>
      <c r="H1398" s="46" t="s">
        <v>15</v>
      </c>
      <c r="I1398" s="17">
        <v>455377.81</v>
      </c>
      <c r="J1398" s="17">
        <f>IF(Gastos[[#This Row],[Divisa]]="$", I1398*1, IF(Gastos[[#This Row],[Divisa]]="U$D", I1398*$N$1, IF(Gastos[[#This Row],[Divisa]]="EUR", I1398*$N$2, 0)))</f>
        <v>455377.81</v>
      </c>
      <c r="K1398" s="54">
        <f>Gastos[[#This Row],[Importe AR$]]/$N$1</f>
        <v>291.90885256410257</v>
      </c>
      <c r="M1398" s="70" t="s">
        <v>925</v>
      </c>
      <c r="N1398" s="43">
        <f>IF(Gastos[[#This Row],[Fecha_Cheque]]&gt;0,WEEKNUM(Gastos[[#This Row],[Fecha_Cheque]]),MID(Gastos[[#This Row],[Semana]],6,2))</f>
        <v>30</v>
      </c>
      <c r="O1398" t="s">
        <v>924</v>
      </c>
      <c r="P1398" t="s">
        <v>27</v>
      </c>
    </row>
    <row r="1399" spans="1:16" hidden="1" x14ac:dyDescent="0.25">
      <c r="A1399" s="3" t="s">
        <v>85</v>
      </c>
      <c r="B1399" t="s">
        <v>921</v>
      </c>
      <c r="C1399" t="s">
        <v>108</v>
      </c>
      <c r="D1399" t="s">
        <v>26</v>
      </c>
      <c r="E1399" t="s">
        <v>132</v>
      </c>
      <c r="F1399">
        <v>2</v>
      </c>
      <c r="G1399" s="3" t="s">
        <v>32</v>
      </c>
      <c r="H1399" s="46" t="s">
        <v>15</v>
      </c>
      <c r="I1399" s="17">
        <v>542000</v>
      </c>
      <c r="J1399" s="17">
        <f>IF(Gastos[[#This Row],[Divisa]]="$", I1399*1, IF(Gastos[[#This Row],[Divisa]]="U$D", I1399*$N$1, IF(Gastos[[#This Row],[Divisa]]="EUR", I1399*$N$2, 0)))</f>
        <v>542000</v>
      </c>
      <c r="K1399" s="54">
        <f>Gastos[[#This Row],[Importe AR$]]/$N$1</f>
        <v>347.43589743589746</v>
      </c>
      <c r="M1399" s="70" t="s">
        <v>109</v>
      </c>
      <c r="N1399" s="43">
        <f>IF(Gastos[[#This Row],[Fecha_Cheque]]&gt;0,WEEKNUM(Gastos[[#This Row],[Fecha_Cheque]]),MID(Gastos[[#This Row],[Semana]],6,2))</f>
        <v>29</v>
      </c>
      <c r="O1399" t="s">
        <v>924</v>
      </c>
      <c r="P1399" t="s">
        <v>27</v>
      </c>
    </row>
    <row r="1400" spans="1:16" hidden="1" x14ac:dyDescent="0.25">
      <c r="A1400" s="3" t="s">
        <v>85</v>
      </c>
      <c r="B1400" t="s">
        <v>921</v>
      </c>
      <c r="C1400" t="s">
        <v>108</v>
      </c>
      <c r="D1400" t="s">
        <v>26</v>
      </c>
      <c r="E1400" t="s">
        <v>132</v>
      </c>
      <c r="F1400">
        <v>2</v>
      </c>
      <c r="G1400" s="3" t="s">
        <v>32</v>
      </c>
      <c r="H1400" s="46" t="s">
        <v>15</v>
      </c>
      <c r="I1400" s="17">
        <v>890000</v>
      </c>
      <c r="J1400" s="17">
        <f>IF(Gastos[[#This Row],[Divisa]]="$", I1400*1, IF(Gastos[[#This Row],[Divisa]]="U$D", I1400*$N$1, IF(Gastos[[#This Row],[Divisa]]="EUR", I1400*$N$2, 0)))</f>
        <v>890000</v>
      </c>
      <c r="K1400" s="54">
        <f>Gastos[[#This Row],[Importe AR$]]/$N$1</f>
        <v>570.51282051282055</v>
      </c>
      <c r="M1400" s="70" t="s">
        <v>926</v>
      </c>
      <c r="N1400" s="43">
        <f>IF(Gastos[[#This Row],[Fecha_Cheque]]&gt;0,WEEKNUM(Gastos[[#This Row],[Fecha_Cheque]]),MID(Gastos[[#This Row],[Semana]],6,2))</f>
        <v>30</v>
      </c>
      <c r="O1400" t="s">
        <v>924</v>
      </c>
      <c r="P1400" t="s">
        <v>27</v>
      </c>
    </row>
    <row r="1401" spans="1:16" hidden="1" x14ac:dyDescent="0.25">
      <c r="A1401" s="3" t="s">
        <v>85</v>
      </c>
      <c r="B1401" t="s">
        <v>921</v>
      </c>
      <c r="C1401" t="s">
        <v>108</v>
      </c>
      <c r="D1401" t="s">
        <v>26</v>
      </c>
      <c r="E1401" t="s">
        <v>132</v>
      </c>
      <c r="F1401">
        <v>2</v>
      </c>
      <c r="G1401" s="3" t="s">
        <v>32</v>
      </c>
      <c r="H1401" s="46" t="s">
        <v>15</v>
      </c>
      <c r="I1401" s="17">
        <v>1000000</v>
      </c>
      <c r="J1401" s="17">
        <f>IF(Gastos[[#This Row],[Divisa]]="$", I1401*1, IF(Gastos[[#This Row],[Divisa]]="U$D", I1401*$N$1, IF(Gastos[[#This Row],[Divisa]]="EUR", I1401*$N$2, 0)))</f>
        <v>1000000</v>
      </c>
      <c r="K1401" s="54">
        <f>Gastos[[#This Row],[Importe AR$]]/$N$1</f>
        <v>641.02564102564099</v>
      </c>
      <c r="M1401" s="70" t="s">
        <v>925</v>
      </c>
      <c r="N1401" s="43">
        <f>IF(Gastos[[#This Row],[Fecha_Cheque]]&gt;0,WEEKNUM(Gastos[[#This Row],[Fecha_Cheque]]),MID(Gastos[[#This Row],[Semana]],6,2))</f>
        <v>30</v>
      </c>
      <c r="O1401" t="s">
        <v>924</v>
      </c>
      <c r="P1401" t="s">
        <v>27</v>
      </c>
    </row>
    <row r="1402" spans="1:16" hidden="1" x14ac:dyDescent="0.25">
      <c r="A1402" s="3" t="s">
        <v>85</v>
      </c>
      <c r="B1402" t="s">
        <v>921</v>
      </c>
      <c r="C1402" t="s">
        <v>108</v>
      </c>
      <c r="D1402" t="s">
        <v>26</v>
      </c>
      <c r="E1402" t="s">
        <v>132</v>
      </c>
      <c r="F1402">
        <v>2</v>
      </c>
      <c r="G1402" s="3" t="s">
        <v>32</v>
      </c>
      <c r="H1402" s="46" t="s">
        <v>15</v>
      </c>
      <c r="I1402" s="17">
        <v>1397000</v>
      </c>
      <c r="J1402" s="17">
        <f>IF(Gastos[[#This Row],[Divisa]]="$", I1402*1, IF(Gastos[[#This Row],[Divisa]]="U$D", I1402*$N$1, IF(Gastos[[#This Row],[Divisa]]="EUR", I1402*$N$2, 0)))</f>
        <v>1397000</v>
      </c>
      <c r="K1402" s="54">
        <f>Gastos[[#This Row],[Importe AR$]]/$N$1</f>
        <v>895.51282051282055</v>
      </c>
      <c r="M1402" s="70" t="s">
        <v>927</v>
      </c>
      <c r="N1402" s="43">
        <f>IF(Gastos[[#This Row],[Fecha_Cheque]]&gt;0,WEEKNUM(Gastos[[#This Row],[Fecha_Cheque]]),MID(Gastos[[#This Row],[Semana]],6,2))</f>
        <v>33</v>
      </c>
      <c r="O1402" t="s">
        <v>924</v>
      </c>
      <c r="P1402" t="s">
        <v>27</v>
      </c>
    </row>
    <row r="1403" spans="1:16" hidden="1" x14ac:dyDescent="0.25">
      <c r="A1403" s="3" t="s">
        <v>85</v>
      </c>
      <c r="B1403" t="s">
        <v>921</v>
      </c>
      <c r="C1403" t="s">
        <v>108</v>
      </c>
      <c r="D1403" t="s">
        <v>26</v>
      </c>
      <c r="E1403" t="s">
        <v>132</v>
      </c>
      <c r="F1403">
        <v>2</v>
      </c>
      <c r="G1403" s="3" t="s">
        <v>32</v>
      </c>
      <c r="H1403" s="46" t="s">
        <v>15</v>
      </c>
      <c r="I1403" s="17">
        <v>2489379.2000000002</v>
      </c>
      <c r="J1403" s="17">
        <f>IF(Gastos[[#This Row],[Divisa]]="$", I1403*1, IF(Gastos[[#This Row],[Divisa]]="U$D", I1403*$N$1, IF(Gastos[[#This Row],[Divisa]]="EUR", I1403*$N$2, 0)))</f>
        <v>2489379.2000000002</v>
      </c>
      <c r="K1403" s="54">
        <f>Gastos[[#This Row],[Importe AR$]]/$N$1</f>
        <v>1595.7558974358976</v>
      </c>
      <c r="M1403" s="70" t="s">
        <v>928</v>
      </c>
      <c r="N1403" s="43">
        <f>IF(Gastos[[#This Row],[Fecha_Cheque]]&gt;0,WEEKNUM(Gastos[[#This Row],[Fecha_Cheque]]),MID(Gastos[[#This Row],[Semana]],6,2))</f>
        <v>27</v>
      </c>
      <c r="O1403" t="s">
        <v>924</v>
      </c>
      <c r="P1403" t="s">
        <v>27</v>
      </c>
    </row>
    <row r="1404" spans="1:16" hidden="1" x14ac:dyDescent="0.25">
      <c r="A1404" s="3" t="s">
        <v>85</v>
      </c>
      <c r="B1404" t="s">
        <v>921</v>
      </c>
      <c r="C1404" t="s">
        <v>108</v>
      </c>
      <c r="D1404" t="s">
        <v>26</v>
      </c>
      <c r="E1404" t="s">
        <v>132</v>
      </c>
      <c r="F1404">
        <v>2</v>
      </c>
      <c r="G1404" s="3" t="s">
        <v>32</v>
      </c>
      <c r="H1404" s="46" t="s">
        <v>15</v>
      </c>
      <c r="I1404" s="17">
        <v>2700000</v>
      </c>
      <c r="J1404" s="17">
        <f>IF(Gastos[[#This Row],[Divisa]]="$", I1404*1, IF(Gastos[[#This Row],[Divisa]]="U$D", I1404*$N$1, IF(Gastos[[#This Row],[Divisa]]="EUR", I1404*$N$2, 0)))</f>
        <v>2700000</v>
      </c>
      <c r="K1404" s="54">
        <f>Gastos[[#This Row],[Importe AR$]]/$N$1</f>
        <v>1730.7692307692307</v>
      </c>
      <c r="M1404" s="70" t="s">
        <v>929</v>
      </c>
      <c r="N1404" s="43">
        <f>IF(Gastos[[#This Row],[Fecha_Cheque]]&gt;0,WEEKNUM(Gastos[[#This Row],[Fecha_Cheque]]),MID(Gastos[[#This Row],[Semana]],6,2))</f>
        <v>33</v>
      </c>
      <c r="O1404" t="s">
        <v>924</v>
      </c>
      <c r="P1404" t="s">
        <v>27</v>
      </c>
    </row>
    <row r="1405" spans="1:16" hidden="1" x14ac:dyDescent="0.25">
      <c r="A1405" s="3" t="s">
        <v>85</v>
      </c>
      <c r="B1405" t="s">
        <v>921</v>
      </c>
      <c r="C1405" t="s">
        <v>108</v>
      </c>
      <c r="D1405" t="s">
        <v>26</v>
      </c>
      <c r="E1405" t="s">
        <v>132</v>
      </c>
      <c r="F1405">
        <v>2</v>
      </c>
      <c r="G1405" s="3" t="s">
        <v>32</v>
      </c>
      <c r="H1405" s="46" t="s">
        <v>15</v>
      </c>
      <c r="I1405" s="17">
        <v>3414480</v>
      </c>
      <c r="J1405" s="17">
        <f>IF(Gastos[[#This Row],[Divisa]]="$", I1405*1, IF(Gastos[[#This Row],[Divisa]]="U$D", I1405*$N$1, IF(Gastos[[#This Row],[Divisa]]="EUR", I1405*$N$2, 0)))</f>
        <v>3414480</v>
      </c>
      <c r="K1405" s="54">
        <f>Gastos[[#This Row],[Importe AR$]]/$N$1</f>
        <v>2188.7692307692309</v>
      </c>
      <c r="M1405" s="70" t="s">
        <v>930</v>
      </c>
      <c r="N1405" s="43">
        <f>IF(Gastos[[#This Row],[Fecha_Cheque]]&gt;0,WEEKNUM(Gastos[[#This Row],[Fecha_Cheque]]),MID(Gastos[[#This Row],[Semana]],6,2))</f>
        <v>33</v>
      </c>
      <c r="O1405" t="s">
        <v>924</v>
      </c>
      <c r="P1405" t="s">
        <v>27</v>
      </c>
    </row>
    <row r="1406" spans="1:16" hidden="1" x14ac:dyDescent="0.25">
      <c r="A1406" s="3" t="s">
        <v>85</v>
      </c>
      <c r="B1406" t="s">
        <v>921</v>
      </c>
      <c r="C1406" t="s">
        <v>108</v>
      </c>
      <c r="D1406" t="s">
        <v>26</v>
      </c>
      <c r="E1406" t="s">
        <v>132</v>
      </c>
      <c r="F1406">
        <v>2</v>
      </c>
      <c r="G1406" s="3" t="s">
        <v>32</v>
      </c>
      <c r="H1406" s="46" t="s">
        <v>15</v>
      </c>
      <c r="I1406" s="17">
        <v>3499950</v>
      </c>
      <c r="J1406" s="17">
        <f>IF(Gastos[[#This Row],[Divisa]]="$", I1406*1, IF(Gastos[[#This Row],[Divisa]]="U$D", I1406*$N$1, IF(Gastos[[#This Row],[Divisa]]="EUR", I1406*$N$2, 0)))</f>
        <v>3499950</v>
      </c>
      <c r="K1406" s="54">
        <f>Gastos[[#This Row],[Importe AR$]]/$N$1</f>
        <v>2243.5576923076924</v>
      </c>
      <c r="M1406" s="70" t="s">
        <v>930</v>
      </c>
      <c r="N1406" s="43">
        <f>IF(Gastos[[#This Row],[Fecha_Cheque]]&gt;0,WEEKNUM(Gastos[[#This Row],[Fecha_Cheque]]),MID(Gastos[[#This Row],[Semana]],6,2))</f>
        <v>33</v>
      </c>
      <c r="O1406" t="s">
        <v>924</v>
      </c>
      <c r="P1406" t="s">
        <v>27</v>
      </c>
    </row>
    <row r="1407" spans="1:16" hidden="1" x14ac:dyDescent="0.25">
      <c r="A1407" s="3" t="s">
        <v>105</v>
      </c>
      <c r="B1407" t="s">
        <v>921</v>
      </c>
      <c r="C1407" t="s">
        <v>106</v>
      </c>
      <c r="D1407" t="s">
        <v>26</v>
      </c>
      <c r="E1407" t="s">
        <v>132</v>
      </c>
      <c r="F1407">
        <v>2</v>
      </c>
      <c r="G1407" s="3" t="s">
        <v>32</v>
      </c>
      <c r="H1407" s="46" t="s">
        <v>15</v>
      </c>
      <c r="I1407" s="17">
        <v>2400000</v>
      </c>
      <c r="J1407" s="17">
        <f>IF(Gastos[[#This Row],[Divisa]]="$", I1407*1, IF(Gastos[[#This Row],[Divisa]]="U$D", I1407*$N$1, IF(Gastos[[#This Row],[Divisa]]="EUR", I1407*$N$2, 0)))</f>
        <v>2400000</v>
      </c>
      <c r="K1407" s="54">
        <f>Gastos[[#This Row],[Importe AR$]]/$N$1</f>
        <v>1538.4615384615386</v>
      </c>
      <c r="M1407" s="69">
        <v>45865</v>
      </c>
      <c r="N1407" s="43">
        <f>IF(Gastos[[#This Row],[Fecha_Cheque]]&gt;0,WEEKNUM(Gastos[[#This Row],[Fecha_Cheque]]),MID(Gastos[[#This Row],[Semana]],6,2))</f>
        <v>31</v>
      </c>
      <c r="O1407" t="s">
        <v>931</v>
      </c>
      <c r="P1407" t="s">
        <v>27</v>
      </c>
    </row>
    <row r="1408" spans="1:16" hidden="1" x14ac:dyDescent="0.25">
      <c r="A1408" s="3" t="s">
        <v>105</v>
      </c>
      <c r="B1408" t="s">
        <v>921</v>
      </c>
      <c r="C1408" t="s">
        <v>106</v>
      </c>
      <c r="D1408" t="s">
        <v>26</v>
      </c>
      <c r="E1408" t="s">
        <v>132</v>
      </c>
      <c r="F1408">
        <v>2</v>
      </c>
      <c r="G1408" s="3" t="s">
        <v>32</v>
      </c>
      <c r="H1408" s="46" t="s">
        <v>15</v>
      </c>
      <c r="I1408" s="17">
        <v>2400000</v>
      </c>
      <c r="J1408" s="17">
        <f>IF(Gastos[[#This Row],[Divisa]]="$", I1408*1, IF(Gastos[[#This Row],[Divisa]]="U$D", I1408*$N$1, IF(Gastos[[#This Row],[Divisa]]="EUR", I1408*$N$2, 0)))</f>
        <v>2400000</v>
      </c>
      <c r="K1408" s="54">
        <f>Gastos[[#This Row],[Importe AR$]]/$N$1</f>
        <v>1538.4615384615386</v>
      </c>
      <c r="M1408" s="69">
        <v>45867</v>
      </c>
      <c r="N1408" s="43">
        <f>IF(Gastos[[#This Row],[Fecha_Cheque]]&gt;0,WEEKNUM(Gastos[[#This Row],[Fecha_Cheque]]),MID(Gastos[[#This Row],[Semana]],6,2))</f>
        <v>31</v>
      </c>
      <c r="O1408" t="s">
        <v>931</v>
      </c>
      <c r="P1408" t="s">
        <v>27</v>
      </c>
    </row>
    <row r="1409" spans="1:16" hidden="1" x14ac:dyDescent="0.25">
      <c r="A1409" s="3" t="s">
        <v>105</v>
      </c>
      <c r="B1409" t="s">
        <v>921</v>
      </c>
      <c r="C1409" t="s">
        <v>106</v>
      </c>
      <c r="D1409" t="s">
        <v>26</v>
      </c>
      <c r="E1409" t="s">
        <v>132</v>
      </c>
      <c r="F1409">
        <v>2</v>
      </c>
      <c r="G1409" s="3" t="s">
        <v>32</v>
      </c>
      <c r="H1409" s="46" t="s">
        <v>15</v>
      </c>
      <c r="I1409" s="17">
        <v>2500000</v>
      </c>
      <c r="J1409" s="17">
        <f>IF(Gastos[[#This Row],[Divisa]]="$", I1409*1, IF(Gastos[[#This Row],[Divisa]]="U$D", I1409*$N$1, IF(Gastos[[#This Row],[Divisa]]="EUR", I1409*$N$2, 0)))</f>
        <v>2500000</v>
      </c>
      <c r="K1409" s="54">
        <f>Gastos[[#This Row],[Importe AR$]]/$N$1</f>
        <v>1602.5641025641025</v>
      </c>
      <c r="M1409" s="69">
        <v>45846</v>
      </c>
      <c r="N1409" s="43">
        <f>IF(Gastos[[#This Row],[Fecha_Cheque]]&gt;0,WEEKNUM(Gastos[[#This Row],[Fecha_Cheque]]),MID(Gastos[[#This Row],[Semana]],6,2))</f>
        <v>28</v>
      </c>
      <c r="O1409" t="s">
        <v>931</v>
      </c>
      <c r="P1409" t="s">
        <v>27</v>
      </c>
    </row>
    <row r="1410" spans="1:16" hidden="1" x14ac:dyDescent="0.25">
      <c r="A1410" s="3" t="s">
        <v>105</v>
      </c>
      <c r="B1410" t="s">
        <v>921</v>
      </c>
      <c r="C1410" t="s">
        <v>106</v>
      </c>
      <c r="D1410" t="s">
        <v>26</v>
      </c>
      <c r="E1410" t="s">
        <v>132</v>
      </c>
      <c r="F1410">
        <v>2</v>
      </c>
      <c r="G1410" s="3" t="s">
        <v>32</v>
      </c>
      <c r="H1410" s="46" t="s">
        <v>15</v>
      </c>
      <c r="I1410" s="17">
        <v>2500000</v>
      </c>
      <c r="J1410" s="17">
        <f>IF(Gastos[[#This Row],[Divisa]]="$", I1410*1, IF(Gastos[[#This Row],[Divisa]]="U$D", I1410*$N$1, IF(Gastos[[#This Row],[Divisa]]="EUR", I1410*$N$2, 0)))</f>
        <v>2500000</v>
      </c>
      <c r="K1410" s="54">
        <f>Gastos[[#This Row],[Importe AR$]]/$N$1</f>
        <v>1602.5641025641025</v>
      </c>
      <c r="M1410" s="69">
        <v>45853</v>
      </c>
      <c r="N1410" s="43">
        <f>IF(Gastos[[#This Row],[Fecha_Cheque]]&gt;0,WEEKNUM(Gastos[[#This Row],[Fecha_Cheque]]),MID(Gastos[[#This Row],[Semana]],6,2))</f>
        <v>29</v>
      </c>
      <c r="O1410" t="s">
        <v>931</v>
      </c>
      <c r="P1410" t="s">
        <v>27</v>
      </c>
    </row>
    <row r="1411" spans="1:16" hidden="1" x14ac:dyDescent="0.25">
      <c r="A1411" s="3" t="s">
        <v>99</v>
      </c>
      <c r="B1411" t="s">
        <v>921</v>
      </c>
      <c r="C1411" t="s">
        <v>932</v>
      </c>
      <c r="D1411" t="s">
        <v>26</v>
      </c>
      <c r="E1411" t="s">
        <v>132</v>
      </c>
      <c r="F1411">
        <v>1</v>
      </c>
      <c r="G1411" s="3" t="s">
        <v>5</v>
      </c>
      <c r="H1411" s="46" t="s">
        <v>15</v>
      </c>
      <c r="I1411" s="17">
        <v>428000</v>
      </c>
      <c r="J1411" s="17">
        <f>IF(Gastos[[#This Row],[Divisa]]="$", I1411*1, IF(Gastos[[#This Row],[Divisa]]="U$D", I1411*$N$1, IF(Gastos[[#This Row],[Divisa]]="EUR", I1411*$N$2, 0)))</f>
        <v>428000</v>
      </c>
      <c r="K1411" s="54">
        <f>Gastos[[#This Row],[Importe AR$]]/$N$1</f>
        <v>274.35897435897436</v>
      </c>
      <c r="M1411" s="69"/>
      <c r="N1411" s="43" t="str">
        <f>IF(Gastos[[#This Row],[Fecha_Cheque]]&gt;0,WEEKNUM(Gastos[[#This Row],[Fecha_Cheque]]),MID(Gastos[[#This Row],[Semana]],6,2))</f>
        <v>28</v>
      </c>
      <c r="O1411" t="s">
        <v>933</v>
      </c>
      <c r="P1411" t="s">
        <v>27</v>
      </c>
    </row>
    <row r="1412" spans="1:16" hidden="1" x14ac:dyDescent="0.25">
      <c r="A1412" s="3" t="s">
        <v>114</v>
      </c>
      <c r="B1412" t="s">
        <v>921</v>
      </c>
      <c r="C1412" t="s">
        <v>115</v>
      </c>
      <c r="D1412" t="s">
        <v>26</v>
      </c>
      <c r="E1412" t="s">
        <v>132</v>
      </c>
      <c r="F1412">
        <v>2</v>
      </c>
      <c r="G1412" s="3" t="s">
        <v>32</v>
      </c>
      <c r="H1412" s="46" t="s">
        <v>15</v>
      </c>
      <c r="I1412" s="17">
        <v>378696</v>
      </c>
      <c r="J1412" s="17">
        <f>IF(Gastos[[#This Row],[Divisa]]="$", I1412*1, IF(Gastos[[#This Row],[Divisa]]="U$D", I1412*$N$1, IF(Gastos[[#This Row],[Divisa]]="EUR", I1412*$N$2, 0)))</f>
        <v>378696</v>
      </c>
      <c r="K1412" s="54">
        <f>Gastos[[#This Row],[Importe AR$]]/$N$1</f>
        <v>242.75384615384615</v>
      </c>
      <c r="M1412" s="69">
        <v>45865</v>
      </c>
      <c r="N1412" s="43" t="s">
        <v>744</v>
      </c>
      <c r="O1412" t="s">
        <v>934</v>
      </c>
      <c r="P1412" t="s">
        <v>27</v>
      </c>
    </row>
    <row r="1413" spans="1:16" hidden="1" x14ac:dyDescent="0.25">
      <c r="A1413" s="3" t="s">
        <v>114</v>
      </c>
      <c r="B1413" t="s">
        <v>921</v>
      </c>
      <c r="C1413" t="s">
        <v>115</v>
      </c>
      <c r="D1413" t="s">
        <v>26</v>
      </c>
      <c r="E1413" t="s">
        <v>132</v>
      </c>
      <c r="F1413">
        <v>2</v>
      </c>
      <c r="G1413" s="3" t="s">
        <v>32</v>
      </c>
      <c r="H1413" s="46" t="s">
        <v>15</v>
      </c>
      <c r="I1413" s="17">
        <v>392155</v>
      </c>
      <c r="J1413" s="17">
        <f>IF(Gastos[[#This Row],[Divisa]]="$", I1413*1, IF(Gastos[[#This Row],[Divisa]]="U$D", I1413*$N$1, IF(Gastos[[#This Row],[Divisa]]="EUR", I1413*$N$2, 0)))</f>
        <v>392155</v>
      </c>
      <c r="K1413" s="54">
        <f>Gastos[[#This Row],[Importe AR$]]/$N$1</f>
        <v>251.38141025641025</v>
      </c>
      <c r="M1413" s="69">
        <v>45861</v>
      </c>
      <c r="N1413" s="43" t="s">
        <v>744</v>
      </c>
      <c r="O1413" t="s">
        <v>934</v>
      </c>
      <c r="P1413" t="s">
        <v>27</v>
      </c>
    </row>
    <row r="1414" spans="1:16" hidden="1" x14ac:dyDescent="0.25">
      <c r="A1414" s="3" t="s">
        <v>114</v>
      </c>
      <c r="B1414" t="s">
        <v>921</v>
      </c>
      <c r="C1414" t="s">
        <v>115</v>
      </c>
      <c r="D1414" t="s">
        <v>26</v>
      </c>
      <c r="E1414" t="s">
        <v>132</v>
      </c>
      <c r="F1414">
        <v>2</v>
      </c>
      <c r="G1414" s="3" t="s">
        <v>32</v>
      </c>
      <c r="H1414" s="46" t="s">
        <v>15</v>
      </c>
      <c r="I1414" s="17">
        <v>427430</v>
      </c>
      <c r="J1414" s="17">
        <f>IF(Gastos[[#This Row],[Divisa]]="$", I1414*1, IF(Gastos[[#This Row],[Divisa]]="U$D", I1414*$N$1, IF(Gastos[[#This Row],[Divisa]]="EUR", I1414*$N$2, 0)))</f>
        <v>427430</v>
      </c>
      <c r="K1414" s="54">
        <f>Gastos[[#This Row],[Importe AR$]]/$N$1</f>
        <v>273.99358974358972</v>
      </c>
      <c r="M1414" s="69">
        <v>45868</v>
      </c>
      <c r="N1414" s="43" t="s">
        <v>744</v>
      </c>
      <c r="O1414" t="s">
        <v>934</v>
      </c>
      <c r="P1414" t="s">
        <v>27</v>
      </c>
    </row>
    <row r="1415" spans="1:16" hidden="1" x14ac:dyDescent="0.25">
      <c r="A1415" s="3" t="s">
        <v>114</v>
      </c>
      <c r="B1415" t="s">
        <v>921</v>
      </c>
      <c r="C1415" t="s">
        <v>115</v>
      </c>
      <c r="D1415" t="s">
        <v>26</v>
      </c>
      <c r="E1415" t="s">
        <v>132</v>
      </c>
      <c r="F1415">
        <v>2</v>
      </c>
      <c r="G1415" s="3" t="s">
        <v>32</v>
      </c>
      <c r="H1415" s="46" t="s">
        <v>15</v>
      </c>
      <c r="I1415" s="17">
        <v>485350</v>
      </c>
      <c r="J1415" s="17">
        <f>IF(Gastos[[#This Row],[Divisa]]="$", I1415*1, IF(Gastos[[#This Row],[Divisa]]="U$D", I1415*$N$1, IF(Gastos[[#This Row],[Divisa]]="EUR", I1415*$N$2, 0)))</f>
        <v>485350</v>
      </c>
      <c r="K1415" s="54">
        <f>Gastos[[#This Row],[Importe AR$]]/$N$1</f>
        <v>311.12179487179486</v>
      </c>
      <c r="M1415" s="69">
        <v>45854</v>
      </c>
      <c r="N1415" s="43" t="s">
        <v>744</v>
      </c>
      <c r="O1415" t="s">
        <v>934</v>
      </c>
      <c r="P1415" t="s">
        <v>27</v>
      </c>
    </row>
    <row r="1416" spans="1:16" hidden="1" x14ac:dyDescent="0.25">
      <c r="A1416" s="3" t="s">
        <v>114</v>
      </c>
      <c r="B1416" t="s">
        <v>921</v>
      </c>
      <c r="C1416" t="s">
        <v>115</v>
      </c>
      <c r="D1416" t="s">
        <v>26</v>
      </c>
      <c r="E1416" t="s">
        <v>132</v>
      </c>
      <c r="F1416">
        <v>2</v>
      </c>
      <c r="G1416" s="3" t="s">
        <v>32</v>
      </c>
      <c r="H1416" s="46" t="s">
        <v>15</v>
      </c>
      <c r="I1416" s="17">
        <v>490000</v>
      </c>
      <c r="J1416" s="17">
        <f>IF(Gastos[[#This Row],[Divisa]]="$", I1416*1, IF(Gastos[[#This Row],[Divisa]]="U$D", I1416*$N$1, IF(Gastos[[#This Row],[Divisa]]="EUR", I1416*$N$2, 0)))</f>
        <v>490000</v>
      </c>
      <c r="K1416" s="54">
        <f>Gastos[[#This Row],[Importe AR$]]/$N$1</f>
        <v>314.10256410256409</v>
      </c>
      <c r="M1416" s="69">
        <v>45865</v>
      </c>
      <c r="N1416" s="43" t="s">
        <v>744</v>
      </c>
      <c r="O1416" t="s">
        <v>934</v>
      </c>
      <c r="P1416" t="s">
        <v>27</v>
      </c>
    </row>
    <row r="1417" spans="1:16" hidden="1" x14ac:dyDescent="0.25">
      <c r="A1417" s="3" t="s">
        <v>114</v>
      </c>
      <c r="B1417" t="s">
        <v>921</v>
      </c>
      <c r="C1417" t="s">
        <v>115</v>
      </c>
      <c r="D1417" t="s">
        <v>26</v>
      </c>
      <c r="E1417" t="s">
        <v>132</v>
      </c>
      <c r="F1417">
        <v>2</v>
      </c>
      <c r="G1417" s="3" t="s">
        <v>32</v>
      </c>
      <c r="H1417" s="46" t="s">
        <v>15</v>
      </c>
      <c r="I1417" s="17">
        <v>500000</v>
      </c>
      <c r="J1417" s="17">
        <f>IF(Gastos[[#This Row],[Divisa]]="$", I1417*1, IF(Gastos[[#This Row],[Divisa]]="U$D", I1417*$N$1, IF(Gastos[[#This Row],[Divisa]]="EUR", I1417*$N$2, 0)))</f>
        <v>500000</v>
      </c>
      <c r="K1417" s="54">
        <f>Gastos[[#This Row],[Importe AR$]]/$N$1</f>
        <v>320.5128205128205</v>
      </c>
      <c r="M1417" s="69">
        <v>45863</v>
      </c>
      <c r="N1417" s="43" t="s">
        <v>744</v>
      </c>
      <c r="O1417" t="s">
        <v>934</v>
      </c>
      <c r="P1417" t="s">
        <v>27</v>
      </c>
    </row>
    <row r="1418" spans="1:16" hidden="1" x14ac:dyDescent="0.25">
      <c r="A1418" s="3" t="s">
        <v>114</v>
      </c>
      <c r="B1418" t="s">
        <v>921</v>
      </c>
      <c r="C1418" t="s">
        <v>115</v>
      </c>
      <c r="D1418" t="s">
        <v>26</v>
      </c>
      <c r="E1418" t="s">
        <v>132</v>
      </c>
      <c r="F1418">
        <v>2</v>
      </c>
      <c r="G1418" s="3" t="s">
        <v>32</v>
      </c>
      <c r="H1418" s="46" t="s">
        <v>15</v>
      </c>
      <c r="I1418" s="17">
        <v>500000</v>
      </c>
      <c r="J1418" s="17">
        <f>IF(Gastos[[#This Row],[Divisa]]="$", I1418*1, IF(Gastos[[#This Row],[Divisa]]="U$D", I1418*$N$1, IF(Gastos[[#This Row],[Divisa]]="EUR", I1418*$N$2, 0)))</f>
        <v>500000</v>
      </c>
      <c r="K1418" s="54">
        <f>Gastos[[#This Row],[Importe AR$]]/$N$1</f>
        <v>320.5128205128205</v>
      </c>
      <c r="M1418" s="69">
        <v>45858</v>
      </c>
      <c r="N1418" s="43" t="s">
        <v>744</v>
      </c>
      <c r="O1418" t="s">
        <v>934</v>
      </c>
      <c r="P1418" t="s">
        <v>27</v>
      </c>
    </row>
    <row r="1419" spans="1:16" hidden="1" x14ac:dyDescent="0.25">
      <c r="A1419" s="3" t="s">
        <v>114</v>
      </c>
      <c r="B1419" t="s">
        <v>921</v>
      </c>
      <c r="C1419" t="s">
        <v>115</v>
      </c>
      <c r="D1419" t="s">
        <v>26</v>
      </c>
      <c r="E1419" t="s">
        <v>132</v>
      </c>
      <c r="F1419">
        <v>2</v>
      </c>
      <c r="G1419" s="3" t="s">
        <v>32</v>
      </c>
      <c r="H1419" s="46" t="s">
        <v>15</v>
      </c>
      <c r="I1419" s="17">
        <v>533111.54</v>
      </c>
      <c r="J1419" s="17">
        <f>IF(Gastos[[#This Row],[Divisa]]="$", I1419*1, IF(Gastos[[#This Row],[Divisa]]="U$D", I1419*$N$1, IF(Gastos[[#This Row],[Divisa]]="EUR", I1419*$N$2, 0)))</f>
        <v>533111.54</v>
      </c>
      <c r="K1419" s="54">
        <f>Gastos[[#This Row],[Importe AR$]]/$N$1</f>
        <v>341.7381666666667</v>
      </c>
      <c r="M1419" s="69">
        <v>45846</v>
      </c>
      <c r="N1419" s="43" t="s">
        <v>744</v>
      </c>
      <c r="O1419" t="s">
        <v>934</v>
      </c>
      <c r="P1419" t="s">
        <v>27</v>
      </c>
    </row>
    <row r="1420" spans="1:16" hidden="1" x14ac:dyDescent="0.25">
      <c r="A1420" s="3" t="s">
        <v>114</v>
      </c>
      <c r="B1420" t="s">
        <v>921</v>
      </c>
      <c r="C1420" t="s">
        <v>115</v>
      </c>
      <c r="D1420" t="s">
        <v>26</v>
      </c>
      <c r="E1420" t="s">
        <v>132</v>
      </c>
      <c r="F1420">
        <v>2</v>
      </c>
      <c r="G1420" s="3" t="s">
        <v>32</v>
      </c>
      <c r="H1420" s="46" t="s">
        <v>15</v>
      </c>
      <c r="I1420" s="17">
        <v>550000</v>
      </c>
      <c r="J1420" s="17">
        <f>IF(Gastos[[#This Row],[Divisa]]="$", I1420*1, IF(Gastos[[#This Row],[Divisa]]="U$D", I1420*$N$1, IF(Gastos[[#This Row],[Divisa]]="EUR", I1420*$N$2, 0)))</f>
        <v>550000</v>
      </c>
      <c r="K1420" s="54">
        <f>Gastos[[#This Row],[Importe AR$]]/$N$1</f>
        <v>352.56410256410254</v>
      </c>
      <c r="M1420" s="69">
        <v>45887</v>
      </c>
      <c r="N1420" s="43" t="s">
        <v>744</v>
      </c>
      <c r="O1420" t="s">
        <v>934</v>
      </c>
      <c r="P1420" t="s">
        <v>27</v>
      </c>
    </row>
    <row r="1421" spans="1:16" hidden="1" x14ac:dyDescent="0.25">
      <c r="A1421" s="3" t="s">
        <v>114</v>
      </c>
      <c r="B1421" t="s">
        <v>921</v>
      </c>
      <c r="C1421" t="s">
        <v>115</v>
      </c>
      <c r="D1421" t="s">
        <v>26</v>
      </c>
      <c r="E1421" t="s">
        <v>132</v>
      </c>
      <c r="F1421">
        <v>2</v>
      </c>
      <c r="G1421" s="3" t="s">
        <v>32</v>
      </c>
      <c r="H1421" s="46" t="s">
        <v>15</v>
      </c>
      <c r="I1421" s="17">
        <v>595000</v>
      </c>
      <c r="J1421" s="17">
        <f>IF(Gastos[[#This Row],[Divisa]]="$", I1421*1, IF(Gastos[[#This Row],[Divisa]]="U$D", I1421*$N$1, IF(Gastos[[#This Row],[Divisa]]="EUR", I1421*$N$2, 0)))</f>
        <v>595000</v>
      </c>
      <c r="K1421" s="54">
        <f>Gastos[[#This Row],[Importe AR$]]/$N$1</f>
        <v>381.41025641025641</v>
      </c>
      <c r="M1421" s="69">
        <v>45865</v>
      </c>
      <c r="N1421" s="43" t="s">
        <v>744</v>
      </c>
      <c r="O1421" t="s">
        <v>934</v>
      </c>
      <c r="P1421" t="s">
        <v>27</v>
      </c>
    </row>
    <row r="1422" spans="1:16" hidden="1" x14ac:dyDescent="0.25">
      <c r="A1422" s="3" t="s">
        <v>114</v>
      </c>
      <c r="B1422" t="s">
        <v>921</v>
      </c>
      <c r="C1422" t="s">
        <v>115</v>
      </c>
      <c r="D1422" t="s">
        <v>26</v>
      </c>
      <c r="E1422" t="s">
        <v>132</v>
      </c>
      <c r="F1422">
        <v>2</v>
      </c>
      <c r="G1422" s="3" t="s">
        <v>32</v>
      </c>
      <c r="H1422" s="46" t="s">
        <v>15</v>
      </c>
      <c r="I1422" s="17">
        <v>600000</v>
      </c>
      <c r="J1422" s="17">
        <f>IF(Gastos[[#This Row],[Divisa]]="$", I1422*1, IF(Gastos[[#This Row],[Divisa]]="U$D", I1422*$N$1, IF(Gastos[[#This Row],[Divisa]]="EUR", I1422*$N$2, 0)))</f>
        <v>600000</v>
      </c>
      <c r="K1422" s="54">
        <f>Gastos[[#This Row],[Importe AR$]]/$N$1</f>
        <v>384.61538461538464</v>
      </c>
      <c r="M1422" s="69">
        <v>45865</v>
      </c>
      <c r="N1422" s="43" t="s">
        <v>744</v>
      </c>
      <c r="O1422" t="s">
        <v>934</v>
      </c>
      <c r="P1422" t="s">
        <v>27</v>
      </c>
    </row>
    <row r="1423" spans="1:16" hidden="1" x14ac:dyDescent="0.25">
      <c r="A1423" s="3" t="s">
        <v>114</v>
      </c>
      <c r="B1423" t="s">
        <v>921</v>
      </c>
      <c r="C1423" t="s">
        <v>115</v>
      </c>
      <c r="D1423" t="s">
        <v>26</v>
      </c>
      <c r="E1423" t="s">
        <v>132</v>
      </c>
      <c r="F1423">
        <v>2</v>
      </c>
      <c r="G1423" s="3" t="s">
        <v>32</v>
      </c>
      <c r="H1423" s="46" t="s">
        <v>15</v>
      </c>
      <c r="I1423" s="17">
        <v>660000</v>
      </c>
      <c r="J1423" s="17">
        <f>IF(Gastos[[#This Row],[Divisa]]="$", I1423*1, IF(Gastos[[#This Row],[Divisa]]="U$D", I1423*$N$1, IF(Gastos[[#This Row],[Divisa]]="EUR", I1423*$N$2, 0)))</f>
        <v>660000</v>
      </c>
      <c r="K1423" s="54">
        <f>Gastos[[#This Row],[Importe AR$]]/$N$1</f>
        <v>423.07692307692309</v>
      </c>
      <c r="M1423" s="69">
        <v>45869</v>
      </c>
      <c r="N1423" s="43" t="s">
        <v>744</v>
      </c>
      <c r="O1423" t="s">
        <v>934</v>
      </c>
      <c r="P1423" t="s">
        <v>27</v>
      </c>
    </row>
    <row r="1424" spans="1:16" hidden="1" x14ac:dyDescent="0.25">
      <c r="A1424" s="3" t="s">
        <v>114</v>
      </c>
      <c r="B1424" t="s">
        <v>921</v>
      </c>
      <c r="C1424" t="s">
        <v>115</v>
      </c>
      <c r="D1424" t="s">
        <v>26</v>
      </c>
      <c r="E1424" t="s">
        <v>132</v>
      </c>
      <c r="F1424">
        <v>2</v>
      </c>
      <c r="G1424" s="3" t="s">
        <v>32</v>
      </c>
      <c r="H1424" s="46" t="s">
        <v>15</v>
      </c>
      <c r="I1424" s="17">
        <v>662800</v>
      </c>
      <c r="J1424" s="17">
        <f>IF(Gastos[[#This Row],[Divisa]]="$", I1424*1, IF(Gastos[[#This Row],[Divisa]]="U$D", I1424*$N$1, IF(Gastos[[#This Row],[Divisa]]="EUR", I1424*$N$2, 0)))</f>
        <v>662800</v>
      </c>
      <c r="K1424" s="54">
        <f>Gastos[[#This Row],[Importe AR$]]/$N$1</f>
        <v>424.87179487179486</v>
      </c>
      <c r="M1424" s="69">
        <v>45853</v>
      </c>
      <c r="N1424" s="43" t="s">
        <v>744</v>
      </c>
      <c r="O1424" t="s">
        <v>934</v>
      </c>
      <c r="P1424" t="s">
        <v>27</v>
      </c>
    </row>
    <row r="1425" spans="1:16" hidden="1" x14ac:dyDescent="0.25">
      <c r="A1425" s="3" t="s">
        <v>114</v>
      </c>
      <c r="B1425" t="s">
        <v>921</v>
      </c>
      <c r="C1425" t="s">
        <v>115</v>
      </c>
      <c r="D1425" t="s">
        <v>26</v>
      </c>
      <c r="E1425" t="s">
        <v>132</v>
      </c>
      <c r="F1425">
        <v>2</v>
      </c>
      <c r="G1425" s="3" t="s">
        <v>32</v>
      </c>
      <c r="H1425" s="46" t="s">
        <v>15</v>
      </c>
      <c r="I1425" s="17">
        <v>710000</v>
      </c>
      <c r="J1425" s="17">
        <f>IF(Gastos[[#This Row],[Divisa]]="$", I1425*1, IF(Gastos[[#This Row],[Divisa]]="U$D", I1425*$N$1, IF(Gastos[[#This Row],[Divisa]]="EUR", I1425*$N$2, 0)))</f>
        <v>710000</v>
      </c>
      <c r="K1425" s="54">
        <f>Gastos[[#This Row],[Importe AR$]]/$N$1</f>
        <v>455.12820512820514</v>
      </c>
      <c r="M1425" s="69">
        <v>45888</v>
      </c>
      <c r="N1425" s="43" t="s">
        <v>744</v>
      </c>
      <c r="O1425" t="s">
        <v>934</v>
      </c>
      <c r="P1425" t="s">
        <v>27</v>
      </c>
    </row>
    <row r="1426" spans="1:16" hidden="1" x14ac:dyDescent="0.25">
      <c r="A1426" s="3" t="s">
        <v>114</v>
      </c>
      <c r="B1426" t="s">
        <v>921</v>
      </c>
      <c r="C1426" t="s">
        <v>115</v>
      </c>
      <c r="D1426" t="s">
        <v>26</v>
      </c>
      <c r="E1426" t="s">
        <v>132</v>
      </c>
      <c r="F1426">
        <v>2</v>
      </c>
      <c r="G1426" s="3" t="s">
        <v>32</v>
      </c>
      <c r="H1426" s="46" t="s">
        <v>15</v>
      </c>
      <c r="I1426" s="17">
        <v>730000</v>
      </c>
      <c r="J1426" s="17">
        <f>IF(Gastos[[#This Row],[Divisa]]="$", I1426*1, IF(Gastos[[#This Row],[Divisa]]="U$D", I1426*$N$1, IF(Gastos[[#This Row],[Divisa]]="EUR", I1426*$N$2, 0)))</f>
        <v>730000</v>
      </c>
      <c r="K1426" s="54">
        <f>Gastos[[#This Row],[Importe AR$]]/$N$1</f>
        <v>467.94871794871796</v>
      </c>
      <c r="M1426" s="69">
        <v>45866</v>
      </c>
      <c r="N1426" s="43" t="s">
        <v>744</v>
      </c>
      <c r="O1426" t="s">
        <v>934</v>
      </c>
      <c r="P1426" t="s">
        <v>27</v>
      </c>
    </row>
    <row r="1427" spans="1:16" hidden="1" x14ac:dyDescent="0.25">
      <c r="A1427" s="3" t="s">
        <v>114</v>
      </c>
      <c r="B1427" t="s">
        <v>921</v>
      </c>
      <c r="C1427" t="s">
        <v>115</v>
      </c>
      <c r="D1427" t="s">
        <v>26</v>
      </c>
      <c r="E1427" t="s">
        <v>132</v>
      </c>
      <c r="F1427">
        <v>2</v>
      </c>
      <c r="G1427" s="3" t="s">
        <v>32</v>
      </c>
      <c r="H1427" s="46" t="s">
        <v>15</v>
      </c>
      <c r="I1427" s="17">
        <v>750000</v>
      </c>
      <c r="J1427" s="17">
        <f>IF(Gastos[[#This Row],[Divisa]]="$", I1427*1, IF(Gastos[[#This Row],[Divisa]]="U$D", I1427*$N$1, IF(Gastos[[#This Row],[Divisa]]="EUR", I1427*$N$2, 0)))</f>
        <v>750000</v>
      </c>
      <c r="K1427" s="54">
        <f>Gastos[[#This Row],[Importe AR$]]/$N$1</f>
        <v>480.76923076923077</v>
      </c>
      <c r="M1427" s="69">
        <v>45885</v>
      </c>
      <c r="N1427" s="43" t="s">
        <v>744</v>
      </c>
      <c r="O1427" t="s">
        <v>934</v>
      </c>
      <c r="P1427" t="s">
        <v>27</v>
      </c>
    </row>
    <row r="1428" spans="1:16" hidden="1" x14ac:dyDescent="0.25">
      <c r="A1428" s="3" t="s">
        <v>114</v>
      </c>
      <c r="B1428" t="s">
        <v>921</v>
      </c>
      <c r="C1428" t="s">
        <v>115</v>
      </c>
      <c r="D1428" t="s">
        <v>26</v>
      </c>
      <c r="E1428" t="s">
        <v>132</v>
      </c>
      <c r="F1428">
        <v>2</v>
      </c>
      <c r="G1428" s="3" t="s">
        <v>32</v>
      </c>
      <c r="H1428" s="46" t="s">
        <v>15</v>
      </c>
      <c r="I1428" s="17">
        <v>750000</v>
      </c>
      <c r="J1428" s="17">
        <f>IF(Gastos[[#This Row],[Divisa]]="$", I1428*1, IF(Gastos[[#This Row],[Divisa]]="U$D", I1428*$N$1, IF(Gastos[[#This Row],[Divisa]]="EUR", I1428*$N$2, 0)))</f>
        <v>750000</v>
      </c>
      <c r="K1428" s="54">
        <f>Gastos[[#This Row],[Importe AR$]]/$N$1</f>
        <v>480.76923076923077</v>
      </c>
      <c r="M1428" s="69">
        <v>45864</v>
      </c>
      <c r="N1428" s="43" t="s">
        <v>744</v>
      </c>
      <c r="O1428" t="s">
        <v>934</v>
      </c>
      <c r="P1428" t="s">
        <v>27</v>
      </c>
    </row>
    <row r="1429" spans="1:16" hidden="1" x14ac:dyDescent="0.25">
      <c r="A1429" s="3" t="s">
        <v>114</v>
      </c>
      <c r="B1429" t="s">
        <v>921</v>
      </c>
      <c r="C1429" t="s">
        <v>115</v>
      </c>
      <c r="D1429" t="s">
        <v>26</v>
      </c>
      <c r="E1429" t="s">
        <v>132</v>
      </c>
      <c r="F1429">
        <v>2</v>
      </c>
      <c r="G1429" s="3" t="s">
        <v>32</v>
      </c>
      <c r="H1429" s="46" t="s">
        <v>15</v>
      </c>
      <c r="I1429" s="17">
        <v>774400</v>
      </c>
      <c r="J1429" s="17">
        <f>IF(Gastos[[#This Row],[Divisa]]="$", I1429*1, IF(Gastos[[#This Row],[Divisa]]="U$D", I1429*$N$1, IF(Gastos[[#This Row],[Divisa]]="EUR", I1429*$N$2, 0)))</f>
        <v>774400</v>
      </c>
      <c r="K1429" s="54">
        <f>Gastos[[#This Row],[Importe AR$]]/$N$1</f>
        <v>496.41025641025641</v>
      </c>
      <c r="M1429" s="69">
        <v>45898</v>
      </c>
      <c r="N1429" s="43" t="s">
        <v>744</v>
      </c>
      <c r="O1429" t="s">
        <v>934</v>
      </c>
      <c r="P1429" t="s">
        <v>27</v>
      </c>
    </row>
    <row r="1430" spans="1:16" hidden="1" x14ac:dyDescent="0.25">
      <c r="A1430" s="3" t="s">
        <v>114</v>
      </c>
      <c r="B1430" t="s">
        <v>921</v>
      </c>
      <c r="C1430" t="s">
        <v>115</v>
      </c>
      <c r="D1430" t="s">
        <v>26</v>
      </c>
      <c r="E1430" t="s">
        <v>132</v>
      </c>
      <c r="F1430">
        <v>2</v>
      </c>
      <c r="G1430" s="3" t="s">
        <v>32</v>
      </c>
      <c r="H1430" s="46" t="s">
        <v>15</v>
      </c>
      <c r="I1430" s="17">
        <v>800000</v>
      </c>
      <c r="J1430" s="17">
        <f>IF(Gastos[[#This Row],[Divisa]]="$", I1430*1, IF(Gastos[[#This Row],[Divisa]]="U$D", I1430*$N$1, IF(Gastos[[#This Row],[Divisa]]="EUR", I1430*$N$2, 0)))</f>
        <v>800000</v>
      </c>
      <c r="K1430" s="54">
        <f>Gastos[[#This Row],[Importe AR$]]/$N$1</f>
        <v>512.82051282051282</v>
      </c>
      <c r="M1430" s="69">
        <v>45913</v>
      </c>
      <c r="N1430" s="43" t="s">
        <v>744</v>
      </c>
      <c r="O1430" t="s">
        <v>934</v>
      </c>
      <c r="P1430" t="s">
        <v>27</v>
      </c>
    </row>
    <row r="1431" spans="1:16" hidden="1" x14ac:dyDescent="0.25">
      <c r="A1431" s="3" t="s">
        <v>114</v>
      </c>
      <c r="B1431" t="s">
        <v>921</v>
      </c>
      <c r="C1431" t="s">
        <v>115</v>
      </c>
      <c r="D1431" t="s">
        <v>26</v>
      </c>
      <c r="E1431" t="s">
        <v>132</v>
      </c>
      <c r="F1431">
        <v>2</v>
      </c>
      <c r="G1431" s="3" t="s">
        <v>32</v>
      </c>
      <c r="H1431" s="46" t="s">
        <v>15</v>
      </c>
      <c r="I1431" s="17">
        <v>895400</v>
      </c>
      <c r="J1431" s="17">
        <f>IF(Gastos[[#This Row],[Divisa]]="$", I1431*1, IF(Gastos[[#This Row],[Divisa]]="U$D", I1431*$N$1, IF(Gastos[[#This Row],[Divisa]]="EUR", I1431*$N$2, 0)))</f>
        <v>895400</v>
      </c>
      <c r="K1431" s="54">
        <f>Gastos[[#This Row],[Importe AR$]]/$N$1</f>
        <v>573.97435897435901</v>
      </c>
      <c r="M1431" s="69">
        <v>45897</v>
      </c>
      <c r="N1431" s="43" t="s">
        <v>744</v>
      </c>
      <c r="O1431" t="s">
        <v>934</v>
      </c>
      <c r="P1431" t="s">
        <v>27</v>
      </c>
    </row>
    <row r="1432" spans="1:16" hidden="1" x14ac:dyDescent="0.25">
      <c r="A1432" s="3" t="s">
        <v>114</v>
      </c>
      <c r="B1432" t="s">
        <v>921</v>
      </c>
      <c r="C1432" t="s">
        <v>115</v>
      </c>
      <c r="D1432" t="s">
        <v>26</v>
      </c>
      <c r="E1432" t="s">
        <v>132</v>
      </c>
      <c r="F1432">
        <v>2</v>
      </c>
      <c r="G1432" s="3" t="s">
        <v>32</v>
      </c>
      <c r="H1432" s="46" t="s">
        <v>15</v>
      </c>
      <c r="I1432" s="17">
        <v>928000</v>
      </c>
      <c r="J1432" s="17">
        <f>IF(Gastos[[#This Row],[Divisa]]="$", I1432*1, IF(Gastos[[#This Row],[Divisa]]="U$D", I1432*$N$1, IF(Gastos[[#This Row],[Divisa]]="EUR", I1432*$N$2, 0)))</f>
        <v>928000</v>
      </c>
      <c r="K1432" s="54">
        <f>Gastos[[#This Row],[Importe AR$]]/$N$1</f>
        <v>594.87179487179492</v>
      </c>
      <c r="M1432" s="69">
        <v>45899</v>
      </c>
      <c r="N1432" s="43" t="s">
        <v>744</v>
      </c>
      <c r="O1432" t="s">
        <v>934</v>
      </c>
      <c r="P1432" t="s">
        <v>27</v>
      </c>
    </row>
    <row r="1433" spans="1:16" hidden="1" x14ac:dyDescent="0.25">
      <c r="A1433" s="3" t="s">
        <v>114</v>
      </c>
      <c r="B1433" t="s">
        <v>921</v>
      </c>
      <c r="C1433" t="s">
        <v>115</v>
      </c>
      <c r="D1433" t="s">
        <v>26</v>
      </c>
      <c r="E1433" t="s">
        <v>132</v>
      </c>
      <c r="F1433">
        <v>2</v>
      </c>
      <c r="G1433" s="3" t="s">
        <v>32</v>
      </c>
      <c r="H1433" s="46" t="s">
        <v>15</v>
      </c>
      <c r="I1433" s="17">
        <v>943660</v>
      </c>
      <c r="J1433" s="17">
        <f>IF(Gastos[[#This Row],[Divisa]]="$", I1433*1, IF(Gastos[[#This Row],[Divisa]]="U$D", I1433*$N$1, IF(Gastos[[#This Row],[Divisa]]="EUR", I1433*$N$2, 0)))</f>
        <v>943660</v>
      </c>
      <c r="K1433" s="54">
        <f>Gastos[[#This Row],[Importe AR$]]/$N$1</f>
        <v>604.91025641025647</v>
      </c>
      <c r="M1433" s="69">
        <v>45880</v>
      </c>
      <c r="N1433" s="43" t="s">
        <v>744</v>
      </c>
      <c r="O1433" t="s">
        <v>934</v>
      </c>
      <c r="P1433" t="s">
        <v>27</v>
      </c>
    </row>
    <row r="1434" spans="1:16" hidden="1" x14ac:dyDescent="0.25">
      <c r="A1434" s="3" t="s">
        <v>114</v>
      </c>
      <c r="B1434" t="s">
        <v>921</v>
      </c>
      <c r="C1434" t="s">
        <v>115</v>
      </c>
      <c r="D1434" t="s">
        <v>26</v>
      </c>
      <c r="E1434" t="s">
        <v>132</v>
      </c>
      <c r="F1434">
        <v>2</v>
      </c>
      <c r="G1434" s="3" t="s">
        <v>32</v>
      </c>
      <c r="H1434" s="46" t="s">
        <v>15</v>
      </c>
      <c r="I1434" s="17">
        <v>1000000</v>
      </c>
      <c r="J1434" s="17">
        <f>IF(Gastos[[#This Row],[Divisa]]="$", I1434*1, IF(Gastos[[#This Row],[Divisa]]="U$D", I1434*$N$1, IF(Gastos[[#This Row],[Divisa]]="EUR", I1434*$N$2, 0)))</f>
        <v>1000000</v>
      </c>
      <c r="K1434" s="54">
        <f>Gastos[[#This Row],[Importe AR$]]/$N$1</f>
        <v>641.02564102564099</v>
      </c>
      <c r="M1434" s="69">
        <v>45859</v>
      </c>
      <c r="N1434" s="43" t="s">
        <v>744</v>
      </c>
      <c r="O1434" t="s">
        <v>934</v>
      </c>
      <c r="P1434" t="s">
        <v>27</v>
      </c>
    </row>
    <row r="1435" spans="1:16" hidden="1" x14ac:dyDescent="0.25">
      <c r="A1435" s="3" t="s">
        <v>114</v>
      </c>
      <c r="B1435" t="s">
        <v>921</v>
      </c>
      <c r="C1435" t="s">
        <v>115</v>
      </c>
      <c r="D1435" t="s">
        <v>26</v>
      </c>
      <c r="E1435" t="s">
        <v>132</v>
      </c>
      <c r="F1435">
        <v>2</v>
      </c>
      <c r="G1435" s="3" t="s">
        <v>32</v>
      </c>
      <c r="H1435" s="46" t="s">
        <v>15</v>
      </c>
      <c r="I1435" s="17">
        <v>1000000</v>
      </c>
      <c r="J1435" s="17">
        <f>IF(Gastos[[#This Row],[Divisa]]="$", I1435*1, IF(Gastos[[#This Row],[Divisa]]="U$D", I1435*$N$1, IF(Gastos[[#This Row],[Divisa]]="EUR", I1435*$N$2, 0)))</f>
        <v>1000000</v>
      </c>
      <c r="K1435" s="54">
        <f>Gastos[[#This Row],[Importe AR$]]/$N$1</f>
        <v>641.02564102564099</v>
      </c>
      <c r="M1435" s="69">
        <v>45892</v>
      </c>
      <c r="N1435" s="43" t="s">
        <v>744</v>
      </c>
      <c r="O1435" t="s">
        <v>934</v>
      </c>
      <c r="P1435" t="s">
        <v>27</v>
      </c>
    </row>
    <row r="1436" spans="1:16" hidden="1" x14ac:dyDescent="0.25">
      <c r="A1436" s="3" t="s">
        <v>114</v>
      </c>
      <c r="B1436" t="s">
        <v>921</v>
      </c>
      <c r="C1436" t="s">
        <v>115</v>
      </c>
      <c r="D1436" t="s">
        <v>26</v>
      </c>
      <c r="E1436" t="s">
        <v>132</v>
      </c>
      <c r="F1436">
        <v>2</v>
      </c>
      <c r="G1436" s="3" t="s">
        <v>32</v>
      </c>
      <c r="H1436" s="46" t="s">
        <v>15</v>
      </c>
      <c r="I1436" s="17">
        <v>1000000</v>
      </c>
      <c r="J1436" s="17">
        <f>IF(Gastos[[#This Row],[Divisa]]="$", I1436*1, IF(Gastos[[#This Row],[Divisa]]="U$D", I1436*$N$1, IF(Gastos[[#This Row],[Divisa]]="EUR", I1436*$N$2, 0)))</f>
        <v>1000000</v>
      </c>
      <c r="K1436" s="54">
        <f>Gastos[[#This Row],[Importe AR$]]/$N$1</f>
        <v>641.02564102564099</v>
      </c>
      <c r="M1436" s="69">
        <v>45891</v>
      </c>
      <c r="N1436" s="43" t="s">
        <v>744</v>
      </c>
      <c r="O1436" t="s">
        <v>934</v>
      </c>
      <c r="P1436" t="s">
        <v>27</v>
      </c>
    </row>
    <row r="1437" spans="1:16" hidden="1" x14ac:dyDescent="0.25">
      <c r="A1437" s="3" t="s">
        <v>114</v>
      </c>
      <c r="B1437" t="s">
        <v>921</v>
      </c>
      <c r="C1437" t="s">
        <v>115</v>
      </c>
      <c r="D1437" t="s">
        <v>26</v>
      </c>
      <c r="E1437" t="s">
        <v>132</v>
      </c>
      <c r="F1437">
        <v>2</v>
      </c>
      <c r="G1437" s="3" t="s">
        <v>32</v>
      </c>
      <c r="H1437" s="46" t="s">
        <v>15</v>
      </c>
      <c r="I1437" s="17">
        <v>1206330</v>
      </c>
      <c r="J1437" s="17">
        <f>IF(Gastos[[#This Row],[Divisa]]="$", I1437*1, IF(Gastos[[#This Row],[Divisa]]="U$D", I1437*$N$1, IF(Gastos[[#This Row],[Divisa]]="EUR", I1437*$N$2, 0)))</f>
        <v>1206330</v>
      </c>
      <c r="K1437" s="54">
        <f>Gastos[[#This Row],[Importe AR$]]/$N$1</f>
        <v>773.28846153846155</v>
      </c>
      <c r="M1437" s="69">
        <v>45889</v>
      </c>
      <c r="N1437" s="43" t="s">
        <v>744</v>
      </c>
      <c r="O1437" t="s">
        <v>934</v>
      </c>
      <c r="P1437" t="s">
        <v>27</v>
      </c>
    </row>
    <row r="1438" spans="1:16" hidden="1" x14ac:dyDescent="0.25">
      <c r="A1438" s="3" t="s">
        <v>114</v>
      </c>
      <c r="B1438" t="s">
        <v>921</v>
      </c>
      <c r="C1438" t="s">
        <v>115</v>
      </c>
      <c r="D1438" t="s">
        <v>26</v>
      </c>
      <c r="E1438" t="s">
        <v>132</v>
      </c>
      <c r="F1438">
        <v>2</v>
      </c>
      <c r="G1438" s="3" t="s">
        <v>32</v>
      </c>
      <c r="H1438" s="46" t="s">
        <v>15</v>
      </c>
      <c r="I1438" s="17">
        <v>1321584</v>
      </c>
      <c r="J1438" s="17">
        <f>IF(Gastos[[#This Row],[Divisa]]="$", I1438*1, IF(Gastos[[#This Row],[Divisa]]="U$D", I1438*$N$1, IF(Gastos[[#This Row],[Divisa]]="EUR", I1438*$N$2, 0)))</f>
        <v>1321584</v>
      </c>
      <c r="K1438" s="54">
        <f>Gastos[[#This Row],[Importe AR$]]/$N$1</f>
        <v>847.16923076923081</v>
      </c>
      <c r="M1438" s="69">
        <v>45885</v>
      </c>
      <c r="N1438" s="43" t="s">
        <v>744</v>
      </c>
      <c r="O1438" t="s">
        <v>934</v>
      </c>
      <c r="P1438" t="s">
        <v>27</v>
      </c>
    </row>
    <row r="1439" spans="1:16" hidden="1" x14ac:dyDescent="0.25">
      <c r="A1439" s="3" t="s">
        <v>114</v>
      </c>
      <c r="B1439" t="s">
        <v>921</v>
      </c>
      <c r="C1439" t="s">
        <v>115</v>
      </c>
      <c r="D1439" t="s">
        <v>26</v>
      </c>
      <c r="E1439" t="s">
        <v>132</v>
      </c>
      <c r="F1439">
        <v>2</v>
      </c>
      <c r="G1439" s="3" t="s">
        <v>32</v>
      </c>
      <c r="H1439" s="46" t="s">
        <v>15</v>
      </c>
      <c r="I1439" s="17">
        <v>1500000</v>
      </c>
      <c r="J1439" s="17">
        <f>IF(Gastos[[#This Row],[Divisa]]="$", I1439*1, IF(Gastos[[#This Row],[Divisa]]="U$D", I1439*$N$1, IF(Gastos[[#This Row],[Divisa]]="EUR", I1439*$N$2, 0)))</f>
        <v>1500000</v>
      </c>
      <c r="K1439" s="54">
        <f>Gastos[[#This Row],[Importe AR$]]/$N$1</f>
        <v>961.53846153846155</v>
      </c>
      <c r="M1439" s="69">
        <v>45899</v>
      </c>
      <c r="N1439" s="43" t="s">
        <v>744</v>
      </c>
      <c r="O1439" t="s">
        <v>934</v>
      </c>
      <c r="P1439" t="s">
        <v>27</v>
      </c>
    </row>
    <row r="1440" spans="1:16" hidden="1" x14ac:dyDescent="0.25">
      <c r="A1440" s="3" t="s">
        <v>114</v>
      </c>
      <c r="B1440" t="s">
        <v>921</v>
      </c>
      <c r="C1440" t="s">
        <v>115</v>
      </c>
      <c r="D1440" t="s">
        <v>26</v>
      </c>
      <c r="E1440" t="s">
        <v>132</v>
      </c>
      <c r="F1440">
        <v>2</v>
      </c>
      <c r="G1440" s="3" t="s">
        <v>32</v>
      </c>
      <c r="H1440" s="46" t="s">
        <v>15</v>
      </c>
      <c r="I1440" s="17">
        <v>1553514</v>
      </c>
      <c r="J1440" s="17">
        <f>IF(Gastos[[#This Row],[Divisa]]="$", I1440*1, IF(Gastos[[#This Row],[Divisa]]="U$D", I1440*$N$1, IF(Gastos[[#This Row],[Divisa]]="EUR", I1440*$N$2, 0)))</f>
        <v>1553514</v>
      </c>
      <c r="K1440" s="54">
        <f>Gastos[[#This Row],[Importe AR$]]/$N$1</f>
        <v>995.84230769230771</v>
      </c>
      <c r="M1440" s="69">
        <v>45873</v>
      </c>
      <c r="N1440" s="43" t="s">
        <v>744</v>
      </c>
      <c r="O1440" t="s">
        <v>934</v>
      </c>
      <c r="P1440" t="s">
        <v>27</v>
      </c>
    </row>
    <row r="1441" spans="1:16" hidden="1" x14ac:dyDescent="0.25">
      <c r="A1441" s="3" t="s">
        <v>114</v>
      </c>
      <c r="B1441" t="s">
        <v>921</v>
      </c>
      <c r="C1441" t="s">
        <v>115</v>
      </c>
      <c r="D1441" t="s">
        <v>26</v>
      </c>
      <c r="E1441" t="s">
        <v>132</v>
      </c>
      <c r="F1441">
        <v>2</v>
      </c>
      <c r="G1441" s="3" t="s">
        <v>32</v>
      </c>
      <c r="H1441" s="46" t="s">
        <v>15</v>
      </c>
      <c r="I1441" s="17">
        <v>2425000</v>
      </c>
      <c r="J1441" s="17">
        <f>IF(Gastos[[#This Row],[Divisa]]="$", I1441*1, IF(Gastos[[#This Row],[Divisa]]="U$D", I1441*$N$1, IF(Gastos[[#This Row],[Divisa]]="EUR", I1441*$N$2, 0)))</f>
        <v>2425000</v>
      </c>
      <c r="K1441" s="54">
        <f>Gastos[[#This Row],[Importe AR$]]/$N$1</f>
        <v>1554.4871794871794</v>
      </c>
      <c r="M1441" s="69">
        <v>45894</v>
      </c>
      <c r="N1441" s="43">
        <f>IF(Gastos[[#This Row],[Fecha_Cheque]]&gt;0,WEEKNUM(Gastos[[#This Row],[Fecha_Cheque]]),MID(Gastos[[#This Row],[Semana]],6,2))</f>
        <v>35</v>
      </c>
      <c r="O1441" t="s">
        <v>934</v>
      </c>
      <c r="P1441" t="s">
        <v>27</v>
      </c>
    </row>
    <row r="1442" spans="1:16" hidden="1" x14ac:dyDescent="0.25">
      <c r="A1442" s="3" t="s">
        <v>122</v>
      </c>
      <c r="B1442" t="s">
        <v>921</v>
      </c>
      <c r="C1442" t="s">
        <v>118</v>
      </c>
      <c r="D1442" t="s">
        <v>26</v>
      </c>
      <c r="E1442" t="s">
        <v>132</v>
      </c>
      <c r="F1442">
        <v>2</v>
      </c>
      <c r="G1442" s="3" t="s">
        <v>32</v>
      </c>
      <c r="H1442" s="46" t="s">
        <v>15</v>
      </c>
      <c r="I1442" s="17">
        <v>1500000</v>
      </c>
      <c r="J1442" s="17">
        <f>IF(Gastos[[#This Row],[Divisa]]="$", I1442*1, IF(Gastos[[#This Row],[Divisa]]="U$D", I1442*$N$1, IF(Gastos[[#This Row],[Divisa]]="EUR", I1442*$N$2, 0)))</f>
        <v>1500000</v>
      </c>
      <c r="K1442" s="54">
        <f>Gastos[[#This Row],[Importe AR$]]/$N$1</f>
        <v>961.53846153846155</v>
      </c>
      <c r="M1442" s="69">
        <v>45989</v>
      </c>
      <c r="N1442" s="43">
        <f>IF(Gastos[[#This Row],[Fecha_Cheque]]&gt;0,WEEKNUM(Gastos[[#This Row],[Fecha_Cheque]]),MID(Gastos[[#This Row],[Semana]],6,2))</f>
        <v>48</v>
      </c>
      <c r="O1442" t="s">
        <v>935</v>
      </c>
      <c r="P1442" t="s">
        <v>27</v>
      </c>
    </row>
    <row r="1443" spans="1:16" hidden="1" x14ac:dyDescent="0.25">
      <c r="A1443" s="3" t="s">
        <v>122</v>
      </c>
      <c r="B1443" t="s">
        <v>921</v>
      </c>
      <c r="C1443" t="s">
        <v>118</v>
      </c>
      <c r="D1443" t="s">
        <v>26</v>
      </c>
      <c r="E1443" t="s">
        <v>132</v>
      </c>
      <c r="F1443">
        <v>2</v>
      </c>
      <c r="G1443" s="3" t="s">
        <v>32</v>
      </c>
      <c r="H1443" s="46" t="s">
        <v>15</v>
      </c>
      <c r="I1443" s="17">
        <v>800000</v>
      </c>
      <c r="J1443" s="17">
        <f>IF(Gastos[[#This Row],[Divisa]]="$", I1443*1, IF(Gastos[[#This Row],[Divisa]]="U$D", I1443*$N$1, IF(Gastos[[#This Row],[Divisa]]="EUR", I1443*$N$2, 0)))</f>
        <v>800000</v>
      </c>
      <c r="K1443" s="54">
        <f>Gastos[[#This Row],[Importe AR$]]/$N$1</f>
        <v>512.82051282051282</v>
      </c>
      <c r="M1443" s="69">
        <v>45959</v>
      </c>
      <c r="N1443" s="43">
        <f>IF(Gastos[[#This Row],[Fecha_Cheque]]&gt;0,WEEKNUM(Gastos[[#This Row],[Fecha_Cheque]]),MID(Gastos[[#This Row],[Semana]],6,2))</f>
        <v>44</v>
      </c>
      <c r="O1443" t="s">
        <v>935</v>
      </c>
      <c r="P1443" t="s">
        <v>27</v>
      </c>
    </row>
    <row r="1444" spans="1:16" hidden="1" x14ac:dyDescent="0.25">
      <c r="A1444" s="3" t="s">
        <v>122</v>
      </c>
      <c r="B1444" t="s">
        <v>921</v>
      </c>
      <c r="C1444" t="s">
        <v>118</v>
      </c>
      <c r="D1444" t="s">
        <v>26</v>
      </c>
      <c r="E1444" t="s">
        <v>132</v>
      </c>
      <c r="F1444">
        <v>2</v>
      </c>
      <c r="G1444" s="3" t="s">
        <v>32</v>
      </c>
      <c r="H1444" s="46" t="s">
        <v>15</v>
      </c>
      <c r="I1444" s="17">
        <v>800000</v>
      </c>
      <c r="J1444" s="17">
        <f>IF(Gastos[[#This Row],[Divisa]]="$", I1444*1, IF(Gastos[[#This Row],[Divisa]]="U$D", I1444*$N$1, IF(Gastos[[#This Row],[Divisa]]="EUR", I1444*$N$2, 0)))</f>
        <v>800000</v>
      </c>
      <c r="K1444" s="54">
        <f>Gastos[[#This Row],[Importe AR$]]/$N$1</f>
        <v>512.82051282051282</v>
      </c>
      <c r="M1444" s="69">
        <v>45987</v>
      </c>
      <c r="N1444" s="43">
        <f>IF(Gastos[[#This Row],[Fecha_Cheque]]&gt;0,WEEKNUM(Gastos[[#This Row],[Fecha_Cheque]]),MID(Gastos[[#This Row],[Semana]],6,2))</f>
        <v>48</v>
      </c>
      <c r="O1444" t="s">
        <v>935</v>
      </c>
      <c r="P1444" t="s">
        <v>27</v>
      </c>
    </row>
    <row r="1445" spans="1:16" hidden="1" x14ac:dyDescent="0.25">
      <c r="A1445" s="3" t="s">
        <v>122</v>
      </c>
      <c r="B1445" t="s">
        <v>921</v>
      </c>
      <c r="C1445" t="s">
        <v>118</v>
      </c>
      <c r="D1445" t="s">
        <v>26</v>
      </c>
      <c r="E1445" t="s">
        <v>132</v>
      </c>
      <c r="F1445">
        <v>2</v>
      </c>
      <c r="G1445" s="3" t="s">
        <v>32</v>
      </c>
      <c r="H1445" s="46" t="s">
        <v>15</v>
      </c>
      <c r="I1445" s="17">
        <v>800000</v>
      </c>
      <c r="J1445" s="17">
        <f>IF(Gastos[[#This Row],[Divisa]]="$", I1445*1, IF(Gastos[[#This Row],[Divisa]]="U$D", I1445*$N$1, IF(Gastos[[#This Row],[Divisa]]="EUR", I1445*$N$2, 0)))</f>
        <v>800000</v>
      </c>
      <c r="K1445" s="54">
        <f>Gastos[[#This Row],[Importe AR$]]/$N$1</f>
        <v>512.82051282051282</v>
      </c>
      <c r="M1445" s="69">
        <v>45989</v>
      </c>
      <c r="N1445" s="43">
        <f>IF(Gastos[[#This Row],[Fecha_Cheque]]&gt;0,WEEKNUM(Gastos[[#This Row],[Fecha_Cheque]]),MID(Gastos[[#This Row],[Semana]],6,2))</f>
        <v>48</v>
      </c>
      <c r="O1445" t="s">
        <v>935</v>
      </c>
      <c r="P1445" t="s">
        <v>27</v>
      </c>
    </row>
    <row r="1446" spans="1:16" hidden="1" x14ac:dyDescent="0.25">
      <c r="A1446" s="3" t="s">
        <v>122</v>
      </c>
      <c r="B1446" t="s">
        <v>921</v>
      </c>
      <c r="C1446" t="s">
        <v>118</v>
      </c>
      <c r="D1446" t="s">
        <v>26</v>
      </c>
      <c r="E1446" t="s">
        <v>132</v>
      </c>
      <c r="F1446">
        <v>2</v>
      </c>
      <c r="G1446" s="3" t="s">
        <v>32</v>
      </c>
      <c r="H1446" s="46" t="s">
        <v>15</v>
      </c>
      <c r="I1446" s="17">
        <v>800000</v>
      </c>
      <c r="J1446" s="17">
        <f>IF(Gastos[[#This Row],[Divisa]]="$", I1446*1, IF(Gastos[[#This Row],[Divisa]]="U$D", I1446*$N$1, IF(Gastos[[#This Row],[Divisa]]="EUR", I1446*$N$2, 0)))</f>
        <v>800000</v>
      </c>
      <c r="K1446" s="54">
        <f>Gastos[[#This Row],[Importe AR$]]/$N$1</f>
        <v>512.82051282051282</v>
      </c>
      <c r="M1446" s="69">
        <v>45993</v>
      </c>
      <c r="N1446" s="43">
        <f>IF(Gastos[[#This Row],[Fecha_Cheque]]&gt;0,WEEKNUM(Gastos[[#This Row],[Fecha_Cheque]]),MID(Gastos[[#This Row],[Semana]],6,2))</f>
        <v>49</v>
      </c>
      <c r="O1446" t="s">
        <v>935</v>
      </c>
      <c r="P1446" t="s">
        <v>27</v>
      </c>
    </row>
    <row r="1447" spans="1:16" hidden="1" x14ac:dyDescent="0.25">
      <c r="A1447" s="3" t="s">
        <v>122</v>
      </c>
      <c r="B1447" t="s">
        <v>921</v>
      </c>
      <c r="C1447" t="s">
        <v>118</v>
      </c>
      <c r="D1447" t="s">
        <v>26</v>
      </c>
      <c r="E1447" t="s">
        <v>132</v>
      </c>
      <c r="F1447">
        <v>2</v>
      </c>
      <c r="G1447" s="3" t="s">
        <v>32</v>
      </c>
      <c r="H1447" s="46" t="s">
        <v>15</v>
      </c>
      <c r="I1447" s="17">
        <v>800000</v>
      </c>
      <c r="J1447" s="17">
        <f>IF(Gastos[[#This Row],[Divisa]]="$", I1447*1, IF(Gastos[[#This Row],[Divisa]]="U$D", I1447*$N$1, IF(Gastos[[#This Row],[Divisa]]="EUR", I1447*$N$2, 0)))</f>
        <v>800000</v>
      </c>
      <c r="K1447" s="54">
        <f>Gastos[[#This Row],[Importe AR$]]/$N$1</f>
        <v>512.82051282051282</v>
      </c>
      <c r="M1447" s="69">
        <v>45994</v>
      </c>
      <c r="N1447" s="43">
        <f>IF(Gastos[[#This Row],[Fecha_Cheque]]&gt;0,WEEKNUM(Gastos[[#This Row],[Fecha_Cheque]]),MID(Gastos[[#This Row],[Semana]],6,2))</f>
        <v>49</v>
      </c>
      <c r="O1447" t="s">
        <v>935</v>
      </c>
      <c r="P1447" t="s">
        <v>27</v>
      </c>
    </row>
    <row r="1448" spans="1:16" hidden="1" x14ac:dyDescent="0.25">
      <c r="A1448" s="3" t="s">
        <v>122</v>
      </c>
      <c r="B1448" t="s">
        <v>921</v>
      </c>
      <c r="C1448" t="s">
        <v>118</v>
      </c>
      <c r="D1448" t="s">
        <v>26</v>
      </c>
      <c r="E1448" t="s">
        <v>132</v>
      </c>
      <c r="F1448">
        <v>2</v>
      </c>
      <c r="G1448" s="3" t="s">
        <v>32</v>
      </c>
      <c r="H1448" s="46" t="s">
        <v>15</v>
      </c>
      <c r="I1448" s="17">
        <v>7011000</v>
      </c>
      <c r="J1448" s="17">
        <f>IF(Gastos[[#This Row],[Divisa]]="$", I1448*1, IF(Gastos[[#This Row],[Divisa]]="U$D", I1448*$N$1, IF(Gastos[[#This Row],[Divisa]]="EUR", I1448*$N$2, 0)))</f>
        <v>7011000</v>
      </c>
      <c r="K1448" s="54">
        <f>Gastos[[#This Row],[Importe AR$]]/$N$1</f>
        <v>4494.2307692307695</v>
      </c>
      <c r="M1448" s="69">
        <v>45943</v>
      </c>
      <c r="N1448" s="43">
        <f>IF(Gastos[[#This Row],[Fecha_Cheque]]&gt;0,WEEKNUM(Gastos[[#This Row],[Fecha_Cheque]]),MID(Gastos[[#This Row],[Semana]],6,2))</f>
        <v>42</v>
      </c>
      <c r="O1448" t="s">
        <v>935</v>
      </c>
      <c r="P1448" t="s">
        <v>27</v>
      </c>
    </row>
    <row r="1449" spans="1:16" hidden="1" x14ac:dyDescent="0.25">
      <c r="A1449" s="3" t="s">
        <v>122</v>
      </c>
      <c r="B1449" t="s">
        <v>921</v>
      </c>
      <c r="C1449" t="s">
        <v>118</v>
      </c>
      <c r="D1449" t="s">
        <v>26</v>
      </c>
      <c r="E1449" t="s">
        <v>132</v>
      </c>
      <c r="F1449">
        <v>2</v>
      </c>
      <c r="G1449" s="3" t="s">
        <v>32</v>
      </c>
      <c r="H1449" s="46" t="s">
        <v>15</v>
      </c>
      <c r="I1449" s="17">
        <v>2073400</v>
      </c>
      <c r="J1449" s="17">
        <f>IF(Gastos[[#This Row],[Divisa]]="$", I1449*1, IF(Gastos[[#This Row],[Divisa]]="U$D", I1449*$N$1, IF(Gastos[[#This Row],[Divisa]]="EUR", I1449*$N$2, 0)))</f>
        <v>2073400</v>
      </c>
      <c r="K1449" s="54">
        <f>Gastos[[#This Row],[Importe AR$]]/$N$1</f>
        <v>1329.1025641025642</v>
      </c>
      <c r="M1449" s="69">
        <v>45952</v>
      </c>
      <c r="N1449" s="43">
        <f>IF(Gastos[[#This Row],[Fecha_Cheque]]&gt;0,WEEKNUM(Gastos[[#This Row],[Fecha_Cheque]]),MID(Gastos[[#This Row],[Semana]],6,2))</f>
        <v>43</v>
      </c>
      <c r="O1449" t="s">
        <v>935</v>
      </c>
      <c r="P1449" t="s">
        <v>27</v>
      </c>
    </row>
    <row r="1450" spans="1:16" hidden="1" x14ac:dyDescent="0.25">
      <c r="A1450" s="3" t="s">
        <v>124</v>
      </c>
      <c r="B1450" t="s">
        <v>921</v>
      </c>
      <c r="C1450" t="s">
        <v>115</v>
      </c>
      <c r="D1450" t="s">
        <v>26</v>
      </c>
      <c r="E1450" t="s">
        <v>132</v>
      </c>
      <c r="F1450">
        <v>2</v>
      </c>
      <c r="G1450" s="3" t="s">
        <v>32</v>
      </c>
      <c r="H1450" s="46" t="s">
        <v>15</v>
      </c>
      <c r="I1450" s="17">
        <v>1000000</v>
      </c>
      <c r="J1450" s="17">
        <f>IF(Gastos[[#This Row],[Divisa]]="$", I1450*1, IF(Gastos[[#This Row],[Divisa]]="U$D", I1450*$N$1, IF(Gastos[[#This Row],[Divisa]]="EUR", I1450*$N$2, 0)))</f>
        <v>1000000</v>
      </c>
      <c r="K1450" s="54">
        <f>Gastos[[#This Row],[Importe AR$]]/$N$1</f>
        <v>641.02564102564099</v>
      </c>
      <c r="M1450" s="69">
        <v>46022</v>
      </c>
      <c r="N1450" s="43">
        <f>IF(Gastos[[#This Row],[Fecha_Cheque]]&gt;0,WEEKNUM(Gastos[[#This Row],[Fecha_Cheque]]),MID(Gastos[[#This Row],[Semana]],6,2))</f>
        <v>53</v>
      </c>
      <c r="O1450" t="s">
        <v>936</v>
      </c>
      <c r="P1450" t="s">
        <v>27</v>
      </c>
    </row>
    <row r="1451" spans="1:16" hidden="1" x14ac:dyDescent="0.25">
      <c r="A1451" s="3" t="s">
        <v>124</v>
      </c>
      <c r="B1451" t="s">
        <v>921</v>
      </c>
      <c r="C1451" t="s">
        <v>115</v>
      </c>
      <c r="D1451" t="s">
        <v>26</v>
      </c>
      <c r="E1451" t="s">
        <v>132</v>
      </c>
      <c r="F1451">
        <v>2</v>
      </c>
      <c r="G1451" s="3" t="s">
        <v>32</v>
      </c>
      <c r="H1451" s="46" t="s">
        <v>15</v>
      </c>
      <c r="I1451" s="17">
        <v>1250000</v>
      </c>
      <c r="J1451" s="17">
        <f>IF(Gastos[[#This Row],[Divisa]]="$", I1451*1, IF(Gastos[[#This Row],[Divisa]]="U$D", I1451*$N$1, IF(Gastos[[#This Row],[Divisa]]="EUR", I1451*$N$2, 0)))</f>
        <v>1250000</v>
      </c>
      <c r="K1451" s="54">
        <f>Gastos[[#This Row],[Importe AR$]]/$N$1</f>
        <v>801.28205128205127</v>
      </c>
      <c r="M1451" s="69">
        <v>45979</v>
      </c>
      <c r="N1451" s="43">
        <f>IF(Gastos[[#This Row],[Fecha_Cheque]]&gt;0,WEEKNUM(Gastos[[#This Row],[Fecha_Cheque]]),MID(Gastos[[#This Row],[Semana]],6,2))</f>
        <v>47</v>
      </c>
      <c r="O1451" t="s">
        <v>936</v>
      </c>
      <c r="P1451" t="s">
        <v>27</v>
      </c>
    </row>
    <row r="1452" spans="1:16" hidden="1" x14ac:dyDescent="0.25">
      <c r="A1452" s="3" t="s">
        <v>128</v>
      </c>
      <c r="B1452" t="s">
        <v>921</v>
      </c>
      <c r="C1452" t="s">
        <v>118</v>
      </c>
      <c r="D1452" t="s">
        <v>26</v>
      </c>
      <c r="E1452" t="s">
        <v>132</v>
      </c>
      <c r="F1452">
        <v>2</v>
      </c>
      <c r="G1452" s="3" t="s">
        <v>32</v>
      </c>
      <c r="H1452" s="46" t="s">
        <v>15</v>
      </c>
      <c r="I1452" s="17">
        <v>1640963.11</v>
      </c>
      <c r="J1452" s="17">
        <f>IF(Gastos[[#This Row],[Divisa]]="$", I1452*1, IF(Gastos[[#This Row],[Divisa]]="U$D", I1452*$N$1, IF(Gastos[[#This Row],[Divisa]]="EUR", I1452*$N$2, 0)))</f>
        <v>1640963.11</v>
      </c>
      <c r="K1452" s="54">
        <f>Gastos[[#This Row],[Importe AR$]]/$N$1</f>
        <v>1051.8994294871795</v>
      </c>
      <c r="M1452" s="69">
        <v>45993</v>
      </c>
      <c r="N1452" s="43">
        <f>IF(Gastos[[#This Row],[Fecha_Cheque]]&gt;0,WEEKNUM(Gastos[[#This Row],[Fecha_Cheque]]),MID(Gastos[[#This Row],[Semana]],6,2))</f>
        <v>49</v>
      </c>
      <c r="O1452" t="s">
        <v>936</v>
      </c>
      <c r="P1452" t="s">
        <v>27</v>
      </c>
    </row>
    <row r="1453" spans="1:16" hidden="1" x14ac:dyDescent="0.25">
      <c r="A1453" s="3" t="s">
        <v>128</v>
      </c>
      <c r="B1453" t="s">
        <v>921</v>
      </c>
      <c r="C1453" t="s">
        <v>118</v>
      </c>
      <c r="D1453" t="s">
        <v>26</v>
      </c>
      <c r="E1453" t="s">
        <v>132</v>
      </c>
      <c r="F1453">
        <v>2</v>
      </c>
      <c r="G1453" s="3" t="s">
        <v>32</v>
      </c>
      <c r="H1453" s="46" t="s">
        <v>15</v>
      </c>
      <c r="I1453" s="17">
        <v>1159500</v>
      </c>
      <c r="J1453" s="17">
        <f>IF(Gastos[[#This Row],[Divisa]]="$", I1453*1, IF(Gastos[[#This Row],[Divisa]]="U$D", I1453*$N$1, IF(Gastos[[#This Row],[Divisa]]="EUR", I1453*$N$2, 0)))</f>
        <v>1159500</v>
      </c>
      <c r="K1453" s="54">
        <f>Gastos[[#This Row],[Importe AR$]]/$N$1</f>
        <v>743.26923076923072</v>
      </c>
      <c r="M1453" s="69">
        <v>45976</v>
      </c>
      <c r="N1453" s="43">
        <f>IF(Gastos[[#This Row],[Fecha_Cheque]]&gt;0,WEEKNUM(Gastos[[#This Row],[Fecha_Cheque]]),MID(Gastos[[#This Row],[Semana]],6,2))</f>
        <v>46</v>
      </c>
      <c r="O1453" t="s">
        <v>936</v>
      </c>
      <c r="P1453" t="s">
        <v>27</v>
      </c>
    </row>
    <row r="1454" spans="1:16" hidden="1" x14ac:dyDescent="0.25">
      <c r="A1454" s="3" t="s">
        <v>128</v>
      </c>
      <c r="B1454" t="s">
        <v>921</v>
      </c>
      <c r="C1454" t="s">
        <v>118</v>
      </c>
      <c r="D1454" t="s">
        <v>26</v>
      </c>
      <c r="E1454" t="s">
        <v>132</v>
      </c>
      <c r="F1454">
        <v>2</v>
      </c>
      <c r="G1454" s="3" t="s">
        <v>32</v>
      </c>
      <c r="H1454" s="46" t="s">
        <v>15</v>
      </c>
      <c r="I1454" s="17">
        <v>1000000</v>
      </c>
      <c r="J1454" s="17">
        <f>IF(Gastos[[#This Row],[Divisa]]="$", I1454*1, IF(Gastos[[#This Row],[Divisa]]="U$D", I1454*$N$1, IF(Gastos[[#This Row],[Divisa]]="EUR", I1454*$N$2, 0)))</f>
        <v>1000000</v>
      </c>
      <c r="K1454" s="54">
        <f>Gastos[[#This Row],[Importe AR$]]/$N$1</f>
        <v>641.02564102564099</v>
      </c>
      <c r="M1454" s="69">
        <v>46022</v>
      </c>
      <c r="N1454" s="43">
        <f>IF(Gastos[[#This Row],[Fecha_Cheque]]&gt;0,WEEKNUM(Gastos[[#This Row],[Fecha_Cheque]]),MID(Gastos[[#This Row],[Semana]],6,2))</f>
        <v>53</v>
      </c>
      <c r="O1454" t="s">
        <v>936</v>
      </c>
      <c r="P1454" t="s">
        <v>27</v>
      </c>
    </row>
    <row r="1455" spans="1:16" hidden="1" x14ac:dyDescent="0.25">
      <c r="A1455" s="3" t="s">
        <v>128</v>
      </c>
      <c r="B1455" t="s">
        <v>921</v>
      </c>
      <c r="C1455" t="s">
        <v>118</v>
      </c>
      <c r="D1455" t="s">
        <v>26</v>
      </c>
      <c r="E1455" t="s">
        <v>132</v>
      </c>
      <c r="F1455">
        <v>2</v>
      </c>
      <c r="G1455" s="3" t="s">
        <v>32</v>
      </c>
      <c r="H1455" s="46" t="s">
        <v>15</v>
      </c>
      <c r="I1455" s="17">
        <v>1270000</v>
      </c>
      <c r="J1455" s="17">
        <f>IF(Gastos[[#This Row],[Divisa]]="$", I1455*1, IF(Gastos[[#This Row],[Divisa]]="U$D", I1455*$N$1, IF(Gastos[[#This Row],[Divisa]]="EUR", I1455*$N$2, 0)))</f>
        <v>1270000</v>
      </c>
      <c r="K1455" s="54">
        <f>Gastos[[#This Row],[Importe AR$]]/$N$1</f>
        <v>814.10256410256409</v>
      </c>
      <c r="M1455" s="69">
        <v>45971</v>
      </c>
      <c r="N1455" s="43">
        <f>IF(Gastos[[#This Row],[Fecha_Cheque]]&gt;0,WEEKNUM(Gastos[[#This Row],[Fecha_Cheque]]),MID(Gastos[[#This Row],[Semana]],6,2))</f>
        <v>46</v>
      </c>
      <c r="O1455" t="s">
        <v>936</v>
      </c>
      <c r="P1455" t="s">
        <v>27</v>
      </c>
    </row>
    <row r="1456" spans="1:16" hidden="1" x14ac:dyDescent="0.25">
      <c r="A1456" s="3" t="s">
        <v>128</v>
      </c>
      <c r="B1456" t="s">
        <v>921</v>
      </c>
      <c r="C1456" t="s">
        <v>118</v>
      </c>
      <c r="D1456" t="s">
        <v>26</v>
      </c>
      <c r="E1456" t="s">
        <v>132</v>
      </c>
      <c r="F1456">
        <v>2</v>
      </c>
      <c r="G1456" s="3" t="s">
        <v>32</v>
      </c>
      <c r="H1456" s="46" t="s">
        <v>15</v>
      </c>
      <c r="I1456" s="17">
        <v>1250000</v>
      </c>
      <c r="J1456" s="17">
        <f>IF(Gastos[[#This Row],[Divisa]]="$", I1456*1, IF(Gastos[[#This Row],[Divisa]]="U$D", I1456*$N$1, IF(Gastos[[#This Row],[Divisa]]="EUR", I1456*$N$2, 0)))</f>
        <v>1250000</v>
      </c>
      <c r="K1456" s="54">
        <f>Gastos[[#This Row],[Importe AR$]]/$N$1</f>
        <v>801.28205128205127</v>
      </c>
      <c r="M1456" s="69">
        <v>45979</v>
      </c>
      <c r="N1456" s="43">
        <f>IF(Gastos[[#This Row],[Fecha_Cheque]]&gt;0,WEEKNUM(Gastos[[#This Row],[Fecha_Cheque]]),MID(Gastos[[#This Row],[Semana]],6,2))</f>
        <v>47</v>
      </c>
      <c r="O1456" t="s">
        <v>936</v>
      </c>
      <c r="P1456" t="s">
        <v>27</v>
      </c>
    </row>
    <row r="1457" spans="1:16" hidden="1" x14ac:dyDescent="0.25">
      <c r="A1457" s="3" t="s">
        <v>128</v>
      </c>
      <c r="B1457" t="s">
        <v>921</v>
      </c>
      <c r="C1457" t="s">
        <v>118</v>
      </c>
      <c r="D1457" t="s">
        <v>26</v>
      </c>
      <c r="E1457" t="s">
        <v>132</v>
      </c>
      <c r="F1457">
        <v>2</v>
      </c>
      <c r="G1457" s="3" t="s">
        <v>32</v>
      </c>
      <c r="H1457" s="46" t="s">
        <v>15</v>
      </c>
      <c r="I1457" s="17">
        <v>1000000</v>
      </c>
      <c r="J1457" s="17">
        <f>IF(Gastos[[#This Row],[Divisa]]="$", I1457*1, IF(Gastos[[#This Row],[Divisa]]="U$D", I1457*$N$1, IF(Gastos[[#This Row],[Divisa]]="EUR", I1457*$N$2, 0)))</f>
        <v>1000000</v>
      </c>
      <c r="K1457" s="54">
        <f>Gastos[[#This Row],[Importe AR$]]/$N$1</f>
        <v>641.02564102564099</v>
      </c>
      <c r="M1457" s="69">
        <v>46005</v>
      </c>
      <c r="N1457" s="43">
        <f>IF(Gastos[[#This Row],[Fecha_Cheque]]&gt;0,WEEKNUM(Gastos[[#This Row],[Fecha_Cheque]]),MID(Gastos[[#This Row],[Semana]],6,2))</f>
        <v>51</v>
      </c>
      <c r="O1457" t="s">
        <v>936</v>
      </c>
      <c r="P1457" t="s">
        <v>27</v>
      </c>
    </row>
    <row r="1458" spans="1:16" hidden="1" x14ac:dyDescent="0.25">
      <c r="A1458" s="3" t="s">
        <v>128</v>
      </c>
      <c r="B1458" t="s">
        <v>921</v>
      </c>
      <c r="C1458" t="s">
        <v>118</v>
      </c>
      <c r="D1458" t="s">
        <v>26</v>
      </c>
      <c r="E1458" t="s">
        <v>132</v>
      </c>
      <c r="F1458">
        <v>2</v>
      </c>
      <c r="G1458" s="3" t="s">
        <v>32</v>
      </c>
      <c r="H1458" s="46" t="s">
        <v>15</v>
      </c>
      <c r="I1458" s="17">
        <v>855750</v>
      </c>
      <c r="J1458" s="17">
        <f>IF(Gastos[[#This Row],[Divisa]]="$", I1458*1, IF(Gastos[[#This Row],[Divisa]]="U$D", I1458*$N$1, IF(Gastos[[#This Row],[Divisa]]="EUR", I1458*$N$2, 0)))</f>
        <v>855750</v>
      </c>
      <c r="K1458" s="54">
        <f>Gastos[[#This Row],[Importe AR$]]/$N$1</f>
        <v>548.55769230769226</v>
      </c>
      <c r="M1458" s="69">
        <v>45977</v>
      </c>
      <c r="N1458" s="43">
        <f>IF(Gastos[[#This Row],[Fecha_Cheque]]&gt;0,WEEKNUM(Gastos[[#This Row],[Fecha_Cheque]]),MID(Gastos[[#This Row],[Semana]],6,2))</f>
        <v>47</v>
      </c>
      <c r="O1458" t="s">
        <v>936</v>
      </c>
      <c r="P1458" t="s">
        <v>27</v>
      </c>
    </row>
    <row r="1459" spans="1:16" hidden="1" x14ac:dyDescent="0.25">
      <c r="A1459" s="3" t="s">
        <v>130</v>
      </c>
      <c r="B1459" t="s">
        <v>921</v>
      </c>
      <c r="C1459" t="s">
        <v>118</v>
      </c>
      <c r="D1459" t="s">
        <v>61</v>
      </c>
      <c r="E1459" t="s">
        <v>132</v>
      </c>
      <c r="F1459">
        <v>2</v>
      </c>
      <c r="G1459" s="3" t="s">
        <v>32</v>
      </c>
      <c r="H1459" s="46" t="s">
        <v>15</v>
      </c>
      <c r="I1459" s="17">
        <v>323570.84999999998</v>
      </c>
      <c r="J1459" s="17">
        <f>IF(Gastos[[#This Row],[Divisa]]="$", I1459*1, IF(Gastos[[#This Row],[Divisa]]="U$D", I1459*$N$1, IF(Gastos[[#This Row],[Divisa]]="EUR", I1459*$N$2, 0)))</f>
        <v>323570.84999999998</v>
      </c>
      <c r="K1459" s="54">
        <f>Gastos[[#This Row],[Importe AR$]]/$N$1</f>
        <v>207.41721153846152</v>
      </c>
      <c r="M1459" s="69">
        <v>45941</v>
      </c>
      <c r="N1459" s="43">
        <f>IF(Gastos[[#This Row],[Fecha_Cheque]]&gt;0,WEEKNUM(Gastos[[#This Row],[Fecha_Cheque]]),MID(Gastos[[#This Row],[Semana]],6,2))</f>
        <v>41</v>
      </c>
      <c r="O1459" t="s">
        <v>937</v>
      </c>
      <c r="P1459" t="s">
        <v>27</v>
      </c>
    </row>
    <row r="1460" spans="1:16" hidden="1" x14ac:dyDescent="0.25">
      <c r="A1460" s="3" t="s">
        <v>130</v>
      </c>
      <c r="B1460" t="s">
        <v>921</v>
      </c>
      <c r="C1460" t="s">
        <v>118</v>
      </c>
      <c r="D1460" t="s">
        <v>61</v>
      </c>
      <c r="E1460" t="s">
        <v>132</v>
      </c>
      <c r="F1460">
        <v>2</v>
      </c>
      <c r="G1460" s="3" t="s">
        <v>32</v>
      </c>
      <c r="H1460" s="46" t="s">
        <v>15</v>
      </c>
      <c r="I1460" s="17">
        <v>157200</v>
      </c>
      <c r="J1460" s="17">
        <f>IF(Gastos[[#This Row],[Divisa]]="$", I1460*1, IF(Gastos[[#This Row],[Divisa]]="U$D", I1460*$N$1, IF(Gastos[[#This Row],[Divisa]]="EUR", I1460*$N$2, 0)))</f>
        <v>157200</v>
      </c>
      <c r="K1460" s="54">
        <f>Gastos[[#This Row],[Importe AR$]]/$N$1</f>
        <v>100.76923076923077</v>
      </c>
      <c r="M1460" s="69">
        <v>45979</v>
      </c>
      <c r="N1460" s="43">
        <f>IF(Gastos[[#This Row],[Fecha_Cheque]]&gt;0,WEEKNUM(Gastos[[#This Row],[Fecha_Cheque]]),MID(Gastos[[#This Row],[Semana]],6,2))</f>
        <v>47</v>
      </c>
      <c r="O1460" t="s">
        <v>937</v>
      </c>
      <c r="P1460" t="s">
        <v>27</v>
      </c>
    </row>
    <row r="1461" spans="1:16" hidden="1" x14ac:dyDescent="0.25">
      <c r="A1461" s="3" t="s">
        <v>130</v>
      </c>
      <c r="B1461" t="s">
        <v>921</v>
      </c>
      <c r="C1461" t="s">
        <v>118</v>
      </c>
      <c r="D1461" t="s">
        <v>61</v>
      </c>
      <c r="E1461" t="s">
        <v>132</v>
      </c>
      <c r="F1461">
        <v>2</v>
      </c>
      <c r="G1461" s="3" t="s">
        <v>32</v>
      </c>
      <c r="H1461" s="46" t="s">
        <v>15</v>
      </c>
      <c r="I1461" s="17">
        <v>157200</v>
      </c>
      <c r="J1461" s="17">
        <f>IF(Gastos[[#This Row],[Divisa]]="$", I1461*1, IF(Gastos[[#This Row],[Divisa]]="U$D", I1461*$N$1, IF(Gastos[[#This Row],[Divisa]]="EUR", I1461*$N$2, 0)))</f>
        <v>157200</v>
      </c>
      <c r="K1461" s="54">
        <f>Gastos[[#This Row],[Importe AR$]]/$N$1</f>
        <v>100.76923076923077</v>
      </c>
      <c r="M1461" s="69">
        <v>45982</v>
      </c>
      <c r="N1461" s="43">
        <f>IF(Gastos[[#This Row],[Fecha_Cheque]]&gt;0,WEEKNUM(Gastos[[#This Row],[Fecha_Cheque]]),MID(Gastos[[#This Row],[Semana]],6,2))</f>
        <v>47</v>
      </c>
      <c r="O1461" t="s">
        <v>937</v>
      </c>
      <c r="P1461" t="s">
        <v>27</v>
      </c>
    </row>
    <row r="1462" spans="1:16" hidden="1" x14ac:dyDescent="0.25">
      <c r="A1462" s="3" t="s">
        <v>130</v>
      </c>
      <c r="B1462" t="s">
        <v>921</v>
      </c>
      <c r="C1462" t="s">
        <v>118</v>
      </c>
      <c r="D1462" t="s">
        <v>61</v>
      </c>
      <c r="E1462" t="s">
        <v>132</v>
      </c>
      <c r="F1462">
        <v>2</v>
      </c>
      <c r="G1462" s="3" t="s">
        <v>32</v>
      </c>
      <c r="H1462" s="46" t="s">
        <v>15</v>
      </c>
      <c r="I1462" s="17">
        <v>157200</v>
      </c>
      <c r="J1462" s="17">
        <f>IF(Gastos[[#This Row],[Divisa]]="$", I1462*1, IF(Gastos[[#This Row],[Divisa]]="U$D", I1462*$N$1, IF(Gastos[[#This Row],[Divisa]]="EUR", I1462*$N$2, 0)))</f>
        <v>157200</v>
      </c>
      <c r="K1462" s="54">
        <f>Gastos[[#This Row],[Importe AR$]]/$N$1</f>
        <v>100.76923076923077</v>
      </c>
      <c r="M1462" s="69">
        <v>45979</v>
      </c>
      <c r="N1462" s="43">
        <f>IF(Gastos[[#This Row],[Fecha_Cheque]]&gt;0,WEEKNUM(Gastos[[#This Row],[Fecha_Cheque]]),MID(Gastos[[#This Row],[Semana]],6,2))</f>
        <v>47</v>
      </c>
      <c r="O1462" t="s">
        <v>937</v>
      </c>
      <c r="P1462" t="s">
        <v>27</v>
      </c>
    </row>
    <row r="1463" spans="1:16" hidden="1" x14ac:dyDescent="0.25">
      <c r="A1463" s="3" t="s">
        <v>130</v>
      </c>
      <c r="B1463" t="s">
        <v>921</v>
      </c>
      <c r="C1463" t="s">
        <v>118</v>
      </c>
      <c r="D1463" t="s">
        <v>61</v>
      </c>
      <c r="E1463" t="s">
        <v>132</v>
      </c>
      <c r="F1463">
        <v>2</v>
      </c>
      <c r="G1463" s="3" t="s">
        <v>32</v>
      </c>
      <c r="H1463" s="46" t="s">
        <v>15</v>
      </c>
      <c r="I1463" s="17">
        <v>169340</v>
      </c>
      <c r="J1463" s="17">
        <f>IF(Gastos[[#This Row],[Divisa]]="$", I1463*1, IF(Gastos[[#This Row],[Divisa]]="U$D", I1463*$N$1, IF(Gastos[[#This Row],[Divisa]]="EUR", I1463*$N$2, 0)))</f>
        <v>169340</v>
      </c>
      <c r="K1463" s="54">
        <f>Gastos[[#This Row],[Importe AR$]]/$N$1</f>
        <v>108.55128205128206</v>
      </c>
      <c r="M1463" s="69">
        <v>45982</v>
      </c>
      <c r="N1463" s="43">
        <f>IF(Gastos[[#This Row],[Fecha_Cheque]]&gt;0,WEEKNUM(Gastos[[#This Row],[Fecha_Cheque]]),MID(Gastos[[#This Row],[Semana]],6,2))</f>
        <v>47</v>
      </c>
      <c r="O1463" t="s">
        <v>937</v>
      </c>
      <c r="P1463" t="s">
        <v>27</v>
      </c>
    </row>
    <row r="1464" spans="1:16" hidden="1" x14ac:dyDescent="0.25">
      <c r="A1464" s="3" t="s">
        <v>130</v>
      </c>
      <c r="B1464" t="s">
        <v>921</v>
      </c>
      <c r="C1464" t="s">
        <v>118</v>
      </c>
      <c r="D1464" t="s">
        <v>61</v>
      </c>
      <c r="E1464" t="s">
        <v>132</v>
      </c>
      <c r="F1464">
        <v>2</v>
      </c>
      <c r="G1464" s="3" t="s">
        <v>32</v>
      </c>
      <c r="H1464" s="46" t="s">
        <v>15</v>
      </c>
      <c r="I1464" s="17">
        <v>200000</v>
      </c>
      <c r="J1464" s="17">
        <f>IF(Gastos[[#This Row],[Divisa]]="$", I1464*1, IF(Gastos[[#This Row],[Divisa]]="U$D", I1464*$N$1, IF(Gastos[[#This Row],[Divisa]]="EUR", I1464*$N$2, 0)))</f>
        <v>200000</v>
      </c>
      <c r="K1464" s="54">
        <f>Gastos[[#This Row],[Importe AR$]]/$N$1</f>
        <v>128.2051282051282</v>
      </c>
      <c r="M1464" s="69">
        <v>45954</v>
      </c>
      <c r="N1464" s="43">
        <f>IF(Gastos[[#This Row],[Fecha_Cheque]]&gt;0,WEEKNUM(Gastos[[#This Row],[Fecha_Cheque]]),MID(Gastos[[#This Row],[Semana]],6,2))</f>
        <v>43</v>
      </c>
      <c r="O1464" t="s">
        <v>937</v>
      </c>
      <c r="P1464" t="s">
        <v>27</v>
      </c>
    </row>
    <row r="1465" spans="1:16" hidden="1" x14ac:dyDescent="0.25">
      <c r="A1465" s="3" t="s">
        <v>130</v>
      </c>
      <c r="B1465" t="s">
        <v>921</v>
      </c>
      <c r="C1465" t="s">
        <v>118</v>
      </c>
      <c r="D1465" t="s">
        <v>61</v>
      </c>
      <c r="E1465" t="s">
        <v>132</v>
      </c>
      <c r="F1465">
        <v>2</v>
      </c>
      <c r="G1465" s="3" t="s">
        <v>32</v>
      </c>
      <c r="H1465" s="46" t="s">
        <v>15</v>
      </c>
      <c r="I1465" s="17">
        <v>200000</v>
      </c>
      <c r="J1465" s="17">
        <f>IF(Gastos[[#This Row],[Divisa]]="$", I1465*1, IF(Gastos[[#This Row],[Divisa]]="U$D", I1465*$N$1, IF(Gastos[[#This Row],[Divisa]]="EUR", I1465*$N$2, 0)))</f>
        <v>200000</v>
      </c>
      <c r="K1465" s="54">
        <f>Gastos[[#This Row],[Importe AR$]]/$N$1</f>
        <v>128.2051282051282</v>
      </c>
      <c r="M1465" s="69">
        <v>45983</v>
      </c>
      <c r="N1465" s="43">
        <f>IF(Gastos[[#This Row],[Fecha_Cheque]]&gt;0,WEEKNUM(Gastos[[#This Row],[Fecha_Cheque]]),MID(Gastos[[#This Row],[Semana]],6,2))</f>
        <v>47</v>
      </c>
      <c r="O1465" t="s">
        <v>937</v>
      </c>
      <c r="P1465" t="s">
        <v>27</v>
      </c>
    </row>
    <row r="1466" spans="1:16" hidden="1" x14ac:dyDescent="0.25">
      <c r="A1466" s="3" t="s">
        <v>130</v>
      </c>
      <c r="B1466" t="s">
        <v>921</v>
      </c>
      <c r="C1466" t="s">
        <v>118</v>
      </c>
      <c r="D1466" t="s">
        <v>61</v>
      </c>
      <c r="E1466" t="s">
        <v>132</v>
      </c>
      <c r="F1466">
        <v>2</v>
      </c>
      <c r="G1466" s="3" t="s">
        <v>32</v>
      </c>
      <c r="H1466" s="46" t="s">
        <v>15</v>
      </c>
      <c r="I1466" s="17">
        <v>251340</v>
      </c>
      <c r="J1466" s="17">
        <f>IF(Gastos[[#This Row],[Divisa]]="$", I1466*1, IF(Gastos[[#This Row],[Divisa]]="U$D", I1466*$N$1, IF(Gastos[[#This Row],[Divisa]]="EUR", I1466*$N$2, 0)))</f>
        <v>251340</v>
      </c>
      <c r="K1466" s="54">
        <f>Gastos[[#This Row],[Importe AR$]]/$N$1</f>
        <v>161.11538461538461</v>
      </c>
      <c r="M1466" s="69">
        <v>45986</v>
      </c>
      <c r="N1466" s="43">
        <f>IF(Gastos[[#This Row],[Fecha_Cheque]]&gt;0,WEEKNUM(Gastos[[#This Row],[Fecha_Cheque]]),MID(Gastos[[#This Row],[Semana]],6,2))</f>
        <v>48</v>
      </c>
      <c r="O1466" t="s">
        <v>937</v>
      </c>
      <c r="P1466" t="s">
        <v>27</v>
      </c>
    </row>
    <row r="1467" spans="1:16" hidden="1" x14ac:dyDescent="0.25">
      <c r="A1467" s="3" t="s">
        <v>130</v>
      </c>
      <c r="B1467" t="s">
        <v>921</v>
      </c>
      <c r="C1467" t="s">
        <v>118</v>
      </c>
      <c r="D1467" t="s">
        <v>61</v>
      </c>
      <c r="E1467" t="s">
        <v>132</v>
      </c>
      <c r="F1467">
        <v>2</v>
      </c>
      <c r="G1467" s="3" t="s">
        <v>32</v>
      </c>
      <c r="H1467" s="46" t="s">
        <v>15</v>
      </c>
      <c r="I1467" s="17">
        <v>500000</v>
      </c>
      <c r="J1467" s="17">
        <f>IF(Gastos[[#This Row],[Divisa]]="$", I1467*1, IF(Gastos[[#This Row],[Divisa]]="U$D", I1467*$N$1, IF(Gastos[[#This Row],[Divisa]]="EUR", I1467*$N$2, 0)))</f>
        <v>500000</v>
      </c>
      <c r="K1467" s="54">
        <f>Gastos[[#This Row],[Importe AR$]]/$N$1</f>
        <v>320.5128205128205</v>
      </c>
      <c r="M1467" s="69">
        <v>45973</v>
      </c>
      <c r="N1467" s="43">
        <f>IF(Gastos[[#This Row],[Fecha_Cheque]]&gt;0,WEEKNUM(Gastos[[#This Row],[Fecha_Cheque]]),MID(Gastos[[#This Row],[Semana]],6,2))</f>
        <v>46</v>
      </c>
      <c r="O1467" t="s">
        <v>937</v>
      </c>
      <c r="P1467" t="s">
        <v>27</v>
      </c>
    </row>
    <row r="1468" spans="1:16" ht="15.75" hidden="1" customHeight="1" x14ac:dyDescent="0.25">
      <c r="A1468" s="3" t="s">
        <v>130</v>
      </c>
      <c r="B1468" t="s">
        <v>921</v>
      </c>
      <c r="C1468" t="s">
        <v>118</v>
      </c>
      <c r="D1468" t="s">
        <v>61</v>
      </c>
      <c r="E1468" t="s">
        <v>132</v>
      </c>
      <c r="F1468">
        <v>2</v>
      </c>
      <c r="G1468" s="3" t="s">
        <v>32</v>
      </c>
      <c r="H1468" s="46" t="s">
        <v>15</v>
      </c>
      <c r="I1468" s="17">
        <v>500000</v>
      </c>
      <c r="J1468" s="17">
        <f>IF(Gastos[[#This Row],[Divisa]]="$", I1468*1, IF(Gastos[[#This Row],[Divisa]]="U$D", I1468*$N$1, IF(Gastos[[#This Row],[Divisa]]="EUR", I1468*$N$2, 0)))</f>
        <v>500000</v>
      </c>
      <c r="K1468" s="54">
        <f>Gastos[[#This Row],[Importe AR$]]/$N$1</f>
        <v>320.5128205128205</v>
      </c>
      <c r="M1468" s="69">
        <v>45983</v>
      </c>
      <c r="N1468" s="43">
        <f>IF(Gastos[[#This Row],[Fecha_Cheque]]&gt;0,WEEKNUM(Gastos[[#This Row],[Fecha_Cheque]]),MID(Gastos[[#This Row],[Semana]],6,2))</f>
        <v>47</v>
      </c>
      <c r="O1468" t="s">
        <v>937</v>
      </c>
      <c r="P1468" t="s">
        <v>27</v>
      </c>
    </row>
    <row r="1469" spans="1:16" hidden="1" x14ac:dyDescent="0.25">
      <c r="A1469" s="3" t="s">
        <v>130</v>
      </c>
      <c r="B1469" t="s">
        <v>921</v>
      </c>
      <c r="C1469" t="s">
        <v>118</v>
      </c>
      <c r="D1469" t="s">
        <v>61</v>
      </c>
      <c r="E1469" t="s">
        <v>132</v>
      </c>
      <c r="F1469">
        <v>2</v>
      </c>
      <c r="G1469" s="3" t="s">
        <v>32</v>
      </c>
      <c r="H1469" s="46" t="s">
        <v>15</v>
      </c>
      <c r="I1469" s="17">
        <v>500000</v>
      </c>
      <c r="J1469" s="17">
        <f>IF(Gastos[[#This Row],[Divisa]]="$", I1469*1, IF(Gastos[[#This Row],[Divisa]]="U$D", I1469*$N$1, IF(Gastos[[#This Row],[Divisa]]="EUR", I1469*$N$2, 0)))</f>
        <v>500000</v>
      </c>
      <c r="K1469" s="54">
        <f>Gastos[[#This Row],[Importe AR$]]/$N$1</f>
        <v>320.5128205128205</v>
      </c>
      <c r="M1469" s="69">
        <v>45942</v>
      </c>
      <c r="N1469" s="43">
        <f>IF(Gastos[[#This Row],[Fecha_Cheque]]&gt;0,WEEKNUM(Gastos[[#This Row],[Fecha_Cheque]]),MID(Gastos[[#This Row],[Semana]],6,2))</f>
        <v>42</v>
      </c>
      <c r="O1469" t="s">
        <v>937</v>
      </c>
      <c r="P1469" t="s">
        <v>27</v>
      </c>
    </row>
    <row r="1470" spans="1:16" hidden="1" x14ac:dyDescent="0.25">
      <c r="A1470" s="3" t="s">
        <v>130</v>
      </c>
      <c r="B1470" t="s">
        <v>921</v>
      </c>
      <c r="C1470" t="s">
        <v>118</v>
      </c>
      <c r="D1470" t="s">
        <v>61</v>
      </c>
      <c r="E1470" t="s">
        <v>132</v>
      </c>
      <c r="F1470">
        <v>2</v>
      </c>
      <c r="G1470" s="3" t="s">
        <v>32</v>
      </c>
      <c r="H1470" s="46" t="s">
        <v>15</v>
      </c>
      <c r="I1470" s="17">
        <v>550870</v>
      </c>
      <c r="J1470" s="17">
        <f>IF(Gastos[[#This Row],[Divisa]]="$", I1470*1, IF(Gastos[[#This Row],[Divisa]]="U$D", I1470*$N$1, IF(Gastos[[#This Row],[Divisa]]="EUR", I1470*$N$2, 0)))</f>
        <v>550870</v>
      </c>
      <c r="K1470" s="54">
        <f>Gastos[[#This Row],[Importe AR$]]/$N$1</f>
        <v>353.12179487179486</v>
      </c>
      <c r="M1470" s="69">
        <v>46007</v>
      </c>
      <c r="N1470" s="43">
        <f>IF(Gastos[[#This Row],[Fecha_Cheque]]&gt;0,WEEKNUM(Gastos[[#This Row],[Fecha_Cheque]]),MID(Gastos[[#This Row],[Semana]],6,2))</f>
        <v>51</v>
      </c>
      <c r="O1470" t="s">
        <v>937</v>
      </c>
      <c r="P1470" t="s">
        <v>27</v>
      </c>
    </row>
    <row r="1471" spans="1:16" hidden="1" x14ac:dyDescent="0.25">
      <c r="A1471" s="3" t="s">
        <v>130</v>
      </c>
      <c r="B1471" t="s">
        <v>921</v>
      </c>
      <c r="C1471" t="s">
        <v>118</v>
      </c>
      <c r="D1471" t="s">
        <v>61</v>
      </c>
      <c r="E1471" t="s">
        <v>132</v>
      </c>
      <c r="F1471">
        <v>2</v>
      </c>
      <c r="G1471" s="3" t="s">
        <v>32</v>
      </c>
      <c r="H1471" s="46" t="s">
        <v>15</v>
      </c>
      <c r="I1471" s="17">
        <v>750000</v>
      </c>
      <c r="J1471" s="17">
        <f>IF(Gastos[[#This Row],[Divisa]]="$", I1471*1, IF(Gastos[[#This Row],[Divisa]]="U$D", I1471*$N$1, IF(Gastos[[#This Row],[Divisa]]="EUR", I1471*$N$2, 0)))</f>
        <v>750000</v>
      </c>
      <c r="K1471" s="54">
        <f>Gastos[[#This Row],[Importe AR$]]/$N$1</f>
        <v>480.76923076923077</v>
      </c>
      <c r="M1471" s="69">
        <v>46003</v>
      </c>
      <c r="N1471" s="43">
        <f>IF(Gastos[[#This Row],[Fecha_Cheque]]&gt;0,WEEKNUM(Gastos[[#This Row],[Fecha_Cheque]]),MID(Gastos[[#This Row],[Semana]],6,2))</f>
        <v>50</v>
      </c>
      <c r="O1471" t="s">
        <v>937</v>
      </c>
      <c r="P1471" t="s">
        <v>27</v>
      </c>
    </row>
    <row r="1472" spans="1:16" hidden="1" x14ac:dyDescent="0.25">
      <c r="A1472" s="3" t="s">
        <v>130</v>
      </c>
      <c r="B1472" t="s">
        <v>921</v>
      </c>
      <c r="C1472" t="s">
        <v>118</v>
      </c>
      <c r="D1472" t="s">
        <v>61</v>
      </c>
      <c r="E1472" t="s">
        <v>132</v>
      </c>
      <c r="F1472">
        <v>2</v>
      </c>
      <c r="G1472" s="3" t="s">
        <v>32</v>
      </c>
      <c r="H1472" s="46" t="s">
        <v>15</v>
      </c>
      <c r="I1472" s="17">
        <v>765600</v>
      </c>
      <c r="J1472" s="17">
        <f>IF(Gastos[[#This Row],[Divisa]]="$", I1472*1, IF(Gastos[[#This Row],[Divisa]]="U$D", I1472*$N$1, IF(Gastos[[#This Row],[Divisa]]="EUR", I1472*$N$2, 0)))</f>
        <v>765600</v>
      </c>
      <c r="K1472" s="54">
        <f>Gastos[[#This Row],[Importe AR$]]/$N$1</f>
        <v>490.76923076923077</v>
      </c>
      <c r="M1472" s="69">
        <v>45990</v>
      </c>
      <c r="N1472" s="43">
        <f>IF(Gastos[[#This Row],[Fecha_Cheque]]&gt;0,WEEKNUM(Gastos[[#This Row],[Fecha_Cheque]]),MID(Gastos[[#This Row],[Semana]],6,2))</f>
        <v>48</v>
      </c>
      <c r="O1472" t="s">
        <v>937</v>
      </c>
      <c r="P1472" t="s">
        <v>27</v>
      </c>
    </row>
    <row r="1473" spans="1:16" hidden="1" x14ac:dyDescent="0.25">
      <c r="A1473" s="3" t="s">
        <v>130</v>
      </c>
      <c r="B1473" t="s">
        <v>921</v>
      </c>
      <c r="C1473" t="s">
        <v>118</v>
      </c>
      <c r="D1473" t="s">
        <v>61</v>
      </c>
      <c r="E1473" t="s">
        <v>132</v>
      </c>
      <c r="F1473">
        <v>2</v>
      </c>
      <c r="G1473" s="3" t="s">
        <v>32</v>
      </c>
      <c r="H1473" s="46" t="s">
        <v>15</v>
      </c>
      <c r="I1473" s="17">
        <v>870100</v>
      </c>
      <c r="J1473" s="17">
        <f>IF(Gastos[[#This Row],[Divisa]]="$", I1473*1, IF(Gastos[[#This Row],[Divisa]]="U$D", I1473*$N$1, IF(Gastos[[#This Row],[Divisa]]="EUR", I1473*$N$2, 0)))</f>
        <v>870100</v>
      </c>
      <c r="K1473" s="54">
        <f>Gastos[[#This Row],[Importe AR$]]/$N$1</f>
        <v>557.75641025641028</v>
      </c>
      <c r="M1473" s="69">
        <v>46003</v>
      </c>
      <c r="N1473" s="43">
        <f>IF(Gastos[[#This Row],[Fecha_Cheque]]&gt;0,WEEKNUM(Gastos[[#This Row],[Fecha_Cheque]]),MID(Gastos[[#This Row],[Semana]],6,2))</f>
        <v>50</v>
      </c>
      <c r="O1473" t="s">
        <v>937</v>
      </c>
      <c r="P1473" t="s">
        <v>27</v>
      </c>
    </row>
    <row r="1474" spans="1:16" hidden="1" x14ac:dyDescent="0.25">
      <c r="A1474" s="3" t="s">
        <v>81</v>
      </c>
      <c r="B1474" t="s">
        <v>921</v>
      </c>
      <c r="C1474" t="s">
        <v>118</v>
      </c>
      <c r="D1474" t="s">
        <v>26</v>
      </c>
      <c r="E1474" t="s">
        <v>132</v>
      </c>
      <c r="F1474">
        <v>2</v>
      </c>
      <c r="G1474" s="3" t="s">
        <v>32</v>
      </c>
      <c r="H1474" s="46" t="s">
        <v>15</v>
      </c>
      <c r="I1474" s="17">
        <v>120000</v>
      </c>
      <c r="J1474" s="17">
        <f>IF(Gastos[[#This Row],[Divisa]]="$", I1474*1, IF(Gastos[[#This Row],[Divisa]]="U$D", I1474*$N$1, IF(Gastos[[#This Row],[Divisa]]="EUR", I1474*$N$2, 0)))</f>
        <v>120000</v>
      </c>
      <c r="K1474" s="54">
        <f>Gastos[[#This Row],[Importe AR$]]/$N$1</f>
        <v>76.92307692307692</v>
      </c>
      <c r="M1474" s="69">
        <v>45972</v>
      </c>
      <c r="N1474" s="43">
        <f>IF(Gastos[[#This Row],[Fecha_Cheque]]&gt;0,WEEKNUM(Gastos[[#This Row],[Fecha_Cheque]]),MID(Gastos[[#This Row],[Semana]],6,2))</f>
        <v>46</v>
      </c>
      <c r="O1474" t="s">
        <v>938</v>
      </c>
      <c r="P1474" t="s">
        <v>27</v>
      </c>
    </row>
    <row r="1475" spans="1:16" hidden="1" x14ac:dyDescent="0.25">
      <c r="A1475" s="3" t="s">
        <v>81</v>
      </c>
      <c r="B1475" t="s">
        <v>921</v>
      </c>
      <c r="C1475" t="s">
        <v>118</v>
      </c>
      <c r="D1475" t="s">
        <v>26</v>
      </c>
      <c r="E1475" t="s">
        <v>132</v>
      </c>
      <c r="F1475">
        <v>2</v>
      </c>
      <c r="G1475" s="3" t="s">
        <v>32</v>
      </c>
      <c r="H1475" s="46" t="s">
        <v>15</v>
      </c>
      <c r="I1475" s="17">
        <v>200000</v>
      </c>
      <c r="J1475" s="17">
        <f>IF(Gastos[[#This Row],[Divisa]]="$", I1475*1, IF(Gastos[[#This Row],[Divisa]]="U$D", I1475*$N$1, IF(Gastos[[#This Row],[Divisa]]="EUR", I1475*$N$2, 0)))</f>
        <v>200000</v>
      </c>
      <c r="K1475" s="54">
        <f>Gastos[[#This Row],[Importe AR$]]/$N$1</f>
        <v>128.2051282051282</v>
      </c>
      <c r="M1475" s="69">
        <v>45976</v>
      </c>
      <c r="N1475" s="43">
        <f>IF(Gastos[[#This Row],[Fecha_Cheque]]&gt;0,WEEKNUM(Gastos[[#This Row],[Fecha_Cheque]]),MID(Gastos[[#This Row],[Semana]],6,2))</f>
        <v>46</v>
      </c>
      <c r="O1475" t="s">
        <v>938</v>
      </c>
      <c r="P1475" t="s">
        <v>27</v>
      </c>
    </row>
    <row r="1476" spans="1:16" hidden="1" x14ac:dyDescent="0.25">
      <c r="A1476" s="3" t="s">
        <v>81</v>
      </c>
      <c r="B1476" t="s">
        <v>921</v>
      </c>
      <c r="C1476" t="s">
        <v>118</v>
      </c>
      <c r="D1476" t="s">
        <v>26</v>
      </c>
      <c r="E1476" t="s">
        <v>132</v>
      </c>
      <c r="F1476">
        <v>2</v>
      </c>
      <c r="G1476" s="3" t="s">
        <v>32</v>
      </c>
      <c r="H1476" s="46" t="s">
        <v>15</v>
      </c>
      <c r="I1476" s="17">
        <v>336000</v>
      </c>
      <c r="J1476" s="17">
        <f>IF(Gastos[[#This Row],[Divisa]]="$", I1476*1, IF(Gastos[[#This Row],[Divisa]]="U$D", I1476*$N$1, IF(Gastos[[#This Row],[Divisa]]="EUR", I1476*$N$2, 0)))</f>
        <v>336000</v>
      </c>
      <c r="K1476" s="54">
        <f>Gastos[[#This Row],[Importe AR$]]/$N$1</f>
        <v>215.38461538461539</v>
      </c>
      <c r="M1476" s="69">
        <v>45995</v>
      </c>
      <c r="N1476" s="43">
        <f>IF(Gastos[[#This Row],[Fecha_Cheque]]&gt;0,WEEKNUM(Gastos[[#This Row],[Fecha_Cheque]]),MID(Gastos[[#This Row],[Semana]],6,2))</f>
        <v>49</v>
      </c>
      <c r="O1476" t="s">
        <v>938</v>
      </c>
      <c r="P1476" t="s">
        <v>27</v>
      </c>
    </row>
    <row r="1477" spans="1:16" hidden="1" x14ac:dyDescent="0.25">
      <c r="A1477" s="3" t="s">
        <v>81</v>
      </c>
      <c r="B1477" t="s">
        <v>921</v>
      </c>
      <c r="C1477" t="s">
        <v>118</v>
      </c>
      <c r="D1477" t="s">
        <v>26</v>
      </c>
      <c r="E1477" t="s">
        <v>132</v>
      </c>
      <c r="F1477">
        <v>2</v>
      </c>
      <c r="G1477" s="3" t="s">
        <v>32</v>
      </c>
      <c r="H1477" s="46" t="s">
        <v>15</v>
      </c>
      <c r="I1477" s="17">
        <v>356552</v>
      </c>
      <c r="J1477" s="17">
        <f>IF(Gastos[[#This Row],[Divisa]]="$", I1477*1, IF(Gastos[[#This Row],[Divisa]]="U$D", I1477*$N$1, IF(Gastos[[#This Row],[Divisa]]="EUR", I1477*$N$2, 0)))</f>
        <v>356552</v>
      </c>
      <c r="K1477" s="54">
        <f>Gastos[[#This Row],[Importe AR$]]/$N$1</f>
        <v>228.55897435897435</v>
      </c>
      <c r="M1477" s="69">
        <v>45973</v>
      </c>
      <c r="N1477" s="43">
        <f>IF(Gastos[[#This Row],[Fecha_Cheque]]&gt;0,WEEKNUM(Gastos[[#This Row],[Fecha_Cheque]]),MID(Gastos[[#This Row],[Semana]],6,2))</f>
        <v>46</v>
      </c>
      <c r="O1477" t="s">
        <v>938</v>
      </c>
      <c r="P1477" t="s">
        <v>27</v>
      </c>
    </row>
    <row r="1478" spans="1:16" hidden="1" x14ac:dyDescent="0.25">
      <c r="A1478" s="3" t="s">
        <v>81</v>
      </c>
      <c r="B1478" t="s">
        <v>921</v>
      </c>
      <c r="C1478" t="s">
        <v>118</v>
      </c>
      <c r="D1478" t="s">
        <v>26</v>
      </c>
      <c r="E1478" t="s">
        <v>132</v>
      </c>
      <c r="F1478">
        <v>2</v>
      </c>
      <c r="G1478" s="3" t="s">
        <v>32</v>
      </c>
      <c r="H1478" s="46" t="s">
        <v>15</v>
      </c>
      <c r="I1478" s="17">
        <v>390000</v>
      </c>
      <c r="J1478" s="17">
        <f>IF(Gastos[[#This Row],[Divisa]]="$", I1478*1, IF(Gastos[[#This Row],[Divisa]]="U$D", I1478*$N$1, IF(Gastos[[#This Row],[Divisa]]="EUR", I1478*$N$2, 0)))</f>
        <v>390000</v>
      </c>
      <c r="K1478" s="54">
        <f>Gastos[[#This Row],[Importe AR$]]/$N$1</f>
        <v>250</v>
      </c>
      <c r="M1478" s="69">
        <v>45980</v>
      </c>
      <c r="N1478" s="43">
        <f>IF(Gastos[[#This Row],[Fecha_Cheque]]&gt;0,WEEKNUM(Gastos[[#This Row],[Fecha_Cheque]]),MID(Gastos[[#This Row],[Semana]],6,2))</f>
        <v>47</v>
      </c>
      <c r="O1478" t="s">
        <v>938</v>
      </c>
      <c r="P1478" t="s">
        <v>27</v>
      </c>
    </row>
    <row r="1479" spans="1:16" hidden="1" x14ac:dyDescent="0.25">
      <c r="A1479" s="3" t="s">
        <v>81</v>
      </c>
      <c r="B1479" t="s">
        <v>921</v>
      </c>
      <c r="C1479" t="s">
        <v>118</v>
      </c>
      <c r="D1479" t="s">
        <v>26</v>
      </c>
      <c r="E1479" t="s">
        <v>132</v>
      </c>
      <c r="F1479">
        <v>2</v>
      </c>
      <c r="G1479" s="3" t="s">
        <v>32</v>
      </c>
      <c r="H1479" s="46" t="s">
        <v>15</v>
      </c>
      <c r="I1479" s="17">
        <v>455738</v>
      </c>
      <c r="J1479" s="17">
        <f>IF(Gastos[[#This Row],[Divisa]]="$", I1479*1, IF(Gastos[[#This Row],[Divisa]]="U$D", I1479*$N$1, IF(Gastos[[#This Row],[Divisa]]="EUR", I1479*$N$2, 0)))</f>
        <v>455738</v>
      </c>
      <c r="K1479" s="54">
        <f>Gastos[[#This Row],[Importe AR$]]/$N$1</f>
        <v>292.1397435897436</v>
      </c>
      <c r="M1479" s="69">
        <v>45978</v>
      </c>
      <c r="N1479" s="43">
        <f>IF(Gastos[[#This Row],[Fecha_Cheque]]&gt;0,WEEKNUM(Gastos[[#This Row],[Fecha_Cheque]]),MID(Gastos[[#This Row],[Semana]],6,2))</f>
        <v>47</v>
      </c>
      <c r="O1479" t="s">
        <v>938</v>
      </c>
      <c r="P1479" t="s">
        <v>27</v>
      </c>
    </row>
    <row r="1480" spans="1:16" hidden="1" x14ac:dyDescent="0.25">
      <c r="A1480" s="3" t="s">
        <v>81</v>
      </c>
      <c r="B1480" t="s">
        <v>921</v>
      </c>
      <c r="C1480" t="s">
        <v>118</v>
      </c>
      <c r="D1480" t="s">
        <v>26</v>
      </c>
      <c r="E1480" t="s">
        <v>132</v>
      </c>
      <c r="F1480">
        <v>2</v>
      </c>
      <c r="G1480" s="3" t="s">
        <v>32</v>
      </c>
      <c r="H1480" s="46" t="s">
        <v>15</v>
      </c>
      <c r="I1480" s="17">
        <v>469460</v>
      </c>
      <c r="J1480" s="17">
        <f>IF(Gastos[[#This Row],[Divisa]]="$", I1480*1, IF(Gastos[[#This Row],[Divisa]]="U$D", I1480*$N$1, IF(Gastos[[#This Row],[Divisa]]="EUR", I1480*$N$2, 0)))</f>
        <v>469460</v>
      </c>
      <c r="K1480" s="54">
        <f>Gastos[[#This Row],[Importe AR$]]/$N$1</f>
        <v>300.93589743589746</v>
      </c>
      <c r="M1480" s="69">
        <v>45991</v>
      </c>
      <c r="N1480" s="43">
        <f>IF(Gastos[[#This Row],[Fecha_Cheque]]&gt;0,WEEKNUM(Gastos[[#This Row],[Fecha_Cheque]]),MID(Gastos[[#This Row],[Semana]],6,2))</f>
        <v>49</v>
      </c>
      <c r="O1480" t="s">
        <v>938</v>
      </c>
      <c r="P1480" t="s">
        <v>27</v>
      </c>
    </row>
    <row r="1481" spans="1:16" hidden="1" x14ac:dyDescent="0.25">
      <c r="A1481" s="3" t="s">
        <v>81</v>
      </c>
      <c r="B1481" t="s">
        <v>921</v>
      </c>
      <c r="C1481" t="s">
        <v>118</v>
      </c>
      <c r="D1481" t="s">
        <v>26</v>
      </c>
      <c r="E1481" t="s">
        <v>132</v>
      </c>
      <c r="F1481">
        <v>2</v>
      </c>
      <c r="G1481" s="3" t="s">
        <v>32</v>
      </c>
      <c r="H1481" s="46" t="s">
        <v>15</v>
      </c>
      <c r="I1481" s="17">
        <v>530548.59</v>
      </c>
      <c r="J1481" s="17">
        <f>IF(Gastos[[#This Row],[Divisa]]="$", I1481*1, IF(Gastos[[#This Row],[Divisa]]="U$D", I1481*$N$1, IF(Gastos[[#This Row],[Divisa]]="EUR", I1481*$N$2, 0)))</f>
        <v>530548.59</v>
      </c>
      <c r="K1481" s="54">
        <f>Gastos[[#This Row],[Importe AR$]]/$N$1</f>
        <v>340.09524999999996</v>
      </c>
      <c r="M1481" s="69">
        <v>45993</v>
      </c>
      <c r="N1481" s="43">
        <f>IF(Gastos[[#This Row],[Fecha_Cheque]]&gt;0,WEEKNUM(Gastos[[#This Row],[Fecha_Cheque]]),MID(Gastos[[#This Row],[Semana]],6,2))</f>
        <v>49</v>
      </c>
      <c r="O1481" t="s">
        <v>938</v>
      </c>
      <c r="P1481" t="s">
        <v>27</v>
      </c>
    </row>
    <row r="1482" spans="1:16" hidden="1" x14ac:dyDescent="0.25">
      <c r="A1482" s="3" t="s">
        <v>81</v>
      </c>
      <c r="B1482" t="s">
        <v>921</v>
      </c>
      <c r="C1482" t="s">
        <v>118</v>
      </c>
      <c r="D1482" t="s">
        <v>26</v>
      </c>
      <c r="E1482" t="s">
        <v>132</v>
      </c>
      <c r="F1482">
        <v>2</v>
      </c>
      <c r="G1482" s="3" t="s">
        <v>32</v>
      </c>
      <c r="H1482" s="46" t="s">
        <v>15</v>
      </c>
      <c r="I1482" s="17">
        <v>600000</v>
      </c>
      <c r="J1482" s="17">
        <f>IF(Gastos[[#This Row],[Divisa]]="$", I1482*1, IF(Gastos[[#This Row],[Divisa]]="U$D", I1482*$N$1, IF(Gastos[[#This Row],[Divisa]]="EUR", I1482*$N$2, 0)))</f>
        <v>600000</v>
      </c>
      <c r="K1482" s="54">
        <f>Gastos[[#This Row],[Importe AR$]]/$N$1</f>
        <v>384.61538461538464</v>
      </c>
      <c r="M1482" s="69">
        <v>45971</v>
      </c>
      <c r="N1482" s="43">
        <f>IF(Gastos[[#This Row],[Fecha_Cheque]]&gt;0,WEEKNUM(Gastos[[#This Row],[Fecha_Cheque]]),MID(Gastos[[#This Row],[Semana]],6,2))</f>
        <v>46</v>
      </c>
      <c r="O1482" t="s">
        <v>938</v>
      </c>
      <c r="P1482" t="s">
        <v>27</v>
      </c>
    </row>
    <row r="1483" spans="1:16" hidden="1" x14ac:dyDescent="0.25">
      <c r="A1483" s="3" t="s">
        <v>81</v>
      </c>
      <c r="B1483" t="s">
        <v>921</v>
      </c>
      <c r="C1483" t="s">
        <v>118</v>
      </c>
      <c r="D1483" t="s">
        <v>26</v>
      </c>
      <c r="E1483" t="s">
        <v>132</v>
      </c>
      <c r="F1483">
        <v>2</v>
      </c>
      <c r="G1483" s="3" t="s">
        <v>32</v>
      </c>
      <c r="H1483" s="46" t="s">
        <v>15</v>
      </c>
      <c r="I1483" s="17">
        <v>614758</v>
      </c>
      <c r="J1483" s="17">
        <f>IF(Gastos[[#This Row],[Divisa]]="$", I1483*1, IF(Gastos[[#This Row],[Divisa]]="U$D", I1483*$N$1, IF(Gastos[[#This Row],[Divisa]]="EUR", I1483*$N$2, 0)))</f>
        <v>614758</v>
      </c>
      <c r="K1483" s="54">
        <f>Gastos[[#This Row],[Importe AR$]]/$N$1</f>
        <v>394.075641025641</v>
      </c>
      <c r="M1483" s="69">
        <v>45968</v>
      </c>
      <c r="N1483" s="43">
        <f>IF(Gastos[[#This Row],[Fecha_Cheque]]&gt;0,WEEKNUM(Gastos[[#This Row],[Fecha_Cheque]]),MID(Gastos[[#This Row],[Semana]],6,2))</f>
        <v>45</v>
      </c>
      <c r="O1483" t="s">
        <v>938</v>
      </c>
      <c r="P1483" t="s">
        <v>27</v>
      </c>
    </row>
    <row r="1484" spans="1:16" hidden="1" x14ac:dyDescent="0.25">
      <c r="A1484" s="3" t="s">
        <v>81</v>
      </c>
      <c r="B1484" t="s">
        <v>921</v>
      </c>
      <c r="C1484" t="s">
        <v>118</v>
      </c>
      <c r="D1484" t="s">
        <v>26</v>
      </c>
      <c r="E1484" t="s">
        <v>132</v>
      </c>
      <c r="F1484">
        <v>2</v>
      </c>
      <c r="G1484" s="3" t="s">
        <v>32</v>
      </c>
      <c r="H1484" s="46" t="s">
        <v>15</v>
      </c>
      <c r="I1484" s="17">
        <v>652621</v>
      </c>
      <c r="J1484" s="17">
        <f>IF(Gastos[[#This Row],[Divisa]]="$", I1484*1, IF(Gastos[[#This Row],[Divisa]]="U$D", I1484*$N$1, IF(Gastos[[#This Row],[Divisa]]="EUR", I1484*$N$2, 0)))</f>
        <v>652621</v>
      </c>
      <c r="K1484" s="54">
        <f>Gastos[[#This Row],[Importe AR$]]/$N$1</f>
        <v>418.34679487179488</v>
      </c>
      <c r="M1484" s="69">
        <v>45996</v>
      </c>
      <c r="N1484" s="43">
        <f>IF(Gastos[[#This Row],[Fecha_Cheque]]&gt;0,WEEKNUM(Gastos[[#This Row],[Fecha_Cheque]]),MID(Gastos[[#This Row],[Semana]],6,2))</f>
        <v>49</v>
      </c>
      <c r="O1484" t="s">
        <v>938</v>
      </c>
      <c r="P1484" t="s">
        <v>27</v>
      </c>
    </row>
    <row r="1485" spans="1:16" hidden="1" x14ac:dyDescent="0.25">
      <c r="A1485" s="3" t="s">
        <v>81</v>
      </c>
      <c r="B1485" t="s">
        <v>921</v>
      </c>
      <c r="C1485" t="s">
        <v>118</v>
      </c>
      <c r="D1485" t="s">
        <v>26</v>
      </c>
      <c r="E1485" t="s">
        <v>132</v>
      </c>
      <c r="F1485">
        <v>2</v>
      </c>
      <c r="G1485" s="3" t="s">
        <v>32</v>
      </c>
      <c r="H1485" s="46" t="s">
        <v>15</v>
      </c>
      <c r="I1485" s="17">
        <v>1300000</v>
      </c>
      <c r="J1485" s="17">
        <f>IF(Gastos[[#This Row],[Divisa]]="$", I1485*1, IF(Gastos[[#This Row],[Divisa]]="U$D", I1485*$N$1, IF(Gastos[[#This Row],[Divisa]]="EUR", I1485*$N$2, 0)))</f>
        <v>1300000</v>
      </c>
      <c r="K1485" s="54">
        <f>Gastos[[#This Row],[Importe AR$]]/$N$1</f>
        <v>833.33333333333337</v>
      </c>
      <c r="M1485" s="69">
        <v>46011</v>
      </c>
      <c r="N1485" s="43">
        <f>IF(Gastos[[#This Row],[Fecha_Cheque]]&gt;0,WEEKNUM(Gastos[[#This Row],[Fecha_Cheque]]),MID(Gastos[[#This Row],[Semana]],6,2))</f>
        <v>51</v>
      </c>
      <c r="O1485" t="s">
        <v>938</v>
      </c>
      <c r="P1485" t="s">
        <v>27</v>
      </c>
    </row>
    <row r="1486" spans="1:16" hidden="1" x14ac:dyDescent="0.25">
      <c r="A1486" s="3" t="s">
        <v>81</v>
      </c>
      <c r="B1486" t="s">
        <v>921</v>
      </c>
      <c r="C1486" t="s">
        <v>118</v>
      </c>
      <c r="D1486" t="s">
        <v>26</v>
      </c>
      <c r="E1486" t="s">
        <v>132</v>
      </c>
      <c r="F1486">
        <v>2</v>
      </c>
      <c r="G1486" s="3" t="s">
        <v>32</v>
      </c>
      <c r="H1486" s="46" t="s">
        <v>15</v>
      </c>
      <c r="I1486" s="17">
        <v>1500000</v>
      </c>
      <c r="J1486" s="17">
        <f>IF(Gastos[[#This Row],[Divisa]]="$", I1486*1, IF(Gastos[[#This Row],[Divisa]]="U$D", I1486*$N$1, IF(Gastos[[#This Row],[Divisa]]="EUR", I1486*$N$2, 0)))</f>
        <v>1500000</v>
      </c>
      <c r="K1486" s="54">
        <f>Gastos[[#This Row],[Importe AR$]]/$N$1</f>
        <v>961.53846153846155</v>
      </c>
      <c r="M1486" s="69">
        <v>46007</v>
      </c>
      <c r="N1486" s="43">
        <f>IF(Gastos[[#This Row],[Fecha_Cheque]]&gt;0,WEEKNUM(Gastos[[#This Row],[Fecha_Cheque]]),MID(Gastos[[#This Row],[Semana]],6,2))</f>
        <v>51</v>
      </c>
      <c r="O1486" t="s">
        <v>938</v>
      </c>
      <c r="P1486" t="s">
        <v>27</v>
      </c>
    </row>
    <row r="1487" spans="1:16" hidden="1" x14ac:dyDescent="0.25">
      <c r="A1487" s="3" t="s">
        <v>81</v>
      </c>
      <c r="B1487" t="s">
        <v>921</v>
      </c>
      <c r="C1487" t="s">
        <v>118</v>
      </c>
      <c r="D1487" t="s">
        <v>26</v>
      </c>
      <c r="E1487" t="s">
        <v>132</v>
      </c>
      <c r="F1487">
        <v>2</v>
      </c>
      <c r="G1487" s="3" t="s">
        <v>32</v>
      </c>
      <c r="H1487" s="46" t="s">
        <v>15</v>
      </c>
      <c r="I1487" s="17">
        <v>1500000</v>
      </c>
      <c r="J1487" s="17">
        <f>IF(Gastos[[#This Row],[Divisa]]="$", I1487*1, IF(Gastos[[#This Row],[Divisa]]="U$D", I1487*$N$1, IF(Gastos[[#This Row],[Divisa]]="EUR", I1487*$N$2, 0)))</f>
        <v>1500000</v>
      </c>
      <c r="K1487" s="54">
        <f>Gastos[[#This Row],[Importe AR$]]/$N$1</f>
        <v>961.53846153846155</v>
      </c>
      <c r="M1487" s="69">
        <v>46001</v>
      </c>
      <c r="N1487" s="43">
        <f>IF(Gastos[[#This Row],[Fecha_Cheque]]&gt;0,WEEKNUM(Gastos[[#This Row],[Fecha_Cheque]]),MID(Gastos[[#This Row],[Semana]],6,2))</f>
        <v>50</v>
      </c>
      <c r="O1487" t="s">
        <v>938</v>
      </c>
      <c r="P1487" t="s">
        <v>27</v>
      </c>
    </row>
    <row r="1488" spans="1:16" hidden="1" x14ac:dyDescent="0.25">
      <c r="A1488" s="3" t="s">
        <v>44</v>
      </c>
      <c r="B1488" t="s">
        <v>921</v>
      </c>
      <c r="C1488" t="s">
        <v>118</v>
      </c>
      <c r="D1488" t="s">
        <v>26</v>
      </c>
      <c r="E1488" t="s">
        <v>132</v>
      </c>
      <c r="F1488">
        <v>2</v>
      </c>
      <c r="G1488" s="3" t="s">
        <v>32</v>
      </c>
      <c r="H1488" s="46" t="s">
        <v>15</v>
      </c>
      <c r="I1488" s="17">
        <v>2000000</v>
      </c>
      <c r="J1488" s="17">
        <f>IF(Gastos[[#This Row],[Divisa]]="$", I1488*1, IF(Gastos[[#This Row],[Divisa]]="U$D", I1488*$N$1, IF(Gastos[[#This Row],[Divisa]]="EUR", I1488*$N$2, 0)))</f>
        <v>2000000</v>
      </c>
      <c r="K1488" s="54">
        <f>Gastos[[#This Row],[Importe AR$]]/$N$1</f>
        <v>1282.051282051282</v>
      </c>
      <c r="M1488" s="69">
        <v>46042</v>
      </c>
      <c r="N1488" s="43">
        <f>IF(Gastos[[#This Row],[Fecha_Cheque]]&gt;0,WEEKNUM(Gastos[[#This Row],[Fecha_Cheque]]),MID(Gastos[[#This Row],[Semana]],6,2))</f>
        <v>4</v>
      </c>
      <c r="O1488" t="s">
        <v>939</v>
      </c>
      <c r="P1488" t="s">
        <v>27</v>
      </c>
    </row>
    <row r="1489" spans="1:16" hidden="1" x14ac:dyDescent="0.25">
      <c r="A1489" s="3" t="s">
        <v>44</v>
      </c>
      <c r="B1489" t="s">
        <v>921</v>
      </c>
      <c r="C1489" t="s">
        <v>118</v>
      </c>
      <c r="D1489" t="s">
        <v>26</v>
      </c>
      <c r="E1489" t="s">
        <v>132</v>
      </c>
      <c r="F1489">
        <v>2</v>
      </c>
      <c r="G1489" s="3" t="s">
        <v>32</v>
      </c>
      <c r="H1489" s="46" t="s">
        <v>15</v>
      </c>
      <c r="I1489" s="17">
        <v>500000</v>
      </c>
      <c r="J1489" s="17">
        <f>IF(Gastos[[#This Row],[Divisa]]="$", I1489*1, IF(Gastos[[#This Row],[Divisa]]="U$D", I1489*$N$1, IF(Gastos[[#This Row],[Divisa]]="EUR", I1489*$N$2, 0)))</f>
        <v>500000</v>
      </c>
      <c r="K1489" s="54">
        <f>Gastos[[#This Row],[Importe AR$]]/$N$1</f>
        <v>320.5128205128205</v>
      </c>
      <c r="M1489" s="69">
        <v>46042</v>
      </c>
      <c r="N1489" s="43">
        <f>IF(Gastos[[#This Row],[Fecha_Cheque]]&gt;0,WEEKNUM(Gastos[[#This Row],[Fecha_Cheque]]),MID(Gastos[[#This Row],[Semana]],6,2))</f>
        <v>4</v>
      </c>
      <c r="O1489" t="s">
        <v>939</v>
      </c>
      <c r="P1489" t="s">
        <v>27</v>
      </c>
    </row>
    <row r="1490" spans="1:16" hidden="1" x14ac:dyDescent="0.25">
      <c r="A1490" s="3" t="s">
        <v>44</v>
      </c>
      <c r="B1490" t="s">
        <v>921</v>
      </c>
      <c r="C1490" t="s">
        <v>118</v>
      </c>
      <c r="D1490" t="s">
        <v>26</v>
      </c>
      <c r="E1490" t="s">
        <v>132</v>
      </c>
      <c r="F1490">
        <v>2</v>
      </c>
      <c r="G1490" s="3" t="s">
        <v>32</v>
      </c>
      <c r="H1490" s="46" t="s">
        <v>15</v>
      </c>
      <c r="I1490" s="17">
        <v>442119</v>
      </c>
      <c r="J1490" s="17">
        <f>IF(Gastos[[#This Row],[Divisa]]="$", I1490*1, IF(Gastos[[#This Row],[Divisa]]="U$D", I1490*$N$1, IF(Gastos[[#This Row],[Divisa]]="EUR", I1490*$N$2, 0)))</f>
        <v>442119</v>
      </c>
      <c r="K1490" s="54">
        <f>Gastos[[#This Row],[Importe AR$]]/$N$1</f>
        <v>283.40961538461539</v>
      </c>
      <c r="M1490" s="69">
        <v>46041</v>
      </c>
      <c r="N1490" s="43">
        <f>IF(Gastos[[#This Row],[Fecha_Cheque]]&gt;0,WEEKNUM(Gastos[[#This Row],[Fecha_Cheque]]),MID(Gastos[[#This Row],[Semana]],6,2))</f>
        <v>4</v>
      </c>
      <c r="O1490" t="s">
        <v>939</v>
      </c>
      <c r="P1490" t="s">
        <v>27</v>
      </c>
    </row>
    <row r="1491" spans="1:16" hidden="1" x14ac:dyDescent="0.25">
      <c r="A1491" s="3" t="s">
        <v>44</v>
      </c>
      <c r="B1491" t="s">
        <v>921</v>
      </c>
      <c r="C1491" t="s">
        <v>118</v>
      </c>
      <c r="D1491" t="s">
        <v>26</v>
      </c>
      <c r="E1491" t="s">
        <v>132</v>
      </c>
      <c r="F1491">
        <v>2</v>
      </c>
      <c r="G1491" s="3" t="s">
        <v>32</v>
      </c>
      <c r="H1491" s="46" t="s">
        <v>15</v>
      </c>
      <c r="I1491" s="17">
        <v>881700</v>
      </c>
      <c r="J1491" s="17">
        <f>IF(Gastos[[#This Row],[Divisa]]="$", I1491*1, IF(Gastos[[#This Row],[Divisa]]="U$D", I1491*$N$1, IF(Gastos[[#This Row],[Divisa]]="EUR", I1491*$N$2, 0)))</f>
        <v>881700</v>
      </c>
      <c r="K1491" s="54">
        <f>Gastos[[#This Row],[Importe AR$]]/$N$1</f>
        <v>565.19230769230774</v>
      </c>
      <c r="M1491" s="69">
        <v>46038</v>
      </c>
      <c r="N1491" s="43">
        <f>IF(Gastos[[#This Row],[Fecha_Cheque]]&gt;0,WEEKNUM(Gastos[[#This Row],[Fecha_Cheque]]),MID(Gastos[[#This Row],[Semana]],6,2))</f>
        <v>3</v>
      </c>
      <c r="O1491" t="s">
        <v>939</v>
      </c>
      <c r="P1491" t="s">
        <v>27</v>
      </c>
    </row>
    <row r="1492" spans="1:16" hidden="1" x14ac:dyDescent="0.25">
      <c r="A1492" s="3" t="s">
        <v>44</v>
      </c>
      <c r="B1492" t="s">
        <v>921</v>
      </c>
      <c r="C1492" t="s">
        <v>118</v>
      </c>
      <c r="D1492" t="s">
        <v>26</v>
      </c>
      <c r="E1492" t="s">
        <v>132</v>
      </c>
      <c r="F1492">
        <v>2</v>
      </c>
      <c r="G1492" s="3" t="s">
        <v>32</v>
      </c>
      <c r="H1492" s="46" t="s">
        <v>15</v>
      </c>
      <c r="I1492" s="17">
        <v>180000</v>
      </c>
      <c r="J1492" s="17">
        <f>IF(Gastos[[#This Row],[Divisa]]="$", I1492*1, IF(Gastos[[#This Row],[Divisa]]="U$D", I1492*$N$1, IF(Gastos[[#This Row],[Divisa]]="EUR", I1492*$N$2, 0)))</f>
        <v>180000</v>
      </c>
      <c r="K1492" s="54">
        <f>Gastos[[#This Row],[Importe AR$]]/$N$1</f>
        <v>115.38461538461539</v>
      </c>
      <c r="M1492" s="69">
        <v>46037</v>
      </c>
      <c r="N1492" s="43">
        <f>IF(Gastos[[#This Row],[Fecha_Cheque]]&gt;0,WEEKNUM(Gastos[[#This Row],[Fecha_Cheque]]),MID(Gastos[[#This Row],[Semana]],6,2))</f>
        <v>3</v>
      </c>
      <c r="O1492" t="s">
        <v>939</v>
      </c>
      <c r="P1492" t="s">
        <v>27</v>
      </c>
    </row>
    <row r="1493" spans="1:16" hidden="1" x14ac:dyDescent="0.25">
      <c r="A1493" s="3" t="s">
        <v>44</v>
      </c>
      <c r="B1493" t="s">
        <v>921</v>
      </c>
      <c r="C1493" t="s">
        <v>118</v>
      </c>
      <c r="D1493" t="s">
        <v>26</v>
      </c>
      <c r="E1493" t="s">
        <v>132</v>
      </c>
      <c r="F1493">
        <v>2</v>
      </c>
      <c r="G1493" s="3" t="s">
        <v>32</v>
      </c>
      <c r="H1493" s="46" t="s">
        <v>15</v>
      </c>
      <c r="I1493" s="17">
        <v>10000000</v>
      </c>
      <c r="J1493" s="17">
        <f>IF(Gastos[[#This Row],[Divisa]]="$", I1493*1, IF(Gastos[[#This Row],[Divisa]]="U$D", I1493*$N$1, IF(Gastos[[#This Row],[Divisa]]="EUR", I1493*$N$2, 0)))</f>
        <v>10000000</v>
      </c>
      <c r="K1493" s="54">
        <f>Gastos[[#This Row],[Importe AR$]]/$N$1</f>
        <v>6410.2564102564102</v>
      </c>
      <c r="L1493" s="8"/>
      <c r="M1493" s="69">
        <v>46034</v>
      </c>
      <c r="N1493" s="43">
        <f>IF(Gastos[[#This Row],[Fecha_Cheque]]&gt;0,WEEKNUM(Gastos[[#This Row],[Fecha_Cheque]]),MID(Gastos[[#This Row],[Semana]],6,2))</f>
        <v>3</v>
      </c>
      <c r="O1493" t="s">
        <v>939</v>
      </c>
      <c r="P1493" t="s">
        <v>27</v>
      </c>
    </row>
    <row r="1494" spans="1:16" hidden="1" x14ac:dyDescent="0.25">
      <c r="A1494" s="3" t="s">
        <v>152</v>
      </c>
      <c r="B1494" t="s">
        <v>921</v>
      </c>
      <c r="C1494" t="s">
        <v>118</v>
      </c>
      <c r="D1494" t="s">
        <v>26</v>
      </c>
      <c r="E1494" t="s">
        <v>132</v>
      </c>
      <c r="F1494">
        <v>2</v>
      </c>
      <c r="G1494" s="3" t="s">
        <v>32</v>
      </c>
      <c r="H1494" s="46" t="s">
        <v>15</v>
      </c>
      <c r="I1494" s="17">
        <v>500000</v>
      </c>
      <c r="J1494" s="17">
        <f>IF(Gastos[[#This Row],[Divisa]]="$", I1494*1, IF(Gastos[[#This Row],[Divisa]]="U$D", I1494*$N$1, IF(Gastos[[#This Row],[Divisa]]="EUR", I1494*$N$2, 0)))</f>
        <v>500000</v>
      </c>
      <c r="K1494" s="54">
        <f>Gastos[[#This Row],[Importe AR$]]/$N$1</f>
        <v>320.5128205128205</v>
      </c>
      <c r="M1494" s="69">
        <v>46088</v>
      </c>
      <c r="N1494" s="43">
        <f>IF(Gastos[[#This Row],[Fecha_Cheque]]&gt;0,WEEKNUM(Gastos[[#This Row],[Fecha_Cheque]]),MID(Gastos[[#This Row],[Semana]],6,2))</f>
        <v>10</v>
      </c>
      <c r="O1494" t="s">
        <v>940</v>
      </c>
      <c r="P1494" t="s">
        <v>27</v>
      </c>
    </row>
    <row r="1495" spans="1:16" hidden="1" x14ac:dyDescent="0.25">
      <c r="A1495" s="3" t="s">
        <v>152</v>
      </c>
      <c r="B1495" t="s">
        <v>921</v>
      </c>
      <c r="C1495" t="s">
        <v>118</v>
      </c>
      <c r="D1495" t="s">
        <v>26</v>
      </c>
      <c r="E1495" t="s">
        <v>132</v>
      </c>
      <c r="F1495">
        <v>2</v>
      </c>
      <c r="G1495" s="3" t="s">
        <v>32</v>
      </c>
      <c r="H1495" s="46" t="s">
        <v>15</v>
      </c>
      <c r="I1495" s="17">
        <v>900000</v>
      </c>
      <c r="J1495" s="17">
        <f>IF(Gastos[[#This Row],[Divisa]]="$", I1495*1, IF(Gastos[[#This Row],[Divisa]]="U$D", I1495*$N$1, IF(Gastos[[#This Row],[Divisa]]="EUR", I1495*$N$2, 0)))</f>
        <v>900000</v>
      </c>
      <c r="K1495" s="54">
        <f>Gastos[[#This Row],[Importe AR$]]/$N$1</f>
        <v>576.92307692307691</v>
      </c>
      <c r="M1495" s="69">
        <v>46085</v>
      </c>
      <c r="N1495" s="43">
        <f>IF(Gastos[[#This Row],[Fecha_Cheque]]&gt;0,WEEKNUM(Gastos[[#This Row],[Fecha_Cheque]]),MID(Gastos[[#This Row],[Semana]],6,2))</f>
        <v>10</v>
      </c>
      <c r="O1495" t="s">
        <v>940</v>
      </c>
      <c r="P1495" t="s">
        <v>27</v>
      </c>
    </row>
    <row r="1496" spans="1:16" hidden="1" x14ac:dyDescent="0.25">
      <c r="A1496" s="3" t="s">
        <v>152</v>
      </c>
      <c r="B1496" t="s">
        <v>921</v>
      </c>
      <c r="C1496" t="s">
        <v>118</v>
      </c>
      <c r="D1496" t="s">
        <v>26</v>
      </c>
      <c r="E1496" t="s">
        <v>132</v>
      </c>
      <c r="F1496">
        <v>2</v>
      </c>
      <c r="G1496" s="3" t="s">
        <v>32</v>
      </c>
      <c r="H1496" s="46" t="s">
        <v>15</v>
      </c>
      <c r="I1496" s="17">
        <v>2177000</v>
      </c>
      <c r="J1496" s="17">
        <f>IF(Gastos[[#This Row],[Divisa]]="$", I1496*1, IF(Gastos[[#This Row],[Divisa]]="U$D", I1496*$N$1, IF(Gastos[[#This Row],[Divisa]]="EUR", I1496*$N$2, 0)))</f>
        <v>2177000</v>
      </c>
      <c r="K1496" s="54">
        <f>Gastos[[#This Row],[Importe AR$]]/$N$1</f>
        <v>1395.5128205128206</v>
      </c>
      <c r="M1496" s="69">
        <v>46088</v>
      </c>
      <c r="N1496" s="43">
        <f>IF(Gastos[[#This Row],[Fecha_Cheque]]&gt;0,WEEKNUM(Gastos[[#This Row],[Fecha_Cheque]]),MID(Gastos[[#This Row],[Semana]],6,2))</f>
        <v>10</v>
      </c>
      <c r="O1496" t="s">
        <v>940</v>
      </c>
      <c r="P1496" t="s">
        <v>27</v>
      </c>
    </row>
    <row r="1497" spans="1:16" hidden="1" x14ac:dyDescent="0.25">
      <c r="A1497" s="3" t="s">
        <v>152</v>
      </c>
      <c r="B1497" t="s">
        <v>921</v>
      </c>
      <c r="C1497" t="s">
        <v>118</v>
      </c>
      <c r="D1497" t="s">
        <v>26</v>
      </c>
      <c r="E1497" t="s">
        <v>132</v>
      </c>
      <c r="F1497">
        <v>2</v>
      </c>
      <c r="G1497" s="3" t="s">
        <v>32</v>
      </c>
      <c r="H1497" s="46" t="s">
        <v>15</v>
      </c>
      <c r="I1497" s="17">
        <v>2500000</v>
      </c>
      <c r="J1497" s="17">
        <f>IF(Gastos[[#This Row],[Divisa]]="$", I1497*1, IF(Gastos[[#This Row],[Divisa]]="U$D", I1497*$N$1, IF(Gastos[[#This Row],[Divisa]]="EUR", I1497*$N$2, 0)))</f>
        <v>2500000</v>
      </c>
      <c r="K1497" s="54">
        <f>Gastos[[#This Row],[Importe AR$]]/$N$1</f>
        <v>1602.5641025641025</v>
      </c>
      <c r="M1497" s="69">
        <v>46088</v>
      </c>
      <c r="N1497" s="43">
        <f>IF(Gastos[[#This Row],[Fecha_Cheque]]&gt;0,WEEKNUM(Gastos[[#This Row],[Fecha_Cheque]]),MID(Gastos[[#This Row],[Semana]],6,2))</f>
        <v>10</v>
      </c>
      <c r="O1497" t="s">
        <v>940</v>
      </c>
      <c r="P1497" t="s">
        <v>27</v>
      </c>
    </row>
    <row r="1498" spans="1:16" hidden="1" x14ac:dyDescent="0.25">
      <c r="A1498" s="3" t="s">
        <v>152</v>
      </c>
      <c r="B1498" t="s">
        <v>921</v>
      </c>
      <c r="C1498" t="s">
        <v>554</v>
      </c>
      <c r="D1498" t="s">
        <v>26</v>
      </c>
      <c r="E1498" t="s">
        <v>62</v>
      </c>
      <c r="F1498">
        <v>2</v>
      </c>
      <c r="G1498" s="3" t="s">
        <v>4</v>
      </c>
      <c r="H1498" s="46" t="s">
        <v>15</v>
      </c>
      <c r="I1498" s="17">
        <v>500000</v>
      </c>
      <c r="J1498" s="17">
        <f>IF(Gastos[[#This Row],[Divisa]]="$", I1498*1, IF(Gastos[[#This Row],[Divisa]]="U$D", I1498*$N$1, IF(Gastos[[#This Row],[Divisa]]="EUR", I1498*$N$2, 0)))</f>
        <v>500000</v>
      </c>
      <c r="K1498" s="54">
        <f>Gastos[[#This Row],[Importe AR$]]/$N$1</f>
        <v>320.5128205128205</v>
      </c>
      <c r="M1498" s="69"/>
      <c r="N1498" s="43" t="str">
        <f>IF(Gastos[[#This Row],[Fecha_Cheque]]&gt;0,WEEKNUM(Gastos[[#This Row],[Fecha_Cheque]]),MID(Gastos[[#This Row],[Semana]],6,2))</f>
        <v>04</v>
      </c>
      <c r="O1498" t="s">
        <v>941</v>
      </c>
      <c r="P1498" t="s">
        <v>27</v>
      </c>
    </row>
    <row r="1499" spans="1:16" hidden="1" x14ac:dyDescent="0.25">
      <c r="A1499" s="3" t="s">
        <v>68</v>
      </c>
      <c r="B1499" t="s">
        <v>921</v>
      </c>
      <c r="C1499" t="s">
        <v>118</v>
      </c>
      <c r="D1499" t="s">
        <v>26</v>
      </c>
      <c r="E1499" t="s">
        <v>132</v>
      </c>
      <c r="F1499">
        <v>2</v>
      </c>
      <c r="G1499" s="3" t="s">
        <v>32</v>
      </c>
      <c r="H1499" s="46" t="s">
        <v>15</v>
      </c>
      <c r="I1499" s="17">
        <v>1664000</v>
      </c>
      <c r="J1499" s="17">
        <f>IF(Gastos[[#This Row],[Divisa]]="$", I1499*1, IF(Gastos[[#This Row],[Divisa]]="U$D", I1499*$N$1, IF(Gastos[[#This Row],[Divisa]]="EUR", I1499*$N$2, 0)))</f>
        <v>1664000</v>
      </c>
      <c r="K1499" s="54">
        <f>Gastos[[#This Row],[Importe AR$]]/$N$1</f>
        <v>1066.6666666666667</v>
      </c>
      <c r="L1499" s="8"/>
      <c r="M1499" s="69">
        <v>46102</v>
      </c>
      <c r="N1499" s="43">
        <f>IF(Gastos[[#This Row],[Fecha_Cheque]]&gt;0,WEEKNUM(Gastos[[#This Row],[Fecha_Cheque]]),MID(Gastos[[#This Row],[Semana]],6,2))</f>
        <v>12</v>
      </c>
      <c r="O1499" t="s">
        <v>942</v>
      </c>
      <c r="P1499" t="s">
        <v>27</v>
      </c>
    </row>
    <row r="1500" spans="1:16" hidden="1" x14ac:dyDescent="0.25">
      <c r="A1500" s="3" t="s">
        <v>68</v>
      </c>
      <c r="B1500" t="s">
        <v>921</v>
      </c>
      <c r="C1500" t="s">
        <v>118</v>
      </c>
      <c r="D1500" t="s">
        <v>26</v>
      </c>
      <c r="E1500" t="s">
        <v>132</v>
      </c>
      <c r="F1500">
        <v>2</v>
      </c>
      <c r="G1500" s="3" t="s">
        <v>32</v>
      </c>
      <c r="H1500" s="46" t="s">
        <v>15</v>
      </c>
      <c r="I1500" s="17">
        <v>2263000</v>
      </c>
      <c r="J1500" s="17">
        <f>IF(Gastos[[#This Row],[Divisa]]="$", I1500*1, IF(Gastos[[#This Row],[Divisa]]="U$D", I1500*$N$1, IF(Gastos[[#This Row],[Divisa]]="EUR", I1500*$N$2, 0)))</f>
        <v>2263000</v>
      </c>
      <c r="K1500" s="54">
        <f>Gastos[[#This Row],[Importe AR$]]/$N$1</f>
        <v>1450.6410256410256</v>
      </c>
      <c r="L1500" s="8"/>
      <c r="M1500" s="69">
        <v>46101</v>
      </c>
      <c r="N1500" s="43">
        <f>IF(Gastos[[#This Row],[Fecha_Cheque]]&gt;0,WEEKNUM(Gastos[[#This Row],[Fecha_Cheque]]),MID(Gastos[[#This Row],[Semana]],6,2))</f>
        <v>12</v>
      </c>
      <c r="O1500" t="s">
        <v>942</v>
      </c>
      <c r="P1500" t="s">
        <v>27</v>
      </c>
    </row>
    <row r="1501" spans="1:16" hidden="1" x14ac:dyDescent="0.25">
      <c r="A1501" s="3" t="s">
        <v>68</v>
      </c>
      <c r="B1501" t="s">
        <v>921</v>
      </c>
      <c r="C1501" t="s">
        <v>118</v>
      </c>
      <c r="D1501" t="s">
        <v>26</v>
      </c>
      <c r="E1501" t="s">
        <v>132</v>
      </c>
      <c r="F1501">
        <v>2</v>
      </c>
      <c r="G1501" s="3" t="s">
        <v>32</v>
      </c>
      <c r="H1501" s="46" t="s">
        <v>15</v>
      </c>
      <c r="I1501" s="17">
        <v>2263000</v>
      </c>
      <c r="J1501" s="17">
        <f>IF(Gastos[[#This Row],[Divisa]]="$", I1501*1, IF(Gastos[[#This Row],[Divisa]]="U$D", I1501*$N$1, IF(Gastos[[#This Row],[Divisa]]="EUR", I1501*$N$2, 0)))</f>
        <v>2263000</v>
      </c>
      <c r="K1501" s="54">
        <f>Gastos[[#This Row],[Importe AR$]]/$N$1</f>
        <v>1450.6410256410256</v>
      </c>
      <c r="L1501" s="8"/>
      <c r="M1501" s="69">
        <v>46094</v>
      </c>
      <c r="N1501" s="43">
        <f>IF(Gastos[[#This Row],[Fecha_Cheque]]&gt;0,WEEKNUM(Gastos[[#This Row],[Fecha_Cheque]]),MID(Gastos[[#This Row],[Semana]],6,2))</f>
        <v>11</v>
      </c>
      <c r="O1501" t="s">
        <v>942</v>
      </c>
      <c r="P1501" t="s">
        <v>27</v>
      </c>
    </row>
    <row r="1502" spans="1:16" hidden="1" x14ac:dyDescent="0.25">
      <c r="A1502" s="3" t="s">
        <v>68</v>
      </c>
      <c r="B1502" t="s">
        <v>921</v>
      </c>
      <c r="C1502" t="s">
        <v>118</v>
      </c>
      <c r="D1502" t="s">
        <v>26</v>
      </c>
      <c r="E1502" t="s">
        <v>132</v>
      </c>
      <c r="F1502">
        <v>2</v>
      </c>
      <c r="G1502" s="3" t="s">
        <v>32</v>
      </c>
      <c r="H1502" s="46" t="s">
        <v>15</v>
      </c>
      <c r="I1502" s="17">
        <v>2500000</v>
      </c>
      <c r="J1502" s="17">
        <f>IF(Gastos[[#This Row],[Divisa]]="$", I1502*1, IF(Gastos[[#This Row],[Divisa]]="U$D", I1502*$N$1, IF(Gastos[[#This Row],[Divisa]]="EUR", I1502*$N$2, 0)))</f>
        <v>2500000</v>
      </c>
      <c r="K1502" s="54">
        <f>Gastos[[#This Row],[Importe AR$]]/$N$1</f>
        <v>1602.5641025641025</v>
      </c>
      <c r="L1502" s="8"/>
      <c r="M1502" s="69">
        <v>46102</v>
      </c>
      <c r="N1502" s="43">
        <f>IF(Gastos[[#This Row],[Fecha_Cheque]]&gt;0,WEEKNUM(Gastos[[#This Row],[Fecha_Cheque]]),MID(Gastos[[#This Row],[Semana]],6,2))</f>
        <v>12</v>
      </c>
      <c r="O1502" t="s">
        <v>942</v>
      </c>
      <c r="P1502" t="s">
        <v>27</v>
      </c>
    </row>
    <row r="1503" spans="1:16" hidden="1" x14ac:dyDescent="0.25">
      <c r="A1503" s="3" t="s">
        <v>206</v>
      </c>
      <c r="B1503" t="s">
        <v>921</v>
      </c>
      <c r="C1503" t="s">
        <v>118</v>
      </c>
      <c r="D1503" t="s">
        <v>26</v>
      </c>
      <c r="E1503" t="s">
        <v>132</v>
      </c>
      <c r="F1503">
        <v>2</v>
      </c>
      <c r="G1503" s="3" t="s">
        <v>32</v>
      </c>
      <c r="H1503" s="46" t="s">
        <v>15</v>
      </c>
      <c r="I1503" s="17">
        <v>500000</v>
      </c>
      <c r="J1503" s="17">
        <f>IF(Gastos[[#This Row],[Divisa]]="$", I1503*1, IF(Gastos[[#This Row],[Divisa]]="U$D", I1503*$N$1, IF(Gastos[[#This Row],[Divisa]]="EUR", I1503*$N$2, 0)))</f>
        <v>500000</v>
      </c>
      <c r="K1503" s="54">
        <f>Gastos[[#This Row],[Importe AR$]]/$N$1</f>
        <v>320.5128205128205</v>
      </c>
      <c r="M1503" s="69">
        <v>46087</v>
      </c>
      <c r="N1503" s="43">
        <f>IF(Gastos[[#This Row],[Fecha_Cheque]]&gt;0,WEEKNUM(Gastos[[#This Row],[Fecha_Cheque]]),MID(Gastos[[#This Row],[Semana]],6,2))</f>
        <v>10</v>
      </c>
      <c r="O1503" t="s">
        <v>943</v>
      </c>
      <c r="P1503" t="s">
        <v>27</v>
      </c>
    </row>
    <row r="1504" spans="1:16" hidden="1" x14ac:dyDescent="0.25">
      <c r="A1504" s="3" t="s">
        <v>206</v>
      </c>
      <c r="B1504" t="s">
        <v>921</v>
      </c>
      <c r="C1504" t="s">
        <v>118</v>
      </c>
      <c r="D1504" t="s">
        <v>26</v>
      </c>
      <c r="E1504" t="s">
        <v>132</v>
      </c>
      <c r="F1504">
        <v>2</v>
      </c>
      <c r="G1504" s="3" t="s">
        <v>32</v>
      </c>
      <c r="H1504" s="46" t="s">
        <v>15</v>
      </c>
      <c r="I1504" s="17">
        <v>500000</v>
      </c>
      <c r="J1504" s="17">
        <f>IF(Gastos[[#This Row],[Divisa]]="$", I1504*1, IF(Gastos[[#This Row],[Divisa]]="U$D", I1504*$N$1, IF(Gastos[[#This Row],[Divisa]]="EUR", I1504*$N$2, 0)))</f>
        <v>500000</v>
      </c>
      <c r="K1504" s="54">
        <f>Gastos[[#This Row],[Importe AR$]]/$N$1</f>
        <v>320.5128205128205</v>
      </c>
      <c r="M1504" s="69">
        <v>46081</v>
      </c>
      <c r="N1504" s="43">
        <f>IF(Gastos[[#This Row],[Fecha_Cheque]]&gt;0,WEEKNUM(Gastos[[#This Row],[Fecha_Cheque]]),MID(Gastos[[#This Row],[Semana]],6,2))</f>
        <v>9</v>
      </c>
      <c r="O1504" t="s">
        <v>943</v>
      </c>
      <c r="P1504" t="s">
        <v>27</v>
      </c>
    </row>
    <row r="1505" spans="1:16" hidden="1" x14ac:dyDescent="0.25">
      <c r="A1505" s="3" t="s">
        <v>206</v>
      </c>
      <c r="B1505" t="s">
        <v>921</v>
      </c>
      <c r="C1505" t="s">
        <v>118</v>
      </c>
      <c r="D1505" t="s">
        <v>26</v>
      </c>
      <c r="E1505" t="s">
        <v>132</v>
      </c>
      <c r="F1505">
        <v>2</v>
      </c>
      <c r="G1505" s="3" t="s">
        <v>32</v>
      </c>
      <c r="H1505" s="46" t="s">
        <v>15</v>
      </c>
      <c r="I1505" s="17">
        <v>500000</v>
      </c>
      <c r="J1505" s="17">
        <f>IF(Gastos[[#This Row],[Divisa]]="$", I1505*1, IF(Gastos[[#This Row],[Divisa]]="U$D", I1505*$N$1, IF(Gastos[[#This Row],[Divisa]]="EUR", I1505*$N$2, 0)))</f>
        <v>500000</v>
      </c>
      <c r="K1505" s="54">
        <f>Gastos[[#This Row],[Importe AR$]]/$N$1</f>
        <v>320.5128205128205</v>
      </c>
      <c r="M1505" s="69">
        <v>46087</v>
      </c>
      <c r="N1505" s="43">
        <f>IF(Gastos[[#This Row],[Fecha_Cheque]]&gt;0,WEEKNUM(Gastos[[#This Row],[Fecha_Cheque]]),MID(Gastos[[#This Row],[Semana]],6,2))</f>
        <v>10</v>
      </c>
      <c r="O1505" t="s">
        <v>943</v>
      </c>
      <c r="P1505" t="s">
        <v>27</v>
      </c>
    </row>
    <row r="1506" spans="1:16" hidden="1" x14ac:dyDescent="0.25">
      <c r="A1506" s="3" t="s">
        <v>206</v>
      </c>
      <c r="B1506" t="s">
        <v>921</v>
      </c>
      <c r="C1506" t="s">
        <v>118</v>
      </c>
      <c r="D1506" t="s">
        <v>26</v>
      </c>
      <c r="E1506" t="s">
        <v>132</v>
      </c>
      <c r="F1506">
        <v>2</v>
      </c>
      <c r="G1506" s="3" t="s">
        <v>32</v>
      </c>
      <c r="H1506" s="46" t="s">
        <v>15</v>
      </c>
      <c r="I1506" s="17">
        <v>628800</v>
      </c>
      <c r="J1506" s="17">
        <f>IF(Gastos[[#This Row],[Divisa]]="$", I1506*1, IF(Gastos[[#This Row],[Divisa]]="U$D", I1506*$N$1, IF(Gastos[[#This Row],[Divisa]]="EUR", I1506*$N$2, 0)))</f>
        <v>628800</v>
      </c>
      <c r="K1506" s="54">
        <f>Gastos[[#This Row],[Importe AR$]]/$N$1</f>
        <v>403.07692307692309</v>
      </c>
      <c r="M1506" s="69">
        <v>46104</v>
      </c>
      <c r="N1506" s="43">
        <f>IF(Gastos[[#This Row],[Fecha_Cheque]]&gt;0,WEEKNUM(Gastos[[#This Row],[Fecha_Cheque]]),MID(Gastos[[#This Row],[Semana]],6,2))</f>
        <v>13</v>
      </c>
      <c r="O1506" t="s">
        <v>943</v>
      </c>
      <c r="P1506" t="s">
        <v>27</v>
      </c>
    </row>
    <row r="1507" spans="1:16" hidden="1" x14ac:dyDescent="0.25">
      <c r="A1507" s="3" t="s">
        <v>206</v>
      </c>
      <c r="B1507" t="s">
        <v>921</v>
      </c>
      <c r="C1507" t="s">
        <v>118</v>
      </c>
      <c r="D1507" t="s">
        <v>26</v>
      </c>
      <c r="E1507" t="s">
        <v>132</v>
      </c>
      <c r="F1507">
        <v>2</v>
      </c>
      <c r="G1507" s="3" t="s">
        <v>32</v>
      </c>
      <c r="H1507" s="46" t="s">
        <v>15</v>
      </c>
      <c r="I1507" s="17">
        <v>675000</v>
      </c>
      <c r="J1507" s="17">
        <f>IF(Gastos[[#This Row],[Divisa]]="$", I1507*1, IF(Gastos[[#This Row],[Divisa]]="U$D", I1507*$N$1, IF(Gastos[[#This Row],[Divisa]]="EUR", I1507*$N$2, 0)))</f>
        <v>675000</v>
      </c>
      <c r="K1507" s="54">
        <f>Gastos[[#This Row],[Importe AR$]]/$N$1</f>
        <v>432.69230769230768</v>
      </c>
      <c r="M1507" s="69">
        <v>46104</v>
      </c>
      <c r="N1507" s="43">
        <f>IF(Gastos[[#This Row],[Fecha_Cheque]]&gt;0,WEEKNUM(Gastos[[#This Row],[Fecha_Cheque]]),MID(Gastos[[#This Row],[Semana]],6,2))</f>
        <v>13</v>
      </c>
      <c r="O1507" t="s">
        <v>943</v>
      </c>
      <c r="P1507" t="s">
        <v>27</v>
      </c>
    </row>
    <row r="1508" spans="1:16" hidden="1" x14ac:dyDescent="0.25">
      <c r="A1508" s="3" t="s">
        <v>206</v>
      </c>
      <c r="B1508" t="s">
        <v>921</v>
      </c>
      <c r="C1508" t="s">
        <v>118</v>
      </c>
      <c r="D1508" t="s">
        <v>26</v>
      </c>
      <c r="E1508" t="s">
        <v>132</v>
      </c>
      <c r="F1508">
        <v>2</v>
      </c>
      <c r="G1508" s="3" t="s">
        <v>32</v>
      </c>
      <c r="H1508" s="46" t="s">
        <v>15</v>
      </c>
      <c r="I1508" s="17">
        <v>1453450</v>
      </c>
      <c r="J1508" s="17">
        <f>IF(Gastos[[#This Row],[Divisa]]="$", I1508*1, IF(Gastos[[#This Row],[Divisa]]="U$D", I1508*$N$1, IF(Gastos[[#This Row],[Divisa]]="EUR", I1508*$N$2, 0)))</f>
        <v>1453450</v>
      </c>
      <c r="K1508" s="54">
        <f>Gastos[[#This Row],[Importe AR$]]/$N$1</f>
        <v>931.6987179487179</v>
      </c>
      <c r="M1508" s="69">
        <v>46088</v>
      </c>
      <c r="N1508" s="43">
        <f>IF(Gastos[[#This Row],[Fecha_Cheque]]&gt;0,WEEKNUM(Gastos[[#This Row],[Fecha_Cheque]]),MID(Gastos[[#This Row],[Semana]],6,2))</f>
        <v>10</v>
      </c>
      <c r="O1508" t="s">
        <v>943</v>
      </c>
      <c r="P1508" t="s">
        <v>27</v>
      </c>
    </row>
    <row r="1509" spans="1:16" hidden="1" x14ac:dyDescent="0.25">
      <c r="A1509" s="3" t="s">
        <v>206</v>
      </c>
      <c r="B1509" t="s">
        <v>921</v>
      </c>
      <c r="C1509" t="s">
        <v>118</v>
      </c>
      <c r="D1509" t="s">
        <v>26</v>
      </c>
      <c r="E1509" t="s">
        <v>132</v>
      </c>
      <c r="F1509">
        <v>2</v>
      </c>
      <c r="G1509" s="3" t="s">
        <v>32</v>
      </c>
      <c r="H1509" s="46" t="s">
        <v>15</v>
      </c>
      <c r="I1509" s="17">
        <v>1453450</v>
      </c>
      <c r="J1509" s="17">
        <f>IF(Gastos[[#This Row],[Divisa]]="$", I1509*1, IF(Gastos[[#This Row],[Divisa]]="U$D", I1509*$N$1, IF(Gastos[[#This Row],[Divisa]]="EUR", I1509*$N$2, 0)))</f>
        <v>1453450</v>
      </c>
      <c r="K1509" s="54">
        <f>Gastos[[#This Row],[Importe AR$]]/$N$1</f>
        <v>931.6987179487179</v>
      </c>
      <c r="M1509" s="69">
        <v>46080</v>
      </c>
      <c r="N1509" s="43">
        <f>IF(Gastos[[#This Row],[Fecha_Cheque]]&gt;0,WEEKNUM(Gastos[[#This Row],[Fecha_Cheque]]),MID(Gastos[[#This Row],[Semana]],6,2))</f>
        <v>9</v>
      </c>
      <c r="O1509" t="s">
        <v>943</v>
      </c>
      <c r="P1509" t="s">
        <v>27</v>
      </c>
    </row>
    <row r="1510" spans="1:16" hidden="1" x14ac:dyDescent="0.25">
      <c r="A1510" s="3" t="s">
        <v>206</v>
      </c>
      <c r="B1510" t="s">
        <v>921</v>
      </c>
      <c r="C1510" t="s">
        <v>118</v>
      </c>
      <c r="D1510" t="s">
        <v>26</v>
      </c>
      <c r="E1510" t="s">
        <v>132</v>
      </c>
      <c r="F1510">
        <v>2</v>
      </c>
      <c r="G1510" s="3" t="s">
        <v>32</v>
      </c>
      <c r="H1510" s="46" t="s">
        <v>15</v>
      </c>
      <c r="I1510" s="17">
        <v>2628980</v>
      </c>
      <c r="J1510" s="17">
        <f>IF(Gastos[[#This Row],[Divisa]]="$", I1510*1, IF(Gastos[[#This Row],[Divisa]]="U$D", I1510*$N$1, IF(Gastos[[#This Row],[Divisa]]="EUR", I1510*$N$2, 0)))</f>
        <v>2628980</v>
      </c>
      <c r="K1510" s="54">
        <f>Gastos[[#This Row],[Importe AR$]]/$N$1</f>
        <v>1685.2435897435898</v>
      </c>
      <c r="M1510" s="69">
        <v>46102</v>
      </c>
      <c r="N1510" s="43">
        <f>IF(Gastos[[#This Row],[Fecha_Cheque]]&gt;0,WEEKNUM(Gastos[[#This Row],[Fecha_Cheque]]),MID(Gastos[[#This Row],[Semana]],6,2))</f>
        <v>12</v>
      </c>
      <c r="O1510" t="s">
        <v>943</v>
      </c>
      <c r="P1510" t="s">
        <v>27</v>
      </c>
    </row>
    <row r="1511" spans="1:16" hidden="1" x14ac:dyDescent="0.25">
      <c r="A1511" s="3" t="s">
        <v>206</v>
      </c>
      <c r="B1511" t="s">
        <v>921</v>
      </c>
      <c r="C1511" t="s">
        <v>554</v>
      </c>
      <c r="D1511" t="s">
        <v>26</v>
      </c>
      <c r="E1511" t="s">
        <v>132</v>
      </c>
      <c r="F1511">
        <v>2</v>
      </c>
      <c r="G1511" s="3" t="s">
        <v>4</v>
      </c>
      <c r="H1511" s="46" t="s">
        <v>15</v>
      </c>
      <c r="I1511" s="17">
        <v>500000</v>
      </c>
      <c r="J1511" s="17">
        <f>IF(Gastos[[#This Row],[Divisa]]="$", I1511*1, IF(Gastos[[#This Row],[Divisa]]="U$D", I1511*$N$1, IF(Gastos[[#This Row],[Divisa]]="EUR", I1511*$N$2, 0)))</f>
        <v>500000</v>
      </c>
      <c r="K1511" s="54">
        <f>Gastos[[#This Row],[Importe AR$]]/$N$1</f>
        <v>320.5128205128205</v>
      </c>
      <c r="M1511" s="69"/>
      <c r="N1511" s="43" t="str">
        <f>IF(Gastos[[#This Row],[Fecha_Cheque]]&gt;0,WEEKNUM(Gastos[[#This Row],[Fecha_Cheque]]),MID(Gastos[[#This Row],[Semana]],6,2))</f>
        <v>06</v>
      </c>
      <c r="O1511" t="s">
        <v>944</v>
      </c>
      <c r="P1511" t="s">
        <v>27</v>
      </c>
    </row>
    <row r="1512" spans="1:16" hidden="1" x14ac:dyDescent="0.25">
      <c r="A1512" s="3" t="s">
        <v>210</v>
      </c>
      <c r="B1512" t="s">
        <v>921</v>
      </c>
      <c r="C1512" t="s">
        <v>118</v>
      </c>
      <c r="D1512" t="s">
        <v>26</v>
      </c>
      <c r="E1512" t="s">
        <v>132</v>
      </c>
      <c r="F1512">
        <v>1</v>
      </c>
      <c r="G1512" s="3" t="s">
        <v>5</v>
      </c>
      <c r="H1512" s="46" t="s">
        <v>15</v>
      </c>
      <c r="I1512" s="17">
        <v>1500000</v>
      </c>
      <c r="J1512" s="17">
        <f>IF(Gastos[[#This Row],[Divisa]]="$", I1512*1, IF(Gastos[[#This Row],[Divisa]]="U$D", I1512*$N$1, IF(Gastos[[#This Row],[Divisa]]="EUR", I1512*$N$2, 0)))</f>
        <v>1500000</v>
      </c>
      <c r="K1512" s="54">
        <f>Gastos[[#This Row],[Importe AR$]]/$N$1</f>
        <v>961.53846153846155</v>
      </c>
      <c r="M1512" s="69"/>
      <c r="N1512" s="43" t="str">
        <f>IF(Gastos[[#This Row],[Fecha_Cheque]]&gt;0,WEEKNUM(Gastos[[#This Row],[Fecha_Cheque]]),MID(Gastos[[#This Row],[Semana]],6,2))</f>
        <v>37</v>
      </c>
      <c r="O1512" t="s">
        <v>945</v>
      </c>
      <c r="P1512" t="s">
        <v>27</v>
      </c>
    </row>
    <row r="1513" spans="1:16" hidden="1" x14ac:dyDescent="0.25">
      <c r="A1513" s="3" t="s">
        <v>56</v>
      </c>
      <c r="B1513" t="s">
        <v>921</v>
      </c>
      <c r="C1513" t="s">
        <v>118</v>
      </c>
      <c r="D1513" t="s">
        <v>26</v>
      </c>
      <c r="E1513" t="s">
        <v>132</v>
      </c>
      <c r="F1513">
        <v>1</v>
      </c>
      <c r="G1513" s="3" t="s">
        <v>5</v>
      </c>
      <c r="H1513" s="46" t="s">
        <v>15</v>
      </c>
      <c r="I1513" s="17">
        <v>3000000</v>
      </c>
      <c r="J1513" s="17">
        <f>IF(Gastos[[#This Row],[Divisa]]="$", I1513*1, IF(Gastos[[#This Row],[Divisa]]="U$D", I1513*$N$1, IF(Gastos[[#This Row],[Divisa]]="EUR", I1513*$N$2, 0)))</f>
        <v>3000000</v>
      </c>
      <c r="K1513" s="54">
        <f>Gastos[[#This Row],[Importe AR$]]/$N$1</f>
        <v>1923.0769230769231</v>
      </c>
      <c r="M1513" s="69"/>
      <c r="N1513" s="43" t="str">
        <f>IF(Gastos[[#This Row],[Fecha_Cheque]]&gt;0,WEEKNUM(Gastos[[#This Row],[Fecha_Cheque]]),MID(Gastos[[#This Row],[Semana]],6,2))</f>
        <v>41</v>
      </c>
      <c r="O1513" t="s">
        <v>946</v>
      </c>
      <c r="P1513" t="s">
        <v>27</v>
      </c>
    </row>
    <row r="1514" spans="1:16" hidden="1" x14ac:dyDescent="0.25">
      <c r="A1514" s="3" t="s">
        <v>124</v>
      </c>
      <c r="B1514" t="s">
        <v>921</v>
      </c>
      <c r="C1514" t="s">
        <v>885</v>
      </c>
      <c r="D1514" t="s">
        <v>26</v>
      </c>
      <c r="E1514" t="s">
        <v>132</v>
      </c>
      <c r="F1514">
        <v>1</v>
      </c>
      <c r="G1514" s="3" t="s">
        <v>5</v>
      </c>
      <c r="H1514" s="46" t="s">
        <v>15</v>
      </c>
      <c r="I1514" s="17">
        <v>1000000</v>
      </c>
      <c r="J1514" s="17">
        <f>IF(Gastos[[#This Row],[Divisa]]="$", I1514*1, IF(Gastos[[#This Row],[Divisa]]="U$D", I1514*$N$1, IF(Gastos[[#This Row],[Divisa]]="EUR", I1514*$N$2, 0)))</f>
        <v>1000000</v>
      </c>
      <c r="K1514" s="54">
        <f>Gastos[[#This Row],[Importe AR$]]/$N$1</f>
        <v>641.02564102564099</v>
      </c>
      <c r="M1514" s="69"/>
      <c r="N1514" s="43" t="str">
        <f>IF(Gastos[[#This Row],[Fecha_Cheque]]&gt;0,WEEKNUM(Gastos[[#This Row],[Fecha_Cheque]]),MID(Gastos[[#This Row],[Semana]],6,2))</f>
        <v>42</v>
      </c>
      <c r="O1514" t="s">
        <v>947</v>
      </c>
      <c r="P1514" t="s">
        <v>27</v>
      </c>
    </row>
    <row r="1515" spans="1:16" hidden="1" x14ac:dyDescent="0.25">
      <c r="A1515" s="3" t="s">
        <v>93</v>
      </c>
      <c r="B1515" t="s">
        <v>921</v>
      </c>
      <c r="D1515" t="s">
        <v>26</v>
      </c>
      <c r="E1515" t="s">
        <v>91</v>
      </c>
      <c r="F1515">
        <v>1</v>
      </c>
      <c r="G1515" s="3" t="s">
        <v>5</v>
      </c>
      <c r="H1515" s="46" t="s">
        <v>15</v>
      </c>
      <c r="I1515" s="17">
        <v>4000000</v>
      </c>
      <c r="J1515" s="17">
        <f>IF(Gastos[[#This Row],[Divisa]]="$", I1515*1, IF(Gastos[[#This Row],[Divisa]]="U$D", I1515*$N$1, IF(Gastos[[#This Row],[Divisa]]="EUR", I1515*$N$2, 0)))</f>
        <v>4000000</v>
      </c>
      <c r="K1515" s="54">
        <f>Gastos[[#This Row],[Importe AR$]]/$N$1</f>
        <v>2564.102564102564</v>
      </c>
      <c r="M1515" s="69"/>
      <c r="N1515" s="43" t="str">
        <f>IF(Gastos[[#This Row],[Fecha_Cheque]]&gt;0,WEEKNUM(Gastos[[#This Row],[Fecha_Cheque]]),MID(Gastos[[#This Row],[Semana]],6,2))</f>
        <v>50</v>
      </c>
      <c r="O1515" t="s">
        <v>948</v>
      </c>
      <c r="P1515" t="s">
        <v>27</v>
      </c>
    </row>
    <row r="1516" spans="1:16" hidden="1" x14ac:dyDescent="0.25">
      <c r="A1516" s="3" t="s">
        <v>75</v>
      </c>
      <c r="B1516" t="s">
        <v>921</v>
      </c>
      <c r="C1516" t="s">
        <v>118</v>
      </c>
      <c r="D1516" t="s">
        <v>26</v>
      </c>
      <c r="E1516" t="s">
        <v>132</v>
      </c>
      <c r="F1516">
        <v>2</v>
      </c>
      <c r="G1516" s="3" t="s">
        <v>32</v>
      </c>
      <c r="H1516" s="46" t="s">
        <v>15</v>
      </c>
      <c r="I1516" s="17">
        <v>901034</v>
      </c>
      <c r="J1516" s="17">
        <f>IF(Gastos[[#This Row],[Divisa]]="$", I1516*1, IF(Gastos[[#This Row],[Divisa]]="U$D", I1516*$N$1, IF(Gastos[[#This Row],[Divisa]]="EUR", I1516*$N$2, 0)))</f>
        <v>901034</v>
      </c>
      <c r="K1516" s="54">
        <f>Gastos[[#This Row],[Importe AR$]]/$N$1</f>
        <v>577.58589743589744</v>
      </c>
      <c r="M1516" s="69">
        <v>46111</v>
      </c>
      <c r="N1516" s="43">
        <f>IF(Gastos[[#This Row],[Fecha_Cheque]]&gt;0,WEEKNUM(Gastos[[#This Row],[Fecha_Cheque]]),MID(Gastos[[#This Row],[Semana]],6,2))</f>
        <v>14</v>
      </c>
      <c r="O1516" t="s">
        <v>949</v>
      </c>
      <c r="P1516" t="s">
        <v>27</v>
      </c>
    </row>
    <row r="1517" spans="1:16" hidden="1" x14ac:dyDescent="0.25">
      <c r="A1517" s="3" t="s">
        <v>75</v>
      </c>
      <c r="B1517" t="s">
        <v>921</v>
      </c>
      <c r="C1517" t="s">
        <v>118</v>
      </c>
      <c r="D1517" t="s">
        <v>26</v>
      </c>
      <c r="E1517" t="s">
        <v>132</v>
      </c>
      <c r="F1517">
        <v>2</v>
      </c>
      <c r="G1517" s="3" t="s">
        <v>32</v>
      </c>
      <c r="H1517" s="46" t="s">
        <v>15</v>
      </c>
      <c r="I1517" s="17">
        <v>2263000</v>
      </c>
      <c r="J1517" s="17">
        <f>IF(Gastos[[#This Row],[Divisa]]="$", I1517*1, IF(Gastos[[#This Row],[Divisa]]="U$D", I1517*$N$1, IF(Gastos[[#This Row],[Divisa]]="EUR", I1517*$N$2, 0)))</f>
        <v>2263000</v>
      </c>
      <c r="K1517" s="54">
        <f>Gastos[[#This Row],[Importe AR$]]/$N$1</f>
        <v>1450.6410256410256</v>
      </c>
      <c r="M1517" s="69">
        <v>46112</v>
      </c>
      <c r="N1517" s="43">
        <f>IF(Gastos[[#This Row],[Fecha_Cheque]]&gt;0,WEEKNUM(Gastos[[#This Row],[Fecha_Cheque]]),MID(Gastos[[#This Row],[Semana]],6,2))</f>
        <v>14</v>
      </c>
      <c r="O1517" t="s">
        <v>949</v>
      </c>
      <c r="P1517" t="s">
        <v>27</v>
      </c>
    </row>
    <row r="1518" spans="1:16" hidden="1" x14ac:dyDescent="0.25">
      <c r="A1518" s="3" t="s">
        <v>75</v>
      </c>
      <c r="B1518" t="s">
        <v>921</v>
      </c>
      <c r="C1518" t="s">
        <v>118</v>
      </c>
      <c r="D1518" t="s">
        <v>26</v>
      </c>
      <c r="E1518" t="s">
        <v>132</v>
      </c>
      <c r="F1518">
        <v>2</v>
      </c>
      <c r="G1518" s="3" t="s">
        <v>32</v>
      </c>
      <c r="H1518" s="46" t="s">
        <v>15</v>
      </c>
      <c r="I1518" s="17">
        <v>2263000</v>
      </c>
      <c r="J1518" s="17">
        <f>IF(Gastos[[#This Row],[Divisa]]="$", I1518*1, IF(Gastos[[#This Row],[Divisa]]="U$D", I1518*$N$1, IF(Gastos[[#This Row],[Divisa]]="EUR", I1518*$N$2, 0)))</f>
        <v>2263000</v>
      </c>
      <c r="K1518" s="54">
        <f>Gastos[[#This Row],[Importe AR$]]/$N$1</f>
        <v>1450.6410256410256</v>
      </c>
      <c r="M1518" s="69">
        <v>46111</v>
      </c>
      <c r="N1518" s="43">
        <f>IF(Gastos[[#This Row],[Fecha_Cheque]]&gt;0,WEEKNUM(Gastos[[#This Row],[Fecha_Cheque]]),MID(Gastos[[#This Row],[Semana]],6,2))</f>
        <v>14</v>
      </c>
      <c r="O1518" t="s">
        <v>949</v>
      </c>
      <c r="P1518" t="s">
        <v>27</v>
      </c>
    </row>
    <row r="1519" spans="1:16" hidden="1" x14ac:dyDescent="0.25">
      <c r="A1519" s="3" t="s">
        <v>75</v>
      </c>
      <c r="B1519" t="s">
        <v>921</v>
      </c>
      <c r="C1519" t="s">
        <v>118</v>
      </c>
      <c r="D1519" t="s">
        <v>26</v>
      </c>
      <c r="E1519" t="s">
        <v>132</v>
      </c>
      <c r="F1519">
        <v>2</v>
      </c>
      <c r="G1519" s="3" t="s">
        <v>32</v>
      </c>
      <c r="H1519" s="46" t="s">
        <v>15</v>
      </c>
      <c r="I1519" s="17">
        <v>5000000</v>
      </c>
      <c r="J1519" s="17">
        <f>IF(Gastos[[#This Row],[Divisa]]="$", I1519*1, IF(Gastos[[#This Row],[Divisa]]="U$D", I1519*$N$1, IF(Gastos[[#This Row],[Divisa]]="EUR", I1519*$N$2, 0)))</f>
        <v>5000000</v>
      </c>
      <c r="K1519" s="54">
        <f>Gastos[[#This Row],[Importe AR$]]/$N$1</f>
        <v>3205.1282051282051</v>
      </c>
      <c r="M1519" s="69">
        <v>46110</v>
      </c>
      <c r="N1519" s="43">
        <f>IF(Gastos[[#This Row],[Fecha_Cheque]]&gt;0,WEEKNUM(Gastos[[#This Row],[Fecha_Cheque]]),MID(Gastos[[#This Row],[Semana]],6,2))</f>
        <v>14</v>
      </c>
      <c r="O1519" t="s">
        <v>949</v>
      </c>
      <c r="P1519" t="s">
        <v>27</v>
      </c>
    </row>
    <row r="1520" spans="1:16" hidden="1" x14ac:dyDescent="0.25">
      <c r="A1520" s="3" t="s">
        <v>75</v>
      </c>
      <c r="B1520" t="s">
        <v>921</v>
      </c>
      <c r="C1520" t="s">
        <v>118</v>
      </c>
      <c r="D1520" t="s">
        <v>26</v>
      </c>
      <c r="E1520" t="s">
        <v>132</v>
      </c>
      <c r="F1520">
        <v>2</v>
      </c>
      <c r="G1520" s="3" t="s">
        <v>32</v>
      </c>
      <c r="H1520" s="46" t="s">
        <v>15</v>
      </c>
      <c r="I1520" s="17">
        <v>5000000</v>
      </c>
      <c r="J1520" s="17">
        <f>IF(Gastos[[#This Row],[Divisa]]="$", I1520*1, IF(Gastos[[#This Row],[Divisa]]="U$D", I1520*$N$1, IF(Gastos[[#This Row],[Divisa]]="EUR", I1520*$N$2, 0)))</f>
        <v>5000000</v>
      </c>
      <c r="K1520" s="54">
        <f>Gastos[[#This Row],[Importe AR$]]/$N$1</f>
        <v>3205.1282051282051</v>
      </c>
      <c r="M1520" s="69">
        <v>46109</v>
      </c>
      <c r="N1520" s="43">
        <f>IF(Gastos[[#This Row],[Fecha_Cheque]]&gt;0,WEEKNUM(Gastos[[#This Row],[Fecha_Cheque]]),MID(Gastos[[#This Row],[Semana]],6,2))</f>
        <v>13</v>
      </c>
      <c r="O1520" t="s">
        <v>949</v>
      </c>
      <c r="P1520" t="s">
        <v>27</v>
      </c>
    </row>
    <row r="1521" spans="1:16" hidden="1" x14ac:dyDescent="0.25">
      <c r="A1521" s="3" t="s">
        <v>75</v>
      </c>
      <c r="B1521" t="s">
        <v>921</v>
      </c>
      <c r="D1521" t="s">
        <v>26</v>
      </c>
      <c r="E1521" t="s">
        <v>91</v>
      </c>
      <c r="F1521">
        <v>1</v>
      </c>
      <c r="G1521" s="3" t="s">
        <v>5</v>
      </c>
      <c r="H1521" s="46" t="s">
        <v>15</v>
      </c>
      <c r="I1521" s="17">
        <v>4000000</v>
      </c>
      <c r="J1521" s="17">
        <f>IF(Gastos[[#This Row],[Divisa]]="$", I1521*1, IF(Gastos[[#This Row],[Divisa]]="U$D", I1521*$N$1, IF(Gastos[[#This Row],[Divisa]]="EUR", I1521*$N$2, 0)))</f>
        <v>4000000</v>
      </c>
      <c r="K1521" s="54">
        <f>Gastos[[#This Row],[Importe AR$]]/$N$1</f>
        <v>2564.102564102564</v>
      </c>
      <c r="M1521" s="69"/>
      <c r="N1521" s="43" t="str">
        <f>IF(Gastos[[#This Row],[Fecha_Cheque]]&gt;0,WEEKNUM(Gastos[[#This Row],[Fecha_Cheque]]),MID(Gastos[[#This Row],[Semana]],6,2))</f>
        <v>07</v>
      </c>
      <c r="O1521" t="s">
        <v>950</v>
      </c>
      <c r="P1521" t="s">
        <v>27</v>
      </c>
    </row>
    <row r="1522" spans="1:16" hidden="1" x14ac:dyDescent="0.25">
      <c r="A1522" s="3" t="s">
        <v>180</v>
      </c>
      <c r="B1522" t="s">
        <v>921</v>
      </c>
      <c r="C1522" t="s">
        <v>118</v>
      </c>
      <c r="D1522" t="s">
        <v>26</v>
      </c>
      <c r="E1522" t="s">
        <v>132</v>
      </c>
      <c r="F1522">
        <v>2</v>
      </c>
      <c r="G1522" s="3" t="s">
        <v>32</v>
      </c>
      <c r="H1522" s="46" t="s">
        <v>15</v>
      </c>
      <c r="I1522" s="17">
        <v>1532495.03</v>
      </c>
      <c r="J1522" s="17">
        <f>IF(Gastos[[#This Row],[Divisa]]="$", I1522*1, IF(Gastos[[#This Row],[Divisa]]="U$D", I1522*$N$1, IF(Gastos[[#This Row],[Divisa]]="EUR", I1522*$N$2, 0)))</f>
        <v>1532495.03</v>
      </c>
      <c r="K1522" s="54">
        <f>Gastos[[#This Row],[Importe AR$]]/$N$1</f>
        <v>982.36860897435895</v>
      </c>
      <c r="M1522" s="69">
        <v>46068</v>
      </c>
      <c r="N1522" s="43">
        <f>IF(Gastos[[#This Row],[Fecha_Cheque]]&gt;0,WEEKNUM(Gastos[[#This Row],[Fecha_Cheque]]),MID(Gastos[[#This Row],[Semana]],6,2))</f>
        <v>8</v>
      </c>
      <c r="O1522" t="s">
        <v>1078</v>
      </c>
      <c r="P1522" t="s">
        <v>27</v>
      </c>
    </row>
    <row r="1523" spans="1:16" hidden="1" x14ac:dyDescent="0.25">
      <c r="A1523" s="3" t="s">
        <v>180</v>
      </c>
      <c r="B1523" t="s">
        <v>921</v>
      </c>
      <c r="C1523" t="s">
        <v>118</v>
      </c>
      <c r="D1523" t="s">
        <v>26</v>
      </c>
      <c r="E1523" t="s">
        <v>132</v>
      </c>
      <c r="F1523">
        <v>2</v>
      </c>
      <c r="G1523" s="3" t="s">
        <v>32</v>
      </c>
      <c r="H1523" s="46" t="s">
        <v>15</v>
      </c>
      <c r="I1523" s="17">
        <v>1964100</v>
      </c>
      <c r="J1523" s="17">
        <f>IF(Gastos[[#This Row],[Divisa]]="$", I1523*1, IF(Gastos[[#This Row],[Divisa]]="U$D", I1523*$N$1, IF(Gastos[[#This Row],[Divisa]]="EUR", I1523*$N$2, 0)))</f>
        <v>1964100</v>
      </c>
      <c r="K1523" s="54">
        <f>Gastos[[#This Row],[Importe AR$]]/$N$1</f>
        <v>1259.0384615384614</v>
      </c>
      <c r="M1523" s="69">
        <v>46087</v>
      </c>
      <c r="N1523" s="43">
        <f>IF(Gastos[[#This Row],[Fecha_Cheque]]&gt;0,WEEKNUM(Gastos[[#This Row],[Fecha_Cheque]]),MID(Gastos[[#This Row],[Semana]],6,2))</f>
        <v>10</v>
      </c>
      <c r="O1523" t="s">
        <v>1078</v>
      </c>
      <c r="P1523" t="s">
        <v>27</v>
      </c>
    </row>
    <row r="1524" spans="1:16" hidden="1" x14ac:dyDescent="0.25">
      <c r="A1524" s="3" t="s">
        <v>180</v>
      </c>
      <c r="B1524" t="s">
        <v>921</v>
      </c>
      <c r="C1524" t="s">
        <v>118</v>
      </c>
      <c r="D1524" t="s">
        <v>26</v>
      </c>
      <c r="E1524" t="s">
        <v>132</v>
      </c>
      <c r="F1524">
        <v>2</v>
      </c>
      <c r="G1524" s="3" t="s">
        <v>32</v>
      </c>
      <c r="H1524" s="46" t="s">
        <v>15</v>
      </c>
      <c r="I1524" s="17">
        <v>2223980</v>
      </c>
      <c r="J1524" s="17">
        <f>IF(Gastos[[#This Row],[Divisa]]="$", I1524*1, IF(Gastos[[#This Row],[Divisa]]="U$D", I1524*$N$1, IF(Gastos[[#This Row],[Divisa]]="EUR", I1524*$N$2, 0)))</f>
        <v>2223980</v>
      </c>
      <c r="K1524" s="54">
        <f>Gastos[[#This Row],[Importe AR$]]/$N$1</f>
        <v>1425.6282051282051</v>
      </c>
      <c r="M1524" s="69">
        <v>46102</v>
      </c>
      <c r="N1524" s="43">
        <f>IF(Gastos[[#This Row],[Fecha_Cheque]]&gt;0,WEEKNUM(Gastos[[#This Row],[Fecha_Cheque]]),MID(Gastos[[#This Row],[Semana]],6,2))</f>
        <v>12</v>
      </c>
      <c r="O1524" t="s">
        <v>1078</v>
      </c>
      <c r="P1524" t="s">
        <v>27</v>
      </c>
    </row>
    <row r="1525" spans="1:16" hidden="1" x14ac:dyDescent="0.25">
      <c r="A1525" s="3" t="s">
        <v>180</v>
      </c>
      <c r="B1525" t="s">
        <v>921</v>
      </c>
      <c r="C1525" t="s">
        <v>118</v>
      </c>
      <c r="D1525" t="s">
        <v>26</v>
      </c>
      <c r="E1525" t="s">
        <v>132</v>
      </c>
      <c r="F1525">
        <v>2</v>
      </c>
      <c r="G1525" s="3" t="s">
        <v>32</v>
      </c>
      <c r="H1525" s="46" t="s">
        <v>15</v>
      </c>
      <c r="I1525" s="17">
        <v>4830000</v>
      </c>
      <c r="J1525" s="17">
        <f>IF(Gastos[[#This Row],[Divisa]]="$", I1525*1, IF(Gastos[[#This Row],[Divisa]]="U$D", I1525*$N$1, IF(Gastos[[#This Row],[Divisa]]="EUR", I1525*$N$2, 0)))</f>
        <v>4830000</v>
      </c>
      <c r="K1525" s="54">
        <f>Gastos[[#This Row],[Importe AR$]]/$N$1</f>
        <v>3096.1538461538462</v>
      </c>
      <c r="M1525" s="69">
        <v>46131</v>
      </c>
      <c r="N1525" s="43">
        <f>IF(Gastos[[#This Row],[Fecha_Cheque]]&gt;0,WEEKNUM(Gastos[[#This Row],[Fecha_Cheque]]),MID(Gastos[[#This Row],[Semana]],6,2))</f>
        <v>17</v>
      </c>
      <c r="O1525" t="s">
        <v>1078</v>
      </c>
      <c r="P1525" t="s">
        <v>27</v>
      </c>
    </row>
    <row r="1526" spans="1:16" hidden="1" x14ac:dyDescent="0.25">
      <c r="A1526" s="3" t="s">
        <v>180</v>
      </c>
      <c r="B1526" t="s">
        <v>921</v>
      </c>
      <c r="C1526" t="s">
        <v>118</v>
      </c>
      <c r="D1526" t="s">
        <v>26</v>
      </c>
      <c r="E1526" t="s">
        <v>132</v>
      </c>
      <c r="F1526">
        <v>2</v>
      </c>
      <c r="G1526" s="3" t="s">
        <v>32</v>
      </c>
      <c r="H1526" s="46" t="s">
        <v>15</v>
      </c>
      <c r="I1526" s="17">
        <v>1919600</v>
      </c>
      <c r="J1526" s="17">
        <f>IF(Gastos[[#This Row],[Divisa]]="$", I1526*1, IF(Gastos[[#This Row],[Divisa]]="U$D", I1526*$N$1, IF(Gastos[[#This Row],[Divisa]]="EUR", I1526*$N$2, 0)))</f>
        <v>1919600</v>
      </c>
      <c r="K1526" s="54">
        <f>Gastos[[#This Row],[Importe AR$]]/$N$1</f>
        <v>1230.5128205128206</v>
      </c>
      <c r="M1526" s="69">
        <v>46127</v>
      </c>
      <c r="N1526" s="43">
        <f>IF(Gastos[[#This Row],[Fecha_Cheque]]&gt;0,WEEKNUM(Gastos[[#This Row],[Fecha_Cheque]]),MID(Gastos[[#This Row],[Semana]],6,2))</f>
        <v>16</v>
      </c>
      <c r="O1526" t="s">
        <v>1117</v>
      </c>
      <c r="P1526" t="s">
        <v>27</v>
      </c>
    </row>
    <row r="1527" spans="1:16" hidden="1" x14ac:dyDescent="0.25">
      <c r="A1527" s="3" t="s">
        <v>180</v>
      </c>
      <c r="B1527" t="s">
        <v>921</v>
      </c>
      <c r="C1527" t="s">
        <v>118</v>
      </c>
      <c r="D1527" t="s">
        <v>26</v>
      </c>
      <c r="E1527" t="s">
        <v>132</v>
      </c>
      <c r="F1527">
        <v>2</v>
      </c>
      <c r="G1527" s="3" t="s">
        <v>32</v>
      </c>
      <c r="H1527" s="46" t="s">
        <v>15</v>
      </c>
      <c r="I1527" s="17">
        <v>2000000</v>
      </c>
      <c r="J1527" s="17">
        <f>IF(Gastos[[#This Row],[Divisa]]="$", I1527*1, IF(Gastos[[#This Row],[Divisa]]="U$D", I1527*$N$1, IF(Gastos[[#This Row],[Divisa]]="EUR", I1527*$N$2, 0)))</f>
        <v>2000000</v>
      </c>
      <c r="K1527" s="54">
        <f>Gastos[[#This Row],[Importe AR$]]/$N$1</f>
        <v>1282.051282051282</v>
      </c>
      <c r="M1527" s="69">
        <v>46122</v>
      </c>
      <c r="N1527" s="43">
        <f>IF(Gastos[[#This Row],[Fecha_Cheque]]&gt;0,WEEKNUM(Gastos[[#This Row],[Fecha_Cheque]]),MID(Gastos[[#This Row],[Semana]],6,2))</f>
        <v>15</v>
      </c>
      <c r="O1527" t="s">
        <v>1117</v>
      </c>
      <c r="P1527" t="s">
        <v>27</v>
      </c>
    </row>
    <row r="1528" spans="1:16" hidden="1" x14ac:dyDescent="0.25">
      <c r="A1528" s="3" t="s">
        <v>180</v>
      </c>
      <c r="B1528" t="s">
        <v>921</v>
      </c>
      <c r="C1528" t="s">
        <v>118</v>
      </c>
      <c r="D1528" t="s">
        <v>26</v>
      </c>
      <c r="E1528" t="s">
        <v>132</v>
      </c>
      <c r="F1528">
        <v>2</v>
      </c>
      <c r="G1528" s="3" t="s">
        <v>32</v>
      </c>
      <c r="H1528" s="46" t="s">
        <v>15</v>
      </c>
      <c r="I1528" s="17">
        <v>3000000</v>
      </c>
      <c r="J1528" s="17">
        <f>IF(Gastos[[#This Row],[Divisa]]="$", I1528*1, IF(Gastos[[#This Row],[Divisa]]="U$D", I1528*$N$1, IF(Gastos[[#This Row],[Divisa]]="EUR", I1528*$N$2, 0)))</f>
        <v>3000000</v>
      </c>
      <c r="K1528" s="54">
        <f>Gastos[[#This Row],[Importe AR$]]/$N$1</f>
        <v>1923.0769230769231</v>
      </c>
      <c r="M1528" s="69">
        <v>46140</v>
      </c>
      <c r="N1528" s="43">
        <f>IF(Gastos[[#This Row],[Fecha_Cheque]]&gt;0,WEEKNUM(Gastos[[#This Row],[Fecha_Cheque]]),MID(Gastos[[#This Row],[Semana]],6,2))</f>
        <v>18</v>
      </c>
      <c r="O1528" t="s">
        <v>1117</v>
      </c>
      <c r="P1528" t="s">
        <v>27</v>
      </c>
    </row>
    <row r="1529" spans="1:16" hidden="1" x14ac:dyDescent="0.25">
      <c r="A1529" s="3" t="s">
        <v>619</v>
      </c>
      <c r="B1529" t="s">
        <v>921</v>
      </c>
      <c r="C1529" t="s">
        <v>118</v>
      </c>
      <c r="D1529" t="s">
        <v>26</v>
      </c>
      <c r="E1529" t="s">
        <v>132</v>
      </c>
      <c r="F1529">
        <v>2</v>
      </c>
      <c r="G1529" s="3" t="s">
        <v>32</v>
      </c>
      <c r="H1529" s="44" t="s">
        <v>15</v>
      </c>
      <c r="I1529" s="17">
        <v>1000000</v>
      </c>
      <c r="J1529" s="17">
        <f>IF(Gastos[[#This Row],[Divisa]]="$", I1529*1, IF(Gastos[[#This Row],[Divisa]]="U$D", I1529*$N$1, IF(Gastos[[#This Row],[Divisa]]="EUR", I1529*$N$2, 0)))</f>
        <v>1000000</v>
      </c>
      <c r="K1529" s="54">
        <f>Gastos[[#This Row],[Importe AR$]]/$N$1</f>
        <v>641.02564102564099</v>
      </c>
      <c r="L1529" s="8"/>
      <c r="M1529" s="69">
        <v>46132</v>
      </c>
      <c r="N1529" s="43">
        <f>IF(Gastos[[#This Row],[Fecha_Cheque]]&gt;0,WEEKNUM(Gastos[[#This Row],[Fecha_Cheque]]),MID(Gastos[[#This Row],[Semana]],6,2))</f>
        <v>17</v>
      </c>
      <c r="O1529" t="s">
        <v>1817</v>
      </c>
      <c r="P1529" t="s">
        <v>27</v>
      </c>
    </row>
    <row r="1530" spans="1:16" hidden="1" x14ac:dyDescent="0.25">
      <c r="A1530" s="3" t="s">
        <v>619</v>
      </c>
      <c r="B1530" t="s">
        <v>921</v>
      </c>
      <c r="C1530" t="s">
        <v>118</v>
      </c>
      <c r="D1530" t="s">
        <v>26</v>
      </c>
      <c r="E1530" t="s">
        <v>132</v>
      </c>
      <c r="F1530">
        <v>2</v>
      </c>
      <c r="G1530" s="3" t="s">
        <v>32</v>
      </c>
      <c r="H1530" s="44" t="s">
        <v>15</v>
      </c>
      <c r="I1530" s="17">
        <v>1000000</v>
      </c>
      <c r="J1530" s="17">
        <f>IF(Gastos[[#This Row],[Divisa]]="$", I1530*1, IF(Gastos[[#This Row],[Divisa]]="U$D", I1530*$N$1, IF(Gastos[[#This Row],[Divisa]]="EUR", I1530*$N$2, 0)))</f>
        <v>1000000</v>
      </c>
      <c r="K1530" s="54">
        <f>Gastos[[#This Row],[Importe AR$]]/$N$1</f>
        <v>641.02564102564099</v>
      </c>
      <c r="M1530" s="69">
        <v>46139</v>
      </c>
      <c r="N1530" s="43">
        <f>IF(Gastos[[#This Row],[Fecha_Cheque]]&gt;0,WEEKNUM(Gastos[[#This Row],[Fecha_Cheque]]),MID(Gastos[[#This Row],[Semana]],6,2))</f>
        <v>18</v>
      </c>
      <c r="O1530" t="s">
        <v>1817</v>
      </c>
      <c r="P1530" t="s">
        <v>27</v>
      </c>
    </row>
    <row r="1531" spans="1:16" hidden="1" x14ac:dyDescent="0.25">
      <c r="A1531" s="3" t="s">
        <v>619</v>
      </c>
      <c r="B1531" t="s">
        <v>921</v>
      </c>
      <c r="C1531" t="s">
        <v>118</v>
      </c>
      <c r="D1531" t="s">
        <v>26</v>
      </c>
      <c r="E1531" t="s">
        <v>132</v>
      </c>
      <c r="F1531">
        <v>2</v>
      </c>
      <c r="G1531" s="3" t="s">
        <v>32</v>
      </c>
      <c r="H1531" s="44" t="s">
        <v>15</v>
      </c>
      <c r="I1531" s="17">
        <v>1000000</v>
      </c>
      <c r="J1531" s="17">
        <f>IF(Gastos[[#This Row],[Divisa]]="$", I1531*1, IF(Gastos[[#This Row],[Divisa]]="U$D", I1531*$N$1, IF(Gastos[[#This Row],[Divisa]]="EUR", I1531*$N$2, 0)))</f>
        <v>1000000</v>
      </c>
      <c r="K1531" s="54">
        <f>Gastos[[#This Row],[Importe AR$]]/$N$1</f>
        <v>641.02564102564099</v>
      </c>
      <c r="M1531" s="69">
        <v>46135</v>
      </c>
      <c r="N1531" s="43">
        <f>IF(Gastos[[#This Row],[Fecha_Cheque]]&gt;0,WEEKNUM(Gastos[[#This Row],[Fecha_Cheque]]),MID(Gastos[[#This Row],[Semana]],6,2))</f>
        <v>17</v>
      </c>
      <c r="O1531" t="s">
        <v>1817</v>
      </c>
      <c r="P1531" t="s">
        <v>27</v>
      </c>
    </row>
    <row r="1532" spans="1:16" hidden="1" x14ac:dyDescent="0.25">
      <c r="A1532" s="3" t="s">
        <v>619</v>
      </c>
      <c r="B1532" t="s">
        <v>921</v>
      </c>
      <c r="C1532" t="s">
        <v>118</v>
      </c>
      <c r="D1532" t="s">
        <v>26</v>
      </c>
      <c r="E1532" t="s">
        <v>132</v>
      </c>
      <c r="F1532">
        <v>2</v>
      </c>
      <c r="G1532" s="3" t="s">
        <v>32</v>
      </c>
      <c r="H1532" s="44" t="s">
        <v>15</v>
      </c>
      <c r="I1532" s="17">
        <v>1000000</v>
      </c>
      <c r="J1532" s="17">
        <f>IF(Gastos[[#This Row],[Divisa]]="$", I1532*1, IF(Gastos[[#This Row],[Divisa]]="U$D", I1532*$N$1, IF(Gastos[[#This Row],[Divisa]]="EUR", I1532*$N$2, 0)))</f>
        <v>1000000</v>
      </c>
      <c r="K1532" s="54">
        <f>Gastos[[#This Row],[Importe AR$]]/$N$1</f>
        <v>641.02564102564099</v>
      </c>
      <c r="M1532" s="69">
        <v>46142</v>
      </c>
      <c r="N1532" s="43">
        <f>IF(Gastos[[#This Row],[Fecha_Cheque]]&gt;0,WEEKNUM(Gastos[[#This Row],[Fecha_Cheque]]),MID(Gastos[[#This Row],[Semana]],6,2))</f>
        <v>18</v>
      </c>
      <c r="O1532" t="s">
        <v>1817</v>
      </c>
      <c r="P1532" t="s">
        <v>27</v>
      </c>
    </row>
    <row r="1533" spans="1:16" hidden="1" x14ac:dyDescent="0.25">
      <c r="A1533" s="3" t="s">
        <v>619</v>
      </c>
      <c r="B1533" t="s">
        <v>921</v>
      </c>
      <c r="C1533" t="s">
        <v>118</v>
      </c>
      <c r="D1533" t="s">
        <v>26</v>
      </c>
      <c r="E1533" t="s">
        <v>132</v>
      </c>
      <c r="F1533">
        <v>2</v>
      </c>
      <c r="G1533" s="3" t="s">
        <v>32</v>
      </c>
      <c r="H1533" s="44" t="s">
        <v>15</v>
      </c>
      <c r="I1533" s="17">
        <v>1000000</v>
      </c>
      <c r="J1533" s="17">
        <f>IF(Gastos[[#This Row],[Divisa]]="$", I1533*1, IF(Gastos[[#This Row],[Divisa]]="U$D", I1533*$N$1, IF(Gastos[[#This Row],[Divisa]]="EUR", I1533*$N$2, 0)))</f>
        <v>1000000</v>
      </c>
      <c r="K1533" s="54">
        <f>Gastos[[#This Row],[Importe AR$]]/$N$1</f>
        <v>641.02564102564099</v>
      </c>
      <c r="M1533" s="69">
        <v>46140</v>
      </c>
      <c r="N1533" s="43">
        <f>IF(Gastos[[#This Row],[Fecha_Cheque]]&gt;0,WEEKNUM(Gastos[[#This Row],[Fecha_Cheque]]),MID(Gastos[[#This Row],[Semana]],6,2))</f>
        <v>18</v>
      </c>
      <c r="O1533" t="s">
        <v>1817</v>
      </c>
      <c r="P1533" t="s">
        <v>27</v>
      </c>
    </row>
    <row r="1534" spans="1:16" hidden="1" x14ac:dyDescent="0.25">
      <c r="A1534" s="3" t="s">
        <v>619</v>
      </c>
      <c r="B1534" t="s">
        <v>921</v>
      </c>
      <c r="C1534" t="s">
        <v>118</v>
      </c>
      <c r="D1534" t="s">
        <v>26</v>
      </c>
      <c r="E1534" t="s">
        <v>132</v>
      </c>
      <c r="F1534">
        <v>2</v>
      </c>
      <c r="G1534" s="3" t="s">
        <v>32</v>
      </c>
      <c r="H1534" s="44" t="s">
        <v>15</v>
      </c>
      <c r="I1534" s="17">
        <v>1000000</v>
      </c>
      <c r="J1534" s="17">
        <f>IF(Gastos[[#This Row],[Divisa]]="$", I1534*1, IF(Gastos[[#This Row],[Divisa]]="U$D", I1534*$N$1, IF(Gastos[[#This Row],[Divisa]]="EUR", I1534*$N$2, 0)))</f>
        <v>1000000</v>
      </c>
      <c r="K1534" s="54">
        <f>Gastos[[#This Row],[Importe AR$]]/$N$1</f>
        <v>641.02564102564099</v>
      </c>
      <c r="M1534" s="69">
        <v>46136</v>
      </c>
      <c r="N1534" s="43">
        <f>IF(Gastos[[#This Row],[Fecha_Cheque]]&gt;0,WEEKNUM(Gastos[[#This Row],[Fecha_Cheque]]),MID(Gastos[[#This Row],[Semana]],6,2))</f>
        <v>17</v>
      </c>
      <c r="O1534" t="s">
        <v>1817</v>
      </c>
      <c r="P1534" t="s">
        <v>27</v>
      </c>
    </row>
    <row r="1535" spans="1:16" hidden="1" x14ac:dyDescent="0.25">
      <c r="A1535" s="3" t="s">
        <v>2792</v>
      </c>
      <c r="B1535" t="s">
        <v>921</v>
      </c>
      <c r="C1535" t="s">
        <v>118</v>
      </c>
      <c r="D1535" t="s">
        <v>26</v>
      </c>
      <c r="E1535" t="s">
        <v>132</v>
      </c>
      <c r="F1535">
        <v>2</v>
      </c>
      <c r="G1535" s="3" t="s">
        <v>32</v>
      </c>
      <c r="H1535" s="44" t="s">
        <v>15</v>
      </c>
      <c r="I1535" s="17">
        <v>1214000</v>
      </c>
      <c r="J1535" s="17">
        <f>IF(Gastos[[#This Row],[Divisa]]="$", I1535*1, IF(Gastos[[#This Row],[Divisa]]="U$D", I1535*$N$1, IF(Gastos[[#This Row],[Divisa]]="EUR", I1535*$N$2, 0)))</f>
        <v>1214000</v>
      </c>
      <c r="K1535" s="54">
        <f>Gastos[[#This Row],[Importe AR$]]/$N$1</f>
        <v>778.20512820512818</v>
      </c>
      <c r="M1535" s="69">
        <v>46170</v>
      </c>
      <c r="N1535" s="43">
        <f>IF(Gastos[[#This Row],[Fecha_Cheque]]&gt;0,WEEKNUM(Gastos[[#This Row],[Fecha_Cheque]]),MID(Gastos[[#This Row],[Semana]],6,2))</f>
        <v>22</v>
      </c>
      <c r="O1535" t="s">
        <v>3091</v>
      </c>
      <c r="P1535" t="s">
        <v>27</v>
      </c>
    </row>
    <row r="1536" spans="1:16" hidden="1" x14ac:dyDescent="0.25">
      <c r="A1536" s="3" t="s">
        <v>2792</v>
      </c>
      <c r="B1536" t="s">
        <v>921</v>
      </c>
      <c r="C1536" t="s">
        <v>118</v>
      </c>
      <c r="D1536" t="s">
        <v>26</v>
      </c>
      <c r="E1536" t="s">
        <v>132</v>
      </c>
      <c r="F1536">
        <v>2</v>
      </c>
      <c r="G1536" s="3" t="s">
        <v>32</v>
      </c>
      <c r="H1536" s="44" t="s">
        <v>15</v>
      </c>
      <c r="I1536" s="17">
        <v>1214000</v>
      </c>
      <c r="J1536" s="17">
        <f>IF(Gastos[[#This Row],[Divisa]]="$", I1536*1, IF(Gastos[[#This Row],[Divisa]]="U$D", I1536*$N$1, IF(Gastos[[#This Row],[Divisa]]="EUR", I1536*$N$2, 0)))</f>
        <v>1214000</v>
      </c>
      <c r="K1536" s="54">
        <f>Gastos[[#This Row],[Importe AR$]]/$N$1</f>
        <v>778.20512820512818</v>
      </c>
      <c r="M1536" s="69">
        <v>46207</v>
      </c>
      <c r="N1536" s="43">
        <f>IF(Gastos[[#This Row],[Fecha_Cheque]]&gt;0,WEEKNUM(Gastos[[#This Row],[Fecha_Cheque]]),MID(Gastos[[#This Row],[Semana]],6,2))</f>
        <v>27</v>
      </c>
      <c r="O1536" t="s">
        <v>3091</v>
      </c>
      <c r="P1536" t="s">
        <v>27</v>
      </c>
    </row>
    <row r="1537" spans="1:16" hidden="1" x14ac:dyDescent="0.25">
      <c r="A1537" s="3" t="s">
        <v>2792</v>
      </c>
      <c r="B1537" t="s">
        <v>921</v>
      </c>
      <c r="C1537" t="s">
        <v>118</v>
      </c>
      <c r="D1537" t="s">
        <v>26</v>
      </c>
      <c r="E1537" t="s">
        <v>132</v>
      </c>
      <c r="F1537">
        <v>2</v>
      </c>
      <c r="G1537" s="3" t="s">
        <v>32</v>
      </c>
      <c r="H1537" s="44" t="s">
        <v>15</v>
      </c>
      <c r="I1537" s="17">
        <v>1214000</v>
      </c>
      <c r="J1537" s="17">
        <f>IF(Gastos[[#This Row],[Divisa]]="$", I1537*1, IF(Gastos[[#This Row],[Divisa]]="U$D", I1537*$N$1, IF(Gastos[[#This Row],[Divisa]]="EUR", I1537*$N$2, 0)))</f>
        <v>1214000</v>
      </c>
      <c r="K1537" s="54">
        <f>Gastos[[#This Row],[Importe AR$]]/$N$1</f>
        <v>778.20512820512818</v>
      </c>
      <c r="M1537" s="69">
        <v>46170</v>
      </c>
      <c r="N1537" s="43">
        <f>IF(Gastos[[#This Row],[Fecha_Cheque]]&gt;0,WEEKNUM(Gastos[[#This Row],[Fecha_Cheque]]),MID(Gastos[[#This Row],[Semana]],6,2))</f>
        <v>22</v>
      </c>
      <c r="O1537" t="s">
        <v>3091</v>
      </c>
      <c r="P1537" t="s">
        <v>27</v>
      </c>
    </row>
    <row r="1538" spans="1:16" hidden="1" x14ac:dyDescent="0.25">
      <c r="A1538" s="3" t="s">
        <v>2792</v>
      </c>
      <c r="B1538" t="s">
        <v>921</v>
      </c>
      <c r="C1538" t="s">
        <v>118</v>
      </c>
      <c r="D1538" t="s">
        <v>26</v>
      </c>
      <c r="E1538" t="s">
        <v>132</v>
      </c>
      <c r="F1538">
        <v>2</v>
      </c>
      <c r="G1538" s="3" t="s">
        <v>32</v>
      </c>
      <c r="H1538" s="44" t="s">
        <v>15</v>
      </c>
      <c r="I1538" s="17">
        <v>1214000</v>
      </c>
      <c r="J1538" s="17">
        <f>IF(Gastos[[#This Row],[Divisa]]="$", I1538*1, IF(Gastos[[#This Row],[Divisa]]="U$D", I1538*$N$1, IF(Gastos[[#This Row],[Divisa]]="EUR", I1538*$N$2, 0)))</f>
        <v>1214000</v>
      </c>
      <c r="K1538" s="54">
        <f>Gastos[[#This Row],[Importe AR$]]/$N$1</f>
        <v>778.20512820512818</v>
      </c>
      <c r="M1538" s="69">
        <v>46207</v>
      </c>
      <c r="N1538" s="43">
        <f>IF(Gastos[[#This Row],[Fecha_Cheque]]&gt;0,WEEKNUM(Gastos[[#This Row],[Fecha_Cheque]]),MID(Gastos[[#This Row],[Semana]],6,2))</f>
        <v>27</v>
      </c>
      <c r="O1538" t="s">
        <v>3091</v>
      </c>
      <c r="P1538" t="s">
        <v>27</v>
      </c>
    </row>
    <row r="1539" spans="1:16" hidden="1" x14ac:dyDescent="0.25">
      <c r="A1539" s="3" t="s">
        <v>3693</v>
      </c>
      <c r="B1539" t="s">
        <v>921</v>
      </c>
      <c r="C1539" t="s">
        <v>118</v>
      </c>
      <c r="D1539" t="s">
        <v>26</v>
      </c>
      <c r="E1539" t="s">
        <v>132</v>
      </c>
      <c r="F1539">
        <v>2</v>
      </c>
      <c r="G1539" s="3" t="s">
        <v>32</v>
      </c>
      <c r="H1539" s="44" t="s">
        <v>15</v>
      </c>
      <c r="I1539" s="17">
        <v>2726733</v>
      </c>
      <c r="J1539" s="17">
        <f>IF(Gastos[[#This Row],[Divisa]]="$", I1539*1, IF(Gastos[[#This Row],[Divisa]]="U$D", I1539*$N$1, IF(Gastos[[#This Row],[Divisa]]="EUR", I1539*$N$2, 0)))</f>
        <v>2726733</v>
      </c>
      <c r="K1539" s="54">
        <f>Gastos[[#This Row],[Importe AR$]]/$N$1</f>
        <v>1747.9057692307692</v>
      </c>
      <c r="M1539" s="69">
        <v>46266</v>
      </c>
      <c r="N1539" s="43">
        <f>IF(Gastos[[#This Row],[Fecha_Cheque]]&gt;0,WEEKNUM(Gastos[[#This Row],[Fecha_Cheque]]),MID(Gastos[[#This Row],[Semana]],6,2))</f>
        <v>36</v>
      </c>
      <c r="O1539" t="s">
        <v>3707</v>
      </c>
      <c r="P1539" t="s">
        <v>27</v>
      </c>
    </row>
    <row r="1540" spans="1:16" hidden="1" x14ac:dyDescent="0.25">
      <c r="A1540" s="3" t="s">
        <v>3693</v>
      </c>
      <c r="B1540" t="s">
        <v>921</v>
      </c>
      <c r="C1540" t="s">
        <v>118</v>
      </c>
      <c r="D1540" t="s">
        <v>26</v>
      </c>
      <c r="E1540" t="s">
        <v>132</v>
      </c>
      <c r="F1540">
        <v>2</v>
      </c>
      <c r="G1540" s="3" t="s">
        <v>32</v>
      </c>
      <c r="H1540" s="44" t="s">
        <v>15</v>
      </c>
      <c r="I1540" s="17">
        <v>2726733</v>
      </c>
      <c r="J1540" s="17">
        <f>IF(Gastos[[#This Row],[Divisa]]="$", I1540*1, IF(Gastos[[#This Row],[Divisa]]="U$D", I1540*$N$1, IF(Gastos[[#This Row],[Divisa]]="EUR", I1540*$N$2, 0)))</f>
        <v>2726733</v>
      </c>
      <c r="K1540" s="54">
        <f>Gastos[[#This Row],[Importe AR$]]/$N$1</f>
        <v>1747.9057692307692</v>
      </c>
      <c r="M1540" s="69">
        <v>46269</v>
      </c>
      <c r="N1540" s="43">
        <f>IF(Gastos[[#This Row],[Fecha_Cheque]]&gt;0,WEEKNUM(Gastos[[#This Row],[Fecha_Cheque]]),MID(Gastos[[#This Row],[Semana]],6,2))</f>
        <v>36</v>
      </c>
      <c r="O1540" t="s">
        <v>3707</v>
      </c>
      <c r="P1540" t="s">
        <v>27</v>
      </c>
    </row>
    <row r="1541" spans="1:16" hidden="1" x14ac:dyDescent="0.25">
      <c r="A1541" s="3" t="s">
        <v>3754</v>
      </c>
      <c r="B1541" t="s">
        <v>921</v>
      </c>
      <c r="C1541" t="s">
        <v>118</v>
      </c>
      <c r="D1541" t="s">
        <v>26</v>
      </c>
      <c r="E1541" t="s">
        <v>132</v>
      </c>
      <c r="F1541">
        <v>1</v>
      </c>
      <c r="G1541" s="3" t="s">
        <v>32</v>
      </c>
      <c r="H1541" s="44" t="s">
        <v>15</v>
      </c>
      <c r="I1541" s="17">
        <v>1000000</v>
      </c>
      <c r="J1541" s="17">
        <f>IF(Gastos[[#This Row],[Divisa]]="$", I1541*1, IF(Gastos[[#This Row],[Divisa]]="U$D", I1541*$N$1, IF(Gastos[[#This Row],[Divisa]]="EUR", I1541*$N$2, 0)))</f>
        <v>1000000</v>
      </c>
      <c r="K1541" s="54">
        <f>Gastos[[#This Row],[Importe AR$]]/$N$1</f>
        <v>641.02564102564099</v>
      </c>
      <c r="M1541" s="69">
        <v>46252</v>
      </c>
      <c r="N1541" s="43">
        <f>IF(Gastos[[#This Row],[Fecha_Cheque]]&gt;0,WEEKNUM(Gastos[[#This Row],[Fecha_Cheque]]),MID(Gastos[[#This Row],[Semana]],6,2))</f>
        <v>34</v>
      </c>
      <c r="O1541" t="s">
        <v>3771</v>
      </c>
      <c r="P1541" t="s">
        <v>27</v>
      </c>
    </row>
    <row r="1542" spans="1:16" hidden="1" x14ac:dyDescent="0.25">
      <c r="A1542" s="3" t="s">
        <v>3754</v>
      </c>
      <c r="B1542" t="s">
        <v>921</v>
      </c>
      <c r="C1542" t="s">
        <v>118</v>
      </c>
      <c r="D1542" t="s">
        <v>26</v>
      </c>
      <c r="E1542" t="s">
        <v>132</v>
      </c>
      <c r="F1542">
        <v>1</v>
      </c>
      <c r="G1542" s="3" t="s">
        <v>32</v>
      </c>
      <c r="H1542" s="44" t="s">
        <v>15</v>
      </c>
      <c r="I1542" s="17">
        <v>3748280</v>
      </c>
      <c r="J1542" s="17">
        <f>IF(Gastos[[#This Row],[Divisa]]="$", I1542*1, IF(Gastos[[#This Row],[Divisa]]="U$D", I1542*$N$1, IF(Gastos[[#This Row],[Divisa]]="EUR", I1542*$N$2, 0)))</f>
        <v>3748280</v>
      </c>
      <c r="K1542" s="54">
        <f>Gastos[[#This Row],[Importe AR$]]/$N$1</f>
        <v>2402.7435897435898</v>
      </c>
      <c r="M1542" s="69">
        <v>46256</v>
      </c>
      <c r="N1542" s="43">
        <f>IF(Gastos[[#This Row],[Fecha_Cheque]]&gt;0,WEEKNUM(Gastos[[#This Row],[Fecha_Cheque]]),MID(Gastos[[#This Row],[Semana]],6,2))</f>
        <v>34</v>
      </c>
      <c r="O1542" t="s">
        <v>3771</v>
      </c>
      <c r="P1542" t="s">
        <v>27</v>
      </c>
    </row>
    <row r="1543" spans="1:16" x14ac:dyDescent="0.25">
      <c r="A1543" s="99" t="s">
        <v>4655</v>
      </c>
      <c r="B1543" s="100" t="s">
        <v>4690</v>
      </c>
      <c r="C1543" t="s">
        <v>814</v>
      </c>
      <c r="D1543" s="100" t="s">
        <v>26</v>
      </c>
      <c r="E1543" s="100" t="s">
        <v>91</v>
      </c>
      <c r="F1543" s="100">
        <v>1</v>
      </c>
      <c r="G1543" s="99" t="s">
        <v>5</v>
      </c>
      <c r="H1543" s="44" t="s">
        <v>15</v>
      </c>
      <c r="I1543" s="17">
        <v>501000</v>
      </c>
      <c r="J1543" s="17">
        <f>IF(Gastos[[#This Row],[Divisa]]="$", I1543*1, IF(Gastos[[#This Row],[Divisa]]="U$D", I1543*$N$1, IF(Gastos[[#This Row],[Divisa]]="EUR", I1543*$N$2, 0)))</f>
        <v>501000</v>
      </c>
      <c r="K1543" s="54">
        <f>Gastos[[#This Row],[Importe AR$]]/$N$1</f>
        <v>321.15384615384613</v>
      </c>
      <c r="L1543" s="100"/>
      <c r="M1543" s="101"/>
      <c r="N1543" s="102" t="str">
        <f>IF(Gastos[[#This Row],[Fecha_Cheque]]&gt;0,WEEKNUM(Gastos[[#This Row],[Fecha_Cheque]]),MID(Gastos[[#This Row],[Semana]],6,2))</f>
        <v>44</v>
      </c>
      <c r="O1543" s="100" t="s">
        <v>4691</v>
      </c>
      <c r="P1543" s="100" t="s">
        <v>27</v>
      </c>
    </row>
    <row r="1544" spans="1:16" hidden="1" x14ac:dyDescent="0.25">
      <c r="A1544" s="3" t="s">
        <v>4569</v>
      </c>
      <c r="B1544" t="s">
        <v>921</v>
      </c>
      <c r="C1544" t="s">
        <v>118</v>
      </c>
      <c r="D1544" t="s">
        <v>26</v>
      </c>
      <c r="E1544" t="s">
        <v>3929</v>
      </c>
      <c r="F1544">
        <v>1</v>
      </c>
      <c r="G1544" s="3" t="s">
        <v>32</v>
      </c>
      <c r="H1544" s="44" t="s">
        <v>15</v>
      </c>
      <c r="I1544" s="17">
        <v>8745788.6899999995</v>
      </c>
      <c r="J1544" s="17">
        <f>IF(Gastos[[#This Row],[Divisa]]="$", I1544*1, IF(Gastos[[#This Row],[Divisa]]="U$D", I1544*$N$1, IF(Gastos[[#This Row],[Divisa]]="EUR", I1544*$N$2, 0)))</f>
        <v>8745788.6899999995</v>
      </c>
      <c r="K1544" s="54">
        <f>Gastos[[#This Row],[Importe AR$]]/$N$1</f>
        <v>5606.2748012820512</v>
      </c>
      <c r="M1544" s="69">
        <v>46395</v>
      </c>
      <c r="N1544" s="43">
        <f>IF(Gastos[[#This Row],[Fecha_Cheque]]&gt;0,WEEKNUM(Gastos[[#This Row],[Fecha_Cheque]]),MID(Gastos[[#This Row],[Semana]],6,2))</f>
        <v>2</v>
      </c>
      <c r="O1544" t="s">
        <v>4647</v>
      </c>
      <c r="P1544" t="s">
        <v>27</v>
      </c>
    </row>
    <row r="1545" spans="1:16" hidden="1" x14ac:dyDescent="0.25">
      <c r="A1545" s="3" t="s">
        <v>4569</v>
      </c>
      <c r="B1545" t="s">
        <v>921</v>
      </c>
      <c r="C1545" t="s">
        <v>118</v>
      </c>
      <c r="D1545" t="s">
        <v>26</v>
      </c>
      <c r="E1545" t="s">
        <v>3929</v>
      </c>
      <c r="F1545">
        <v>1</v>
      </c>
      <c r="G1545" s="3" t="s">
        <v>32</v>
      </c>
      <c r="H1545" s="44" t="s">
        <v>15</v>
      </c>
      <c r="I1545" s="17">
        <v>153814.63</v>
      </c>
      <c r="J1545" s="17">
        <f>IF(Gastos[[#This Row],[Divisa]]="$", I1545*1, IF(Gastos[[#This Row],[Divisa]]="U$D", I1545*$N$1, IF(Gastos[[#This Row],[Divisa]]="EUR", I1545*$N$2, 0)))</f>
        <v>153814.63</v>
      </c>
      <c r="K1545" s="54">
        <f>Gastos[[#This Row],[Importe AR$]]/$N$1</f>
        <v>98.599121794871792</v>
      </c>
      <c r="L1545" t="s">
        <v>340</v>
      </c>
      <c r="M1545" s="69"/>
      <c r="N1545" s="43" t="str">
        <f>IF(Gastos[[#This Row],[Fecha_Cheque]]&gt;0,WEEKNUM(Gastos[[#This Row],[Fecha_Cheque]]),MID(Gastos[[#This Row],[Semana]],6,2))</f>
        <v>43</v>
      </c>
      <c r="O1545" t="s">
        <v>4647</v>
      </c>
      <c r="P1545" t="s">
        <v>27</v>
      </c>
    </row>
    <row r="1546" spans="1:16" hidden="1" x14ac:dyDescent="0.25">
      <c r="A1546" s="3" t="s">
        <v>290</v>
      </c>
      <c r="B1546" t="s">
        <v>956</v>
      </c>
      <c r="C1546" t="s">
        <v>958</v>
      </c>
      <c r="D1546" t="s">
        <v>61</v>
      </c>
      <c r="E1546" t="s">
        <v>31</v>
      </c>
      <c r="F1546">
        <v>1</v>
      </c>
      <c r="G1546" s="3" t="s">
        <v>32</v>
      </c>
      <c r="H1546" s="46" t="s">
        <v>15</v>
      </c>
      <c r="I1546" s="17">
        <v>1810000</v>
      </c>
      <c r="J1546" s="17">
        <f>IF(Gastos[[#This Row],[Divisa]]="$", I1546*1, IF(Gastos[[#This Row],[Divisa]]="U$D", I1546*$N$1, IF(Gastos[[#This Row],[Divisa]]="EUR", I1546*$N$2, 0)))</f>
        <v>1810000</v>
      </c>
      <c r="K1546" s="54">
        <f>Gastos[[#This Row],[Importe AR$]]/$N$1</f>
        <v>1160.2564102564102</v>
      </c>
      <c r="L1546" t="s">
        <v>959</v>
      </c>
      <c r="M1546" s="69">
        <v>45833</v>
      </c>
      <c r="N1546" s="43">
        <f>IF(Gastos[[#This Row],[Fecha_Cheque]]&gt;0,WEEKNUM(Gastos[[#This Row],[Fecha_Cheque]]),MID(Gastos[[#This Row],[Semana]],6,2))</f>
        <v>26</v>
      </c>
      <c r="O1546" t="s">
        <v>960</v>
      </c>
      <c r="P1546" t="s">
        <v>27</v>
      </c>
    </row>
    <row r="1547" spans="1:16" hidden="1" x14ac:dyDescent="0.25">
      <c r="A1547" s="3" t="s">
        <v>305</v>
      </c>
      <c r="B1547" t="s">
        <v>956</v>
      </c>
      <c r="C1547" t="s">
        <v>961</v>
      </c>
      <c r="D1547" t="s">
        <v>26</v>
      </c>
      <c r="E1547" t="s">
        <v>31</v>
      </c>
      <c r="F1547">
        <v>1</v>
      </c>
      <c r="G1547" s="3" t="s">
        <v>5</v>
      </c>
      <c r="H1547" s="46" t="s">
        <v>15</v>
      </c>
      <c r="I1547" s="17">
        <v>238370</v>
      </c>
      <c r="J1547" s="17">
        <f>IF(Gastos[[#This Row],[Divisa]]="$", I1547*1, IF(Gastos[[#This Row],[Divisa]]="U$D", I1547*$N$1, IF(Gastos[[#This Row],[Divisa]]="EUR", I1547*$N$2, 0)))</f>
        <v>238370</v>
      </c>
      <c r="K1547" s="54">
        <f>Gastos[[#This Row],[Importe AR$]]/$N$1</f>
        <v>152.80128205128204</v>
      </c>
      <c r="M1547" s="69"/>
      <c r="N1547" s="43" t="str">
        <f>IF(Gastos[[#This Row],[Fecha_Cheque]]&gt;0,WEEKNUM(Gastos[[#This Row],[Fecha_Cheque]]),MID(Gastos[[#This Row],[Semana]],6,2))</f>
        <v>31</v>
      </c>
      <c r="O1547" t="s">
        <v>123</v>
      </c>
      <c r="P1547" t="s">
        <v>27</v>
      </c>
    </row>
    <row r="1548" spans="1:16" hidden="1" x14ac:dyDescent="0.25">
      <c r="A1548" s="3" t="s">
        <v>53</v>
      </c>
      <c r="B1548" t="s">
        <v>956</v>
      </c>
      <c r="C1548" t="s">
        <v>962</v>
      </c>
      <c r="D1548" t="s">
        <v>26</v>
      </c>
      <c r="E1548" t="s">
        <v>31</v>
      </c>
      <c r="F1548">
        <v>1</v>
      </c>
      <c r="G1548" s="3" t="s">
        <v>5</v>
      </c>
      <c r="H1548" s="46" t="s">
        <v>15</v>
      </c>
      <c r="I1548" s="17">
        <v>212427.6</v>
      </c>
      <c r="J1548" s="17">
        <f>IF(Gastos[[#This Row],[Divisa]]="$", I1548*1, IF(Gastos[[#This Row],[Divisa]]="U$D", I1548*$N$1, IF(Gastos[[#This Row],[Divisa]]="EUR", I1548*$N$2, 0)))</f>
        <v>212427.6</v>
      </c>
      <c r="K1548" s="54">
        <f>Gastos[[#This Row],[Importe AR$]]/$N$1</f>
        <v>136.17153846153846</v>
      </c>
      <c r="M1548" s="69"/>
      <c r="N1548" s="43" t="str">
        <f>IF(Gastos[[#This Row],[Fecha_Cheque]]&gt;0,WEEKNUM(Gastos[[#This Row],[Fecha_Cheque]]),MID(Gastos[[#This Row],[Semana]],6,2))</f>
        <v>34</v>
      </c>
      <c r="P1548" t="s">
        <v>27</v>
      </c>
    </row>
    <row r="1549" spans="1:16" hidden="1" x14ac:dyDescent="0.25">
      <c r="A1549" s="3" t="s">
        <v>2731</v>
      </c>
      <c r="B1549" t="s">
        <v>2904</v>
      </c>
      <c r="C1549" t="s">
        <v>2905</v>
      </c>
      <c r="D1549" t="s">
        <v>26</v>
      </c>
      <c r="E1549" t="s">
        <v>62</v>
      </c>
      <c r="F1549">
        <v>1</v>
      </c>
      <c r="G1549" s="3" t="s">
        <v>32</v>
      </c>
      <c r="H1549" s="44" t="s">
        <v>15</v>
      </c>
      <c r="I1549" s="17">
        <v>668143</v>
      </c>
      <c r="J1549" s="17">
        <f>IF(Gastos[[#This Row],[Divisa]]="$", I1549*1, IF(Gastos[[#This Row],[Divisa]]="U$D", I1549*$N$1, IF(Gastos[[#This Row],[Divisa]]="EUR", I1549*$N$2, 0)))</f>
        <v>668143</v>
      </c>
      <c r="K1549" s="54">
        <f>Gastos[[#This Row],[Importe AR$]]/$N$1</f>
        <v>428.29679487179487</v>
      </c>
      <c r="M1549" s="69">
        <v>46163</v>
      </c>
      <c r="N1549" s="43">
        <f>IF(Gastos[[#This Row],[Fecha_Cheque]]&gt;0,WEEKNUM(Gastos[[#This Row],[Fecha_Cheque]]),MID(Gastos[[#This Row],[Semana]],6,2))</f>
        <v>21</v>
      </c>
      <c r="O1549" t="s">
        <v>2906</v>
      </c>
      <c r="P1549" t="s">
        <v>27</v>
      </c>
    </row>
    <row r="1550" spans="1:16" hidden="1" x14ac:dyDescent="0.25">
      <c r="A1550" s="3" t="s">
        <v>2731</v>
      </c>
      <c r="B1550" t="s">
        <v>2904</v>
      </c>
      <c r="C1550" t="s">
        <v>2905</v>
      </c>
      <c r="D1550" t="s">
        <v>26</v>
      </c>
      <c r="E1550" t="s">
        <v>62</v>
      </c>
      <c r="F1550">
        <v>1</v>
      </c>
      <c r="G1550" s="3" t="s">
        <v>32</v>
      </c>
      <c r="H1550" s="44" t="s">
        <v>15</v>
      </c>
      <c r="I1550" s="17">
        <v>6674</v>
      </c>
      <c r="J1550" s="17">
        <f>IF(Gastos[[#This Row],[Divisa]]="$", I1550*1, IF(Gastos[[#This Row],[Divisa]]="U$D", I1550*$N$1, IF(Gastos[[#This Row],[Divisa]]="EUR", I1550*$N$2, 0)))</f>
        <v>6674</v>
      </c>
      <c r="K1550" s="54">
        <f>Gastos[[#This Row],[Importe AR$]]/$N$1</f>
        <v>4.2782051282051281</v>
      </c>
      <c r="L1550" t="s">
        <v>340</v>
      </c>
      <c r="M1550" s="69"/>
      <c r="N1550" s="43" t="str">
        <f>IF(Gastos[[#This Row],[Fecha_Cheque]]&gt;0,WEEKNUM(Gastos[[#This Row],[Fecha_Cheque]]),MID(Gastos[[#This Row],[Semana]],6,2))</f>
        <v>17</v>
      </c>
      <c r="O1550" t="s">
        <v>2906</v>
      </c>
      <c r="P1550" t="s">
        <v>27</v>
      </c>
    </row>
    <row r="1551" spans="1:16" hidden="1" x14ac:dyDescent="0.25">
      <c r="A1551" s="3" t="s">
        <v>2841</v>
      </c>
      <c r="B1551" t="s">
        <v>2904</v>
      </c>
      <c r="C1551" t="s">
        <v>41</v>
      </c>
      <c r="D1551" t="s">
        <v>26</v>
      </c>
      <c r="E1551" t="s">
        <v>31</v>
      </c>
      <c r="F1551">
        <v>1</v>
      </c>
      <c r="G1551" s="3" t="s">
        <v>5</v>
      </c>
      <c r="H1551" s="44" t="s">
        <v>15</v>
      </c>
      <c r="I1551" s="17">
        <v>668143</v>
      </c>
      <c r="J1551" s="17">
        <f>IF(Gastos[[#This Row],[Divisa]]="$", I1551*1, IF(Gastos[[#This Row],[Divisa]]="U$D", I1551*$N$1, IF(Gastos[[#This Row],[Divisa]]="EUR", I1551*$N$2, 0)))</f>
        <v>668143</v>
      </c>
      <c r="K1551" s="54">
        <f>Gastos[[#This Row],[Importe AR$]]/$N$1</f>
        <v>428.29679487179487</v>
      </c>
      <c r="M1551" s="69"/>
      <c r="N1551" s="43" t="str">
        <f>IF(Gastos[[#This Row],[Fecha_Cheque]]&gt;0,WEEKNUM(Gastos[[#This Row],[Fecha_Cheque]]),MID(Gastos[[#This Row],[Semana]],6,2))</f>
        <v>22</v>
      </c>
      <c r="O1551" t="s">
        <v>3138</v>
      </c>
      <c r="P1551" t="s">
        <v>27</v>
      </c>
    </row>
    <row r="1552" spans="1:16" hidden="1" x14ac:dyDescent="0.25">
      <c r="A1552" s="3" t="s">
        <v>4409</v>
      </c>
      <c r="B1552" t="s">
        <v>2904</v>
      </c>
      <c r="C1552" t="s">
        <v>3562</v>
      </c>
      <c r="D1552" t="s">
        <v>26</v>
      </c>
      <c r="E1552" t="s">
        <v>62</v>
      </c>
      <c r="F1552">
        <v>1</v>
      </c>
      <c r="G1552" s="3" t="s">
        <v>5</v>
      </c>
      <c r="H1552" s="44" t="s">
        <v>15</v>
      </c>
      <c r="I1552" s="17">
        <v>75290.12</v>
      </c>
      <c r="J1552" s="17">
        <f>IF(Gastos[[#This Row],[Divisa]]="$", I1552*1, IF(Gastos[[#This Row],[Divisa]]="U$D", I1552*$N$1, IF(Gastos[[#This Row],[Divisa]]="EUR", I1552*$N$2, 0)))</f>
        <v>75290.12</v>
      </c>
      <c r="K1552" s="54">
        <f>Gastos[[#This Row],[Importe AR$]]/$N$1</f>
        <v>48.262897435897436</v>
      </c>
      <c r="M1552" s="69"/>
      <c r="N1552" s="43" t="str">
        <f>IF(Gastos[[#This Row],[Fecha_Cheque]]&gt;0,WEEKNUM(Gastos[[#This Row],[Fecha_Cheque]]),MID(Gastos[[#This Row],[Semana]],6,2))</f>
        <v>40</v>
      </c>
      <c r="O1552" t="s">
        <v>4432</v>
      </c>
      <c r="P1552" t="s">
        <v>27</v>
      </c>
    </row>
    <row r="1553" spans="1:16" hidden="1" x14ac:dyDescent="0.25">
      <c r="A1553" s="3" t="s">
        <v>4074</v>
      </c>
      <c r="B1553" t="s">
        <v>2904</v>
      </c>
      <c r="C1553" t="s">
        <v>4113</v>
      </c>
      <c r="D1553" t="s">
        <v>26</v>
      </c>
      <c r="E1553" t="s">
        <v>31</v>
      </c>
      <c r="F1553">
        <v>1</v>
      </c>
      <c r="G1553" s="3" t="s">
        <v>32</v>
      </c>
      <c r="H1553" s="44" t="s">
        <v>15</v>
      </c>
      <c r="I1553" s="17">
        <v>205275</v>
      </c>
      <c r="J1553" s="17">
        <f>IF(Gastos[[#This Row],[Divisa]]="$", I1553*1, IF(Gastos[[#This Row],[Divisa]]="U$D", I1553*$N$1, IF(Gastos[[#This Row],[Divisa]]="EUR", I1553*$N$2, 0)))</f>
        <v>205275</v>
      </c>
      <c r="K1553" s="54">
        <f>Gastos[[#This Row],[Importe AR$]]/$N$1</f>
        <v>131.58653846153845</v>
      </c>
      <c r="M1553" s="69"/>
      <c r="N1553" s="43" t="str">
        <f>IF(Gastos[[#This Row],[Fecha_Cheque]]&gt;0,WEEKNUM(Gastos[[#This Row],[Fecha_Cheque]]),MID(Gastos[[#This Row],[Semana]],6,2))</f>
        <v>34</v>
      </c>
      <c r="O1553" t="s">
        <v>4114</v>
      </c>
      <c r="P1553" t="s">
        <v>27</v>
      </c>
    </row>
    <row r="1554" spans="1:16" hidden="1" x14ac:dyDescent="0.25">
      <c r="A1554" s="3" t="s">
        <v>4513</v>
      </c>
      <c r="B1554" t="s">
        <v>2904</v>
      </c>
      <c r="C1554" t="s">
        <v>4544</v>
      </c>
      <c r="D1554" t="s">
        <v>26</v>
      </c>
      <c r="E1554" t="s">
        <v>31</v>
      </c>
      <c r="F1554">
        <v>1</v>
      </c>
      <c r="G1554" s="3" t="s">
        <v>5</v>
      </c>
      <c r="H1554" s="44" t="s">
        <v>15</v>
      </c>
      <c r="I1554" s="17">
        <v>531087.21</v>
      </c>
      <c r="J1554" s="17">
        <f>IF(Gastos[[#This Row],[Divisa]]="$", I1554*1, IF(Gastos[[#This Row],[Divisa]]="U$D", I1554*$N$1, IF(Gastos[[#This Row],[Divisa]]="EUR", I1554*$N$2, 0)))</f>
        <v>531087.21</v>
      </c>
      <c r="K1554" s="54">
        <f>Gastos[[#This Row],[Importe AR$]]/$N$1</f>
        <v>340.44051923076921</v>
      </c>
      <c r="M1554" s="69">
        <v>46342</v>
      </c>
      <c r="N1554" s="43">
        <f>IF(Gastos[[#This Row],[Fecha_Cheque]]&gt;0,WEEKNUM(Gastos[[#This Row],[Fecha_Cheque]]),MID(Gastos[[#This Row],[Semana]],6,2))</f>
        <v>47</v>
      </c>
      <c r="O1554" t="s">
        <v>4545</v>
      </c>
      <c r="P1554" t="s">
        <v>27</v>
      </c>
    </row>
    <row r="1555" spans="1:16" hidden="1" x14ac:dyDescent="0.25">
      <c r="A1555" s="3" t="s">
        <v>4513</v>
      </c>
      <c r="B1555" t="s">
        <v>2904</v>
      </c>
      <c r="C1555" t="s">
        <v>4544</v>
      </c>
      <c r="D1555" t="s">
        <v>26</v>
      </c>
      <c r="E1555" t="s">
        <v>31</v>
      </c>
      <c r="F1555">
        <v>1</v>
      </c>
      <c r="G1555" s="3" t="s">
        <v>5</v>
      </c>
      <c r="H1555" s="44" t="s">
        <v>15</v>
      </c>
      <c r="I1555" s="17">
        <v>4298.3</v>
      </c>
      <c r="J1555" s="17">
        <f>IF(Gastos[[#This Row],[Divisa]]="$", I1555*1, IF(Gastos[[#This Row],[Divisa]]="U$D", I1555*$N$1, IF(Gastos[[#This Row],[Divisa]]="EUR", I1555*$N$2, 0)))</f>
        <v>4298.3</v>
      </c>
      <c r="K1555" s="54">
        <f>Gastos[[#This Row],[Importe AR$]]/$N$1</f>
        <v>2.7553205128205129</v>
      </c>
      <c r="L1555" t="s">
        <v>340</v>
      </c>
      <c r="M1555" s="69"/>
      <c r="N1555" s="43" t="str">
        <f>IF(Gastos[[#This Row],[Fecha_Cheque]]&gt;0,WEEKNUM(Gastos[[#This Row],[Fecha_Cheque]]),MID(Gastos[[#This Row],[Semana]],6,2))</f>
        <v>42</v>
      </c>
      <c r="O1555" t="s">
        <v>4545</v>
      </c>
      <c r="P1555" t="s">
        <v>27</v>
      </c>
    </row>
    <row r="1556" spans="1:16" hidden="1" x14ac:dyDescent="0.25">
      <c r="A1556" s="3" t="s">
        <v>2711</v>
      </c>
      <c r="B1556" t="s">
        <v>2854</v>
      </c>
      <c r="C1556" t="s">
        <v>2855</v>
      </c>
      <c r="D1556" t="s">
        <v>26</v>
      </c>
      <c r="E1556" t="s">
        <v>31</v>
      </c>
      <c r="F1556">
        <v>1</v>
      </c>
      <c r="G1556" s="3" t="s">
        <v>32</v>
      </c>
      <c r="H1556" s="44" t="s">
        <v>15</v>
      </c>
      <c r="I1556" s="17">
        <v>1257884.1299999999</v>
      </c>
      <c r="J1556" s="17">
        <f>IF(Gastos[[#This Row],[Divisa]]="$", I1556*1, IF(Gastos[[#This Row],[Divisa]]="U$D", I1556*$N$1, IF(Gastos[[#This Row],[Divisa]]="EUR", I1556*$N$2, 0)))</f>
        <v>1257884.1299999999</v>
      </c>
      <c r="K1556" s="54">
        <f>Gastos[[#This Row],[Importe AR$]]/$N$1</f>
        <v>806.33598076923067</v>
      </c>
      <c r="M1556" s="69">
        <v>46152</v>
      </c>
      <c r="N1556" s="43">
        <f>IF(Gastos[[#This Row],[Fecha_Cheque]]&gt;0,WEEKNUM(Gastos[[#This Row],[Fecha_Cheque]]),MID(Gastos[[#This Row],[Semana]],6,2))</f>
        <v>20</v>
      </c>
      <c r="O1556" t="s">
        <v>2856</v>
      </c>
      <c r="P1556" t="s">
        <v>27</v>
      </c>
    </row>
    <row r="1557" spans="1:16" hidden="1" x14ac:dyDescent="0.25">
      <c r="A1557" s="3" t="s">
        <v>2711</v>
      </c>
      <c r="B1557" t="s">
        <v>2854</v>
      </c>
      <c r="C1557" t="s">
        <v>2855</v>
      </c>
      <c r="D1557" t="s">
        <v>26</v>
      </c>
      <c r="E1557" t="s">
        <v>31</v>
      </c>
      <c r="F1557">
        <v>1</v>
      </c>
      <c r="G1557" s="3" t="s">
        <v>32</v>
      </c>
      <c r="H1557" s="44" t="s">
        <v>15</v>
      </c>
      <c r="I1557" s="17">
        <v>16585.5</v>
      </c>
      <c r="J1557" s="17">
        <f>IF(Gastos[[#This Row],[Divisa]]="$", I1557*1, IF(Gastos[[#This Row],[Divisa]]="U$D", I1557*$N$1, IF(Gastos[[#This Row],[Divisa]]="EUR", I1557*$N$2, 0)))</f>
        <v>16585.5</v>
      </c>
      <c r="K1557" s="54">
        <f>Gastos[[#This Row],[Importe AR$]]/$N$1</f>
        <v>10.631730769230769</v>
      </c>
      <c r="L1557" t="s">
        <v>340</v>
      </c>
      <c r="M1557" s="69"/>
      <c r="N1557" s="43" t="str">
        <f>IF(Gastos[[#This Row],[Fecha_Cheque]]&gt;0,WEEKNUM(Gastos[[#This Row],[Fecha_Cheque]]),MID(Gastos[[#This Row],[Semana]],6,2))</f>
        <v>15</v>
      </c>
      <c r="O1557" t="s">
        <v>2856</v>
      </c>
      <c r="P1557" t="s">
        <v>27</v>
      </c>
    </row>
    <row r="1558" spans="1:16" hidden="1" x14ac:dyDescent="0.25">
      <c r="A1558" s="3" t="s">
        <v>128</v>
      </c>
      <c r="B1558" t="s">
        <v>963</v>
      </c>
      <c r="C1558" t="s">
        <v>118</v>
      </c>
      <c r="D1558" t="s">
        <v>26</v>
      </c>
      <c r="E1558" t="s">
        <v>132</v>
      </c>
      <c r="F1558">
        <v>2</v>
      </c>
      <c r="G1558" s="3" t="s">
        <v>32</v>
      </c>
      <c r="H1558" s="46" t="s">
        <v>15</v>
      </c>
      <c r="I1558" s="17">
        <v>268373</v>
      </c>
      <c r="J1558" s="17">
        <f>IF(Gastos[[#This Row],[Divisa]]="$", I1558*1, IF(Gastos[[#This Row],[Divisa]]="U$D", I1558*$N$1, IF(Gastos[[#This Row],[Divisa]]="EUR", I1558*$N$2, 0)))</f>
        <v>268373</v>
      </c>
      <c r="K1558" s="54">
        <f>Gastos[[#This Row],[Importe AR$]]/$N$1</f>
        <v>172.03397435897435</v>
      </c>
      <c r="M1558" s="69">
        <v>45947</v>
      </c>
      <c r="N1558" s="43">
        <f>IF(Gastos[[#This Row],[Fecha_Cheque]]&gt;0,WEEKNUM(Gastos[[#This Row],[Fecha_Cheque]]),MID(Gastos[[#This Row],[Semana]],6,2))</f>
        <v>42</v>
      </c>
      <c r="O1558" t="s">
        <v>964</v>
      </c>
      <c r="P1558" t="s">
        <v>27</v>
      </c>
    </row>
    <row r="1559" spans="1:16" hidden="1" x14ac:dyDescent="0.25">
      <c r="A1559" s="3" t="s">
        <v>128</v>
      </c>
      <c r="B1559" t="s">
        <v>963</v>
      </c>
      <c r="C1559" t="s">
        <v>118</v>
      </c>
      <c r="D1559" t="s">
        <v>26</v>
      </c>
      <c r="E1559" t="s">
        <v>132</v>
      </c>
      <c r="F1559">
        <v>2</v>
      </c>
      <c r="G1559" s="3" t="s">
        <v>32</v>
      </c>
      <c r="H1559" s="46" t="s">
        <v>15</v>
      </c>
      <c r="I1559" s="17">
        <v>368850</v>
      </c>
      <c r="J1559" s="17">
        <f>IF(Gastos[[#This Row],[Divisa]]="$", I1559*1, IF(Gastos[[#This Row],[Divisa]]="U$D", I1559*$N$1, IF(Gastos[[#This Row],[Divisa]]="EUR", I1559*$N$2, 0)))</f>
        <v>368850</v>
      </c>
      <c r="K1559" s="54">
        <f>Gastos[[#This Row],[Importe AR$]]/$N$1</f>
        <v>236.44230769230768</v>
      </c>
      <c r="M1559" s="69">
        <v>45965</v>
      </c>
      <c r="N1559" s="43">
        <f>IF(Gastos[[#This Row],[Fecha_Cheque]]&gt;0,WEEKNUM(Gastos[[#This Row],[Fecha_Cheque]]),MID(Gastos[[#This Row],[Semana]],6,2))</f>
        <v>45</v>
      </c>
      <c r="O1559" t="s">
        <v>964</v>
      </c>
      <c r="P1559" t="s">
        <v>27</v>
      </c>
    </row>
    <row r="1560" spans="1:16" hidden="1" x14ac:dyDescent="0.25">
      <c r="A1560" s="3" t="s">
        <v>128</v>
      </c>
      <c r="B1560" t="s">
        <v>963</v>
      </c>
      <c r="C1560" t="s">
        <v>118</v>
      </c>
      <c r="D1560" t="s">
        <v>26</v>
      </c>
      <c r="E1560" t="s">
        <v>132</v>
      </c>
      <c r="F1560">
        <v>2</v>
      </c>
      <c r="G1560" s="3" t="s">
        <v>32</v>
      </c>
      <c r="H1560" s="46" t="s">
        <v>15</v>
      </c>
      <c r="I1560" s="17">
        <v>423358</v>
      </c>
      <c r="J1560" s="17">
        <f>IF(Gastos[[#This Row],[Divisa]]="$", I1560*1, IF(Gastos[[#This Row],[Divisa]]="U$D", I1560*$N$1, IF(Gastos[[#This Row],[Divisa]]="EUR", I1560*$N$2, 0)))</f>
        <v>423358</v>
      </c>
      <c r="K1560" s="54">
        <f>Gastos[[#This Row],[Importe AR$]]/$N$1</f>
        <v>271.38333333333333</v>
      </c>
      <c r="M1560" s="69">
        <v>45967</v>
      </c>
      <c r="N1560" s="43">
        <f>IF(Gastos[[#This Row],[Fecha_Cheque]]&gt;0,WEEKNUM(Gastos[[#This Row],[Fecha_Cheque]]),MID(Gastos[[#This Row],[Semana]],6,2))</f>
        <v>45</v>
      </c>
      <c r="O1560" t="s">
        <v>964</v>
      </c>
      <c r="P1560" t="s">
        <v>27</v>
      </c>
    </row>
    <row r="1561" spans="1:16" hidden="1" x14ac:dyDescent="0.25">
      <c r="A1561" s="3" t="s">
        <v>128</v>
      </c>
      <c r="B1561" t="s">
        <v>963</v>
      </c>
      <c r="C1561" t="s">
        <v>118</v>
      </c>
      <c r="D1561" t="s">
        <v>26</v>
      </c>
      <c r="E1561" t="s">
        <v>132</v>
      </c>
      <c r="F1561">
        <v>2</v>
      </c>
      <c r="G1561" s="3" t="s">
        <v>32</v>
      </c>
      <c r="H1561" s="46" t="s">
        <v>15</v>
      </c>
      <c r="I1561" s="17">
        <v>248536.6</v>
      </c>
      <c r="J1561" s="17">
        <f>IF(Gastos[[#This Row],[Divisa]]="$", I1561*1, IF(Gastos[[#This Row],[Divisa]]="U$D", I1561*$N$1, IF(Gastos[[#This Row],[Divisa]]="EUR", I1561*$N$2, 0)))</f>
        <v>248536.6</v>
      </c>
      <c r="K1561" s="54">
        <f>Gastos[[#This Row],[Importe AR$]]/$N$1</f>
        <v>159.31833333333333</v>
      </c>
      <c r="M1561" s="69">
        <v>45955</v>
      </c>
      <c r="N1561" s="43">
        <f>IF(Gastos[[#This Row],[Fecha_Cheque]]&gt;0,WEEKNUM(Gastos[[#This Row],[Fecha_Cheque]]),MID(Gastos[[#This Row],[Semana]],6,2))</f>
        <v>43</v>
      </c>
      <c r="O1561" t="s">
        <v>964</v>
      </c>
      <c r="P1561" t="s">
        <v>27</v>
      </c>
    </row>
    <row r="1562" spans="1:16" hidden="1" x14ac:dyDescent="0.25">
      <c r="A1562" s="3" t="s">
        <v>128</v>
      </c>
      <c r="B1562" t="s">
        <v>963</v>
      </c>
      <c r="C1562" t="s">
        <v>118</v>
      </c>
      <c r="D1562" t="s">
        <v>26</v>
      </c>
      <c r="E1562" t="s">
        <v>132</v>
      </c>
      <c r="F1562">
        <v>2</v>
      </c>
      <c r="G1562" s="3" t="s">
        <v>32</v>
      </c>
      <c r="H1562" s="46" t="s">
        <v>15</v>
      </c>
      <c r="I1562" s="17">
        <v>319622</v>
      </c>
      <c r="J1562" s="17">
        <f>IF(Gastos[[#This Row],[Divisa]]="$", I1562*1, IF(Gastos[[#This Row],[Divisa]]="U$D", I1562*$N$1, IF(Gastos[[#This Row],[Divisa]]="EUR", I1562*$N$2, 0)))</f>
        <v>319622</v>
      </c>
      <c r="K1562" s="54">
        <f>Gastos[[#This Row],[Importe AR$]]/$N$1</f>
        <v>204.88589743589745</v>
      </c>
      <c r="M1562" s="69">
        <v>45965</v>
      </c>
      <c r="N1562" s="43">
        <f>IF(Gastos[[#This Row],[Fecha_Cheque]]&gt;0,WEEKNUM(Gastos[[#This Row],[Fecha_Cheque]]),MID(Gastos[[#This Row],[Semana]],6,2))</f>
        <v>45</v>
      </c>
      <c r="O1562" t="s">
        <v>964</v>
      </c>
      <c r="P1562" t="s">
        <v>27</v>
      </c>
    </row>
    <row r="1563" spans="1:16" hidden="1" x14ac:dyDescent="0.25">
      <c r="A1563" s="3" t="s">
        <v>128</v>
      </c>
      <c r="B1563" t="s">
        <v>963</v>
      </c>
      <c r="C1563" t="s">
        <v>118</v>
      </c>
      <c r="D1563" t="s">
        <v>26</v>
      </c>
      <c r="E1563" t="s">
        <v>132</v>
      </c>
      <c r="F1563">
        <v>2</v>
      </c>
      <c r="G1563" s="3" t="s">
        <v>32</v>
      </c>
      <c r="H1563" s="46" t="s">
        <v>15</v>
      </c>
      <c r="I1563" s="17">
        <v>290000</v>
      </c>
      <c r="J1563" s="17">
        <f>IF(Gastos[[#This Row],[Divisa]]="$", I1563*1, IF(Gastos[[#This Row],[Divisa]]="U$D", I1563*$N$1, IF(Gastos[[#This Row],[Divisa]]="EUR", I1563*$N$2, 0)))</f>
        <v>290000</v>
      </c>
      <c r="K1563" s="54">
        <f>Gastos[[#This Row],[Importe AR$]]/$N$1</f>
        <v>185.89743589743588</v>
      </c>
      <c r="M1563" s="69">
        <v>45976</v>
      </c>
      <c r="N1563" s="43">
        <f>IF(Gastos[[#This Row],[Fecha_Cheque]]&gt;0,WEEKNUM(Gastos[[#This Row],[Fecha_Cheque]]),MID(Gastos[[#This Row],[Semana]],6,2))</f>
        <v>46</v>
      </c>
      <c r="O1563" t="s">
        <v>964</v>
      </c>
      <c r="P1563" t="s">
        <v>27</v>
      </c>
    </row>
    <row r="1564" spans="1:16" hidden="1" x14ac:dyDescent="0.25">
      <c r="A1564" s="3" t="s">
        <v>128</v>
      </c>
      <c r="B1564" t="s">
        <v>963</v>
      </c>
      <c r="C1564" t="s">
        <v>118</v>
      </c>
      <c r="D1564" t="s">
        <v>26</v>
      </c>
      <c r="E1564" t="s">
        <v>132</v>
      </c>
      <c r="F1564">
        <v>2</v>
      </c>
      <c r="G1564" s="3" t="s">
        <v>32</v>
      </c>
      <c r="H1564" s="46" t="s">
        <v>15</v>
      </c>
      <c r="I1564" s="17">
        <v>87900</v>
      </c>
      <c r="J1564" s="17">
        <f>IF(Gastos[[#This Row],[Divisa]]="$", I1564*1, IF(Gastos[[#This Row],[Divisa]]="U$D", I1564*$N$1, IF(Gastos[[#This Row],[Divisa]]="EUR", I1564*$N$2, 0)))</f>
        <v>87900</v>
      </c>
      <c r="K1564" s="54">
        <f>Gastos[[#This Row],[Importe AR$]]/$N$1</f>
        <v>56.346153846153847</v>
      </c>
      <c r="M1564" s="69">
        <v>45966</v>
      </c>
      <c r="N1564" s="43">
        <f>IF(Gastos[[#This Row],[Fecha_Cheque]]&gt;0,WEEKNUM(Gastos[[#This Row],[Fecha_Cheque]]),MID(Gastos[[#This Row],[Semana]],6,2))</f>
        <v>45</v>
      </c>
      <c r="O1564" t="s">
        <v>964</v>
      </c>
      <c r="P1564" t="s">
        <v>27</v>
      </c>
    </row>
    <row r="1565" spans="1:16" hidden="1" x14ac:dyDescent="0.25">
      <c r="A1565" s="3" t="s">
        <v>128</v>
      </c>
      <c r="B1565" t="s">
        <v>963</v>
      </c>
      <c r="C1565" t="s">
        <v>118</v>
      </c>
      <c r="D1565" t="s">
        <v>26</v>
      </c>
      <c r="E1565" t="s">
        <v>132</v>
      </c>
      <c r="F1565">
        <v>2</v>
      </c>
      <c r="G1565" s="3" t="s">
        <v>32</v>
      </c>
      <c r="H1565" s="46" t="s">
        <v>15</v>
      </c>
      <c r="I1565" s="17">
        <v>384297.52</v>
      </c>
      <c r="J1565" s="17">
        <f>IF(Gastos[[#This Row],[Divisa]]="$", I1565*1, IF(Gastos[[#This Row],[Divisa]]="U$D", I1565*$N$1, IF(Gastos[[#This Row],[Divisa]]="EUR", I1565*$N$2, 0)))</f>
        <v>384297.52</v>
      </c>
      <c r="K1565" s="54">
        <f>Gastos[[#This Row],[Importe AR$]]/$N$1</f>
        <v>246.34456410256411</v>
      </c>
      <c r="M1565" s="69">
        <v>45955</v>
      </c>
      <c r="N1565" s="43">
        <f>IF(Gastos[[#This Row],[Fecha_Cheque]]&gt;0,WEEKNUM(Gastos[[#This Row],[Fecha_Cheque]]),MID(Gastos[[#This Row],[Semana]],6,2))</f>
        <v>43</v>
      </c>
      <c r="O1565" t="s">
        <v>964</v>
      </c>
      <c r="P1565" t="s">
        <v>27</v>
      </c>
    </row>
    <row r="1566" spans="1:16" hidden="1" x14ac:dyDescent="0.25">
      <c r="A1566" s="3" t="s">
        <v>128</v>
      </c>
      <c r="B1566" t="s">
        <v>963</v>
      </c>
      <c r="C1566" t="s">
        <v>118</v>
      </c>
      <c r="D1566" t="s">
        <v>26</v>
      </c>
      <c r="E1566" t="s">
        <v>132</v>
      </c>
      <c r="F1566">
        <v>2</v>
      </c>
      <c r="G1566" s="3" t="s">
        <v>32</v>
      </c>
      <c r="H1566" s="46" t="s">
        <v>15</v>
      </c>
      <c r="I1566" s="17">
        <v>230000</v>
      </c>
      <c r="J1566" s="17">
        <f>IF(Gastos[[#This Row],[Divisa]]="$", I1566*1, IF(Gastos[[#This Row],[Divisa]]="U$D", I1566*$N$1, IF(Gastos[[#This Row],[Divisa]]="EUR", I1566*$N$2, 0)))</f>
        <v>230000</v>
      </c>
      <c r="K1566" s="54">
        <f>Gastos[[#This Row],[Importe AR$]]/$N$1</f>
        <v>147.43589743589743</v>
      </c>
      <c r="M1566" s="69">
        <v>45967</v>
      </c>
      <c r="N1566" s="43">
        <f>IF(Gastos[[#This Row],[Fecha_Cheque]]&gt;0,WEEKNUM(Gastos[[#This Row],[Fecha_Cheque]]),MID(Gastos[[#This Row],[Semana]],6,2))</f>
        <v>45</v>
      </c>
      <c r="O1566" t="s">
        <v>964</v>
      </c>
      <c r="P1566" t="s">
        <v>27</v>
      </c>
    </row>
    <row r="1567" spans="1:16" hidden="1" x14ac:dyDescent="0.25">
      <c r="A1567" s="3" t="s">
        <v>128</v>
      </c>
      <c r="B1567" t="s">
        <v>963</v>
      </c>
      <c r="C1567" t="s">
        <v>118</v>
      </c>
      <c r="D1567" t="s">
        <v>26</v>
      </c>
      <c r="E1567" t="s">
        <v>132</v>
      </c>
      <c r="F1567">
        <v>2</v>
      </c>
      <c r="G1567" s="3" t="s">
        <v>32</v>
      </c>
      <c r="H1567" s="46" t="s">
        <v>15</v>
      </c>
      <c r="I1567" s="17">
        <v>336250</v>
      </c>
      <c r="J1567" s="17">
        <f>IF(Gastos[[#This Row],[Divisa]]="$", I1567*1, IF(Gastos[[#This Row],[Divisa]]="U$D", I1567*$N$1, IF(Gastos[[#This Row],[Divisa]]="EUR", I1567*$N$2, 0)))</f>
        <v>336250</v>
      </c>
      <c r="K1567" s="54">
        <f>Gastos[[#This Row],[Importe AR$]]/$N$1</f>
        <v>215.5448717948718</v>
      </c>
      <c r="M1567" s="69">
        <v>45961</v>
      </c>
      <c r="N1567" s="43">
        <f>IF(Gastos[[#This Row],[Fecha_Cheque]]&gt;0,WEEKNUM(Gastos[[#This Row],[Fecha_Cheque]]),MID(Gastos[[#This Row],[Semana]],6,2))</f>
        <v>44</v>
      </c>
      <c r="O1567" t="s">
        <v>964</v>
      </c>
      <c r="P1567" t="s">
        <v>27</v>
      </c>
    </row>
    <row r="1568" spans="1:16" hidden="1" x14ac:dyDescent="0.25">
      <c r="A1568" s="3" t="s">
        <v>130</v>
      </c>
      <c r="B1568" t="s">
        <v>963</v>
      </c>
      <c r="C1568" t="s">
        <v>118</v>
      </c>
      <c r="D1568" t="s">
        <v>61</v>
      </c>
      <c r="E1568" t="s">
        <v>132</v>
      </c>
      <c r="F1568">
        <v>2</v>
      </c>
      <c r="G1568" s="3" t="s">
        <v>32</v>
      </c>
      <c r="H1568" s="46" t="s">
        <v>15</v>
      </c>
      <c r="I1568" s="17">
        <v>2035168</v>
      </c>
      <c r="J1568" s="17">
        <f>IF(Gastos[[#This Row],[Divisa]]="$", I1568*1, IF(Gastos[[#This Row],[Divisa]]="U$D", I1568*$N$1, IF(Gastos[[#This Row],[Divisa]]="EUR", I1568*$N$2, 0)))</f>
        <v>2035168</v>
      </c>
      <c r="K1568" s="54">
        <f>Gastos[[#This Row],[Importe AR$]]/$N$1</f>
        <v>1304.5948717948718</v>
      </c>
      <c r="M1568" s="69">
        <v>45997</v>
      </c>
      <c r="N1568" s="43">
        <f>IF(Gastos[[#This Row],[Fecha_Cheque]]&gt;0,WEEKNUM(Gastos[[#This Row],[Fecha_Cheque]]),MID(Gastos[[#This Row],[Semana]],6,2))</f>
        <v>49</v>
      </c>
      <c r="O1568" t="s">
        <v>965</v>
      </c>
      <c r="P1568" t="s">
        <v>27</v>
      </c>
    </row>
    <row r="1569" spans="1:16" hidden="1" x14ac:dyDescent="0.25">
      <c r="A1569" s="3" t="s">
        <v>130</v>
      </c>
      <c r="B1569" t="s">
        <v>963</v>
      </c>
      <c r="C1569" t="s">
        <v>118</v>
      </c>
      <c r="D1569" t="s">
        <v>61</v>
      </c>
      <c r="E1569" t="s">
        <v>132</v>
      </c>
      <c r="F1569">
        <v>2</v>
      </c>
      <c r="G1569" s="3" t="s">
        <v>32</v>
      </c>
      <c r="H1569" s="46" t="s">
        <v>15</v>
      </c>
      <c r="I1569" s="17">
        <v>2506000</v>
      </c>
      <c r="J1569" s="17">
        <f>IF(Gastos[[#This Row],[Divisa]]="$", I1569*1, IF(Gastos[[#This Row],[Divisa]]="U$D", I1569*$N$1, IF(Gastos[[#This Row],[Divisa]]="EUR", I1569*$N$2, 0)))</f>
        <v>2506000</v>
      </c>
      <c r="K1569" s="54">
        <f>Gastos[[#This Row],[Importe AR$]]/$N$1</f>
        <v>1606.4102564102564</v>
      </c>
      <c r="M1569" s="69">
        <v>46004</v>
      </c>
      <c r="N1569" s="43">
        <f>IF(Gastos[[#This Row],[Fecha_Cheque]]&gt;0,WEEKNUM(Gastos[[#This Row],[Fecha_Cheque]]),MID(Gastos[[#This Row],[Semana]],6,2))</f>
        <v>50</v>
      </c>
      <c r="O1569" t="s">
        <v>965</v>
      </c>
      <c r="P1569" t="s">
        <v>27</v>
      </c>
    </row>
    <row r="1570" spans="1:16" hidden="1" x14ac:dyDescent="0.25">
      <c r="A1570" s="3" t="s">
        <v>81</v>
      </c>
      <c r="B1570" t="s">
        <v>963</v>
      </c>
      <c r="C1570" t="s">
        <v>118</v>
      </c>
      <c r="D1570" t="s">
        <v>26</v>
      </c>
      <c r="E1570" t="s">
        <v>132</v>
      </c>
      <c r="F1570">
        <v>2</v>
      </c>
      <c r="G1570" s="3" t="s">
        <v>32</v>
      </c>
      <c r="H1570" s="46" t="s">
        <v>15</v>
      </c>
      <c r="I1570" s="17">
        <v>1298320</v>
      </c>
      <c r="J1570" s="17">
        <f>IF(Gastos[[#This Row],[Divisa]]="$", I1570*1, IF(Gastos[[#This Row],[Divisa]]="U$D", I1570*$N$1, IF(Gastos[[#This Row],[Divisa]]="EUR", I1570*$N$2, 0)))</f>
        <v>1298320</v>
      </c>
      <c r="K1570" s="54">
        <f>Gastos[[#This Row],[Importe AR$]]/$N$1</f>
        <v>832.25641025641028</v>
      </c>
      <c r="M1570" s="69">
        <v>46025</v>
      </c>
      <c r="N1570" s="43">
        <f>IF(Gastos[[#This Row],[Fecha_Cheque]]&gt;0,WEEKNUM(Gastos[[#This Row],[Fecha_Cheque]]),MID(Gastos[[#This Row],[Semana]],6,2))</f>
        <v>1</v>
      </c>
      <c r="O1570" t="s">
        <v>966</v>
      </c>
      <c r="P1570" t="s">
        <v>27</v>
      </c>
    </row>
    <row r="1571" spans="1:16" hidden="1" x14ac:dyDescent="0.25">
      <c r="A1571" s="3" t="s">
        <v>81</v>
      </c>
      <c r="B1571" t="s">
        <v>963</v>
      </c>
      <c r="C1571" t="s">
        <v>118</v>
      </c>
      <c r="D1571" t="s">
        <v>26</v>
      </c>
      <c r="E1571" t="s">
        <v>132</v>
      </c>
      <c r="F1571">
        <v>2</v>
      </c>
      <c r="G1571" s="3" t="s">
        <v>32</v>
      </c>
      <c r="H1571" s="46" t="s">
        <v>15</v>
      </c>
      <c r="I1571" s="17">
        <v>2708000</v>
      </c>
      <c r="J1571" s="17">
        <f>IF(Gastos[[#This Row],[Divisa]]="$", I1571*1, IF(Gastos[[#This Row],[Divisa]]="U$D", I1571*$N$1, IF(Gastos[[#This Row],[Divisa]]="EUR", I1571*$N$2, 0)))</f>
        <v>2708000</v>
      </c>
      <c r="K1571" s="54">
        <f>Gastos[[#This Row],[Importe AR$]]/$N$1</f>
        <v>1735.8974358974358</v>
      </c>
      <c r="M1571" s="69">
        <v>46028</v>
      </c>
      <c r="N1571" s="43">
        <f>IF(Gastos[[#This Row],[Fecha_Cheque]]&gt;0,WEEKNUM(Gastos[[#This Row],[Fecha_Cheque]]),MID(Gastos[[#This Row],[Semana]],6,2))</f>
        <v>2</v>
      </c>
      <c r="O1571" t="s">
        <v>966</v>
      </c>
      <c r="P1571" t="s">
        <v>27</v>
      </c>
    </row>
    <row r="1572" spans="1:16" hidden="1" x14ac:dyDescent="0.25">
      <c r="A1572" s="3" t="s">
        <v>44</v>
      </c>
      <c r="B1572" t="s">
        <v>963</v>
      </c>
      <c r="C1572" t="s">
        <v>118</v>
      </c>
      <c r="D1572" t="s">
        <v>26</v>
      </c>
      <c r="E1572" t="s">
        <v>132</v>
      </c>
      <c r="F1572">
        <v>2</v>
      </c>
      <c r="G1572" s="3" t="s">
        <v>32</v>
      </c>
      <c r="H1572" s="46" t="s">
        <v>15</v>
      </c>
      <c r="I1572" s="17">
        <v>860000</v>
      </c>
      <c r="J1572" s="17">
        <f>IF(Gastos[[#This Row],[Divisa]]="$", I1572*1, IF(Gastos[[#This Row],[Divisa]]="U$D", I1572*$N$1, IF(Gastos[[#This Row],[Divisa]]="EUR", I1572*$N$2, 0)))</f>
        <v>860000</v>
      </c>
      <c r="K1572" s="54">
        <f>Gastos[[#This Row],[Importe AR$]]/$N$1</f>
        <v>551.28205128205127</v>
      </c>
      <c r="M1572" s="69">
        <v>46043</v>
      </c>
      <c r="N1572" s="43">
        <f>IF(Gastos[[#This Row],[Fecha_Cheque]]&gt;0,WEEKNUM(Gastos[[#This Row],[Fecha_Cheque]]),MID(Gastos[[#This Row],[Semana]],6,2))</f>
        <v>4</v>
      </c>
      <c r="O1572" t="s">
        <v>967</v>
      </c>
      <c r="P1572" t="s">
        <v>27</v>
      </c>
    </row>
    <row r="1573" spans="1:16" hidden="1" x14ac:dyDescent="0.25">
      <c r="A1573" s="3" t="s">
        <v>44</v>
      </c>
      <c r="B1573" t="s">
        <v>963</v>
      </c>
      <c r="C1573" t="s">
        <v>118</v>
      </c>
      <c r="D1573" t="s">
        <v>26</v>
      </c>
      <c r="E1573" t="s">
        <v>132</v>
      </c>
      <c r="F1573">
        <v>2</v>
      </c>
      <c r="G1573" s="3" t="s">
        <v>32</v>
      </c>
      <c r="H1573" s="46" t="s">
        <v>15</v>
      </c>
      <c r="I1573" s="17">
        <v>500000</v>
      </c>
      <c r="J1573" s="17">
        <f>IF(Gastos[[#This Row],[Divisa]]="$", I1573*1, IF(Gastos[[#This Row],[Divisa]]="U$D", I1573*$N$1, IF(Gastos[[#This Row],[Divisa]]="EUR", I1573*$N$2, 0)))</f>
        <v>500000</v>
      </c>
      <c r="K1573" s="54">
        <f>Gastos[[#This Row],[Importe AR$]]/$N$1</f>
        <v>320.5128205128205</v>
      </c>
      <c r="M1573" s="69">
        <v>46044</v>
      </c>
      <c r="N1573" s="43">
        <f>IF(Gastos[[#This Row],[Fecha_Cheque]]&gt;0,WEEKNUM(Gastos[[#This Row],[Fecha_Cheque]]),MID(Gastos[[#This Row],[Semana]],6,2))</f>
        <v>4</v>
      </c>
      <c r="O1573" t="s">
        <v>967</v>
      </c>
      <c r="P1573" t="s">
        <v>27</v>
      </c>
    </row>
    <row r="1574" spans="1:16" hidden="1" x14ac:dyDescent="0.25">
      <c r="A1574" s="3" t="s">
        <v>44</v>
      </c>
      <c r="B1574" t="s">
        <v>963</v>
      </c>
      <c r="C1574" t="s">
        <v>118</v>
      </c>
      <c r="D1574" t="s">
        <v>26</v>
      </c>
      <c r="E1574" t="s">
        <v>132</v>
      </c>
      <c r="F1574">
        <v>2</v>
      </c>
      <c r="G1574" s="3" t="s">
        <v>32</v>
      </c>
      <c r="H1574" s="46" t="s">
        <v>15</v>
      </c>
      <c r="I1574" s="17">
        <v>1000000</v>
      </c>
      <c r="J1574" s="17">
        <f>IF(Gastos[[#This Row],[Divisa]]="$", I1574*1, IF(Gastos[[#This Row],[Divisa]]="U$D", I1574*$N$1, IF(Gastos[[#This Row],[Divisa]]="EUR", I1574*$N$2, 0)))</f>
        <v>1000000</v>
      </c>
      <c r="K1574" s="54">
        <f>Gastos[[#This Row],[Importe AR$]]/$N$1</f>
        <v>641.02564102564099</v>
      </c>
      <c r="M1574" s="69">
        <v>46044</v>
      </c>
      <c r="N1574" s="43">
        <f>IF(Gastos[[#This Row],[Fecha_Cheque]]&gt;0,WEEKNUM(Gastos[[#This Row],[Fecha_Cheque]]),MID(Gastos[[#This Row],[Semana]],6,2))</f>
        <v>4</v>
      </c>
      <c r="O1574" t="s">
        <v>967</v>
      </c>
      <c r="P1574" t="s">
        <v>27</v>
      </c>
    </row>
    <row r="1575" spans="1:16" hidden="1" x14ac:dyDescent="0.25">
      <c r="A1575" s="3" t="s">
        <v>44</v>
      </c>
      <c r="B1575" t="s">
        <v>963</v>
      </c>
      <c r="C1575" t="s">
        <v>118</v>
      </c>
      <c r="D1575" t="s">
        <v>26</v>
      </c>
      <c r="E1575" t="s">
        <v>132</v>
      </c>
      <c r="F1575">
        <v>2</v>
      </c>
      <c r="G1575" s="3" t="s">
        <v>32</v>
      </c>
      <c r="H1575" s="46" t="s">
        <v>15</v>
      </c>
      <c r="I1575" s="17">
        <v>2471000</v>
      </c>
      <c r="J1575" s="17">
        <f>IF(Gastos[[#This Row],[Divisa]]="$", I1575*1, IF(Gastos[[#This Row],[Divisa]]="U$D", I1575*$N$1, IF(Gastos[[#This Row],[Divisa]]="EUR", I1575*$N$2, 0)))</f>
        <v>2471000</v>
      </c>
      <c r="K1575" s="54">
        <f>Gastos[[#This Row],[Importe AR$]]/$N$1</f>
        <v>1583.9743589743589</v>
      </c>
      <c r="M1575" s="69">
        <v>46047</v>
      </c>
      <c r="N1575" s="43">
        <f>IF(Gastos[[#This Row],[Fecha_Cheque]]&gt;0,WEEKNUM(Gastos[[#This Row],[Fecha_Cheque]]),MID(Gastos[[#This Row],[Semana]],6,2))</f>
        <v>5</v>
      </c>
      <c r="O1575" t="s">
        <v>967</v>
      </c>
      <c r="P1575" t="s">
        <v>27</v>
      </c>
    </row>
    <row r="1576" spans="1:16" hidden="1" x14ac:dyDescent="0.25">
      <c r="A1576" s="3" t="s">
        <v>44</v>
      </c>
      <c r="B1576" t="s">
        <v>963</v>
      </c>
      <c r="C1576" t="s">
        <v>118</v>
      </c>
      <c r="D1576" t="s">
        <v>26</v>
      </c>
      <c r="E1576" t="s">
        <v>132</v>
      </c>
      <c r="F1576">
        <v>2</v>
      </c>
      <c r="G1576" s="3" t="s">
        <v>32</v>
      </c>
      <c r="H1576" s="46" t="s">
        <v>15</v>
      </c>
      <c r="I1576" s="17">
        <v>2000000</v>
      </c>
      <c r="J1576" s="17">
        <f>IF(Gastos[[#This Row],[Divisa]]="$", I1576*1, IF(Gastos[[#This Row],[Divisa]]="U$D", I1576*$N$1, IF(Gastos[[#This Row],[Divisa]]="EUR", I1576*$N$2, 0)))</f>
        <v>2000000</v>
      </c>
      <c r="K1576" s="54">
        <f>Gastos[[#This Row],[Importe AR$]]/$N$1</f>
        <v>1282.051282051282</v>
      </c>
      <c r="L1576" s="8"/>
      <c r="M1576" s="69">
        <v>46048</v>
      </c>
      <c r="N1576" s="43">
        <f>IF(Gastos[[#This Row],[Fecha_Cheque]]&gt;0,WEEKNUM(Gastos[[#This Row],[Fecha_Cheque]]),MID(Gastos[[#This Row],[Semana]],6,2))</f>
        <v>5</v>
      </c>
      <c r="O1576" t="s">
        <v>967</v>
      </c>
      <c r="P1576" t="s">
        <v>27</v>
      </c>
    </row>
    <row r="1577" spans="1:16" hidden="1" x14ac:dyDescent="0.25">
      <c r="A1577" s="3" t="s">
        <v>152</v>
      </c>
      <c r="B1577" t="s">
        <v>963</v>
      </c>
      <c r="C1577" t="s">
        <v>554</v>
      </c>
      <c r="D1577" t="s">
        <v>26</v>
      </c>
      <c r="E1577" t="s">
        <v>62</v>
      </c>
      <c r="F1577">
        <v>2</v>
      </c>
      <c r="G1577" s="3" t="s">
        <v>4</v>
      </c>
      <c r="H1577" s="46" t="s">
        <v>15</v>
      </c>
      <c r="I1577" s="17">
        <v>2506000</v>
      </c>
      <c r="J1577" s="17">
        <f>IF(Gastos[[#This Row],[Divisa]]="$", I1577*1, IF(Gastos[[#This Row],[Divisa]]="U$D", I1577*$N$1, IF(Gastos[[#This Row],[Divisa]]="EUR", I1577*$N$2, 0)))</f>
        <v>2506000</v>
      </c>
      <c r="K1577" s="54">
        <f>Gastos[[#This Row],[Importe AR$]]/$N$1</f>
        <v>1606.4102564102564</v>
      </c>
      <c r="M1577" s="69"/>
      <c r="N1577" s="43" t="str">
        <f>IF(Gastos[[#This Row],[Fecha_Cheque]]&gt;0,WEEKNUM(Gastos[[#This Row],[Fecha_Cheque]]),MID(Gastos[[#This Row],[Semana]],6,2))</f>
        <v>04</v>
      </c>
      <c r="O1577" t="s">
        <v>968</v>
      </c>
      <c r="P1577" t="s">
        <v>27</v>
      </c>
    </row>
    <row r="1578" spans="1:16" hidden="1" x14ac:dyDescent="0.25">
      <c r="A1578" s="3" t="s">
        <v>619</v>
      </c>
      <c r="B1578" t="s">
        <v>963</v>
      </c>
      <c r="C1578" t="s">
        <v>118</v>
      </c>
      <c r="D1578" t="s">
        <v>26</v>
      </c>
      <c r="E1578" t="s">
        <v>132</v>
      </c>
      <c r="F1578">
        <v>2</v>
      </c>
      <c r="G1578" s="3" t="s">
        <v>32</v>
      </c>
      <c r="H1578" s="44" t="s">
        <v>15</v>
      </c>
      <c r="I1578" s="17">
        <v>1000000</v>
      </c>
      <c r="J1578" s="17">
        <f>IF(Gastos[[#This Row],[Divisa]]="$", I1578*1, IF(Gastos[[#This Row],[Divisa]]="U$D", I1578*$N$1, IF(Gastos[[#This Row],[Divisa]]="EUR", I1578*$N$2, 0)))</f>
        <v>1000000</v>
      </c>
      <c r="K1578" s="54">
        <f>Gastos[[#This Row],[Importe AR$]]/$N$1</f>
        <v>641.02564102564099</v>
      </c>
      <c r="L1578" s="8"/>
      <c r="M1578" s="69">
        <v>46133</v>
      </c>
      <c r="N1578" s="43">
        <f>IF(Gastos[[#This Row],[Fecha_Cheque]]&gt;0,WEEKNUM(Gastos[[#This Row],[Fecha_Cheque]]),MID(Gastos[[#This Row],[Semana]],6,2))</f>
        <v>17</v>
      </c>
      <c r="O1578" t="s">
        <v>1826</v>
      </c>
      <c r="P1578" t="s">
        <v>27</v>
      </c>
    </row>
    <row r="1579" spans="1:16" hidden="1" x14ac:dyDescent="0.25">
      <c r="A1579" s="3" t="s">
        <v>619</v>
      </c>
      <c r="B1579" t="s">
        <v>963</v>
      </c>
      <c r="C1579" t="s">
        <v>118</v>
      </c>
      <c r="D1579" t="s">
        <v>26</v>
      </c>
      <c r="E1579" t="s">
        <v>132</v>
      </c>
      <c r="F1579">
        <v>2</v>
      </c>
      <c r="G1579" s="3" t="s">
        <v>32</v>
      </c>
      <c r="H1579" s="44" t="s">
        <v>15</v>
      </c>
      <c r="I1579" s="17">
        <v>1000000</v>
      </c>
      <c r="J1579" s="17">
        <f>IF(Gastos[[#This Row],[Divisa]]="$", I1579*1, IF(Gastos[[#This Row],[Divisa]]="U$D", I1579*$N$1, IF(Gastos[[#This Row],[Divisa]]="EUR", I1579*$N$2, 0)))</f>
        <v>1000000</v>
      </c>
      <c r="K1579" s="54">
        <f>Gastos[[#This Row],[Importe AR$]]/$N$1</f>
        <v>641.02564102564099</v>
      </c>
      <c r="M1579" s="69">
        <v>46134</v>
      </c>
      <c r="N1579" s="43">
        <f>IF(Gastos[[#This Row],[Fecha_Cheque]]&gt;0,WEEKNUM(Gastos[[#This Row],[Fecha_Cheque]]),MID(Gastos[[#This Row],[Semana]],6,2))</f>
        <v>17</v>
      </c>
      <c r="O1579" t="s">
        <v>1826</v>
      </c>
      <c r="P1579" t="s">
        <v>27</v>
      </c>
    </row>
    <row r="1580" spans="1:16" hidden="1" x14ac:dyDescent="0.25">
      <c r="A1580" s="3" t="s">
        <v>619</v>
      </c>
      <c r="B1580" t="s">
        <v>963</v>
      </c>
      <c r="C1580" t="s">
        <v>118</v>
      </c>
      <c r="D1580" t="s">
        <v>26</v>
      </c>
      <c r="E1580" t="s">
        <v>132</v>
      </c>
      <c r="F1580">
        <v>2</v>
      </c>
      <c r="G1580" s="3" t="s">
        <v>32</v>
      </c>
      <c r="H1580" s="44" t="s">
        <v>15</v>
      </c>
      <c r="I1580" s="17">
        <v>1000000</v>
      </c>
      <c r="J1580" s="17">
        <f>IF(Gastos[[#This Row],[Divisa]]="$", I1580*1, IF(Gastos[[#This Row],[Divisa]]="U$D", I1580*$N$1, IF(Gastos[[#This Row],[Divisa]]="EUR", I1580*$N$2, 0)))</f>
        <v>1000000</v>
      </c>
      <c r="K1580" s="54">
        <f>Gastos[[#This Row],[Importe AR$]]/$N$1</f>
        <v>641.02564102564099</v>
      </c>
      <c r="M1580" s="69">
        <v>46132</v>
      </c>
      <c r="N1580" s="43">
        <f>IF(Gastos[[#This Row],[Fecha_Cheque]]&gt;0,WEEKNUM(Gastos[[#This Row],[Fecha_Cheque]]),MID(Gastos[[#This Row],[Semana]],6,2))</f>
        <v>17</v>
      </c>
      <c r="O1580" t="s">
        <v>1826</v>
      </c>
      <c r="P1580" t="s">
        <v>27</v>
      </c>
    </row>
    <row r="1581" spans="1:16" x14ac:dyDescent="0.25">
      <c r="A1581" s="3" t="s">
        <v>4655</v>
      </c>
      <c r="B1581" t="s">
        <v>3246</v>
      </c>
      <c r="C1581" t="s">
        <v>814</v>
      </c>
      <c r="D1581" t="s">
        <v>26</v>
      </c>
      <c r="E1581" t="s">
        <v>91</v>
      </c>
      <c r="F1581">
        <v>1</v>
      </c>
      <c r="G1581" s="3" t="s">
        <v>32</v>
      </c>
      <c r="H1581" s="44" t="s">
        <v>15</v>
      </c>
      <c r="I1581" s="17">
        <v>0</v>
      </c>
      <c r="J1581" s="17">
        <f>IF(Gastos[[#This Row],[Divisa]]="$", I1581*1, IF(Gastos[[#This Row],[Divisa]]="U$D", I1581*$N$1, IF(Gastos[[#This Row],[Divisa]]="EUR", I1581*$N$2, 0)))</f>
        <v>0</v>
      </c>
      <c r="K1581" s="54">
        <f>Gastos[[#This Row],[Importe AR$]]/$N$1</f>
        <v>0</v>
      </c>
      <c r="M1581" s="69"/>
      <c r="N1581" s="43" t="str">
        <f>IF(Gastos[[#This Row],[Fecha_Cheque]]&gt;0,WEEKNUM(Gastos[[#This Row],[Fecha_Cheque]]),MID(Gastos[[#This Row],[Semana]],6,2))</f>
        <v>44</v>
      </c>
    </row>
    <row r="1582" spans="1:16" hidden="1" x14ac:dyDescent="0.25">
      <c r="A1582" s="3" t="s">
        <v>122</v>
      </c>
      <c r="B1582" t="s">
        <v>972</v>
      </c>
      <c r="C1582" t="s">
        <v>118</v>
      </c>
      <c r="D1582" t="s">
        <v>26</v>
      </c>
      <c r="E1582" t="s">
        <v>132</v>
      </c>
      <c r="F1582">
        <v>2</v>
      </c>
      <c r="G1582" s="3" t="s">
        <v>32</v>
      </c>
      <c r="H1582" s="46" t="s">
        <v>15</v>
      </c>
      <c r="I1582" s="17">
        <v>980000</v>
      </c>
      <c r="J1582" s="17">
        <f>IF(Gastos[[#This Row],[Divisa]]="$", I1582*1, IF(Gastos[[#This Row],[Divisa]]="U$D", I1582*$N$1, IF(Gastos[[#This Row],[Divisa]]="EUR", I1582*$N$2, 0)))</f>
        <v>980000</v>
      </c>
      <c r="K1582" s="54">
        <f>Gastos[[#This Row],[Importe AR$]]/$N$1</f>
        <v>628.20512820512818</v>
      </c>
      <c r="M1582" s="69">
        <v>45950</v>
      </c>
      <c r="N1582" s="43">
        <f>IF(Gastos[[#This Row],[Fecha_Cheque]]&gt;0,WEEKNUM(Gastos[[#This Row],[Fecha_Cheque]]),MID(Gastos[[#This Row],[Semana]],6,2))</f>
        <v>43</v>
      </c>
      <c r="O1582" t="s">
        <v>973</v>
      </c>
      <c r="P1582" t="s">
        <v>27</v>
      </c>
    </row>
    <row r="1583" spans="1:16" hidden="1" x14ac:dyDescent="0.25">
      <c r="A1583" s="3" t="s">
        <v>122</v>
      </c>
      <c r="B1583" t="s">
        <v>972</v>
      </c>
      <c r="C1583" t="s">
        <v>118</v>
      </c>
      <c r="D1583" t="s">
        <v>26</v>
      </c>
      <c r="E1583" t="s">
        <v>132</v>
      </c>
      <c r="F1583">
        <v>2</v>
      </c>
      <c r="G1583" s="3" t="s">
        <v>32</v>
      </c>
      <c r="H1583" s="46" t="s">
        <v>15</v>
      </c>
      <c r="I1583" s="17">
        <v>837000</v>
      </c>
      <c r="J1583" s="17">
        <f>IF(Gastos[[#This Row],[Divisa]]="$", I1583*1, IF(Gastos[[#This Row],[Divisa]]="U$D", I1583*$N$1, IF(Gastos[[#This Row],[Divisa]]="EUR", I1583*$N$2, 0)))</f>
        <v>837000</v>
      </c>
      <c r="K1583" s="54">
        <f>Gastos[[#This Row],[Importe AR$]]/$N$1</f>
        <v>536.53846153846155</v>
      </c>
      <c r="M1583" s="69">
        <v>45954</v>
      </c>
      <c r="N1583" s="43">
        <f>IF(Gastos[[#This Row],[Fecha_Cheque]]&gt;0,WEEKNUM(Gastos[[#This Row],[Fecha_Cheque]]),MID(Gastos[[#This Row],[Semana]],6,2))</f>
        <v>43</v>
      </c>
      <c r="O1583" t="s">
        <v>973</v>
      </c>
      <c r="P1583" t="s">
        <v>27</v>
      </c>
    </row>
    <row r="1584" spans="1:16" hidden="1" x14ac:dyDescent="0.25">
      <c r="A1584" s="3" t="s">
        <v>122</v>
      </c>
      <c r="B1584" t="s">
        <v>972</v>
      </c>
      <c r="C1584" t="s">
        <v>118</v>
      </c>
      <c r="D1584" t="s">
        <v>26</v>
      </c>
      <c r="E1584" t="s">
        <v>132</v>
      </c>
      <c r="F1584">
        <v>2</v>
      </c>
      <c r="G1584" s="3" t="s">
        <v>32</v>
      </c>
      <c r="H1584" s="46" t="s">
        <v>15</v>
      </c>
      <c r="I1584" s="17">
        <v>300000</v>
      </c>
      <c r="J1584" s="17">
        <f>IF(Gastos[[#This Row],[Divisa]]="$", I1584*1, IF(Gastos[[#This Row],[Divisa]]="U$D", I1584*$N$1, IF(Gastos[[#This Row],[Divisa]]="EUR", I1584*$N$2, 0)))</f>
        <v>300000</v>
      </c>
      <c r="K1584" s="54">
        <f>Gastos[[#This Row],[Importe AR$]]/$N$1</f>
        <v>192.30769230769232</v>
      </c>
      <c r="M1584" s="69">
        <v>45947</v>
      </c>
      <c r="N1584" s="43">
        <f>IF(Gastos[[#This Row],[Fecha_Cheque]]&gt;0,WEEKNUM(Gastos[[#This Row],[Fecha_Cheque]]),MID(Gastos[[#This Row],[Semana]],6,2))</f>
        <v>42</v>
      </c>
      <c r="O1584" t="s">
        <v>973</v>
      </c>
      <c r="P1584" t="s">
        <v>27</v>
      </c>
    </row>
    <row r="1585" spans="1:16" hidden="1" x14ac:dyDescent="0.25">
      <c r="A1585" s="3" t="s">
        <v>122</v>
      </c>
      <c r="B1585" t="s">
        <v>972</v>
      </c>
      <c r="C1585" t="s">
        <v>118</v>
      </c>
      <c r="D1585" t="s">
        <v>26</v>
      </c>
      <c r="E1585" t="s">
        <v>132</v>
      </c>
      <c r="F1585">
        <v>2</v>
      </c>
      <c r="G1585" s="3" t="s">
        <v>32</v>
      </c>
      <c r="H1585" s="46" t="s">
        <v>15</v>
      </c>
      <c r="I1585" s="17">
        <v>917301</v>
      </c>
      <c r="J1585" s="17">
        <f>IF(Gastos[[#This Row],[Divisa]]="$", I1585*1, IF(Gastos[[#This Row],[Divisa]]="U$D", I1585*$N$1, IF(Gastos[[#This Row],[Divisa]]="EUR", I1585*$N$2, 0)))</f>
        <v>917301</v>
      </c>
      <c r="K1585" s="54">
        <f>Gastos[[#This Row],[Importe AR$]]/$N$1</f>
        <v>588.01346153846157</v>
      </c>
      <c r="M1585" s="69">
        <v>45936</v>
      </c>
      <c r="N1585" s="43">
        <f>IF(Gastos[[#This Row],[Fecha_Cheque]]&gt;0,WEEKNUM(Gastos[[#This Row],[Fecha_Cheque]]),MID(Gastos[[#This Row],[Semana]],6,2))</f>
        <v>41</v>
      </c>
      <c r="O1585" t="s">
        <v>973</v>
      </c>
      <c r="P1585" t="s">
        <v>27</v>
      </c>
    </row>
    <row r="1586" spans="1:16" hidden="1" x14ac:dyDescent="0.25">
      <c r="A1586" s="3" t="s">
        <v>122</v>
      </c>
      <c r="B1586" t="s">
        <v>972</v>
      </c>
      <c r="C1586" t="s">
        <v>118</v>
      </c>
      <c r="D1586" t="s">
        <v>26</v>
      </c>
      <c r="E1586" t="s">
        <v>132</v>
      </c>
      <c r="F1586">
        <v>2</v>
      </c>
      <c r="G1586" s="3" t="s">
        <v>32</v>
      </c>
      <c r="H1586" s="46" t="s">
        <v>15</v>
      </c>
      <c r="I1586" s="17">
        <v>800000</v>
      </c>
      <c r="J1586" s="17">
        <f>IF(Gastos[[#This Row],[Divisa]]="$", I1586*1, IF(Gastos[[#This Row],[Divisa]]="U$D", I1586*$N$1, IF(Gastos[[#This Row],[Divisa]]="EUR", I1586*$N$2, 0)))</f>
        <v>800000</v>
      </c>
      <c r="K1586" s="54">
        <f>Gastos[[#This Row],[Importe AR$]]/$N$1</f>
        <v>512.82051282051282</v>
      </c>
      <c r="M1586" s="69">
        <v>45974</v>
      </c>
      <c r="N1586" s="43">
        <f>IF(Gastos[[#This Row],[Fecha_Cheque]]&gt;0,WEEKNUM(Gastos[[#This Row],[Fecha_Cheque]]),MID(Gastos[[#This Row],[Semana]],6,2))</f>
        <v>46</v>
      </c>
      <c r="O1586" t="s">
        <v>973</v>
      </c>
      <c r="P1586" t="s">
        <v>27</v>
      </c>
    </row>
    <row r="1587" spans="1:16" hidden="1" x14ac:dyDescent="0.25">
      <c r="A1587" s="3" t="s">
        <v>122</v>
      </c>
      <c r="B1587" t="s">
        <v>972</v>
      </c>
      <c r="C1587" t="s">
        <v>118</v>
      </c>
      <c r="D1587" t="s">
        <v>26</v>
      </c>
      <c r="E1587" t="s">
        <v>132</v>
      </c>
      <c r="F1587">
        <v>2</v>
      </c>
      <c r="G1587" s="3" t="s">
        <v>32</v>
      </c>
      <c r="H1587" s="46" t="s">
        <v>15</v>
      </c>
      <c r="I1587" s="17">
        <v>800000</v>
      </c>
      <c r="J1587" s="17">
        <f>IF(Gastos[[#This Row],[Divisa]]="$", I1587*1, IF(Gastos[[#This Row],[Divisa]]="U$D", I1587*$N$1, IF(Gastos[[#This Row],[Divisa]]="EUR", I1587*$N$2, 0)))</f>
        <v>800000</v>
      </c>
      <c r="K1587" s="54">
        <f>Gastos[[#This Row],[Importe AR$]]/$N$1</f>
        <v>512.82051282051282</v>
      </c>
      <c r="M1587" s="69">
        <v>45973</v>
      </c>
      <c r="N1587" s="43">
        <f>IF(Gastos[[#This Row],[Fecha_Cheque]]&gt;0,WEEKNUM(Gastos[[#This Row],[Fecha_Cheque]]),MID(Gastos[[#This Row],[Semana]],6,2))</f>
        <v>46</v>
      </c>
      <c r="O1587" t="s">
        <v>973</v>
      </c>
      <c r="P1587" t="s">
        <v>27</v>
      </c>
    </row>
    <row r="1588" spans="1:16" hidden="1" x14ac:dyDescent="0.25">
      <c r="A1588" s="3" t="s">
        <v>122</v>
      </c>
      <c r="B1588" t="s">
        <v>972</v>
      </c>
      <c r="C1588" t="s">
        <v>118</v>
      </c>
      <c r="D1588" t="s">
        <v>26</v>
      </c>
      <c r="E1588" t="s">
        <v>132</v>
      </c>
      <c r="F1588">
        <v>2</v>
      </c>
      <c r="G1588" s="3" t="s">
        <v>32</v>
      </c>
      <c r="H1588" s="46" t="s">
        <v>15</v>
      </c>
      <c r="I1588" s="17">
        <v>800000</v>
      </c>
      <c r="J1588" s="17">
        <f>IF(Gastos[[#This Row],[Divisa]]="$", I1588*1, IF(Gastos[[#This Row],[Divisa]]="U$D", I1588*$N$1, IF(Gastos[[#This Row],[Divisa]]="EUR", I1588*$N$2, 0)))</f>
        <v>800000</v>
      </c>
      <c r="K1588" s="54">
        <f>Gastos[[#This Row],[Importe AR$]]/$N$1</f>
        <v>512.82051282051282</v>
      </c>
      <c r="M1588" s="69">
        <v>45954</v>
      </c>
      <c r="N1588" s="43">
        <f>IF(Gastos[[#This Row],[Fecha_Cheque]]&gt;0,WEEKNUM(Gastos[[#This Row],[Fecha_Cheque]]),MID(Gastos[[#This Row],[Semana]],6,2))</f>
        <v>43</v>
      </c>
      <c r="O1588" t="s">
        <v>973</v>
      </c>
      <c r="P1588" t="s">
        <v>27</v>
      </c>
    </row>
    <row r="1589" spans="1:16" hidden="1" x14ac:dyDescent="0.25">
      <c r="A1589" s="3" t="s">
        <v>171</v>
      </c>
      <c r="B1589" t="s">
        <v>972</v>
      </c>
      <c r="C1589" t="s">
        <v>118</v>
      </c>
      <c r="D1589" t="s">
        <v>26</v>
      </c>
      <c r="E1589" t="s">
        <v>132</v>
      </c>
      <c r="F1589">
        <v>2</v>
      </c>
      <c r="G1589" s="3" t="s">
        <v>32</v>
      </c>
      <c r="H1589" s="46" t="s">
        <v>15</v>
      </c>
      <c r="I1589" s="17">
        <v>200000</v>
      </c>
      <c r="J1589" s="17">
        <f>IF(Gastos[[#This Row],[Divisa]]="$", I1589*1, IF(Gastos[[#This Row],[Divisa]]="U$D", I1589*$N$1, IF(Gastos[[#This Row],[Divisa]]="EUR", I1589*$N$2, 0)))</f>
        <v>200000</v>
      </c>
      <c r="K1589" s="54">
        <f>Gastos[[#This Row],[Importe AR$]]/$N$1</f>
        <v>128.2051282051282</v>
      </c>
      <c r="M1589" s="69">
        <v>45922</v>
      </c>
      <c r="N1589" s="43">
        <f>IF(Gastos[[#This Row],[Fecha_Cheque]]&gt;0,WEEKNUM(Gastos[[#This Row],[Fecha_Cheque]]),MID(Gastos[[#This Row],[Semana]],6,2))</f>
        <v>39</v>
      </c>
      <c r="O1589" t="s">
        <v>974</v>
      </c>
      <c r="P1589" t="s">
        <v>27</v>
      </c>
    </row>
    <row r="1590" spans="1:16" hidden="1" x14ac:dyDescent="0.25">
      <c r="A1590" s="3" t="s">
        <v>171</v>
      </c>
      <c r="B1590" t="s">
        <v>972</v>
      </c>
      <c r="C1590" t="s">
        <v>118</v>
      </c>
      <c r="D1590" t="s">
        <v>26</v>
      </c>
      <c r="E1590" t="s">
        <v>132</v>
      </c>
      <c r="F1590">
        <v>2</v>
      </c>
      <c r="G1590" s="3" t="s">
        <v>32</v>
      </c>
      <c r="H1590" s="46" t="s">
        <v>15</v>
      </c>
      <c r="I1590" s="17">
        <v>200000</v>
      </c>
      <c r="J1590" s="17">
        <f>IF(Gastos[[#This Row],[Divisa]]="$", I1590*1, IF(Gastos[[#This Row],[Divisa]]="U$D", I1590*$N$1, IF(Gastos[[#This Row],[Divisa]]="EUR", I1590*$N$2, 0)))</f>
        <v>200000</v>
      </c>
      <c r="K1590" s="54">
        <f>Gastos[[#This Row],[Importe AR$]]/$N$1</f>
        <v>128.2051282051282</v>
      </c>
      <c r="M1590" s="69">
        <v>45917</v>
      </c>
      <c r="N1590" s="43">
        <f>IF(Gastos[[#This Row],[Fecha_Cheque]]&gt;0,WEEKNUM(Gastos[[#This Row],[Fecha_Cheque]]),MID(Gastos[[#This Row],[Semana]],6,2))</f>
        <v>38</v>
      </c>
      <c r="O1590" t="s">
        <v>974</v>
      </c>
      <c r="P1590" t="s">
        <v>27</v>
      </c>
    </row>
    <row r="1591" spans="1:16" hidden="1" x14ac:dyDescent="0.25">
      <c r="A1591" s="3" t="s">
        <v>171</v>
      </c>
      <c r="B1591" t="s">
        <v>972</v>
      </c>
      <c r="C1591" t="s">
        <v>118</v>
      </c>
      <c r="D1591" t="s">
        <v>26</v>
      </c>
      <c r="E1591" t="s">
        <v>132</v>
      </c>
      <c r="F1591">
        <v>2</v>
      </c>
      <c r="G1591" s="3" t="s">
        <v>32</v>
      </c>
      <c r="H1591" s="46" t="s">
        <v>15</v>
      </c>
      <c r="I1591" s="17">
        <v>200000</v>
      </c>
      <c r="J1591" s="17">
        <f>IF(Gastos[[#This Row],[Divisa]]="$", I1591*1, IF(Gastos[[#This Row],[Divisa]]="U$D", I1591*$N$1, IF(Gastos[[#This Row],[Divisa]]="EUR", I1591*$N$2, 0)))</f>
        <v>200000</v>
      </c>
      <c r="K1591" s="54">
        <f>Gastos[[#This Row],[Importe AR$]]/$N$1</f>
        <v>128.2051282051282</v>
      </c>
      <c r="M1591" s="69">
        <v>45926</v>
      </c>
      <c r="N1591" s="43">
        <f>IF(Gastos[[#This Row],[Fecha_Cheque]]&gt;0,WEEKNUM(Gastos[[#This Row],[Fecha_Cheque]]),MID(Gastos[[#This Row],[Semana]],6,2))</f>
        <v>39</v>
      </c>
      <c r="O1591" t="s">
        <v>974</v>
      </c>
      <c r="P1591" t="s">
        <v>27</v>
      </c>
    </row>
    <row r="1592" spans="1:16" hidden="1" x14ac:dyDescent="0.25">
      <c r="A1592" s="3" t="s">
        <v>171</v>
      </c>
      <c r="B1592" t="s">
        <v>972</v>
      </c>
      <c r="C1592" t="s">
        <v>118</v>
      </c>
      <c r="D1592" t="s">
        <v>26</v>
      </c>
      <c r="E1592" t="s">
        <v>132</v>
      </c>
      <c r="F1592">
        <v>2</v>
      </c>
      <c r="G1592" s="3" t="s">
        <v>32</v>
      </c>
      <c r="H1592" s="46" t="s">
        <v>15</v>
      </c>
      <c r="I1592" s="17">
        <v>213936</v>
      </c>
      <c r="J1592" s="17">
        <f>IF(Gastos[[#This Row],[Divisa]]="$", I1592*1, IF(Gastos[[#This Row],[Divisa]]="U$D", I1592*$N$1, IF(Gastos[[#This Row],[Divisa]]="EUR", I1592*$N$2, 0)))</f>
        <v>213936</v>
      </c>
      <c r="K1592" s="54">
        <f>Gastos[[#This Row],[Importe AR$]]/$N$1</f>
        <v>137.13846153846154</v>
      </c>
      <c r="M1592" s="69">
        <v>45930</v>
      </c>
      <c r="N1592" s="43">
        <f>IF(Gastos[[#This Row],[Fecha_Cheque]]&gt;0,WEEKNUM(Gastos[[#This Row],[Fecha_Cheque]]),MID(Gastos[[#This Row],[Semana]],6,2))</f>
        <v>40</v>
      </c>
      <c r="O1592" t="s">
        <v>974</v>
      </c>
      <c r="P1592" t="s">
        <v>27</v>
      </c>
    </row>
    <row r="1593" spans="1:16" hidden="1" x14ac:dyDescent="0.25">
      <c r="A1593" s="3" t="s">
        <v>171</v>
      </c>
      <c r="B1593" t="s">
        <v>972</v>
      </c>
      <c r="C1593" t="s">
        <v>118</v>
      </c>
      <c r="D1593" t="s">
        <v>26</v>
      </c>
      <c r="E1593" t="s">
        <v>132</v>
      </c>
      <c r="F1593">
        <v>2</v>
      </c>
      <c r="G1593" s="3" t="s">
        <v>32</v>
      </c>
      <c r="H1593" s="46" t="s">
        <v>15</v>
      </c>
      <c r="I1593" s="17">
        <v>236845</v>
      </c>
      <c r="J1593" s="17">
        <f>IF(Gastos[[#This Row],[Divisa]]="$", I1593*1, IF(Gastos[[#This Row],[Divisa]]="U$D", I1593*$N$1, IF(Gastos[[#This Row],[Divisa]]="EUR", I1593*$N$2, 0)))</f>
        <v>236845</v>
      </c>
      <c r="K1593" s="54">
        <f>Gastos[[#This Row],[Importe AR$]]/$N$1</f>
        <v>151.82371794871796</v>
      </c>
      <c r="M1593" s="69">
        <v>45930</v>
      </c>
      <c r="N1593" s="43">
        <f>IF(Gastos[[#This Row],[Fecha_Cheque]]&gt;0,WEEKNUM(Gastos[[#This Row],[Fecha_Cheque]]),MID(Gastos[[#This Row],[Semana]],6,2))</f>
        <v>40</v>
      </c>
      <c r="O1593" t="s">
        <v>974</v>
      </c>
      <c r="P1593" t="s">
        <v>27</v>
      </c>
    </row>
    <row r="1594" spans="1:16" hidden="1" x14ac:dyDescent="0.25">
      <c r="A1594" s="3" t="s">
        <v>171</v>
      </c>
      <c r="B1594" t="s">
        <v>972</v>
      </c>
      <c r="C1594" t="s">
        <v>118</v>
      </c>
      <c r="D1594" t="s">
        <v>26</v>
      </c>
      <c r="E1594" t="s">
        <v>132</v>
      </c>
      <c r="F1594">
        <v>2</v>
      </c>
      <c r="G1594" s="3" t="s">
        <v>32</v>
      </c>
      <c r="H1594" s="46" t="s">
        <v>15</v>
      </c>
      <c r="I1594" s="17">
        <v>236845</v>
      </c>
      <c r="J1594" s="17">
        <f>IF(Gastos[[#This Row],[Divisa]]="$", I1594*1, IF(Gastos[[#This Row],[Divisa]]="U$D", I1594*$N$1, IF(Gastos[[#This Row],[Divisa]]="EUR", I1594*$N$2, 0)))</f>
        <v>236845</v>
      </c>
      <c r="K1594" s="54">
        <f>Gastos[[#This Row],[Importe AR$]]/$N$1</f>
        <v>151.82371794871796</v>
      </c>
      <c r="M1594" s="69">
        <v>45940</v>
      </c>
      <c r="N1594" s="43">
        <f>IF(Gastos[[#This Row],[Fecha_Cheque]]&gt;0,WEEKNUM(Gastos[[#This Row],[Fecha_Cheque]]),MID(Gastos[[#This Row],[Semana]],6,2))</f>
        <v>41</v>
      </c>
      <c r="O1594" t="s">
        <v>974</v>
      </c>
      <c r="P1594" t="s">
        <v>27</v>
      </c>
    </row>
    <row r="1595" spans="1:16" hidden="1" x14ac:dyDescent="0.25">
      <c r="A1595" s="3" t="s">
        <v>171</v>
      </c>
      <c r="B1595" t="s">
        <v>972</v>
      </c>
      <c r="C1595" t="s">
        <v>118</v>
      </c>
      <c r="D1595" t="s">
        <v>26</v>
      </c>
      <c r="E1595" t="s">
        <v>132</v>
      </c>
      <c r="F1595">
        <v>2</v>
      </c>
      <c r="G1595" s="3" t="s">
        <v>32</v>
      </c>
      <c r="H1595" s="46" t="s">
        <v>15</v>
      </c>
      <c r="I1595" s="17">
        <v>236845</v>
      </c>
      <c r="J1595" s="17">
        <f>IF(Gastos[[#This Row],[Divisa]]="$", I1595*1, IF(Gastos[[#This Row],[Divisa]]="U$D", I1595*$N$1, IF(Gastos[[#This Row],[Divisa]]="EUR", I1595*$N$2, 0)))</f>
        <v>236845</v>
      </c>
      <c r="K1595" s="54">
        <f>Gastos[[#This Row],[Importe AR$]]/$N$1</f>
        <v>151.82371794871796</v>
      </c>
      <c r="M1595" s="69">
        <v>45933</v>
      </c>
      <c r="N1595" s="43">
        <f>IF(Gastos[[#This Row],[Fecha_Cheque]]&gt;0,WEEKNUM(Gastos[[#This Row],[Fecha_Cheque]]),MID(Gastos[[#This Row],[Semana]],6,2))</f>
        <v>40</v>
      </c>
      <c r="O1595" t="s">
        <v>974</v>
      </c>
      <c r="P1595" t="s">
        <v>27</v>
      </c>
    </row>
    <row r="1596" spans="1:16" hidden="1" x14ac:dyDescent="0.25">
      <c r="A1596" s="3" t="s">
        <v>171</v>
      </c>
      <c r="B1596" t="s">
        <v>972</v>
      </c>
      <c r="C1596" t="s">
        <v>118</v>
      </c>
      <c r="D1596" t="s">
        <v>26</v>
      </c>
      <c r="E1596" t="s">
        <v>132</v>
      </c>
      <c r="F1596">
        <v>2</v>
      </c>
      <c r="G1596" s="3" t="s">
        <v>32</v>
      </c>
      <c r="H1596" s="46" t="s">
        <v>15</v>
      </c>
      <c r="I1596" s="17">
        <v>236845</v>
      </c>
      <c r="J1596" s="17">
        <f>IF(Gastos[[#This Row],[Divisa]]="$", I1596*1, IF(Gastos[[#This Row],[Divisa]]="U$D", I1596*$N$1, IF(Gastos[[#This Row],[Divisa]]="EUR", I1596*$N$2, 0)))</f>
        <v>236845</v>
      </c>
      <c r="K1596" s="54">
        <f>Gastos[[#This Row],[Importe AR$]]/$N$1</f>
        <v>151.82371794871796</v>
      </c>
      <c r="M1596" s="69">
        <v>45924</v>
      </c>
      <c r="N1596" s="43">
        <f>IF(Gastos[[#This Row],[Fecha_Cheque]]&gt;0,WEEKNUM(Gastos[[#This Row],[Fecha_Cheque]]),MID(Gastos[[#This Row],[Semana]],6,2))</f>
        <v>39</v>
      </c>
      <c r="O1596" t="s">
        <v>974</v>
      </c>
      <c r="P1596" t="s">
        <v>27</v>
      </c>
    </row>
    <row r="1597" spans="1:16" hidden="1" x14ac:dyDescent="0.25">
      <c r="A1597" s="3" t="s">
        <v>171</v>
      </c>
      <c r="B1597" t="s">
        <v>972</v>
      </c>
      <c r="C1597" t="s">
        <v>118</v>
      </c>
      <c r="D1597" t="s">
        <v>26</v>
      </c>
      <c r="E1597" t="s">
        <v>132</v>
      </c>
      <c r="F1597">
        <v>2</v>
      </c>
      <c r="G1597" s="3" t="s">
        <v>32</v>
      </c>
      <c r="H1597" s="46" t="s">
        <v>15</v>
      </c>
      <c r="I1597" s="17">
        <v>400000</v>
      </c>
      <c r="J1597" s="17">
        <f>IF(Gastos[[#This Row],[Divisa]]="$", I1597*1, IF(Gastos[[#This Row],[Divisa]]="U$D", I1597*$N$1, IF(Gastos[[#This Row],[Divisa]]="EUR", I1597*$N$2, 0)))</f>
        <v>400000</v>
      </c>
      <c r="K1597" s="54">
        <f>Gastos[[#This Row],[Importe AR$]]/$N$1</f>
        <v>256.41025641025641</v>
      </c>
      <c r="M1597" s="69">
        <v>45940</v>
      </c>
      <c r="N1597" s="43">
        <f>IF(Gastos[[#This Row],[Fecha_Cheque]]&gt;0,WEEKNUM(Gastos[[#This Row],[Fecha_Cheque]]),MID(Gastos[[#This Row],[Semana]],6,2))</f>
        <v>41</v>
      </c>
      <c r="O1597" t="s">
        <v>974</v>
      </c>
      <c r="P1597" t="s">
        <v>27</v>
      </c>
    </row>
    <row r="1598" spans="1:16" hidden="1" x14ac:dyDescent="0.25">
      <c r="A1598" s="3" t="s">
        <v>171</v>
      </c>
      <c r="B1598" t="s">
        <v>972</v>
      </c>
      <c r="C1598" t="s">
        <v>118</v>
      </c>
      <c r="D1598" t="s">
        <v>26</v>
      </c>
      <c r="E1598" t="s">
        <v>132</v>
      </c>
      <c r="F1598">
        <v>2</v>
      </c>
      <c r="G1598" s="3" t="s">
        <v>32</v>
      </c>
      <c r="H1598" s="46" t="s">
        <v>15</v>
      </c>
      <c r="I1598" s="17">
        <v>400000</v>
      </c>
      <c r="J1598" s="17">
        <f>IF(Gastos[[#This Row],[Divisa]]="$", I1598*1, IF(Gastos[[#This Row],[Divisa]]="U$D", I1598*$N$1, IF(Gastos[[#This Row],[Divisa]]="EUR", I1598*$N$2, 0)))</f>
        <v>400000</v>
      </c>
      <c r="K1598" s="54">
        <f>Gastos[[#This Row],[Importe AR$]]/$N$1</f>
        <v>256.41025641025641</v>
      </c>
      <c r="M1598" s="69">
        <v>45919</v>
      </c>
      <c r="N1598" s="43">
        <f>IF(Gastos[[#This Row],[Fecha_Cheque]]&gt;0,WEEKNUM(Gastos[[#This Row],[Fecha_Cheque]]),MID(Gastos[[#This Row],[Semana]],6,2))</f>
        <v>38</v>
      </c>
      <c r="O1598" t="s">
        <v>974</v>
      </c>
      <c r="P1598" t="s">
        <v>27</v>
      </c>
    </row>
    <row r="1599" spans="1:16" hidden="1" x14ac:dyDescent="0.25">
      <c r="A1599" s="3" t="s">
        <v>171</v>
      </c>
      <c r="B1599" t="s">
        <v>972</v>
      </c>
      <c r="C1599" t="s">
        <v>118</v>
      </c>
      <c r="D1599" t="s">
        <v>26</v>
      </c>
      <c r="E1599" t="s">
        <v>132</v>
      </c>
      <c r="F1599">
        <v>2</v>
      </c>
      <c r="G1599" s="3" t="s">
        <v>32</v>
      </c>
      <c r="H1599" s="46" t="s">
        <v>15</v>
      </c>
      <c r="I1599" s="17">
        <v>457795</v>
      </c>
      <c r="J1599" s="17">
        <f>IF(Gastos[[#This Row],[Divisa]]="$", I1599*1, IF(Gastos[[#This Row],[Divisa]]="U$D", I1599*$N$1, IF(Gastos[[#This Row],[Divisa]]="EUR", I1599*$N$2, 0)))</f>
        <v>457795</v>
      </c>
      <c r="K1599" s="54">
        <f>Gastos[[#This Row],[Importe AR$]]/$N$1</f>
        <v>293.45833333333331</v>
      </c>
      <c r="M1599" s="69">
        <v>45968</v>
      </c>
      <c r="N1599" s="43">
        <f>IF(Gastos[[#This Row],[Fecha_Cheque]]&gt;0,WEEKNUM(Gastos[[#This Row],[Fecha_Cheque]]),MID(Gastos[[#This Row],[Semana]],6,2))</f>
        <v>45</v>
      </c>
      <c r="O1599" t="s">
        <v>974</v>
      </c>
      <c r="P1599" t="s">
        <v>27</v>
      </c>
    </row>
    <row r="1600" spans="1:16" hidden="1" x14ac:dyDescent="0.25">
      <c r="A1600" s="3" t="s">
        <v>171</v>
      </c>
      <c r="B1600" t="s">
        <v>972</v>
      </c>
      <c r="C1600" t="s">
        <v>118</v>
      </c>
      <c r="D1600" t="s">
        <v>26</v>
      </c>
      <c r="E1600" t="s">
        <v>132</v>
      </c>
      <c r="F1600">
        <v>2</v>
      </c>
      <c r="G1600" s="3" t="s">
        <v>32</v>
      </c>
      <c r="H1600" s="46" t="s">
        <v>15</v>
      </c>
      <c r="I1600" s="17">
        <v>600000</v>
      </c>
      <c r="J1600" s="17">
        <f>IF(Gastos[[#This Row],[Divisa]]="$", I1600*1, IF(Gastos[[#This Row],[Divisa]]="U$D", I1600*$N$1, IF(Gastos[[#This Row],[Divisa]]="EUR", I1600*$N$2, 0)))</f>
        <v>600000</v>
      </c>
      <c r="K1600" s="54">
        <f>Gastos[[#This Row],[Importe AR$]]/$N$1</f>
        <v>384.61538461538464</v>
      </c>
      <c r="M1600" s="69">
        <v>45958</v>
      </c>
      <c r="N1600" s="43">
        <f>IF(Gastos[[#This Row],[Fecha_Cheque]]&gt;0,WEEKNUM(Gastos[[#This Row],[Fecha_Cheque]]),MID(Gastos[[#This Row],[Semana]],6,2))</f>
        <v>44</v>
      </c>
      <c r="O1600" t="s">
        <v>974</v>
      </c>
      <c r="P1600" t="s">
        <v>27</v>
      </c>
    </row>
    <row r="1601" spans="1:16" hidden="1" x14ac:dyDescent="0.25">
      <c r="A1601" s="3" t="s">
        <v>171</v>
      </c>
      <c r="B1601" t="s">
        <v>972</v>
      </c>
      <c r="C1601" t="s">
        <v>118</v>
      </c>
      <c r="D1601" t="s">
        <v>26</v>
      </c>
      <c r="E1601" t="s">
        <v>132</v>
      </c>
      <c r="F1601">
        <v>2</v>
      </c>
      <c r="G1601" s="3" t="s">
        <v>32</v>
      </c>
      <c r="H1601" s="46" t="s">
        <v>15</v>
      </c>
      <c r="I1601" s="17">
        <v>600000</v>
      </c>
      <c r="J1601" s="17">
        <f>IF(Gastos[[#This Row],[Divisa]]="$", I1601*1, IF(Gastos[[#This Row],[Divisa]]="U$D", I1601*$N$1, IF(Gastos[[#This Row],[Divisa]]="EUR", I1601*$N$2, 0)))</f>
        <v>600000</v>
      </c>
      <c r="K1601" s="54">
        <f>Gastos[[#This Row],[Importe AR$]]/$N$1</f>
        <v>384.61538461538464</v>
      </c>
      <c r="M1601" s="69">
        <v>45955</v>
      </c>
      <c r="N1601" s="43">
        <f>IF(Gastos[[#This Row],[Fecha_Cheque]]&gt;0,WEEKNUM(Gastos[[#This Row],[Fecha_Cheque]]),MID(Gastos[[#This Row],[Semana]],6,2))</f>
        <v>43</v>
      </c>
      <c r="O1601" t="s">
        <v>974</v>
      </c>
      <c r="P1601" t="s">
        <v>27</v>
      </c>
    </row>
    <row r="1602" spans="1:16" hidden="1" x14ac:dyDescent="0.25">
      <c r="A1602" s="3" t="s">
        <v>171</v>
      </c>
      <c r="B1602" t="s">
        <v>972</v>
      </c>
      <c r="C1602" t="s">
        <v>118</v>
      </c>
      <c r="D1602" t="s">
        <v>26</v>
      </c>
      <c r="E1602" t="s">
        <v>132</v>
      </c>
      <c r="F1602">
        <v>2</v>
      </c>
      <c r="G1602" s="3" t="s">
        <v>32</v>
      </c>
      <c r="H1602" s="46" t="s">
        <v>15</v>
      </c>
      <c r="I1602" s="17">
        <v>600000</v>
      </c>
      <c r="J1602" s="17">
        <f>IF(Gastos[[#This Row],[Divisa]]="$", I1602*1, IF(Gastos[[#This Row],[Divisa]]="U$D", I1602*$N$1, IF(Gastos[[#This Row],[Divisa]]="EUR", I1602*$N$2, 0)))</f>
        <v>600000</v>
      </c>
      <c r="K1602" s="54">
        <f>Gastos[[#This Row],[Importe AR$]]/$N$1</f>
        <v>384.61538461538464</v>
      </c>
      <c r="M1602" s="69">
        <v>45951</v>
      </c>
      <c r="N1602" s="43">
        <f>IF(Gastos[[#This Row],[Fecha_Cheque]]&gt;0,WEEKNUM(Gastos[[#This Row],[Fecha_Cheque]]),MID(Gastos[[#This Row],[Semana]],6,2))</f>
        <v>43</v>
      </c>
      <c r="O1602" t="s">
        <v>974</v>
      </c>
      <c r="P1602" t="s">
        <v>27</v>
      </c>
    </row>
    <row r="1603" spans="1:16" hidden="1" x14ac:dyDescent="0.25">
      <c r="A1603" s="3" t="s">
        <v>171</v>
      </c>
      <c r="B1603" t="s">
        <v>972</v>
      </c>
      <c r="C1603" t="s">
        <v>118</v>
      </c>
      <c r="D1603" t="s">
        <v>26</v>
      </c>
      <c r="E1603" t="s">
        <v>132</v>
      </c>
      <c r="F1603">
        <v>2</v>
      </c>
      <c r="G1603" s="3" t="s">
        <v>32</v>
      </c>
      <c r="H1603" s="46" t="s">
        <v>15</v>
      </c>
      <c r="I1603" s="17">
        <v>600000</v>
      </c>
      <c r="J1603" s="17">
        <f>IF(Gastos[[#This Row],[Divisa]]="$", I1603*1, IF(Gastos[[#This Row],[Divisa]]="U$D", I1603*$N$1, IF(Gastos[[#This Row],[Divisa]]="EUR", I1603*$N$2, 0)))</f>
        <v>600000</v>
      </c>
      <c r="K1603" s="54">
        <f>Gastos[[#This Row],[Importe AR$]]/$N$1</f>
        <v>384.61538461538464</v>
      </c>
      <c r="M1603" s="69">
        <v>45977</v>
      </c>
      <c r="N1603" s="43">
        <f>IF(Gastos[[#This Row],[Fecha_Cheque]]&gt;0,WEEKNUM(Gastos[[#This Row],[Fecha_Cheque]]),MID(Gastos[[#This Row],[Semana]],6,2))</f>
        <v>47</v>
      </c>
      <c r="O1603" t="s">
        <v>974</v>
      </c>
      <c r="P1603" t="s">
        <v>27</v>
      </c>
    </row>
    <row r="1604" spans="1:16" hidden="1" x14ac:dyDescent="0.25">
      <c r="A1604" s="3" t="s">
        <v>171</v>
      </c>
      <c r="B1604" t="s">
        <v>972</v>
      </c>
      <c r="C1604" t="s">
        <v>118</v>
      </c>
      <c r="D1604" t="s">
        <v>26</v>
      </c>
      <c r="E1604" t="s">
        <v>132</v>
      </c>
      <c r="F1604">
        <v>2</v>
      </c>
      <c r="G1604" s="3" t="s">
        <v>32</v>
      </c>
      <c r="H1604" s="46" t="s">
        <v>15</v>
      </c>
      <c r="I1604" s="17">
        <v>605363</v>
      </c>
      <c r="J1604" s="17">
        <f>IF(Gastos[[#This Row],[Divisa]]="$", I1604*1, IF(Gastos[[#This Row],[Divisa]]="U$D", I1604*$N$1, IF(Gastos[[#This Row],[Divisa]]="EUR", I1604*$N$2, 0)))</f>
        <v>605363</v>
      </c>
      <c r="K1604" s="54">
        <f>Gastos[[#This Row],[Importe AR$]]/$N$1</f>
        <v>388.05320512820515</v>
      </c>
      <c r="M1604" s="69">
        <v>45951</v>
      </c>
      <c r="N1604" s="43">
        <f>IF(Gastos[[#This Row],[Fecha_Cheque]]&gt;0,WEEKNUM(Gastos[[#This Row],[Fecha_Cheque]]),MID(Gastos[[#This Row],[Semana]],6,2))</f>
        <v>43</v>
      </c>
      <c r="O1604" t="s">
        <v>974</v>
      </c>
      <c r="P1604" t="s">
        <v>27</v>
      </c>
    </row>
    <row r="1605" spans="1:16" hidden="1" x14ac:dyDescent="0.25">
      <c r="A1605" s="3" t="s">
        <v>171</v>
      </c>
      <c r="B1605" t="s">
        <v>972</v>
      </c>
      <c r="C1605" t="s">
        <v>118</v>
      </c>
      <c r="D1605" t="s">
        <v>26</v>
      </c>
      <c r="E1605" t="s">
        <v>132</v>
      </c>
      <c r="F1605">
        <v>2</v>
      </c>
      <c r="G1605" s="3" t="s">
        <v>32</v>
      </c>
      <c r="H1605" s="46" t="s">
        <v>15</v>
      </c>
      <c r="I1605" s="17">
        <v>706359</v>
      </c>
      <c r="J1605" s="17">
        <f>IF(Gastos[[#This Row],[Divisa]]="$", I1605*1, IF(Gastos[[#This Row],[Divisa]]="U$D", I1605*$N$1, IF(Gastos[[#This Row],[Divisa]]="EUR", I1605*$N$2, 0)))</f>
        <v>706359</v>
      </c>
      <c r="K1605" s="54">
        <f>Gastos[[#This Row],[Importe AR$]]/$N$1</f>
        <v>452.79423076923075</v>
      </c>
      <c r="M1605" s="69">
        <v>45920</v>
      </c>
      <c r="N1605" s="43">
        <f>IF(Gastos[[#This Row],[Fecha_Cheque]]&gt;0,WEEKNUM(Gastos[[#This Row],[Fecha_Cheque]]),MID(Gastos[[#This Row],[Semana]],6,2))</f>
        <v>38</v>
      </c>
      <c r="O1605" t="s">
        <v>974</v>
      </c>
      <c r="P1605" t="s">
        <v>27</v>
      </c>
    </row>
    <row r="1606" spans="1:16" hidden="1" x14ac:dyDescent="0.25">
      <c r="A1606" s="3" t="s">
        <v>171</v>
      </c>
      <c r="B1606" t="s">
        <v>972</v>
      </c>
      <c r="C1606" t="s">
        <v>118</v>
      </c>
      <c r="D1606" t="s">
        <v>26</v>
      </c>
      <c r="E1606" t="s">
        <v>132</v>
      </c>
      <c r="F1606">
        <v>2</v>
      </c>
      <c r="G1606" s="3" t="s">
        <v>32</v>
      </c>
      <c r="H1606" s="46" t="s">
        <v>15</v>
      </c>
      <c r="I1606" s="17">
        <v>1000000</v>
      </c>
      <c r="J1606" s="17">
        <f>IF(Gastos[[#This Row],[Divisa]]="$", I1606*1, IF(Gastos[[#This Row],[Divisa]]="U$D", I1606*$N$1, IF(Gastos[[#This Row],[Divisa]]="EUR", I1606*$N$2, 0)))</f>
        <v>1000000</v>
      </c>
      <c r="K1606" s="54">
        <f>Gastos[[#This Row],[Importe AR$]]/$N$1</f>
        <v>641.02564102564099</v>
      </c>
      <c r="M1606" s="69">
        <v>46011</v>
      </c>
      <c r="N1606" s="43">
        <f>IF(Gastos[[#This Row],[Fecha_Cheque]]&gt;0,WEEKNUM(Gastos[[#This Row],[Fecha_Cheque]]),MID(Gastos[[#This Row],[Semana]],6,2))</f>
        <v>51</v>
      </c>
      <c r="O1606" t="s">
        <v>974</v>
      </c>
      <c r="P1606" t="s">
        <v>27</v>
      </c>
    </row>
    <row r="1607" spans="1:16" hidden="1" x14ac:dyDescent="0.25">
      <c r="A1607" s="3" t="s">
        <v>171</v>
      </c>
      <c r="B1607" t="s">
        <v>972</v>
      </c>
      <c r="C1607" t="s">
        <v>118</v>
      </c>
      <c r="D1607" t="s">
        <v>26</v>
      </c>
      <c r="E1607" t="s">
        <v>132</v>
      </c>
      <c r="F1607">
        <v>2</v>
      </c>
      <c r="G1607" s="3" t="s">
        <v>32</v>
      </c>
      <c r="H1607" s="46" t="s">
        <v>15</v>
      </c>
      <c r="I1607" s="17">
        <v>1000000</v>
      </c>
      <c r="J1607" s="17">
        <f>IF(Gastos[[#This Row],[Divisa]]="$", I1607*1, IF(Gastos[[#This Row],[Divisa]]="U$D", I1607*$N$1, IF(Gastos[[#This Row],[Divisa]]="EUR", I1607*$N$2, 0)))</f>
        <v>1000000</v>
      </c>
      <c r="K1607" s="54">
        <f>Gastos[[#This Row],[Importe AR$]]/$N$1</f>
        <v>641.02564102564099</v>
      </c>
      <c r="M1607" s="69">
        <v>46043</v>
      </c>
      <c r="N1607" s="43">
        <f>IF(Gastos[[#This Row],[Fecha_Cheque]]&gt;0,WEEKNUM(Gastos[[#This Row],[Fecha_Cheque]]),MID(Gastos[[#This Row],[Semana]],6,2))</f>
        <v>4</v>
      </c>
      <c r="O1607" t="s">
        <v>974</v>
      </c>
      <c r="P1607" t="s">
        <v>27</v>
      </c>
    </row>
    <row r="1608" spans="1:16" hidden="1" x14ac:dyDescent="0.25">
      <c r="A1608" s="3" t="s">
        <v>171</v>
      </c>
      <c r="B1608" t="s">
        <v>972</v>
      </c>
      <c r="C1608" t="s">
        <v>118</v>
      </c>
      <c r="D1608" t="s">
        <v>26</v>
      </c>
      <c r="E1608" t="s">
        <v>132</v>
      </c>
      <c r="F1608">
        <v>2</v>
      </c>
      <c r="G1608" s="3" t="s">
        <v>32</v>
      </c>
      <c r="H1608" s="46" t="s">
        <v>15</v>
      </c>
      <c r="I1608" s="17">
        <v>1000000</v>
      </c>
      <c r="J1608" s="17">
        <f>IF(Gastos[[#This Row],[Divisa]]="$", I1608*1, IF(Gastos[[#This Row],[Divisa]]="U$D", I1608*$N$1, IF(Gastos[[#This Row],[Divisa]]="EUR", I1608*$N$2, 0)))</f>
        <v>1000000</v>
      </c>
      <c r="K1608" s="54">
        <f>Gastos[[#This Row],[Importe AR$]]/$N$1</f>
        <v>641.02564102564099</v>
      </c>
      <c r="M1608" s="69">
        <v>45975</v>
      </c>
      <c r="N1608" s="43">
        <f>IF(Gastos[[#This Row],[Fecha_Cheque]]&gt;0,WEEKNUM(Gastos[[#This Row],[Fecha_Cheque]]),MID(Gastos[[#This Row],[Semana]],6,2))</f>
        <v>46</v>
      </c>
      <c r="O1608" t="s">
        <v>974</v>
      </c>
      <c r="P1608" t="s">
        <v>27</v>
      </c>
    </row>
    <row r="1609" spans="1:16" hidden="1" x14ac:dyDescent="0.25">
      <c r="A1609" s="3" t="s">
        <v>171</v>
      </c>
      <c r="B1609" t="s">
        <v>972</v>
      </c>
      <c r="C1609" t="s">
        <v>118</v>
      </c>
      <c r="D1609" t="s">
        <v>26</v>
      </c>
      <c r="E1609" t="s">
        <v>132</v>
      </c>
      <c r="F1609">
        <v>2</v>
      </c>
      <c r="G1609" s="3" t="s">
        <v>32</v>
      </c>
      <c r="H1609" s="46" t="s">
        <v>15</v>
      </c>
      <c r="I1609" s="17">
        <v>1000000</v>
      </c>
      <c r="J1609" s="17">
        <f>IF(Gastos[[#This Row],[Divisa]]="$", I1609*1, IF(Gastos[[#This Row],[Divisa]]="U$D", I1609*$N$1, IF(Gastos[[#This Row],[Divisa]]="EUR", I1609*$N$2, 0)))</f>
        <v>1000000</v>
      </c>
      <c r="K1609" s="54">
        <f>Gastos[[#This Row],[Importe AR$]]/$N$1</f>
        <v>641.02564102564099</v>
      </c>
      <c r="M1609" s="69">
        <v>46101</v>
      </c>
      <c r="N1609" s="43">
        <f>IF(Gastos[[#This Row],[Fecha_Cheque]]&gt;0,WEEKNUM(Gastos[[#This Row],[Fecha_Cheque]]),MID(Gastos[[#This Row],[Semana]],6,2))</f>
        <v>12</v>
      </c>
      <c r="O1609" t="s">
        <v>974</v>
      </c>
      <c r="P1609" t="s">
        <v>27</v>
      </c>
    </row>
    <row r="1610" spans="1:16" hidden="1" x14ac:dyDescent="0.25">
      <c r="A1610" s="3" t="s">
        <v>171</v>
      </c>
      <c r="B1610" t="s">
        <v>972</v>
      </c>
      <c r="C1610" t="s">
        <v>118</v>
      </c>
      <c r="D1610" t="s">
        <v>26</v>
      </c>
      <c r="E1610" t="s">
        <v>132</v>
      </c>
      <c r="F1610">
        <v>2</v>
      </c>
      <c r="G1610" s="3" t="s">
        <v>32</v>
      </c>
      <c r="H1610" s="46" t="s">
        <v>15</v>
      </c>
      <c r="I1610" s="17">
        <v>1000000</v>
      </c>
      <c r="J1610" s="17">
        <f>IF(Gastos[[#This Row],[Divisa]]="$", I1610*1, IF(Gastos[[#This Row],[Divisa]]="U$D", I1610*$N$1, IF(Gastos[[#This Row],[Divisa]]="EUR", I1610*$N$2, 0)))</f>
        <v>1000000</v>
      </c>
      <c r="K1610" s="54">
        <f>Gastos[[#This Row],[Importe AR$]]/$N$1</f>
        <v>641.02564102564099</v>
      </c>
      <c r="M1610" s="69">
        <v>46073</v>
      </c>
      <c r="N1610" s="43">
        <f>IF(Gastos[[#This Row],[Fecha_Cheque]]&gt;0,WEEKNUM(Gastos[[#This Row],[Fecha_Cheque]]),MID(Gastos[[#This Row],[Semana]],6,2))</f>
        <v>8</v>
      </c>
      <c r="O1610" t="s">
        <v>974</v>
      </c>
      <c r="P1610" t="s">
        <v>27</v>
      </c>
    </row>
    <row r="1611" spans="1:16" hidden="1" x14ac:dyDescent="0.25">
      <c r="A1611" s="3" t="s">
        <v>2792</v>
      </c>
      <c r="B1611" t="s">
        <v>3107</v>
      </c>
      <c r="C1611" t="s">
        <v>3108</v>
      </c>
      <c r="D1611" t="s">
        <v>26</v>
      </c>
      <c r="E1611" t="s">
        <v>42</v>
      </c>
      <c r="F1611">
        <v>1</v>
      </c>
      <c r="G1611" s="3" t="s">
        <v>4</v>
      </c>
      <c r="H1611" s="44" t="s">
        <v>15</v>
      </c>
      <c r="I1611" s="17">
        <v>41999.99</v>
      </c>
      <c r="J1611" s="17">
        <f>IF(Gastos[[#This Row],[Divisa]]="$", I1611*1, IF(Gastos[[#This Row],[Divisa]]="U$D", I1611*$N$1, IF(Gastos[[#This Row],[Divisa]]="EUR", I1611*$N$2, 0)))</f>
        <v>41999.99</v>
      </c>
      <c r="K1611" s="54">
        <f>Gastos[[#This Row],[Importe AR$]]/$N$1</f>
        <v>26.923070512820512</v>
      </c>
      <c r="M1611" s="69"/>
      <c r="N1611" s="43" t="str">
        <f>IF(Gastos[[#This Row],[Fecha_Cheque]]&gt;0,WEEKNUM(Gastos[[#This Row],[Fecha_Cheque]]),MID(Gastos[[#This Row],[Semana]],6,2))</f>
        <v>21</v>
      </c>
      <c r="O1611" t="s">
        <v>3109</v>
      </c>
      <c r="P1611" t="s">
        <v>27</v>
      </c>
    </row>
    <row r="1612" spans="1:16" hidden="1" x14ac:dyDescent="0.25">
      <c r="A1612" s="3" t="s">
        <v>253</v>
      </c>
      <c r="B1612" t="s">
        <v>975</v>
      </c>
      <c r="C1612" t="s">
        <v>976</v>
      </c>
      <c r="D1612" t="s">
        <v>26</v>
      </c>
      <c r="E1612" t="s">
        <v>91</v>
      </c>
      <c r="F1612">
        <v>1</v>
      </c>
      <c r="G1612" s="3" t="s">
        <v>5</v>
      </c>
      <c r="H1612" s="46" t="s">
        <v>15</v>
      </c>
      <c r="I1612" s="17">
        <v>360723.4</v>
      </c>
      <c r="J1612" s="17">
        <f>IF(Gastos[[#This Row],[Divisa]]="$", I1612*1, IF(Gastos[[#This Row],[Divisa]]="U$D", I1612*$N$1, IF(Gastos[[#This Row],[Divisa]]="EUR", I1612*$N$2, 0)))</f>
        <v>360723.4</v>
      </c>
      <c r="K1612" s="54">
        <f>Gastos[[#This Row],[Importe AR$]]/$N$1</f>
        <v>231.23294871794874</v>
      </c>
      <c r="M1612" s="69"/>
      <c r="N1612" s="43" t="str">
        <f>IF(Gastos[[#This Row],[Fecha_Cheque]]&gt;0,WEEKNUM(Gastos[[#This Row],[Fecha_Cheque]]),MID(Gastos[[#This Row],[Semana]],6,2))</f>
        <v>24</v>
      </c>
      <c r="P1612" t="s">
        <v>27</v>
      </c>
    </row>
    <row r="1613" spans="1:16" hidden="1" x14ac:dyDescent="0.25">
      <c r="A1613" s="3" t="s">
        <v>305</v>
      </c>
      <c r="B1613" t="s">
        <v>975</v>
      </c>
      <c r="C1613" t="s">
        <v>977</v>
      </c>
      <c r="D1613" t="s">
        <v>26</v>
      </c>
      <c r="E1613" t="s">
        <v>31</v>
      </c>
      <c r="F1613">
        <v>1</v>
      </c>
      <c r="G1613" s="3" t="s">
        <v>5</v>
      </c>
      <c r="H1613" s="46" t="s">
        <v>15</v>
      </c>
      <c r="I1613" s="17">
        <v>195505.75</v>
      </c>
      <c r="J1613" s="17">
        <f>IF(Gastos[[#This Row],[Divisa]]="$", I1613*1, IF(Gastos[[#This Row],[Divisa]]="U$D", I1613*$N$1, IF(Gastos[[#This Row],[Divisa]]="EUR", I1613*$N$2, 0)))</f>
        <v>195505.75</v>
      </c>
      <c r="K1613" s="54">
        <f>Gastos[[#This Row],[Importe AR$]]/$N$1</f>
        <v>125.32419871794872</v>
      </c>
      <c r="M1613" s="69"/>
      <c r="N1613" s="43" t="str">
        <f>IF(Gastos[[#This Row],[Fecha_Cheque]]&gt;0,WEEKNUM(Gastos[[#This Row],[Fecha_Cheque]]),MID(Gastos[[#This Row],[Semana]],6,2))</f>
        <v>31</v>
      </c>
      <c r="O1613" t="s">
        <v>978</v>
      </c>
      <c r="P1613" t="s">
        <v>27</v>
      </c>
    </row>
    <row r="1614" spans="1:16" hidden="1" x14ac:dyDescent="0.25">
      <c r="A1614" s="3" t="s">
        <v>93</v>
      </c>
      <c r="B1614" t="s">
        <v>975</v>
      </c>
      <c r="C1614" t="s">
        <v>979</v>
      </c>
      <c r="D1614" t="s">
        <v>26</v>
      </c>
      <c r="E1614" t="s">
        <v>31</v>
      </c>
      <c r="F1614">
        <v>1</v>
      </c>
      <c r="G1614" s="3" t="s">
        <v>5</v>
      </c>
      <c r="H1614" s="46" t="s">
        <v>15</v>
      </c>
      <c r="I1614" s="17">
        <v>110624.25</v>
      </c>
      <c r="J1614" s="17">
        <f>IF(Gastos[[#This Row],[Divisa]]="$", I1614*1, IF(Gastos[[#This Row],[Divisa]]="U$D", I1614*$N$1, IF(Gastos[[#This Row],[Divisa]]="EUR", I1614*$N$2, 0)))</f>
        <v>110624.25</v>
      </c>
      <c r="K1614" s="54">
        <f>Gastos[[#This Row],[Importe AR$]]/$N$1</f>
        <v>70.912980769230771</v>
      </c>
      <c r="M1614" s="69"/>
      <c r="N1614" s="43" t="str">
        <f>IF(Gastos[[#This Row],[Fecha_Cheque]]&gt;0,WEEKNUM(Gastos[[#This Row],[Fecha_Cheque]]),MID(Gastos[[#This Row],[Semana]],6,2))</f>
        <v>50</v>
      </c>
      <c r="O1614" t="s">
        <v>980</v>
      </c>
      <c r="P1614" t="s">
        <v>27</v>
      </c>
    </row>
    <row r="1615" spans="1:16" hidden="1" x14ac:dyDescent="0.25">
      <c r="A1615" s="3" t="s">
        <v>2763</v>
      </c>
      <c r="B1615" t="s">
        <v>975</v>
      </c>
      <c r="C1615" t="s">
        <v>979</v>
      </c>
      <c r="D1615" t="s">
        <v>26</v>
      </c>
      <c r="E1615" t="s">
        <v>31</v>
      </c>
      <c r="F1615">
        <v>1</v>
      </c>
      <c r="G1615" s="3" t="s">
        <v>5</v>
      </c>
      <c r="H1615" s="83" t="s">
        <v>15</v>
      </c>
      <c r="I1615" s="17">
        <v>108295</v>
      </c>
      <c r="J1615" s="17">
        <f>IF(Gastos[[#This Row],[Divisa]]="$", I1615*1, IF(Gastos[[#This Row],[Divisa]]="U$D", I1615*$N$1, IF(Gastos[[#This Row],[Divisa]]="EUR", I1615*$N$2, 0)))</f>
        <v>108295</v>
      </c>
      <c r="K1615" s="54">
        <f>Gastos[[#This Row],[Importe AR$]]/$N$1</f>
        <v>69.419871794871796</v>
      </c>
      <c r="M1615" s="69"/>
      <c r="N1615" s="43" t="str">
        <f>IF(Gastos[[#This Row],[Fecha_Cheque]]&gt;0,WEEKNUM(Gastos[[#This Row],[Fecha_Cheque]]),MID(Gastos[[#This Row],[Semana]],6,2))</f>
        <v>23</v>
      </c>
      <c r="O1615" t="s">
        <v>3241</v>
      </c>
      <c r="P1615" t="s">
        <v>27</v>
      </c>
    </row>
    <row r="1616" spans="1:16" hidden="1" x14ac:dyDescent="0.25">
      <c r="A1616" s="3" t="s">
        <v>50</v>
      </c>
      <c r="B1616" t="s">
        <v>981</v>
      </c>
      <c r="C1616" t="s">
        <v>982</v>
      </c>
      <c r="D1616" t="s">
        <v>61</v>
      </c>
      <c r="E1616" t="s">
        <v>62</v>
      </c>
      <c r="F1616">
        <v>1</v>
      </c>
      <c r="G1616" s="3" t="s">
        <v>32</v>
      </c>
      <c r="H1616" s="46" t="s">
        <v>15</v>
      </c>
      <c r="I1616" s="17">
        <v>3944850</v>
      </c>
      <c r="J1616" s="17">
        <f>IF(Gastos[[#This Row],[Divisa]]="$", I1616*1, IF(Gastos[[#This Row],[Divisa]]="U$D", I1616*$N$1, IF(Gastos[[#This Row],[Divisa]]="EUR", I1616*$N$2, 0)))</f>
        <v>3944850</v>
      </c>
      <c r="K1616" s="54">
        <f>Gastos[[#This Row],[Importe AR$]]/$N$1</f>
        <v>2528.75</v>
      </c>
      <c r="L1616" t="s">
        <v>983</v>
      </c>
      <c r="M1616" s="69">
        <v>45857</v>
      </c>
      <c r="N1616" s="43">
        <f>IF(Gastos[[#This Row],[Fecha_Cheque]]&gt;0,WEEKNUM(Gastos[[#This Row],[Fecha_Cheque]]),MID(Gastos[[#This Row],[Semana]],6,2))</f>
        <v>29</v>
      </c>
      <c r="O1616" t="s">
        <v>984</v>
      </c>
      <c r="P1616" t="s">
        <v>27</v>
      </c>
    </row>
    <row r="1617" spans="1:16" hidden="1" x14ac:dyDescent="0.25">
      <c r="A1617" s="3" t="s">
        <v>52</v>
      </c>
      <c r="B1617" t="s">
        <v>981</v>
      </c>
      <c r="C1617" t="s">
        <v>985</v>
      </c>
      <c r="D1617" t="s">
        <v>26</v>
      </c>
      <c r="E1617" t="s">
        <v>31</v>
      </c>
      <c r="F1617">
        <v>1</v>
      </c>
      <c r="G1617" s="3" t="s">
        <v>32</v>
      </c>
      <c r="H1617" s="46" t="s">
        <v>15</v>
      </c>
      <c r="I1617" s="19">
        <v>7683500</v>
      </c>
      <c r="J1617" s="17">
        <f>IF(Gastos[[#This Row],[Divisa]]="$", I1617*1, IF(Gastos[[#This Row],[Divisa]]="U$D", I1617*$N$1, IF(Gastos[[#This Row],[Divisa]]="EUR", I1617*$N$2, 0)))</f>
        <v>7683500</v>
      </c>
      <c r="K1617" s="55">
        <f>Gastos[[#This Row],[Importe AR$]]/$N$1</f>
        <v>4925.3205128205127</v>
      </c>
      <c r="L1617" t="s">
        <v>986</v>
      </c>
      <c r="M1617" s="69"/>
      <c r="N1617" s="43" t="str">
        <f>IF(Gastos[[#This Row],[Fecha_Cheque]]&gt;0,WEEKNUM(Gastos[[#This Row],[Fecha_Cheque]]),MID(Gastos[[#This Row],[Semana]],6,2))</f>
        <v>12</v>
      </c>
      <c r="O1617" t="s">
        <v>987</v>
      </c>
      <c r="P1617" t="s">
        <v>27</v>
      </c>
    </row>
    <row r="1618" spans="1:16" hidden="1" x14ac:dyDescent="0.25">
      <c r="A1618" s="3" t="s">
        <v>290</v>
      </c>
      <c r="B1618" t="s">
        <v>981</v>
      </c>
      <c r="C1618" t="s">
        <v>988</v>
      </c>
      <c r="D1618" t="s">
        <v>61</v>
      </c>
      <c r="E1618" t="s">
        <v>31</v>
      </c>
      <c r="F1618">
        <v>1</v>
      </c>
      <c r="G1618" s="3" t="s">
        <v>5</v>
      </c>
      <c r="H1618" s="46" t="s">
        <v>15</v>
      </c>
      <c r="I1618" s="17">
        <v>1739306.88</v>
      </c>
      <c r="J1618" s="17">
        <f>IF(Gastos[[#This Row],[Divisa]]="$", I1618*1, IF(Gastos[[#This Row],[Divisa]]="U$D", I1618*$N$1, IF(Gastos[[#This Row],[Divisa]]="EUR", I1618*$N$2, 0)))</f>
        <v>1739306.88</v>
      </c>
      <c r="K1618" s="54">
        <f>Gastos[[#This Row],[Importe AR$]]/$N$1</f>
        <v>1114.9403076923077</v>
      </c>
      <c r="L1618" t="s">
        <v>460</v>
      </c>
      <c r="M1618" s="69"/>
      <c r="N1618" s="43" t="str">
        <f>IF(Gastos[[#This Row],[Fecha_Cheque]]&gt;0,WEEKNUM(Gastos[[#This Row],[Fecha_Cheque]]),MID(Gastos[[#This Row],[Semana]],6,2))</f>
        <v>23</v>
      </c>
      <c r="O1618" t="s">
        <v>989</v>
      </c>
      <c r="P1618" t="s">
        <v>27</v>
      </c>
    </row>
    <row r="1619" spans="1:16" hidden="1" x14ac:dyDescent="0.25">
      <c r="A1619" s="3" t="s">
        <v>253</v>
      </c>
      <c r="B1619" t="s">
        <v>990</v>
      </c>
      <c r="C1619" t="s">
        <v>991</v>
      </c>
      <c r="D1619" t="s">
        <v>26</v>
      </c>
      <c r="E1619" t="s">
        <v>62</v>
      </c>
      <c r="F1619">
        <v>1</v>
      </c>
      <c r="G1619" s="3" t="s">
        <v>5</v>
      </c>
      <c r="H1619" s="46" t="s">
        <v>15</v>
      </c>
      <c r="I1619" s="17">
        <v>7559402</v>
      </c>
      <c r="J1619" s="17">
        <f>IF(Gastos[[#This Row],[Divisa]]="$", I1619*1, IF(Gastos[[#This Row],[Divisa]]="U$D", I1619*$N$1, IF(Gastos[[#This Row],[Divisa]]="EUR", I1619*$N$2, 0)))</f>
        <v>7559402</v>
      </c>
      <c r="K1619" s="54">
        <f>Gastos[[#This Row],[Importe AR$]]/$N$1</f>
        <v>4845.7705128205125</v>
      </c>
      <c r="M1619" s="69"/>
      <c r="N1619" s="43" t="str">
        <f>IF(Gastos[[#This Row],[Fecha_Cheque]]&gt;0,WEEKNUM(Gastos[[#This Row],[Fecha_Cheque]]),MID(Gastos[[#This Row],[Semana]],6,2))</f>
        <v>24</v>
      </c>
      <c r="P1619" t="s">
        <v>27</v>
      </c>
    </row>
    <row r="1620" spans="1:16" hidden="1" x14ac:dyDescent="0.25">
      <c r="A1620" s="3" t="s">
        <v>3617</v>
      </c>
      <c r="B1620" t="s">
        <v>3641</v>
      </c>
      <c r="C1620" t="s">
        <v>3642</v>
      </c>
      <c r="D1620" t="s">
        <v>26</v>
      </c>
      <c r="E1620" t="s">
        <v>31</v>
      </c>
      <c r="F1620">
        <v>1</v>
      </c>
      <c r="G1620" s="3" t="s">
        <v>32</v>
      </c>
      <c r="H1620" s="44" t="s">
        <v>15</v>
      </c>
      <c r="I1620" s="17">
        <v>1984540.96</v>
      </c>
      <c r="J1620" s="17">
        <f>IF(Gastos[[#This Row],[Divisa]]="$", I1620*1, IF(Gastos[[#This Row],[Divisa]]="U$D", I1620*$N$1, IF(Gastos[[#This Row],[Divisa]]="EUR", I1620*$N$2, 0)))</f>
        <v>1984540.96</v>
      </c>
      <c r="K1620" s="54">
        <f>Gastos[[#This Row],[Importe AR$]]/$N$1</f>
        <v>1272.1416410256411</v>
      </c>
      <c r="M1620" s="69">
        <v>46223</v>
      </c>
      <c r="N1620" s="43">
        <f>IF(Gastos[[#This Row],[Fecha_Cheque]]&gt;0,WEEKNUM(Gastos[[#This Row],[Fecha_Cheque]]),MID(Gastos[[#This Row],[Semana]],6,2))</f>
        <v>30</v>
      </c>
      <c r="O1620" t="s">
        <v>3643</v>
      </c>
      <c r="P1620" t="s">
        <v>27</v>
      </c>
    </row>
    <row r="1621" spans="1:16" hidden="1" x14ac:dyDescent="0.25">
      <c r="A1621" s="3" t="s">
        <v>3617</v>
      </c>
      <c r="B1621" t="s">
        <v>3641</v>
      </c>
      <c r="C1621" t="s">
        <v>3642</v>
      </c>
      <c r="D1621" t="s">
        <v>26</v>
      </c>
      <c r="E1621" t="s">
        <v>31</v>
      </c>
      <c r="F1621">
        <v>1</v>
      </c>
      <c r="G1621" s="3" t="s">
        <v>32</v>
      </c>
      <c r="H1621" s="44" t="s">
        <v>15</v>
      </c>
      <c r="I1621" s="17">
        <v>1984540.96</v>
      </c>
      <c r="J1621" s="17">
        <f>IF(Gastos[[#This Row],[Divisa]]="$", I1621*1, IF(Gastos[[#This Row],[Divisa]]="U$D", I1621*$N$1, IF(Gastos[[#This Row],[Divisa]]="EUR", I1621*$N$2, 0)))</f>
        <v>1984540.96</v>
      </c>
      <c r="K1621" s="54">
        <f>Gastos[[#This Row],[Importe AR$]]/$N$1</f>
        <v>1272.1416410256411</v>
      </c>
      <c r="M1621" s="69">
        <v>46254</v>
      </c>
      <c r="N1621" s="43">
        <f>IF(Gastos[[#This Row],[Fecha_Cheque]]&gt;0,WEEKNUM(Gastos[[#This Row],[Fecha_Cheque]]),MID(Gastos[[#This Row],[Semana]],6,2))</f>
        <v>34</v>
      </c>
      <c r="O1621" t="s">
        <v>3643</v>
      </c>
      <c r="P1621" t="s">
        <v>27</v>
      </c>
    </row>
    <row r="1622" spans="1:16" hidden="1" x14ac:dyDescent="0.25">
      <c r="A1622" s="3" t="s">
        <v>3617</v>
      </c>
      <c r="B1622" t="s">
        <v>3641</v>
      </c>
      <c r="C1622" t="s">
        <v>3642</v>
      </c>
      <c r="D1622" t="s">
        <v>26</v>
      </c>
      <c r="E1622" t="s">
        <v>31</v>
      </c>
      <c r="F1622">
        <v>1</v>
      </c>
      <c r="G1622" s="3" t="s">
        <v>32</v>
      </c>
      <c r="H1622" s="44" t="s">
        <v>15</v>
      </c>
      <c r="I1622" s="17">
        <v>1984540.96</v>
      </c>
      <c r="J1622" s="17">
        <f>IF(Gastos[[#This Row],[Divisa]]="$", I1622*1, IF(Gastos[[#This Row],[Divisa]]="U$D", I1622*$N$1, IF(Gastos[[#This Row],[Divisa]]="EUR", I1622*$N$2, 0)))</f>
        <v>1984540.96</v>
      </c>
      <c r="K1622" s="54">
        <f>Gastos[[#This Row],[Importe AR$]]/$N$1</f>
        <v>1272.1416410256411</v>
      </c>
      <c r="M1622" s="69">
        <v>46285</v>
      </c>
      <c r="N1622" s="43">
        <f>IF(Gastos[[#This Row],[Fecha_Cheque]]&gt;0,WEEKNUM(Gastos[[#This Row],[Fecha_Cheque]]),MID(Gastos[[#This Row],[Semana]],6,2))</f>
        <v>39</v>
      </c>
      <c r="O1622" t="s">
        <v>3643</v>
      </c>
      <c r="P1622" t="s">
        <v>27</v>
      </c>
    </row>
    <row r="1623" spans="1:16" hidden="1" x14ac:dyDescent="0.25">
      <c r="A1623" s="3" t="s">
        <v>3617</v>
      </c>
      <c r="B1623" t="s">
        <v>3641</v>
      </c>
      <c r="C1623" t="s">
        <v>3642</v>
      </c>
      <c r="D1623" t="s">
        <v>26</v>
      </c>
      <c r="E1623" t="s">
        <v>31</v>
      </c>
      <c r="F1623">
        <v>1</v>
      </c>
      <c r="G1623" s="3" t="s">
        <v>32</v>
      </c>
      <c r="H1623" s="44" t="s">
        <v>15</v>
      </c>
      <c r="I1623" s="17">
        <v>1984540.96</v>
      </c>
      <c r="J1623" s="17">
        <f>IF(Gastos[[#This Row],[Divisa]]="$", I1623*1, IF(Gastos[[#This Row],[Divisa]]="U$D", I1623*$N$1, IF(Gastos[[#This Row],[Divisa]]="EUR", I1623*$N$2, 0)))</f>
        <v>1984540.96</v>
      </c>
      <c r="K1623" s="54">
        <f>Gastos[[#This Row],[Importe AR$]]/$N$1</f>
        <v>1272.1416410256411</v>
      </c>
      <c r="M1623" s="69">
        <v>46315</v>
      </c>
      <c r="N1623" s="43">
        <f>IF(Gastos[[#This Row],[Fecha_Cheque]]&gt;0,WEEKNUM(Gastos[[#This Row],[Fecha_Cheque]]),MID(Gastos[[#This Row],[Semana]],6,2))</f>
        <v>43</v>
      </c>
      <c r="O1623" t="s">
        <v>3643</v>
      </c>
      <c r="P1623" t="s">
        <v>27</v>
      </c>
    </row>
    <row r="1624" spans="1:16" hidden="1" x14ac:dyDescent="0.25">
      <c r="A1624" s="3" t="s">
        <v>3617</v>
      </c>
      <c r="B1624" t="s">
        <v>3641</v>
      </c>
      <c r="C1624" t="s">
        <v>3642</v>
      </c>
      <c r="D1624" t="s">
        <v>26</v>
      </c>
      <c r="E1624" t="s">
        <v>31</v>
      </c>
      <c r="F1624">
        <v>1</v>
      </c>
      <c r="G1624" s="3" t="s">
        <v>32</v>
      </c>
      <c r="H1624" s="44" t="s">
        <v>15</v>
      </c>
      <c r="I1624" s="17">
        <v>1984540.96</v>
      </c>
      <c r="J1624" s="17">
        <f>IF(Gastos[[#This Row],[Divisa]]="$", I1624*1, IF(Gastos[[#This Row],[Divisa]]="U$D", I1624*$N$1, IF(Gastos[[#This Row],[Divisa]]="EUR", I1624*$N$2, 0)))</f>
        <v>1984540.96</v>
      </c>
      <c r="K1624" s="54">
        <f>Gastos[[#This Row],[Importe AR$]]/$N$1</f>
        <v>1272.1416410256411</v>
      </c>
      <c r="M1624" s="69">
        <v>46346</v>
      </c>
      <c r="N1624" s="43">
        <f>IF(Gastos[[#This Row],[Fecha_Cheque]]&gt;0,WEEKNUM(Gastos[[#This Row],[Fecha_Cheque]]),MID(Gastos[[#This Row],[Semana]],6,2))</f>
        <v>47</v>
      </c>
      <c r="O1624" t="s">
        <v>3643</v>
      </c>
      <c r="P1624" t="s">
        <v>27</v>
      </c>
    </row>
    <row r="1625" spans="1:16" hidden="1" x14ac:dyDescent="0.25">
      <c r="A1625" s="3" t="s">
        <v>3617</v>
      </c>
      <c r="B1625" t="s">
        <v>3641</v>
      </c>
      <c r="C1625" t="s">
        <v>3642</v>
      </c>
      <c r="D1625" t="s">
        <v>26</v>
      </c>
      <c r="E1625" t="s">
        <v>31</v>
      </c>
      <c r="F1625">
        <v>1</v>
      </c>
      <c r="G1625" s="3" t="s">
        <v>32</v>
      </c>
      <c r="H1625" s="44" t="s">
        <v>15</v>
      </c>
      <c r="I1625" s="17">
        <v>1984541</v>
      </c>
      <c r="J1625" s="17">
        <f>IF(Gastos[[#This Row],[Divisa]]="$", I1625*1, IF(Gastos[[#This Row],[Divisa]]="U$D", I1625*$N$1, IF(Gastos[[#This Row],[Divisa]]="EUR", I1625*$N$2, 0)))</f>
        <v>1984541</v>
      </c>
      <c r="K1625" s="54">
        <f>Gastos[[#This Row],[Importe AR$]]/$N$1</f>
        <v>1272.1416666666667</v>
      </c>
      <c r="M1625" s="69">
        <v>46376</v>
      </c>
      <c r="N1625" s="43">
        <f>IF(Gastos[[#This Row],[Fecha_Cheque]]&gt;0,WEEKNUM(Gastos[[#This Row],[Fecha_Cheque]]),MID(Gastos[[#This Row],[Semana]],6,2))</f>
        <v>52</v>
      </c>
      <c r="O1625" t="s">
        <v>3643</v>
      </c>
      <c r="P1625" t="s">
        <v>27</v>
      </c>
    </row>
    <row r="1626" spans="1:16" hidden="1" x14ac:dyDescent="0.25">
      <c r="A1626" s="3" t="s">
        <v>3617</v>
      </c>
      <c r="B1626" t="s">
        <v>3641</v>
      </c>
      <c r="C1626" t="s">
        <v>3642</v>
      </c>
      <c r="D1626" t="s">
        <v>26</v>
      </c>
      <c r="E1626" t="s">
        <v>31</v>
      </c>
      <c r="F1626">
        <v>1</v>
      </c>
      <c r="G1626" s="3" t="s">
        <v>32</v>
      </c>
      <c r="H1626" s="44" t="s">
        <v>15</v>
      </c>
      <c r="I1626" s="17">
        <v>198755.8</v>
      </c>
      <c r="J1626" s="17">
        <f>IF(Gastos[[#This Row],[Divisa]]="$", I1626*1, IF(Gastos[[#This Row],[Divisa]]="U$D", I1626*$N$1, IF(Gastos[[#This Row],[Divisa]]="EUR", I1626*$N$2, 0)))</f>
        <v>198755.8</v>
      </c>
      <c r="K1626" s="54">
        <f>Gastos[[#This Row],[Importe AR$]]/$N$1</f>
        <v>127.40756410256409</v>
      </c>
      <c r="L1626" t="s">
        <v>340</v>
      </c>
      <c r="M1626" s="69"/>
      <c r="N1626" s="43" t="str">
        <f>IF(Gastos[[#This Row],[Fecha_Cheque]]&gt;0,WEEKNUM(Gastos[[#This Row],[Fecha_Cheque]]),MID(Gastos[[#This Row],[Semana]],6,2))</f>
        <v>27</v>
      </c>
      <c r="O1626" t="s">
        <v>3643</v>
      </c>
      <c r="P1626" t="s">
        <v>27</v>
      </c>
    </row>
    <row r="1627" spans="1:16" hidden="1" x14ac:dyDescent="0.25">
      <c r="A1627" s="3" t="s">
        <v>397</v>
      </c>
      <c r="B1627" t="s">
        <v>1926</v>
      </c>
      <c r="C1627" t="s">
        <v>1927</v>
      </c>
      <c r="D1627" t="s">
        <v>26</v>
      </c>
      <c r="E1627" t="s">
        <v>42</v>
      </c>
      <c r="F1627">
        <v>1</v>
      </c>
      <c r="G1627" s="3" t="s">
        <v>4</v>
      </c>
      <c r="H1627" s="44" t="s">
        <v>15</v>
      </c>
      <c r="I1627" s="49">
        <v>131421</v>
      </c>
      <c r="J1627" s="17">
        <f>IF(Gastos[[#This Row],[Divisa]]="$", I1627*1, IF(Gastos[[#This Row],[Divisa]]="U$D", I1627*$N$1, IF(Gastos[[#This Row],[Divisa]]="EUR", I1627*$N$2, 0)))</f>
        <v>131421</v>
      </c>
      <c r="K1627" s="54">
        <f>Gastos[[#This Row],[Importe AR$]]/$N$1</f>
        <v>84.244230769230768</v>
      </c>
      <c r="M1627" s="69"/>
      <c r="N1627" s="43" t="str">
        <f>IF(Gastos[[#This Row],[Fecha_Cheque]]&gt;0,WEEKNUM(Gastos[[#This Row],[Fecha_Cheque]]),MID(Gastos[[#This Row],[Semana]],6,2))</f>
        <v>11</v>
      </c>
      <c r="O1627" t="s">
        <v>1928</v>
      </c>
      <c r="P1627" t="s">
        <v>27</v>
      </c>
    </row>
    <row r="1628" spans="1:16" hidden="1" x14ac:dyDescent="0.25">
      <c r="A1628" s="3" t="s">
        <v>75</v>
      </c>
      <c r="B1628" t="s">
        <v>992</v>
      </c>
      <c r="C1628" t="s">
        <v>993</v>
      </c>
      <c r="D1628" t="s">
        <v>26</v>
      </c>
      <c r="E1628" t="s">
        <v>31</v>
      </c>
      <c r="F1628">
        <v>1</v>
      </c>
      <c r="G1628" s="3" t="s">
        <v>5</v>
      </c>
      <c r="H1628" s="46" t="s">
        <v>15</v>
      </c>
      <c r="I1628" s="17">
        <v>528495.75</v>
      </c>
      <c r="J1628" s="17">
        <f>IF(Gastos[[#This Row],[Divisa]]="$", I1628*1, IF(Gastos[[#This Row],[Divisa]]="U$D", I1628*$N$1, IF(Gastos[[#This Row],[Divisa]]="EUR", I1628*$N$2, 0)))</f>
        <v>528495.75</v>
      </c>
      <c r="K1628" s="54">
        <f>Gastos[[#This Row],[Importe AR$]]/$N$1</f>
        <v>338.77932692307695</v>
      </c>
      <c r="M1628" s="69"/>
      <c r="N1628" s="43" t="str">
        <f>IF(Gastos[[#This Row],[Fecha_Cheque]]&gt;0,WEEKNUM(Gastos[[#This Row],[Fecha_Cheque]]),MID(Gastos[[#This Row],[Semana]],6,2))</f>
        <v>07</v>
      </c>
      <c r="O1628" t="s">
        <v>994</v>
      </c>
      <c r="P1628" t="s">
        <v>27</v>
      </c>
    </row>
    <row r="1629" spans="1:16" hidden="1" x14ac:dyDescent="0.25">
      <c r="A1629" s="3" t="s">
        <v>39</v>
      </c>
      <c r="B1629" t="s">
        <v>992</v>
      </c>
      <c r="C1629" t="s">
        <v>2619</v>
      </c>
      <c r="D1629" t="s">
        <v>26</v>
      </c>
      <c r="E1629" t="s">
        <v>31</v>
      </c>
      <c r="F1629">
        <v>1</v>
      </c>
      <c r="G1629" s="3" t="s">
        <v>32</v>
      </c>
      <c r="H1629" s="44" t="s">
        <v>15</v>
      </c>
      <c r="I1629" s="17">
        <v>654384.94999999995</v>
      </c>
      <c r="J1629" s="17">
        <f>IF(Gastos[[#This Row],[Divisa]]="$", I1629*1, IF(Gastos[[#This Row],[Divisa]]="U$D", I1629*$N$1, IF(Gastos[[#This Row],[Divisa]]="EUR", I1629*$N$2, 0)))</f>
        <v>654384.94999999995</v>
      </c>
      <c r="K1629" s="54">
        <f>Gastos[[#This Row],[Importe AR$]]/$N$1</f>
        <v>419.47753205128203</v>
      </c>
      <c r="M1629" s="69">
        <v>46142</v>
      </c>
      <c r="N1629" s="43">
        <f>IF(Gastos[[#This Row],[Fecha_Cheque]]&gt;0,WEEKNUM(Gastos[[#This Row],[Fecha_Cheque]]),MID(Gastos[[#This Row],[Semana]],6,2))</f>
        <v>18</v>
      </c>
      <c r="O1629" t="s">
        <v>2620</v>
      </c>
      <c r="P1629" t="s">
        <v>27</v>
      </c>
    </row>
    <row r="1630" spans="1:16" hidden="1" x14ac:dyDescent="0.25">
      <c r="A1630" s="3" t="s">
        <v>39</v>
      </c>
      <c r="B1630" t="s">
        <v>992</v>
      </c>
      <c r="C1630" t="s">
        <v>2619</v>
      </c>
      <c r="D1630" t="s">
        <v>26</v>
      </c>
      <c r="E1630" t="s">
        <v>31</v>
      </c>
      <c r="F1630">
        <v>1</v>
      </c>
      <c r="G1630" s="3" t="s">
        <v>32</v>
      </c>
      <c r="H1630" s="44" t="s">
        <v>15</v>
      </c>
      <c r="I1630" s="17">
        <v>6442.75</v>
      </c>
      <c r="J1630" s="17">
        <f>IF(Gastos[[#This Row],[Divisa]]="$", I1630*1, IF(Gastos[[#This Row],[Divisa]]="U$D", I1630*$N$1, IF(Gastos[[#This Row],[Divisa]]="EUR", I1630*$N$2, 0)))</f>
        <v>6442.75</v>
      </c>
      <c r="K1630" s="54">
        <f>Gastos[[#This Row],[Importe AR$]]/$N$1</f>
        <v>4.1299679487179484</v>
      </c>
      <c r="L1630" t="s">
        <v>340</v>
      </c>
      <c r="M1630" s="69"/>
      <c r="N1630" s="43" t="str">
        <f>IF(Gastos[[#This Row],[Fecha_Cheque]]&gt;0,WEEKNUM(Gastos[[#This Row],[Fecha_Cheque]]),MID(Gastos[[#This Row],[Semana]],6,2))</f>
        <v>14</v>
      </c>
      <c r="O1630" t="s">
        <v>2620</v>
      </c>
      <c r="P1630" t="s">
        <v>27</v>
      </c>
    </row>
    <row r="1631" spans="1:16" hidden="1" x14ac:dyDescent="0.25">
      <c r="A1631" s="3" t="s">
        <v>2751</v>
      </c>
      <c r="B1631" t="s">
        <v>992</v>
      </c>
      <c r="C1631" t="s">
        <v>2928</v>
      </c>
      <c r="D1631" t="s">
        <v>26</v>
      </c>
      <c r="E1631" t="s">
        <v>31</v>
      </c>
      <c r="F1631">
        <v>1</v>
      </c>
      <c r="G1631" s="3" t="s">
        <v>32</v>
      </c>
      <c r="H1631" s="44" t="s">
        <v>2</v>
      </c>
      <c r="I1631" s="17">
        <v>405.65</v>
      </c>
      <c r="J1631" s="17">
        <f>IF(Gastos[[#This Row],[Divisa]]="$", I1631*1, IF(Gastos[[#This Row],[Divisa]]="U$D", I1631*$N$1, IF(Gastos[[#This Row],[Divisa]]="EUR", I1631*$N$2, 0)))</f>
        <v>632814</v>
      </c>
      <c r="K1631" s="54">
        <f>Gastos[[#This Row],[Importe AR$]]/$N$1</f>
        <v>405.65</v>
      </c>
      <c r="M1631" s="69"/>
      <c r="N1631" s="43" t="str">
        <f>IF(Gastos[[#This Row],[Fecha_Cheque]]&gt;0,WEEKNUM(Gastos[[#This Row],[Fecha_Cheque]]),MID(Gastos[[#This Row],[Semana]],6,2))</f>
        <v>18</v>
      </c>
      <c r="O1631" t="s">
        <v>2929</v>
      </c>
      <c r="P1631" t="s">
        <v>27</v>
      </c>
    </row>
    <row r="1632" spans="1:16" hidden="1" x14ac:dyDescent="0.25">
      <c r="A1632" s="3" t="s">
        <v>99</v>
      </c>
      <c r="B1632" t="s">
        <v>995</v>
      </c>
      <c r="C1632" t="s">
        <v>996</v>
      </c>
      <c r="D1632" t="s">
        <v>26</v>
      </c>
      <c r="E1632" t="s">
        <v>31</v>
      </c>
      <c r="F1632">
        <v>1</v>
      </c>
      <c r="G1632" s="3" t="s">
        <v>32</v>
      </c>
      <c r="H1632" s="46" t="s">
        <v>15</v>
      </c>
      <c r="I1632" s="17">
        <v>124400</v>
      </c>
      <c r="J1632" s="17">
        <f>IF(Gastos[[#This Row],[Divisa]]="$", I1632*1, IF(Gastos[[#This Row],[Divisa]]="U$D", I1632*$N$1, IF(Gastos[[#This Row],[Divisa]]="EUR", I1632*$N$2, 0)))</f>
        <v>124400</v>
      </c>
      <c r="K1632" s="54">
        <f>Gastos[[#This Row],[Importe AR$]]/$N$1</f>
        <v>79.743589743589737</v>
      </c>
      <c r="M1632" s="69"/>
      <c r="N1632" s="43" t="str">
        <f>IF(Gastos[[#This Row],[Fecha_Cheque]]&gt;0,WEEKNUM(Gastos[[#This Row],[Fecha_Cheque]]),MID(Gastos[[#This Row],[Semana]],6,2))</f>
        <v>28</v>
      </c>
      <c r="O1632" t="s">
        <v>997</v>
      </c>
      <c r="P1632" t="s">
        <v>27</v>
      </c>
    </row>
    <row r="1633" spans="1:16" hidden="1" x14ac:dyDescent="0.25">
      <c r="A1633" s="3" t="s">
        <v>99</v>
      </c>
      <c r="B1633" t="s">
        <v>995</v>
      </c>
      <c r="C1633" t="s">
        <v>996</v>
      </c>
      <c r="D1633" t="s">
        <v>26</v>
      </c>
      <c r="E1633" t="s">
        <v>31</v>
      </c>
      <c r="F1633">
        <v>1</v>
      </c>
      <c r="G1633" s="3" t="s">
        <v>32</v>
      </c>
      <c r="H1633" s="46" t="s">
        <v>15</v>
      </c>
      <c r="I1633" s="17">
        <v>290000</v>
      </c>
      <c r="J1633" s="17">
        <f>IF(Gastos[[#This Row],[Divisa]]="$", I1633*1, IF(Gastos[[#This Row],[Divisa]]="U$D", I1633*$N$1, IF(Gastos[[#This Row],[Divisa]]="EUR", I1633*$N$2, 0)))</f>
        <v>290000</v>
      </c>
      <c r="K1633" s="54">
        <f>Gastos[[#This Row],[Importe AR$]]/$N$1</f>
        <v>185.89743589743588</v>
      </c>
      <c r="M1633" s="69">
        <v>45859</v>
      </c>
      <c r="N1633" s="43">
        <f>IF(Gastos[[#This Row],[Fecha_Cheque]]&gt;0,WEEKNUM(Gastos[[#This Row],[Fecha_Cheque]]),MID(Gastos[[#This Row],[Semana]],6,2))</f>
        <v>30</v>
      </c>
      <c r="O1633" t="s">
        <v>997</v>
      </c>
      <c r="P1633" t="s">
        <v>27</v>
      </c>
    </row>
    <row r="1634" spans="1:16" hidden="1" x14ac:dyDescent="0.25">
      <c r="A1634" s="3" t="s">
        <v>99</v>
      </c>
      <c r="B1634" t="s">
        <v>995</v>
      </c>
      <c r="C1634" t="s">
        <v>996</v>
      </c>
      <c r="D1634" t="s">
        <v>26</v>
      </c>
      <c r="E1634" t="s">
        <v>31</v>
      </c>
      <c r="F1634">
        <v>1</v>
      </c>
      <c r="G1634" s="3" t="s">
        <v>32</v>
      </c>
      <c r="H1634" s="46" t="s">
        <v>15</v>
      </c>
      <c r="I1634" s="17">
        <v>435600</v>
      </c>
      <c r="J1634" s="17">
        <f>IF(Gastos[[#This Row],[Divisa]]="$", I1634*1, IF(Gastos[[#This Row],[Divisa]]="U$D", I1634*$N$1, IF(Gastos[[#This Row],[Divisa]]="EUR", I1634*$N$2, 0)))</f>
        <v>435600</v>
      </c>
      <c r="K1634" s="54">
        <f>Gastos[[#This Row],[Importe AR$]]/$N$1</f>
        <v>279.23076923076923</v>
      </c>
      <c r="M1634" s="69">
        <v>45855</v>
      </c>
      <c r="N1634" s="43">
        <f>IF(Gastos[[#This Row],[Fecha_Cheque]]&gt;0,WEEKNUM(Gastos[[#This Row],[Fecha_Cheque]]),MID(Gastos[[#This Row],[Semana]],6,2))</f>
        <v>29</v>
      </c>
      <c r="O1634" t="s">
        <v>997</v>
      </c>
      <c r="P1634" t="s">
        <v>27</v>
      </c>
    </row>
    <row r="1635" spans="1:16" hidden="1" x14ac:dyDescent="0.25">
      <c r="A1635" s="3" t="s">
        <v>89</v>
      </c>
      <c r="B1635" t="s">
        <v>998</v>
      </c>
      <c r="C1635" t="s">
        <v>999</v>
      </c>
      <c r="D1635" t="s">
        <v>26</v>
      </c>
      <c r="E1635" t="s">
        <v>31</v>
      </c>
      <c r="F1635">
        <v>1</v>
      </c>
      <c r="G1635" s="3" t="s">
        <v>32</v>
      </c>
      <c r="H1635" s="46" t="s">
        <v>15</v>
      </c>
      <c r="I1635" s="17">
        <v>800000</v>
      </c>
      <c r="J1635" s="17">
        <f>IF(Gastos[[#This Row],[Divisa]]="$", I1635*1, IF(Gastos[[#This Row],[Divisa]]="U$D", I1635*$N$1, IF(Gastos[[#This Row],[Divisa]]="EUR", I1635*$N$2, 0)))</f>
        <v>800000</v>
      </c>
      <c r="K1635" s="54">
        <f>Gastos[[#This Row],[Importe AR$]]/$N$1</f>
        <v>512.82051282051282</v>
      </c>
      <c r="M1635" s="69">
        <v>45920</v>
      </c>
      <c r="N1635" s="43">
        <f>IF(Gastos[[#This Row],[Fecha_Cheque]]&gt;0,WEEKNUM(Gastos[[#This Row],[Fecha_Cheque]]),MID(Gastos[[#This Row],[Semana]],6,2))</f>
        <v>38</v>
      </c>
      <c r="O1635" t="s">
        <v>1000</v>
      </c>
      <c r="P1635" t="s">
        <v>27</v>
      </c>
    </row>
    <row r="1636" spans="1:16" hidden="1" x14ac:dyDescent="0.25">
      <c r="A1636" s="3" t="s">
        <v>89</v>
      </c>
      <c r="B1636" t="s">
        <v>998</v>
      </c>
      <c r="C1636" t="s">
        <v>999</v>
      </c>
      <c r="D1636" t="s">
        <v>26</v>
      </c>
      <c r="E1636" t="s">
        <v>31</v>
      </c>
      <c r="F1636">
        <v>1</v>
      </c>
      <c r="G1636" s="3" t="s">
        <v>5</v>
      </c>
      <c r="H1636" s="46" t="s">
        <v>15</v>
      </c>
      <c r="I1636" s="17">
        <v>140736.29999999999</v>
      </c>
      <c r="J1636" s="17">
        <f>IF(Gastos[[#This Row],[Divisa]]="$", I1636*1, IF(Gastos[[#This Row],[Divisa]]="U$D", I1636*$N$1, IF(Gastos[[#This Row],[Divisa]]="EUR", I1636*$N$2, 0)))</f>
        <v>140736.29999999999</v>
      </c>
      <c r="K1636" s="54">
        <f>Gastos[[#This Row],[Importe AR$]]/$N$1</f>
        <v>90.21557692307691</v>
      </c>
      <c r="M1636" s="69"/>
      <c r="N1636" s="43" t="str">
        <f>IF(Gastos[[#This Row],[Fecha_Cheque]]&gt;0,WEEKNUM(Gastos[[#This Row],[Fecha_Cheque]]),MID(Gastos[[#This Row],[Semana]],6,2))</f>
        <v>39</v>
      </c>
      <c r="O1636" t="s">
        <v>1000</v>
      </c>
      <c r="P1636" t="s">
        <v>27</v>
      </c>
    </row>
    <row r="1637" spans="1:16" hidden="1" x14ac:dyDescent="0.25">
      <c r="A1637" s="3" t="s">
        <v>93</v>
      </c>
      <c r="B1637" t="s">
        <v>1001</v>
      </c>
      <c r="D1637" t="s">
        <v>26</v>
      </c>
      <c r="E1637" t="s">
        <v>31</v>
      </c>
      <c r="F1637">
        <v>1</v>
      </c>
      <c r="G1637" s="3" t="s">
        <v>5</v>
      </c>
      <c r="H1637" s="46" t="s">
        <v>15</v>
      </c>
      <c r="I1637" s="17">
        <v>51931.91</v>
      </c>
      <c r="J1637" s="17">
        <f>IF(Gastos[[#This Row],[Divisa]]="$", I1637*1, IF(Gastos[[#This Row],[Divisa]]="U$D", I1637*$N$1, IF(Gastos[[#This Row],[Divisa]]="EUR", I1637*$N$2, 0)))</f>
        <v>51931.91</v>
      </c>
      <c r="K1637" s="54">
        <f>Gastos[[#This Row],[Importe AR$]]/$N$1</f>
        <v>33.289685897435902</v>
      </c>
      <c r="M1637" s="69"/>
      <c r="N1637" s="43" t="str">
        <f>IF(Gastos[[#This Row],[Fecha_Cheque]]&gt;0,WEEKNUM(Gastos[[#This Row],[Fecha_Cheque]]),MID(Gastos[[#This Row],[Semana]],6,2))</f>
        <v>50</v>
      </c>
      <c r="O1637" t="s">
        <v>1002</v>
      </c>
      <c r="P1637" t="s">
        <v>27</v>
      </c>
    </row>
    <row r="1638" spans="1:16" hidden="1" x14ac:dyDescent="0.25">
      <c r="A1638" s="3" t="s">
        <v>2763</v>
      </c>
      <c r="B1638" t="s">
        <v>3431</v>
      </c>
      <c r="C1638" t="s">
        <v>3295</v>
      </c>
      <c r="D1638" t="s">
        <v>26</v>
      </c>
      <c r="E1638" t="s">
        <v>42</v>
      </c>
      <c r="F1638">
        <v>2</v>
      </c>
      <c r="G1638" s="3" t="s">
        <v>4</v>
      </c>
      <c r="H1638" s="44" t="s">
        <v>15</v>
      </c>
      <c r="I1638" s="17">
        <v>400000</v>
      </c>
      <c r="J1638" s="17">
        <f>IF(Gastos[[#This Row],[Divisa]]="$", I1638*1, IF(Gastos[[#This Row],[Divisa]]="U$D", I1638*$N$1, IF(Gastos[[#This Row],[Divisa]]="EUR", I1638*$N$2, 0)))</f>
        <v>400000</v>
      </c>
      <c r="K1638" s="54">
        <f>Gastos[[#This Row],[Importe AR$]]/$N$1</f>
        <v>256.41025641025641</v>
      </c>
      <c r="M1638" s="69"/>
      <c r="N1638" s="43" t="str">
        <f>IF(Gastos[[#This Row],[Fecha_Cheque]]&gt;0,WEEKNUM(Gastos[[#This Row],[Fecha_Cheque]]),MID(Gastos[[#This Row],[Semana]],6,2))</f>
        <v>23</v>
      </c>
      <c r="O1638" t="s">
        <v>3432</v>
      </c>
      <c r="P1638" t="s">
        <v>27</v>
      </c>
    </row>
    <row r="1639" spans="1:16" hidden="1" x14ac:dyDescent="0.25">
      <c r="A1639" s="3" t="s">
        <v>3882</v>
      </c>
      <c r="B1639" t="s">
        <v>3431</v>
      </c>
      <c r="C1639" t="s">
        <v>3910</v>
      </c>
      <c r="D1639" t="s">
        <v>26</v>
      </c>
      <c r="E1639" t="s">
        <v>62</v>
      </c>
      <c r="F1639">
        <v>2</v>
      </c>
      <c r="G1639" s="3" t="s">
        <v>4</v>
      </c>
      <c r="H1639" s="44" t="s">
        <v>15</v>
      </c>
      <c r="I1639" s="17">
        <v>656200</v>
      </c>
      <c r="J1639" s="17">
        <f>IF(Gastos[[#This Row],[Divisa]]="$", I1639*1, IF(Gastos[[#This Row],[Divisa]]="U$D", I1639*$N$1, IF(Gastos[[#This Row],[Divisa]]="EUR", I1639*$N$2, 0)))</f>
        <v>656200</v>
      </c>
      <c r="K1639" s="54">
        <f>Gastos[[#This Row],[Importe AR$]]/$N$1</f>
        <v>420.64102564102564</v>
      </c>
      <c r="M1639" s="69"/>
      <c r="N1639" s="43" t="str">
        <f>IF(Gastos[[#This Row],[Fecha_Cheque]]&gt;0,WEEKNUM(Gastos[[#This Row],[Fecha_Cheque]]),MID(Gastos[[#This Row],[Semana]],6,2))</f>
        <v>31</v>
      </c>
      <c r="O1639" t="s">
        <v>3949</v>
      </c>
      <c r="P1639" t="s">
        <v>27</v>
      </c>
    </row>
    <row r="1640" spans="1:16" hidden="1" x14ac:dyDescent="0.25">
      <c r="A1640" s="3" t="s">
        <v>3693</v>
      </c>
      <c r="B1640" t="s">
        <v>3739</v>
      </c>
      <c r="C1640" t="s">
        <v>3740</v>
      </c>
      <c r="D1640" t="s">
        <v>26</v>
      </c>
      <c r="E1640" t="s">
        <v>42</v>
      </c>
      <c r="F1640">
        <v>2</v>
      </c>
      <c r="G1640" s="3" t="s">
        <v>4</v>
      </c>
      <c r="H1640" s="44" t="s">
        <v>15</v>
      </c>
      <c r="I1640" s="17">
        <v>150000</v>
      </c>
      <c r="J1640" s="17">
        <f>IF(Gastos[[#This Row],[Divisa]]="$", I1640*1, IF(Gastos[[#This Row],[Divisa]]="U$D", I1640*$N$1, IF(Gastos[[#This Row],[Divisa]]="EUR", I1640*$N$2, 0)))</f>
        <v>150000</v>
      </c>
      <c r="K1640" s="54">
        <f>Gastos[[#This Row],[Importe AR$]]/$N$1</f>
        <v>96.15384615384616</v>
      </c>
      <c r="M1640" s="69"/>
      <c r="N1640" s="43" t="str">
        <f>IF(Gastos[[#This Row],[Fecha_Cheque]]&gt;0,WEEKNUM(Gastos[[#This Row],[Fecha_Cheque]]),MID(Gastos[[#This Row],[Semana]],6,2))</f>
        <v>28</v>
      </c>
      <c r="O1640" t="s">
        <v>3741</v>
      </c>
      <c r="P1640" t="s">
        <v>27</v>
      </c>
    </row>
    <row r="1641" spans="1:16" hidden="1" x14ac:dyDescent="0.25">
      <c r="A1641" s="3" t="s">
        <v>53</v>
      </c>
      <c r="B1641" t="s">
        <v>1003</v>
      </c>
      <c r="C1641" t="s">
        <v>335</v>
      </c>
      <c r="D1641" t="s">
        <v>26</v>
      </c>
      <c r="E1641" t="s">
        <v>31</v>
      </c>
      <c r="F1641">
        <v>1</v>
      </c>
      <c r="G1641" s="3" t="s">
        <v>5</v>
      </c>
      <c r="H1641" s="46" t="s">
        <v>15</v>
      </c>
      <c r="I1641" s="17">
        <v>643943.4</v>
      </c>
      <c r="J1641" s="17">
        <f>IF(Gastos[[#This Row],[Divisa]]="$", I1641*1, IF(Gastos[[#This Row],[Divisa]]="U$D", I1641*$N$1, IF(Gastos[[#This Row],[Divisa]]="EUR", I1641*$N$2, 0)))</f>
        <v>643943.4</v>
      </c>
      <c r="K1641" s="54">
        <f>Gastos[[#This Row],[Importe AR$]]/$N$1</f>
        <v>412.78423076923076</v>
      </c>
      <c r="M1641" s="69"/>
      <c r="N1641" s="43" t="str">
        <f>IF(Gastos[[#This Row],[Fecha_Cheque]]&gt;0,WEEKNUM(Gastos[[#This Row],[Fecha_Cheque]]),MID(Gastos[[#This Row],[Semana]],6,2))</f>
        <v>34</v>
      </c>
      <c r="O1641" t="s">
        <v>123</v>
      </c>
      <c r="P1641" t="s">
        <v>27</v>
      </c>
    </row>
    <row r="1642" spans="1:16" hidden="1" x14ac:dyDescent="0.25">
      <c r="A1642" s="3" t="s">
        <v>75</v>
      </c>
      <c r="B1642" t="s">
        <v>1003</v>
      </c>
      <c r="D1642" t="s">
        <v>26</v>
      </c>
      <c r="E1642" t="s">
        <v>91</v>
      </c>
      <c r="F1642">
        <v>1</v>
      </c>
      <c r="G1642" s="3" t="s">
        <v>5</v>
      </c>
      <c r="H1642" s="46" t="s">
        <v>15</v>
      </c>
      <c r="I1642" s="17">
        <v>242000</v>
      </c>
      <c r="J1642" s="17">
        <f>IF(Gastos[[#This Row],[Divisa]]="$", I1642*1, IF(Gastos[[#This Row],[Divisa]]="U$D", I1642*$N$1, IF(Gastos[[#This Row],[Divisa]]="EUR", I1642*$N$2, 0)))</f>
        <v>242000</v>
      </c>
      <c r="K1642" s="54">
        <f>Gastos[[#This Row],[Importe AR$]]/$N$1</f>
        <v>155.12820512820514</v>
      </c>
      <c r="M1642" s="69"/>
      <c r="N1642" s="43" t="str">
        <f>IF(Gastos[[#This Row],[Fecha_Cheque]]&gt;0,WEEKNUM(Gastos[[#This Row],[Fecha_Cheque]]),MID(Gastos[[#This Row],[Semana]],6,2))</f>
        <v>07</v>
      </c>
      <c r="O1642" t="s">
        <v>1004</v>
      </c>
      <c r="P1642" t="s">
        <v>27</v>
      </c>
    </row>
    <row r="1643" spans="1:16" hidden="1" x14ac:dyDescent="0.25">
      <c r="A1643" s="3" t="s">
        <v>2804</v>
      </c>
      <c r="B1643" t="s">
        <v>1003</v>
      </c>
      <c r="C1643" t="s">
        <v>3032</v>
      </c>
      <c r="D1643" t="s">
        <v>26</v>
      </c>
      <c r="E1643" t="s">
        <v>31</v>
      </c>
      <c r="F1643">
        <v>1</v>
      </c>
      <c r="G1643" s="3" t="s">
        <v>32</v>
      </c>
      <c r="H1643" s="44" t="s">
        <v>15</v>
      </c>
      <c r="I1643" s="17">
        <v>1071671.7</v>
      </c>
      <c r="J1643" s="17">
        <f>IF(Gastos[[#This Row],[Divisa]]="$", I1643*1, IF(Gastos[[#This Row],[Divisa]]="U$D", I1643*$N$1, IF(Gastos[[#This Row],[Divisa]]="EUR", I1643*$N$2, 0)))</f>
        <v>1071671.7</v>
      </c>
      <c r="K1643" s="54">
        <f>Gastos[[#This Row],[Importe AR$]]/$N$1</f>
        <v>686.96903846153839</v>
      </c>
      <c r="M1643" s="69">
        <v>46178</v>
      </c>
      <c r="N1643" s="43">
        <f>IF(Gastos[[#This Row],[Fecha_Cheque]]&gt;0,WEEKNUM(Gastos[[#This Row],[Fecha_Cheque]]),MID(Gastos[[#This Row],[Semana]],6,2))</f>
        <v>23</v>
      </c>
      <c r="O1643" t="s">
        <v>3033</v>
      </c>
      <c r="P1643" t="s">
        <v>27</v>
      </c>
    </row>
    <row r="1644" spans="1:16" hidden="1" x14ac:dyDescent="0.25">
      <c r="A1644" s="3" t="s">
        <v>2804</v>
      </c>
      <c r="B1644" t="s">
        <v>1003</v>
      </c>
      <c r="C1644" t="s">
        <v>3032</v>
      </c>
      <c r="D1644" t="s">
        <v>26</v>
      </c>
      <c r="E1644" t="s">
        <v>31</v>
      </c>
      <c r="F1644">
        <v>1</v>
      </c>
      <c r="G1644" s="3" t="s">
        <v>32</v>
      </c>
      <c r="H1644" s="44" t="s">
        <v>15</v>
      </c>
      <c r="I1644" s="17">
        <v>1071671.7</v>
      </c>
      <c r="J1644" s="17">
        <f>IF(Gastos[[#This Row],[Divisa]]="$", I1644*1, IF(Gastos[[#This Row],[Divisa]]="U$D", I1644*$N$1, IF(Gastos[[#This Row],[Divisa]]="EUR", I1644*$N$2, 0)))</f>
        <v>1071671.7</v>
      </c>
      <c r="K1644" s="54">
        <f>Gastos[[#This Row],[Importe AR$]]/$N$1</f>
        <v>686.96903846153839</v>
      </c>
      <c r="M1644" s="69">
        <v>46208</v>
      </c>
      <c r="N1644" s="43">
        <f>IF(Gastos[[#This Row],[Fecha_Cheque]]&gt;0,WEEKNUM(Gastos[[#This Row],[Fecha_Cheque]]),MID(Gastos[[#This Row],[Semana]],6,2))</f>
        <v>28</v>
      </c>
      <c r="O1644" t="s">
        <v>3033</v>
      </c>
      <c r="P1644" t="s">
        <v>27</v>
      </c>
    </row>
    <row r="1645" spans="1:16" hidden="1" x14ac:dyDescent="0.25">
      <c r="A1645" s="3" t="s">
        <v>2804</v>
      </c>
      <c r="B1645" t="s">
        <v>1003</v>
      </c>
      <c r="C1645" t="s">
        <v>3032</v>
      </c>
      <c r="D1645" t="s">
        <v>26</v>
      </c>
      <c r="E1645" t="s">
        <v>31</v>
      </c>
      <c r="F1645">
        <v>1</v>
      </c>
      <c r="G1645" s="3" t="s">
        <v>32</v>
      </c>
      <c r="H1645" s="44" t="s">
        <v>15</v>
      </c>
      <c r="I1645" s="17">
        <v>34656.6</v>
      </c>
      <c r="J1645" s="17">
        <f>IF(Gastos[[#This Row],[Divisa]]="$", I1645*1, IF(Gastos[[#This Row],[Divisa]]="U$D", I1645*$N$1, IF(Gastos[[#This Row],[Divisa]]="EUR", I1645*$N$2, 0)))</f>
        <v>34656.6</v>
      </c>
      <c r="K1645" s="54">
        <f>Gastos[[#This Row],[Importe AR$]]/$N$1</f>
        <v>22.215769230769229</v>
      </c>
      <c r="L1645" t="s">
        <v>340</v>
      </c>
      <c r="M1645" s="69"/>
      <c r="N1645" s="43" t="str">
        <f>IF(Gastos[[#This Row],[Fecha_Cheque]]&gt;0,WEEKNUM(Gastos[[#This Row],[Fecha_Cheque]]),MID(Gastos[[#This Row],[Semana]],6,2))</f>
        <v>19</v>
      </c>
      <c r="O1645" t="s">
        <v>3033</v>
      </c>
      <c r="P1645" t="s">
        <v>27</v>
      </c>
    </row>
    <row r="1646" spans="1:16" hidden="1" x14ac:dyDescent="0.25">
      <c r="A1646" s="3" t="s">
        <v>4569</v>
      </c>
      <c r="B1646" t="s">
        <v>1003</v>
      </c>
      <c r="C1646" t="s">
        <v>4600</v>
      </c>
      <c r="D1646" t="s">
        <v>26</v>
      </c>
      <c r="E1646" t="s">
        <v>31</v>
      </c>
      <c r="F1646">
        <v>1</v>
      </c>
      <c r="G1646" s="3" t="s">
        <v>32</v>
      </c>
      <c r="H1646" s="44" t="s">
        <v>15</v>
      </c>
      <c r="I1646" s="17">
        <v>1139000</v>
      </c>
      <c r="J1646" s="17">
        <f>IF(Gastos[[#This Row],[Divisa]]="$", I1646*1, IF(Gastos[[#This Row],[Divisa]]="U$D", I1646*$N$1, IF(Gastos[[#This Row],[Divisa]]="EUR", I1646*$N$2, 0)))</f>
        <v>1139000</v>
      </c>
      <c r="K1646" s="54">
        <f>Gastos[[#This Row],[Importe AR$]]/$N$1</f>
        <v>730.12820512820508</v>
      </c>
      <c r="M1646" s="69">
        <v>46340</v>
      </c>
      <c r="N1646" s="43">
        <f>IF(Gastos[[#This Row],[Fecha_Cheque]]&gt;0,WEEKNUM(Gastos[[#This Row],[Fecha_Cheque]]),MID(Gastos[[#This Row],[Semana]],6,2))</f>
        <v>46</v>
      </c>
      <c r="O1646" t="s">
        <v>4601</v>
      </c>
      <c r="P1646" t="s">
        <v>27</v>
      </c>
    </row>
    <row r="1647" spans="1:16" hidden="1" x14ac:dyDescent="0.25">
      <c r="A1647" s="3" t="s">
        <v>4569</v>
      </c>
      <c r="B1647" t="s">
        <v>1003</v>
      </c>
      <c r="C1647" t="s">
        <v>4600</v>
      </c>
      <c r="D1647" t="s">
        <v>26</v>
      </c>
      <c r="E1647" t="s">
        <v>31</v>
      </c>
      <c r="F1647">
        <v>1</v>
      </c>
      <c r="G1647" s="3" t="s">
        <v>5</v>
      </c>
      <c r="H1647" s="44" t="s">
        <v>15</v>
      </c>
      <c r="I1647" s="17">
        <v>290343.40000000002</v>
      </c>
      <c r="J1647" s="17">
        <f>IF(Gastos[[#This Row],[Divisa]]="$", I1647*1, IF(Gastos[[#This Row],[Divisa]]="U$D", I1647*$N$1, IF(Gastos[[#This Row],[Divisa]]="EUR", I1647*$N$2, 0)))</f>
        <v>290343.40000000002</v>
      </c>
      <c r="K1647" s="54">
        <f>Gastos[[#This Row],[Importe AR$]]/$N$1</f>
        <v>186.11756410256413</v>
      </c>
      <c r="M1647" s="69"/>
      <c r="N1647" s="43" t="str">
        <f>IF(Gastos[[#This Row],[Fecha_Cheque]]&gt;0,WEEKNUM(Gastos[[#This Row],[Fecha_Cheque]]),MID(Gastos[[#This Row],[Semana]],6,2))</f>
        <v>43</v>
      </c>
      <c r="O1647" t="s">
        <v>4601</v>
      </c>
      <c r="P1647" t="s">
        <v>27</v>
      </c>
    </row>
    <row r="1648" spans="1:16" hidden="1" x14ac:dyDescent="0.25">
      <c r="A1648" s="3" t="s">
        <v>4569</v>
      </c>
      <c r="B1648" t="s">
        <v>1003</v>
      </c>
      <c r="C1648" t="s">
        <v>4600</v>
      </c>
      <c r="D1648" t="s">
        <v>26</v>
      </c>
      <c r="E1648" t="s">
        <v>31</v>
      </c>
      <c r="F1648">
        <v>1</v>
      </c>
      <c r="G1648" s="3" t="s">
        <v>32</v>
      </c>
      <c r="H1648" s="44" t="s">
        <v>15</v>
      </c>
      <c r="I1648" s="17">
        <v>22656.6</v>
      </c>
      <c r="J1648" s="17">
        <f>IF(Gastos[[#This Row],[Divisa]]="$", I1648*1, IF(Gastos[[#This Row],[Divisa]]="U$D", I1648*$N$1, IF(Gastos[[#This Row],[Divisa]]="EUR", I1648*$N$2, 0)))</f>
        <v>22656.6</v>
      </c>
      <c r="K1648" s="54">
        <f>Gastos[[#This Row],[Importe AR$]]/$N$1</f>
        <v>14.523461538461538</v>
      </c>
      <c r="M1648" s="69"/>
      <c r="N1648" s="43" t="str">
        <f>IF(Gastos[[#This Row],[Fecha_Cheque]]&gt;0,WEEKNUM(Gastos[[#This Row],[Fecha_Cheque]]),MID(Gastos[[#This Row],[Semana]],6,2))</f>
        <v>43</v>
      </c>
      <c r="O1648" t="s">
        <v>4601</v>
      </c>
      <c r="P1648" t="s">
        <v>27</v>
      </c>
    </row>
    <row r="1649" spans="1:16" hidden="1" x14ac:dyDescent="0.25">
      <c r="A1649" s="3" t="s">
        <v>2726</v>
      </c>
      <c r="B1649" t="s">
        <v>3297</v>
      </c>
      <c r="C1649" t="s">
        <v>3295</v>
      </c>
      <c r="D1649" t="s">
        <v>26</v>
      </c>
      <c r="E1649" t="s">
        <v>42</v>
      </c>
      <c r="F1649">
        <v>2</v>
      </c>
      <c r="G1649" s="3" t="s">
        <v>4</v>
      </c>
      <c r="H1649" s="44" t="s">
        <v>15</v>
      </c>
      <c r="I1649" s="17">
        <v>400000</v>
      </c>
      <c r="J1649" s="17">
        <f>IF(Gastos[[#This Row],[Divisa]]="$", I1649*1, IF(Gastos[[#This Row],[Divisa]]="U$D", I1649*$N$1, IF(Gastos[[#This Row],[Divisa]]="EUR", I1649*$N$2, 0)))</f>
        <v>400000</v>
      </c>
      <c r="K1649" s="54">
        <f>Gastos[[#This Row],[Importe AR$]]/$N$1</f>
        <v>256.41025641025641</v>
      </c>
      <c r="M1649" s="69"/>
      <c r="N1649" s="43" t="str">
        <f>IF(Gastos[[#This Row],[Fecha_Cheque]]&gt;0,WEEKNUM(Gastos[[#This Row],[Fecha_Cheque]]),MID(Gastos[[#This Row],[Semana]],6,2))</f>
        <v>24</v>
      </c>
      <c r="O1649" t="s">
        <v>3298</v>
      </c>
      <c r="P1649" t="s">
        <v>27</v>
      </c>
    </row>
    <row r="1650" spans="1:16" hidden="1" x14ac:dyDescent="0.25">
      <c r="A1650" s="3" t="s">
        <v>3567</v>
      </c>
      <c r="B1650" t="s">
        <v>3297</v>
      </c>
      <c r="C1650" t="s">
        <v>3602</v>
      </c>
      <c r="D1650" t="s">
        <v>26</v>
      </c>
      <c r="E1650" t="s">
        <v>42</v>
      </c>
      <c r="F1650">
        <v>2</v>
      </c>
      <c r="G1650" s="3" t="s">
        <v>4</v>
      </c>
      <c r="H1650" s="44" t="s">
        <v>15</v>
      </c>
      <c r="I1650" s="17">
        <v>500000</v>
      </c>
      <c r="J1650" s="17">
        <f>IF(Gastos[[#This Row],[Divisa]]="$", I1650*1, IF(Gastos[[#This Row],[Divisa]]="U$D", I1650*$N$1, IF(Gastos[[#This Row],[Divisa]]="EUR", I1650*$N$2, 0)))</f>
        <v>500000</v>
      </c>
      <c r="K1650" s="54">
        <f>Gastos[[#This Row],[Importe AR$]]/$N$1</f>
        <v>320.5128205128205</v>
      </c>
      <c r="M1650" s="69"/>
      <c r="N1650" s="43" t="str">
        <f>IF(Gastos[[#This Row],[Fecha_Cheque]]&gt;0,WEEKNUM(Gastos[[#This Row],[Fecha_Cheque]]),MID(Gastos[[#This Row],[Semana]],6,2))</f>
        <v>26</v>
      </c>
      <c r="O1650" t="s">
        <v>3607</v>
      </c>
      <c r="P1650" t="s">
        <v>27</v>
      </c>
    </row>
    <row r="1651" spans="1:16" hidden="1" x14ac:dyDescent="0.25">
      <c r="A1651" s="3" t="s">
        <v>3439</v>
      </c>
      <c r="B1651" t="s">
        <v>3297</v>
      </c>
      <c r="C1651" t="s">
        <v>3554</v>
      </c>
      <c r="D1651" t="s">
        <v>26</v>
      </c>
      <c r="E1651" t="s">
        <v>42</v>
      </c>
      <c r="F1651">
        <v>2</v>
      </c>
      <c r="G1651" s="3" t="s">
        <v>4</v>
      </c>
      <c r="H1651" s="44" t="s">
        <v>15</v>
      </c>
      <c r="I1651" s="17">
        <v>400000</v>
      </c>
      <c r="J1651" s="17">
        <f>IF(Gastos[[#This Row],[Divisa]]="$", I1651*1, IF(Gastos[[#This Row],[Divisa]]="U$D", I1651*$N$1, IF(Gastos[[#This Row],[Divisa]]="EUR", I1651*$N$2, 0)))</f>
        <v>400000</v>
      </c>
      <c r="K1651" s="54">
        <f>Gastos[[#This Row],[Importe AR$]]/$N$1</f>
        <v>256.41025641025641</v>
      </c>
      <c r="M1651" s="69"/>
      <c r="N1651" s="43" t="str">
        <f>IF(Gastos[[#This Row],[Fecha_Cheque]]&gt;0,WEEKNUM(Gastos[[#This Row],[Fecha_Cheque]]),MID(Gastos[[#This Row],[Semana]],6,2))</f>
        <v>25</v>
      </c>
      <c r="O1651" t="s">
        <v>3555</v>
      </c>
      <c r="P1651" t="s">
        <v>27</v>
      </c>
    </row>
    <row r="1652" spans="1:16" hidden="1" x14ac:dyDescent="0.25">
      <c r="A1652" s="3" t="s">
        <v>216</v>
      </c>
      <c r="B1652" t="s">
        <v>1005</v>
      </c>
      <c r="C1652" t="s">
        <v>1006</v>
      </c>
      <c r="D1652" t="s">
        <v>26</v>
      </c>
      <c r="E1652" t="s">
        <v>31</v>
      </c>
      <c r="F1652">
        <v>1</v>
      </c>
      <c r="G1652" s="3" t="s">
        <v>4</v>
      </c>
      <c r="H1652" s="46" t="s">
        <v>15</v>
      </c>
      <c r="I1652" s="17">
        <v>35000</v>
      </c>
      <c r="J1652" s="17">
        <f>IF(Gastos[[#This Row],[Divisa]]="$", I1652*1, IF(Gastos[[#This Row],[Divisa]]="U$D", I1652*$N$1, IF(Gastos[[#This Row],[Divisa]]="EUR", I1652*$N$2, 0)))</f>
        <v>35000</v>
      </c>
      <c r="K1652" s="54">
        <f>Gastos[[#This Row],[Importe AR$]]/$N$1</f>
        <v>22.435897435897434</v>
      </c>
      <c r="M1652" s="69"/>
      <c r="N1652" s="43" t="str">
        <f>IF(Gastos[[#This Row],[Fecha_Cheque]]&gt;0,WEEKNUM(Gastos[[#This Row],[Fecha_Cheque]]),MID(Gastos[[#This Row],[Semana]],6,2))</f>
        <v>15</v>
      </c>
      <c r="P1652" t="s">
        <v>27</v>
      </c>
    </row>
    <row r="1653" spans="1:16" hidden="1" x14ac:dyDescent="0.25">
      <c r="A1653" s="3" t="s">
        <v>188</v>
      </c>
      <c r="B1653" t="s">
        <v>1005</v>
      </c>
      <c r="C1653" t="s">
        <v>1007</v>
      </c>
      <c r="D1653" t="s">
        <v>26</v>
      </c>
      <c r="E1653" t="s">
        <v>31</v>
      </c>
      <c r="F1653">
        <v>2</v>
      </c>
      <c r="G1653" s="3" t="s">
        <v>4</v>
      </c>
      <c r="H1653" s="46" t="s">
        <v>15</v>
      </c>
      <c r="I1653" s="17">
        <v>40000</v>
      </c>
      <c r="J1653" s="17">
        <f>IF(Gastos[[#This Row],[Divisa]]="$", I1653*1, IF(Gastos[[#This Row],[Divisa]]="U$D", I1653*$N$1, IF(Gastos[[#This Row],[Divisa]]="EUR", I1653*$N$2, 0)))</f>
        <v>40000</v>
      </c>
      <c r="K1653" s="54">
        <f>Gastos[[#This Row],[Importe AR$]]/$N$1</f>
        <v>25.641025641025642</v>
      </c>
      <c r="M1653" s="69"/>
      <c r="N1653" s="43" t="str">
        <f>IF(Gastos[[#This Row],[Fecha_Cheque]]&gt;0,WEEKNUM(Gastos[[#This Row],[Fecha_Cheque]]),MID(Gastos[[#This Row],[Semana]],6,2))</f>
        <v>19</v>
      </c>
      <c r="O1653" t="s">
        <v>1008</v>
      </c>
      <c r="P1653" t="s">
        <v>27</v>
      </c>
    </row>
    <row r="1654" spans="1:16" hidden="1" x14ac:dyDescent="0.25">
      <c r="A1654" s="3" t="s">
        <v>122</v>
      </c>
      <c r="B1654" t="s">
        <v>1005</v>
      </c>
      <c r="C1654" t="s">
        <v>1009</v>
      </c>
      <c r="D1654" t="s">
        <v>26</v>
      </c>
      <c r="E1654" t="s">
        <v>31</v>
      </c>
      <c r="F1654">
        <v>2</v>
      </c>
      <c r="G1654" s="3" t="s">
        <v>4</v>
      </c>
      <c r="H1654" s="46" t="s">
        <v>15</v>
      </c>
      <c r="I1654" s="17">
        <v>30000</v>
      </c>
      <c r="J1654" s="17">
        <f>IF(Gastos[[#This Row],[Divisa]]="$", I1654*1, IF(Gastos[[#This Row],[Divisa]]="U$D", I1654*$N$1, IF(Gastos[[#This Row],[Divisa]]="EUR", I1654*$N$2, 0)))</f>
        <v>30000</v>
      </c>
      <c r="K1654" s="54">
        <f>Gastos[[#This Row],[Importe AR$]]/$N$1</f>
        <v>19.23076923076923</v>
      </c>
      <c r="M1654" s="69"/>
      <c r="N1654" s="43" t="str">
        <f>IF(Gastos[[#This Row],[Fecha_Cheque]]&gt;0,WEEKNUM(Gastos[[#This Row],[Fecha_Cheque]]),MID(Gastos[[#This Row],[Semana]],6,2))</f>
        <v>40</v>
      </c>
      <c r="O1654" t="s">
        <v>1010</v>
      </c>
      <c r="P1654" t="s">
        <v>27</v>
      </c>
    </row>
    <row r="1655" spans="1:16" hidden="1" x14ac:dyDescent="0.25">
      <c r="A1655" s="3" t="s">
        <v>619</v>
      </c>
      <c r="B1655" t="s">
        <v>1005</v>
      </c>
      <c r="C1655" t="s">
        <v>1827</v>
      </c>
      <c r="D1655" t="s">
        <v>26</v>
      </c>
      <c r="E1655" t="s">
        <v>42</v>
      </c>
      <c r="F1655">
        <v>2</v>
      </c>
      <c r="G1655" s="3" t="s">
        <v>4</v>
      </c>
      <c r="H1655" s="44" t="s">
        <v>15</v>
      </c>
      <c r="I1655" s="17">
        <v>100000</v>
      </c>
      <c r="J1655" s="17">
        <f>IF(Gastos[[#This Row],[Divisa]]="$", I1655*1, IF(Gastos[[#This Row],[Divisa]]="U$D", I1655*$N$1, IF(Gastos[[#This Row],[Divisa]]="EUR", I1655*$N$2, 0)))</f>
        <v>100000</v>
      </c>
      <c r="K1655" s="54">
        <f>Gastos[[#This Row],[Importe AR$]]/$N$1</f>
        <v>64.102564102564102</v>
      </c>
      <c r="M1655" s="69"/>
      <c r="N1655" s="43" t="str">
        <f>IF(Gastos[[#This Row],[Fecha_Cheque]]&gt;0,WEEKNUM(Gastos[[#This Row],[Fecha_Cheque]]),MID(Gastos[[#This Row],[Semana]],6,2))</f>
        <v>10</v>
      </c>
      <c r="O1655" t="s">
        <v>1828</v>
      </c>
      <c r="P1655" t="s">
        <v>27</v>
      </c>
    </row>
    <row r="1656" spans="1:16" hidden="1" x14ac:dyDescent="0.25">
      <c r="A1656" s="3" t="s">
        <v>2711</v>
      </c>
      <c r="B1656" t="s">
        <v>2860</v>
      </c>
      <c r="C1656" t="s">
        <v>2861</v>
      </c>
      <c r="D1656" t="s">
        <v>26</v>
      </c>
      <c r="E1656" t="s">
        <v>31</v>
      </c>
      <c r="F1656">
        <v>1</v>
      </c>
      <c r="G1656" s="3" t="s">
        <v>5</v>
      </c>
      <c r="H1656" s="44" t="s">
        <v>15</v>
      </c>
      <c r="I1656" s="17">
        <v>301980</v>
      </c>
      <c r="J1656" s="17">
        <f>IF(Gastos[[#This Row],[Divisa]]="$", I1656*1, IF(Gastos[[#This Row],[Divisa]]="U$D", I1656*$N$1, IF(Gastos[[#This Row],[Divisa]]="EUR", I1656*$N$2, 0)))</f>
        <v>301980</v>
      </c>
      <c r="K1656" s="54">
        <f>Gastos[[#This Row],[Importe AR$]]/$N$1</f>
        <v>193.57692307692307</v>
      </c>
      <c r="M1656" s="69"/>
      <c r="N1656" s="43" t="str">
        <f>IF(Gastos[[#This Row],[Fecha_Cheque]]&gt;0,WEEKNUM(Gastos[[#This Row],[Fecha_Cheque]]),MID(Gastos[[#This Row],[Semana]],6,2))</f>
        <v>15</v>
      </c>
      <c r="O1656" t="s">
        <v>2862</v>
      </c>
      <c r="P1656" t="s">
        <v>27</v>
      </c>
    </row>
    <row r="1657" spans="1:16" hidden="1" x14ac:dyDescent="0.25">
      <c r="A1657" s="3" t="s">
        <v>2711</v>
      </c>
      <c r="B1657" t="s">
        <v>2860</v>
      </c>
      <c r="C1657" t="s">
        <v>2861</v>
      </c>
      <c r="D1657" t="s">
        <v>26</v>
      </c>
      <c r="E1657" t="s">
        <v>31</v>
      </c>
      <c r="F1657">
        <v>1</v>
      </c>
      <c r="G1657" s="3" t="s">
        <v>5</v>
      </c>
      <c r="H1657" s="44" t="s">
        <v>15</v>
      </c>
      <c r="I1657" s="17">
        <v>520</v>
      </c>
      <c r="J1657" s="17">
        <f>IF(Gastos[[#This Row],[Divisa]]="$", I1657*1, IF(Gastos[[#This Row],[Divisa]]="U$D", I1657*$N$1, IF(Gastos[[#This Row],[Divisa]]="EUR", I1657*$N$2, 0)))</f>
        <v>520</v>
      </c>
      <c r="K1657" s="54">
        <f>Gastos[[#This Row],[Importe AR$]]/$N$1</f>
        <v>0.33333333333333331</v>
      </c>
      <c r="L1657" t="s">
        <v>340</v>
      </c>
      <c r="M1657" s="69"/>
      <c r="N1657" s="43" t="str">
        <f>IF(Gastos[[#This Row],[Fecha_Cheque]]&gt;0,WEEKNUM(Gastos[[#This Row],[Fecha_Cheque]]),MID(Gastos[[#This Row],[Semana]],6,2))</f>
        <v>15</v>
      </c>
      <c r="O1657" t="s">
        <v>2862</v>
      </c>
      <c r="P1657" t="s">
        <v>27</v>
      </c>
    </row>
    <row r="1658" spans="1:16" hidden="1" x14ac:dyDescent="0.25">
      <c r="A1658" s="3" t="s">
        <v>2740</v>
      </c>
      <c r="B1658" t="s">
        <v>2860</v>
      </c>
      <c r="C1658" t="s">
        <v>2861</v>
      </c>
      <c r="D1658" t="s">
        <v>26</v>
      </c>
      <c r="E1658" t="s">
        <v>31</v>
      </c>
      <c r="F1658">
        <v>1</v>
      </c>
      <c r="G1658" s="3" t="s">
        <v>5</v>
      </c>
      <c r="H1658" s="44" t="s">
        <v>15</v>
      </c>
      <c r="I1658" s="17">
        <v>301980</v>
      </c>
      <c r="J1658" s="17">
        <f>IF(Gastos[[#This Row],[Divisa]]="$", I1658*1, IF(Gastos[[#This Row],[Divisa]]="U$D", I1658*$N$1, IF(Gastos[[#This Row],[Divisa]]="EUR", I1658*$N$2, 0)))</f>
        <v>301980</v>
      </c>
      <c r="K1658" s="54">
        <f>Gastos[[#This Row],[Importe AR$]]/$N$1</f>
        <v>193.57692307692307</v>
      </c>
      <c r="M1658" s="69"/>
      <c r="N1658" s="43" t="str">
        <f>IF(Gastos[[#This Row],[Fecha_Cheque]]&gt;0,WEEKNUM(Gastos[[#This Row],[Fecha_Cheque]]),MID(Gastos[[#This Row],[Semana]],6,2))</f>
        <v>16</v>
      </c>
      <c r="O1658" t="s">
        <v>2862</v>
      </c>
      <c r="P1658" t="s">
        <v>27</v>
      </c>
    </row>
    <row r="1659" spans="1:16" hidden="1" x14ac:dyDescent="0.25">
      <c r="A1659" s="3" t="s">
        <v>2740</v>
      </c>
      <c r="B1659" t="s">
        <v>2860</v>
      </c>
      <c r="C1659" t="s">
        <v>2861</v>
      </c>
      <c r="D1659" t="s">
        <v>26</v>
      </c>
      <c r="E1659" t="s">
        <v>31</v>
      </c>
      <c r="F1659">
        <v>1</v>
      </c>
      <c r="G1659" s="3" t="s">
        <v>5</v>
      </c>
      <c r="H1659" s="44" t="s">
        <v>15</v>
      </c>
      <c r="I1659" s="17">
        <v>520</v>
      </c>
      <c r="J1659" s="17">
        <f>IF(Gastos[[#This Row],[Divisa]]="$", I1659*1, IF(Gastos[[#This Row],[Divisa]]="U$D", I1659*$N$1, IF(Gastos[[#This Row],[Divisa]]="EUR", I1659*$N$2, 0)))</f>
        <v>520</v>
      </c>
      <c r="K1659" s="54">
        <f>Gastos[[#This Row],[Importe AR$]]/$N$1</f>
        <v>0.33333333333333331</v>
      </c>
      <c r="L1659" t="s">
        <v>340</v>
      </c>
      <c r="M1659" s="69"/>
      <c r="N1659" s="43" t="str">
        <f>IF(Gastos[[#This Row],[Fecha_Cheque]]&gt;0,WEEKNUM(Gastos[[#This Row],[Fecha_Cheque]]),MID(Gastos[[#This Row],[Semana]],6,2))</f>
        <v>16</v>
      </c>
      <c r="O1659" t="s">
        <v>2862</v>
      </c>
      <c r="P1659" t="s">
        <v>27</v>
      </c>
    </row>
    <row r="1660" spans="1:16" hidden="1" x14ac:dyDescent="0.25">
      <c r="A1660" s="3" t="s">
        <v>2773</v>
      </c>
      <c r="B1660" t="s">
        <v>2860</v>
      </c>
      <c r="C1660" t="s">
        <v>3222</v>
      </c>
      <c r="D1660" t="s">
        <v>26</v>
      </c>
      <c r="E1660" t="s">
        <v>31</v>
      </c>
      <c r="F1660">
        <v>1</v>
      </c>
      <c r="G1660" s="3" t="s">
        <v>32</v>
      </c>
      <c r="H1660" s="44" t="s">
        <v>15</v>
      </c>
      <c r="I1660" s="17">
        <v>100000</v>
      </c>
      <c r="J1660" s="17">
        <f>IF(Gastos[[#This Row],[Divisa]]="$", I1660*1, IF(Gastos[[#This Row],[Divisa]]="U$D", I1660*$N$1, IF(Gastos[[#This Row],[Divisa]]="EUR", I1660*$N$2, 0)))</f>
        <v>100000</v>
      </c>
      <c r="K1660" s="54">
        <f>Gastos[[#This Row],[Importe AR$]]/$N$1</f>
        <v>64.102564102564102</v>
      </c>
      <c r="M1660" s="69">
        <v>46178</v>
      </c>
      <c r="N1660" s="43">
        <f>IF(Gastos[[#This Row],[Fecha_Cheque]]&gt;0,WEEKNUM(Gastos[[#This Row],[Fecha_Cheque]]),MID(Gastos[[#This Row],[Semana]],6,2))</f>
        <v>23</v>
      </c>
      <c r="O1660" t="s">
        <v>3223</v>
      </c>
      <c r="P1660" t="s">
        <v>27</v>
      </c>
    </row>
    <row r="1661" spans="1:16" hidden="1" x14ac:dyDescent="0.25">
      <c r="A1661" s="3" t="s">
        <v>2773</v>
      </c>
      <c r="B1661" t="s">
        <v>2860</v>
      </c>
      <c r="C1661" t="s">
        <v>3222</v>
      </c>
      <c r="D1661" t="s">
        <v>26</v>
      </c>
      <c r="E1661" t="s">
        <v>31</v>
      </c>
      <c r="F1661">
        <v>1</v>
      </c>
      <c r="G1661" s="3" t="s">
        <v>32</v>
      </c>
      <c r="H1661" s="44" t="s">
        <v>15</v>
      </c>
      <c r="I1661" s="17">
        <v>100000</v>
      </c>
      <c r="J1661" s="17">
        <f>IF(Gastos[[#This Row],[Divisa]]="$", I1661*1, IF(Gastos[[#This Row],[Divisa]]="U$D", I1661*$N$1, IF(Gastos[[#This Row],[Divisa]]="EUR", I1661*$N$2, 0)))</f>
        <v>100000</v>
      </c>
      <c r="K1661" s="54">
        <f>Gastos[[#This Row],[Importe AR$]]/$N$1</f>
        <v>64.102564102564102</v>
      </c>
      <c r="M1661" s="69">
        <v>46199</v>
      </c>
      <c r="N1661" s="43">
        <f>IF(Gastos[[#This Row],[Fecha_Cheque]]&gt;0,WEEKNUM(Gastos[[#This Row],[Fecha_Cheque]]),MID(Gastos[[#This Row],[Semana]],6,2))</f>
        <v>26</v>
      </c>
      <c r="O1661" t="s">
        <v>3223</v>
      </c>
      <c r="P1661" t="s">
        <v>27</v>
      </c>
    </row>
    <row r="1662" spans="1:16" hidden="1" x14ac:dyDescent="0.25">
      <c r="A1662" s="3" t="s">
        <v>2773</v>
      </c>
      <c r="B1662" t="s">
        <v>2860</v>
      </c>
      <c r="C1662" t="s">
        <v>3222</v>
      </c>
      <c r="D1662" t="s">
        <v>26</v>
      </c>
      <c r="E1662" t="s">
        <v>42</v>
      </c>
      <c r="F1662">
        <v>1</v>
      </c>
      <c r="G1662" s="3" t="s">
        <v>4</v>
      </c>
      <c r="H1662" s="44" t="s">
        <v>15</v>
      </c>
      <c r="I1662" s="17">
        <v>102500</v>
      </c>
      <c r="J1662" s="17">
        <f>IF(Gastos[[#This Row],[Divisa]]="$", I1662*1, IF(Gastos[[#This Row],[Divisa]]="U$D", I1662*$N$1, IF(Gastos[[#This Row],[Divisa]]="EUR", I1662*$N$2, 0)))</f>
        <v>102500</v>
      </c>
      <c r="K1662" s="54">
        <f>Gastos[[#This Row],[Importe AR$]]/$N$1</f>
        <v>65.705128205128204</v>
      </c>
      <c r="M1662" s="69"/>
      <c r="N1662" s="43" t="str">
        <f>IF(Gastos[[#This Row],[Fecha_Cheque]]&gt;0,WEEKNUM(Gastos[[#This Row],[Fecha_Cheque]]),MID(Gastos[[#This Row],[Semana]],6,2))</f>
        <v>20</v>
      </c>
      <c r="O1662" t="s">
        <v>3260</v>
      </c>
      <c r="P1662" t="s">
        <v>27</v>
      </c>
    </row>
    <row r="1663" spans="1:16" hidden="1" x14ac:dyDescent="0.25">
      <c r="A1663" s="3" t="s">
        <v>2792</v>
      </c>
      <c r="B1663" t="s">
        <v>2860</v>
      </c>
      <c r="C1663" t="s">
        <v>3329</v>
      </c>
      <c r="D1663" t="s">
        <v>26</v>
      </c>
      <c r="E1663" t="s">
        <v>31</v>
      </c>
      <c r="F1663">
        <v>1</v>
      </c>
      <c r="G1663" s="3" t="s">
        <v>4</v>
      </c>
      <c r="H1663" s="44" t="s">
        <v>15</v>
      </c>
      <c r="I1663" s="17">
        <v>301980</v>
      </c>
      <c r="J1663" s="17">
        <f>IF(Gastos[[#This Row],[Divisa]]="$", I1663*1, IF(Gastos[[#This Row],[Divisa]]="U$D", I1663*$N$1, IF(Gastos[[#This Row],[Divisa]]="EUR", I1663*$N$2, 0)))</f>
        <v>301980</v>
      </c>
      <c r="K1663" s="54">
        <f>Gastos[[#This Row],[Importe AR$]]/$N$1</f>
        <v>193.57692307692307</v>
      </c>
      <c r="M1663" s="69"/>
      <c r="N1663" s="43" t="str">
        <f>IF(Gastos[[#This Row],[Fecha_Cheque]]&gt;0,WEEKNUM(Gastos[[#This Row],[Fecha_Cheque]]),MID(Gastos[[#This Row],[Semana]],6,2))</f>
        <v>21</v>
      </c>
      <c r="O1663" t="s">
        <v>2862</v>
      </c>
      <c r="P1663" t="s">
        <v>27</v>
      </c>
    </row>
    <row r="1664" spans="1:16" hidden="1" x14ac:dyDescent="0.25">
      <c r="A1664" s="3" t="s">
        <v>2792</v>
      </c>
      <c r="B1664" t="s">
        <v>2860</v>
      </c>
      <c r="C1664" t="s">
        <v>3329</v>
      </c>
      <c r="D1664" t="s">
        <v>26</v>
      </c>
      <c r="E1664" t="s">
        <v>31</v>
      </c>
      <c r="F1664">
        <v>1</v>
      </c>
      <c r="G1664" s="3" t="s">
        <v>4</v>
      </c>
      <c r="H1664" s="44" t="s">
        <v>15</v>
      </c>
      <c r="I1664" s="17">
        <v>520</v>
      </c>
      <c r="J1664" s="17">
        <f>IF(Gastos[[#This Row],[Divisa]]="$", I1664*1, IF(Gastos[[#This Row],[Divisa]]="U$D", I1664*$N$1, IF(Gastos[[#This Row],[Divisa]]="EUR", I1664*$N$2, 0)))</f>
        <v>520</v>
      </c>
      <c r="K1664" s="54">
        <f>Gastos[[#This Row],[Importe AR$]]/$N$1</f>
        <v>0.33333333333333331</v>
      </c>
      <c r="L1664" t="s">
        <v>340</v>
      </c>
      <c r="M1664" s="69"/>
      <c r="N1664" s="43" t="str">
        <f>IF(Gastos[[#This Row],[Fecha_Cheque]]&gt;0,WEEKNUM(Gastos[[#This Row],[Fecha_Cheque]]),MID(Gastos[[#This Row],[Semana]],6,2))</f>
        <v>21</v>
      </c>
      <c r="O1664" t="s">
        <v>2862</v>
      </c>
      <c r="P1664" t="s">
        <v>27</v>
      </c>
    </row>
    <row r="1665" spans="1:16" hidden="1" x14ac:dyDescent="0.25">
      <c r="A1665" s="3" t="s">
        <v>53</v>
      </c>
      <c r="B1665" t="s">
        <v>1011</v>
      </c>
      <c r="C1665" t="s">
        <v>1012</v>
      </c>
      <c r="D1665" t="s">
        <v>26</v>
      </c>
      <c r="E1665" t="s">
        <v>31</v>
      </c>
      <c r="F1665">
        <v>1</v>
      </c>
      <c r="G1665" s="3" t="s">
        <v>5</v>
      </c>
      <c r="H1665" s="46" t="s">
        <v>15</v>
      </c>
      <c r="I1665" s="17">
        <v>722700</v>
      </c>
      <c r="J1665" s="17">
        <f>IF(Gastos[[#This Row],[Divisa]]="$", I1665*1, IF(Gastos[[#This Row],[Divisa]]="U$D", I1665*$N$1, IF(Gastos[[#This Row],[Divisa]]="EUR", I1665*$N$2, 0)))</f>
        <v>722700</v>
      </c>
      <c r="K1665" s="54">
        <f>Gastos[[#This Row],[Importe AR$]]/$N$1</f>
        <v>463.26923076923077</v>
      </c>
      <c r="M1665" s="69"/>
      <c r="N1665" s="43" t="str">
        <f>IF(Gastos[[#This Row],[Fecha_Cheque]]&gt;0,WEEKNUM(Gastos[[#This Row],[Fecha_Cheque]]),MID(Gastos[[#This Row],[Semana]],6,2))</f>
        <v>34</v>
      </c>
      <c r="P1665" t="s">
        <v>27</v>
      </c>
    </row>
    <row r="1666" spans="1:16" hidden="1" x14ac:dyDescent="0.25">
      <c r="A1666" s="3" t="s">
        <v>232</v>
      </c>
      <c r="B1666" t="s">
        <v>1011</v>
      </c>
      <c r="C1666" t="s">
        <v>1013</v>
      </c>
      <c r="D1666" t="s">
        <v>26</v>
      </c>
      <c r="E1666" t="s">
        <v>31</v>
      </c>
      <c r="F1666">
        <v>1</v>
      </c>
      <c r="G1666" s="3" t="s">
        <v>5</v>
      </c>
      <c r="H1666" s="46" t="s">
        <v>15</v>
      </c>
      <c r="I1666" s="17">
        <v>724883.09</v>
      </c>
      <c r="J1666" s="17">
        <f>IF(Gastos[[#This Row],[Divisa]]="$", I1666*1, IF(Gastos[[#This Row],[Divisa]]="U$D", I1666*$N$1, IF(Gastos[[#This Row],[Divisa]]="EUR", I1666*$N$2, 0)))</f>
        <v>724883.09</v>
      </c>
      <c r="K1666" s="54">
        <f>Gastos[[#This Row],[Importe AR$]]/$N$1</f>
        <v>464.66864743589741</v>
      </c>
      <c r="M1666" s="69"/>
      <c r="N1666" s="43" t="str">
        <f>IF(Gastos[[#This Row],[Fecha_Cheque]]&gt;0,WEEKNUM(Gastos[[#This Row],[Fecha_Cheque]]),MID(Gastos[[#This Row],[Semana]],6,2))</f>
        <v>44</v>
      </c>
      <c r="O1666" t="s">
        <v>1014</v>
      </c>
      <c r="P1666" t="s">
        <v>27</v>
      </c>
    </row>
    <row r="1667" spans="1:16" hidden="1" x14ac:dyDescent="0.25">
      <c r="A1667" s="3" t="s">
        <v>75</v>
      </c>
      <c r="B1667" t="s">
        <v>1015</v>
      </c>
      <c r="C1667" t="s">
        <v>1016</v>
      </c>
      <c r="D1667" t="s">
        <v>26</v>
      </c>
      <c r="E1667" t="s">
        <v>91</v>
      </c>
      <c r="F1667">
        <v>2</v>
      </c>
      <c r="G1667" s="3" t="s">
        <v>32</v>
      </c>
      <c r="H1667" s="46" t="s">
        <v>15</v>
      </c>
      <c r="I1667" s="17">
        <v>100000</v>
      </c>
      <c r="J1667" s="17">
        <f>IF(Gastos[[#This Row],[Divisa]]="$", I1667*1, IF(Gastos[[#This Row],[Divisa]]="U$D", I1667*$N$1, IF(Gastos[[#This Row],[Divisa]]="EUR", I1667*$N$2, 0)))</f>
        <v>100000</v>
      </c>
      <c r="K1667" s="54">
        <f>Gastos[[#This Row],[Importe AR$]]/$N$1</f>
        <v>64.102564102564102</v>
      </c>
      <c r="M1667" s="69">
        <v>46091</v>
      </c>
      <c r="N1667" s="43">
        <f>IF(Gastos[[#This Row],[Fecha_Cheque]]&gt;0,WEEKNUM(Gastos[[#This Row],[Fecha_Cheque]]),MID(Gastos[[#This Row],[Semana]],6,2))</f>
        <v>11</v>
      </c>
      <c r="O1667" t="s">
        <v>1017</v>
      </c>
      <c r="P1667" t="s">
        <v>27</v>
      </c>
    </row>
    <row r="1668" spans="1:16" hidden="1" x14ac:dyDescent="0.25">
      <c r="A1668" s="3" t="s">
        <v>75</v>
      </c>
      <c r="B1668" t="s">
        <v>1015</v>
      </c>
      <c r="C1668" t="s">
        <v>1016</v>
      </c>
      <c r="D1668" t="s">
        <v>26</v>
      </c>
      <c r="E1668" t="s">
        <v>91</v>
      </c>
      <c r="F1668">
        <v>2</v>
      </c>
      <c r="G1668" s="3" t="s">
        <v>32</v>
      </c>
      <c r="H1668" s="46" t="s">
        <v>15</v>
      </c>
      <c r="I1668" s="17">
        <v>350000</v>
      </c>
      <c r="J1668" s="17">
        <f>IF(Gastos[[#This Row],[Divisa]]="$", I1668*1, IF(Gastos[[#This Row],[Divisa]]="U$D", I1668*$N$1, IF(Gastos[[#This Row],[Divisa]]="EUR", I1668*$N$2, 0)))</f>
        <v>350000</v>
      </c>
      <c r="K1668" s="54">
        <f>Gastos[[#This Row],[Importe AR$]]/$N$1</f>
        <v>224.35897435897436</v>
      </c>
      <c r="M1668" s="69">
        <v>46087</v>
      </c>
      <c r="N1668" s="43">
        <f>IF(Gastos[[#This Row],[Fecha_Cheque]]&gt;0,WEEKNUM(Gastos[[#This Row],[Fecha_Cheque]]),MID(Gastos[[#This Row],[Semana]],6,2))</f>
        <v>10</v>
      </c>
      <c r="O1668" t="s">
        <v>1017</v>
      </c>
      <c r="P1668" t="s">
        <v>27</v>
      </c>
    </row>
    <row r="1669" spans="1:16" hidden="1" x14ac:dyDescent="0.25">
      <c r="A1669" s="3" t="s">
        <v>75</v>
      </c>
      <c r="B1669" t="s">
        <v>1015</v>
      </c>
      <c r="C1669" t="s">
        <v>1016</v>
      </c>
      <c r="D1669" t="s">
        <v>26</v>
      </c>
      <c r="E1669" t="s">
        <v>91</v>
      </c>
      <c r="F1669">
        <v>2</v>
      </c>
      <c r="G1669" s="3" t="s">
        <v>32</v>
      </c>
      <c r="H1669" s="46" t="s">
        <v>15</v>
      </c>
      <c r="I1669" s="17">
        <v>550000</v>
      </c>
      <c r="J1669" s="17">
        <f>IF(Gastos[[#This Row],[Divisa]]="$", I1669*1, IF(Gastos[[#This Row],[Divisa]]="U$D", I1669*$N$1, IF(Gastos[[#This Row],[Divisa]]="EUR", I1669*$N$2, 0)))</f>
        <v>550000</v>
      </c>
      <c r="K1669" s="54">
        <f>Gastos[[#This Row],[Importe AR$]]/$N$1</f>
        <v>352.56410256410254</v>
      </c>
      <c r="M1669" s="69">
        <v>46087</v>
      </c>
      <c r="N1669" s="43">
        <f>IF(Gastos[[#This Row],[Fecha_Cheque]]&gt;0,WEEKNUM(Gastos[[#This Row],[Fecha_Cheque]]),MID(Gastos[[#This Row],[Semana]],6,2))</f>
        <v>10</v>
      </c>
      <c r="O1669" t="s">
        <v>1017</v>
      </c>
      <c r="P1669" t="s">
        <v>27</v>
      </c>
    </row>
    <row r="1670" spans="1:16" hidden="1" x14ac:dyDescent="0.25">
      <c r="A1670" s="3" t="s">
        <v>75</v>
      </c>
      <c r="B1670" t="s">
        <v>1015</v>
      </c>
      <c r="C1670" t="s">
        <v>1016</v>
      </c>
      <c r="D1670" t="s">
        <v>26</v>
      </c>
      <c r="E1670" t="s">
        <v>91</v>
      </c>
      <c r="F1670">
        <v>2</v>
      </c>
      <c r="G1670" s="3" t="s">
        <v>4</v>
      </c>
      <c r="H1670" s="46" t="s">
        <v>15</v>
      </c>
      <c r="I1670" s="17">
        <v>154700</v>
      </c>
      <c r="J1670" s="17">
        <f>IF(Gastos[[#This Row],[Divisa]]="$", I1670*1, IF(Gastos[[#This Row],[Divisa]]="U$D", I1670*$N$1, IF(Gastos[[#This Row],[Divisa]]="EUR", I1670*$N$2, 0)))</f>
        <v>154700</v>
      </c>
      <c r="K1670" s="54">
        <f>Gastos[[#This Row],[Importe AR$]]/$N$1</f>
        <v>99.166666666666671</v>
      </c>
      <c r="M1670" s="69"/>
      <c r="N1670" s="43" t="str">
        <f>IF(Gastos[[#This Row],[Fecha_Cheque]]&gt;0,WEEKNUM(Gastos[[#This Row],[Fecha_Cheque]]),MID(Gastos[[#This Row],[Semana]],6,2))</f>
        <v>07</v>
      </c>
      <c r="O1670" t="s">
        <v>1017</v>
      </c>
      <c r="P1670" t="s">
        <v>27</v>
      </c>
    </row>
    <row r="1671" spans="1:16" x14ac:dyDescent="0.25">
      <c r="A1671" s="3" t="s">
        <v>4655</v>
      </c>
      <c r="B1671" t="s">
        <v>4531</v>
      </c>
      <c r="C1671" t="s">
        <v>4532</v>
      </c>
      <c r="D1671" t="s">
        <v>26</v>
      </c>
      <c r="E1671" t="s">
        <v>62</v>
      </c>
      <c r="F1671">
        <v>1</v>
      </c>
      <c r="G1671" s="3" t="s">
        <v>32</v>
      </c>
      <c r="H1671" s="44" t="s">
        <v>15</v>
      </c>
      <c r="I1671" s="17">
        <v>830000</v>
      </c>
      <c r="J1671" s="17">
        <f>IF(Gastos[[#This Row],[Divisa]]="$", I1671*1, IF(Gastos[[#This Row],[Divisa]]="U$D", I1671*$N$1, IF(Gastos[[#This Row],[Divisa]]="EUR", I1671*$N$2, 0)))</f>
        <v>830000</v>
      </c>
      <c r="K1671" s="54">
        <f>Gastos[[#This Row],[Importe AR$]]/$N$1</f>
        <v>532.0512820512821</v>
      </c>
      <c r="M1671" s="69"/>
      <c r="N1671" s="43" t="str">
        <f>IF(Gastos[[#This Row],[Fecha_Cheque]]&gt;0,WEEKNUM(Gastos[[#This Row],[Fecha_Cheque]]),MID(Gastos[[#This Row],[Semana]],6,2))</f>
        <v>44</v>
      </c>
      <c r="P1671" t="s">
        <v>7</v>
      </c>
    </row>
    <row r="1672" spans="1:16" hidden="1" x14ac:dyDescent="0.25">
      <c r="A1672" s="3" t="s">
        <v>290</v>
      </c>
      <c r="B1672" t="s">
        <v>1019</v>
      </c>
      <c r="C1672" t="s">
        <v>422</v>
      </c>
      <c r="D1672" t="s">
        <v>26</v>
      </c>
      <c r="E1672" t="s">
        <v>91</v>
      </c>
      <c r="F1672">
        <v>1</v>
      </c>
      <c r="G1672" s="3" t="s">
        <v>5</v>
      </c>
      <c r="H1672" s="46" t="s">
        <v>15</v>
      </c>
      <c r="I1672" s="17">
        <v>220296.81</v>
      </c>
      <c r="J1672" s="17">
        <f>IF(Gastos[[#This Row],[Divisa]]="$", I1672*1, IF(Gastos[[#This Row],[Divisa]]="U$D", I1672*$N$1, IF(Gastos[[#This Row],[Divisa]]="EUR", I1672*$N$2, 0)))</f>
        <v>220296.81</v>
      </c>
      <c r="K1672" s="54">
        <f>Gastos[[#This Row],[Importe AR$]]/$N$1</f>
        <v>141.21590384615385</v>
      </c>
      <c r="M1672" s="69"/>
      <c r="N1672" s="43" t="str">
        <f>IF(Gastos[[#This Row],[Fecha_Cheque]]&gt;0,WEEKNUM(Gastos[[#This Row],[Fecha_Cheque]]),MID(Gastos[[#This Row],[Semana]],6,2))</f>
        <v>23</v>
      </c>
      <c r="O1672" t="s">
        <v>732</v>
      </c>
      <c r="P1672" t="s">
        <v>27</v>
      </c>
    </row>
    <row r="1673" spans="1:16" hidden="1" x14ac:dyDescent="0.25">
      <c r="A1673" s="3" t="s">
        <v>114</v>
      </c>
      <c r="B1673" t="s">
        <v>1019</v>
      </c>
      <c r="C1673" t="s">
        <v>693</v>
      </c>
      <c r="D1673" t="s">
        <v>26</v>
      </c>
      <c r="E1673" t="s">
        <v>91</v>
      </c>
      <c r="F1673">
        <v>1</v>
      </c>
      <c r="G1673" s="3" t="s">
        <v>5</v>
      </c>
      <c r="H1673" s="46" t="s">
        <v>15</v>
      </c>
      <c r="I1673" s="17">
        <v>259141.42</v>
      </c>
      <c r="J1673" s="17">
        <f>IF(Gastos[[#This Row],[Divisa]]="$", I1673*1, IF(Gastos[[#This Row],[Divisa]]="U$D", I1673*$N$1, IF(Gastos[[#This Row],[Divisa]]="EUR", I1673*$N$2, 0)))</f>
        <v>259141.42</v>
      </c>
      <c r="K1673" s="54">
        <f>Gastos[[#This Row],[Importe AR$]]/$N$1</f>
        <v>166.11629487179488</v>
      </c>
      <c r="M1673" s="69"/>
      <c r="N1673" s="43" t="str">
        <f>IF(Gastos[[#This Row],[Fecha_Cheque]]&gt;0,WEEKNUM(Gastos[[#This Row],[Fecha_Cheque]]),MID(Gastos[[#This Row],[Semana]],6,2))</f>
        <v>29</v>
      </c>
      <c r="O1673" t="s">
        <v>1020</v>
      </c>
      <c r="P1673" t="s">
        <v>27</v>
      </c>
    </row>
    <row r="1674" spans="1:16" hidden="1" x14ac:dyDescent="0.25">
      <c r="A1674" s="3" t="s">
        <v>53</v>
      </c>
      <c r="B1674" t="s">
        <v>1019</v>
      </c>
      <c r="C1674" t="s">
        <v>1021</v>
      </c>
      <c r="D1674" t="s">
        <v>26</v>
      </c>
      <c r="E1674" t="s">
        <v>91</v>
      </c>
      <c r="F1674">
        <v>1</v>
      </c>
      <c r="G1674" s="3" t="s">
        <v>5</v>
      </c>
      <c r="H1674" s="46" t="s">
        <v>15</v>
      </c>
      <c r="I1674" s="17">
        <v>207827.18</v>
      </c>
      <c r="J1674" s="17">
        <f>IF(Gastos[[#This Row],[Divisa]]="$", I1674*1, IF(Gastos[[#This Row],[Divisa]]="U$D", I1674*$N$1, IF(Gastos[[#This Row],[Divisa]]="EUR", I1674*$N$2, 0)))</f>
        <v>207827.18</v>
      </c>
      <c r="K1674" s="54">
        <f>Gastos[[#This Row],[Importe AR$]]/$N$1</f>
        <v>133.22255128205128</v>
      </c>
      <c r="M1674" s="69"/>
      <c r="N1674" s="43" t="str">
        <f>IF(Gastos[[#This Row],[Fecha_Cheque]]&gt;0,WEEKNUM(Gastos[[#This Row],[Fecha_Cheque]]),MID(Gastos[[#This Row],[Semana]],6,2))</f>
        <v>34</v>
      </c>
      <c r="O1674" t="s">
        <v>123</v>
      </c>
      <c r="P1674" t="s">
        <v>27</v>
      </c>
    </row>
    <row r="1675" spans="1:16" hidden="1" x14ac:dyDescent="0.25">
      <c r="A1675" s="3" t="s">
        <v>53</v>
      </c>
      <c r="B1675" t="s">
        <v>1019</v>
      </c>
      <c r="C1675" t="s">
        <v>1021</v>
      </c>
      <c r="D1675" t="s">
        <v>26</v>
      </c>
      <c r="E1675" t="s">
        <v>91</v>
      </c>
      <c r="F1675">
        <v>1</v>
      </c>
      <c r="G1675" s="3" t="s">
        <v>5</v>
      </c>
      <c r="H1675" s="46" t="s">
        <v>15</v>
      </c>
      <c r="I1675" s="17">
        <v>515139.81</v>
      </c>
      <c r="J1675" s="17">
        <f>IF(Gastos[[#This Row],[Divisa]]="$", I1675*1, IF(Gastos[[#This Row],[Divisa]]="U$D", I1675*$N$1, IF(Gastos[[#This Row],[Divisa]]="EUR", I1675*$N$2, 0)))</f>
        <v>515139.81</v>
      </c>
      <c r="K1675" s="54">
        <f>Gastos[[#This Row],[Importe AR$]]/$N$1</f>
        <v>330.21782692307693</v>
      </c>
      <c r="M1675" s="69"/>
      <c r="N1675" s="43" t="str">
        <f>IF(Gastos[[#This Row],[Fecha_Cheque]]&gt;0,WEEKNUM(Gastos[[#This Row],[Fecha_Cheque]]),MID(Gastos[[#This Row],[Semana]],6,2))</f>
        <v>34</v>
      </c>
      <c r="P1675" t="s">
        <v>27</v>
      </c>
    </row>
    <row r="1676" spans="1:16" hidden="1" x14ac:dyDescent="0.25">
      <c r="A1676" s="3" t="s">
        <v>89</v>
      </c>
      <c r="B1676" t="s">
        <v>1019</v>
      </c>
      <c r="C1676" t="s">
        <v>1021</v>
      </c>
      <c r="D1676" t="s">
        <v>26</v>
      </c>
      <c r="E1676" t="s">
        <v>91</v>
      </c>
      <c r="F1676">
        <v>1</v>
      </c>
      <c r="G1676" s="3" t="s">
        <v>5</v>
      </c>
      <c r="H1676" s="46" t="s">
        <v>15</v>
      </c>
      <c r="I1676" s="17">
        <v>268333.59000000003</v>
      </c>
      <c r="J1676" s="17">
        <f>IF(Gastos[[#This Row],[Divisa]]="$", I1676*1, IF(Gastos[[#This Row],[Divisa]]="U$D", I1676*$N$1, IF(Gastos[[#This Row],[Divisa]]="EUR", I1676*$N$2, 0)))</f>
        <v>268333.59000000003</v>
      </c>
      <c r="K1676" s="54">
        <f>Gastos[[#This Row],[Importe AR$]]/$N$1</f>
        <v>172.00871153846157</v>
      </c>
      <c r="M1676" s="69"/>
      <c r="N1676" s="43" t="str">
        <f>IF(Gastos[[#This Row],[Fecha_Cheque]]&gt;0,WEEKNUM(Gastos[[#This Row],[Fecha_Cheque]]),MID(Gastos[[#This Row],[Semana]],6,2))</f>
        <v>39</v>
      </c>
      <c r="O1676" t="s">
        <v>1022</v>
      </c>
      <c r="P1676" t="s">
        <v>27</v>
      </c>
    </row>
    <row r="1677" spans="1:16" hidden="1" x14ac:dyDescent="0.25">
      <c r="A1677" s="3" t="s">
        <v>56</v>
      </c>
      <c r="B1677" t="s">
        <v>1019</v>
      </c>
      <c r="C1677" t="s">
        <v>1021</v>
      </c>
      <c r="D1677" t="s">
        <v>26</v>
      </c>
      <c r="E1677" t="s">
        <v>91</v>
      </c>
      <c r="F1677">
        <v>1</v>
      </c>
      <c r="G1677" s="3" t="s">
        <v>5</v>
      </c>
      <c r="H1677" s="46" t="s">
        <v>15</v>
      </c>
      <c r="I1677" s="17">
        <v>271425.46000000002</v>
      </c>
      <c r="J1677" s="17">
        <f>IF(Gastos[[#This Row],[Divisa]]="$", I1677*1, IF(Gastos[[#This Row],[Divisa]]="U$D", I1677*$N$1, IF(Gastos[[#This Row],[Divisa]]="EUR", I1677*$N$2, 0)))</f>
        <v>271425.46000000002</v>
      </c>
      <c r="K1677" s="54">
        <f>Gastos[[#This Row],[Importe AR$]]/$N$1</f>
        <v>173.99067948717951</v>
      </c>
      <c r="M1677" s="69"/>
      <c r="N1677" s="43" t="str">
        <f>IF(Gastos[[#This Row],[Fecha_Cheque]]&gt;0,WEEKNUM(Gastos[[#This Row],[Fecha_Cheque]]),MID(Gastos[[#This Row],[Semana]],6,2))</f>
        <v>41</v>
      </c>
      <c r="O1677" t="s">
        <v>1023</v>
      </c>
      <c r="P1677" t="s">
        <v>27</v>
      </c>
    </row>
    <row r="1678" spans="1:16" hidden="1" x14ac:dyDescent="0.25">
      <c r="A1678" s="3" t="s">
        <v>93</v>
      </c>
      <c r="B1678" t="s">
        <v>1019</v>
      </c>
      <c r="D1678" t="s">
        <v>26</v>
      </c>
      <c r="E1678" t="s">
        <v>91</v>
      </c>
      <c r="F1678">
        <v>1</v>
      </c>
      <c r="G1678" s="3" t="s">
        <v>5</v>
      </c>
      <c r="H1678" s="46" t="s">
        <v>15</v>
      </c>
      <c r="I1678" s="17">
        <v>577754.77</v>
      </c>
      <c r="J1678" s="17">
        <f>IF(Gastos[[#This Row],[Divisa]]="$", I1678*1, IF(Gastos[[#This Row],[Divisa]]="U$D", I1678*$N$1, IF(Gastos[[#This Row],[Divisa]]="EUR", I1678*$N$2, 0)))</f>
        <v>577754.77</v>
      </c>
      <c r="K1678" s="54">
        <f>Gastos[[#This Row],[Importe AR$]]/$N$1</f>
        <v>370.35562179487181</v>
      </c>
      <c r="M1678" s="69"/>
      <c r="N1678" s="43" t="str">
        <f>IF(Gastos[[#This Row],[Fecha_Cheque]]&gt;0,WEEKNUM(Gastos[[#This Row],[Fecha_Cheque]]),MID(Gastos[[#This Row],[Semana]],6,2))</f>
        <v>50</v>
      </c>
      <c r="O1678" t="s">
        <v>1024</v>
      </c>
      <c r="P1678" t="s">
        <v>27</v>
      </c>
    </row>
    <row r="1679" spans="1:16" hidden="1" x14ac:dyDescent="0.25">
      <c r="A1679" s="3" t="s">
        <v>75</v>
      </c>
      <c r="B1679" t="s">
        <v>1019</v>
      </c>
      <c r="C1679" t="s">
        <v>639</v>
      </c>
      <c r="D1679" t="s">
        <v>26</v>
      </c>
      <c r="E1679" t="s">
        <v>91</v>
      </c>
      <c r="F1679">
        <v>1</v>
      </c>
      <c r="G1679" s="3" t="s">
        <v>5</v>
      </c>
      <c r="H1679" s="46" t="s">
        <v>15</v>
      </c>
      <c r="I1679" s="17">
        <v>316593.96999999997</v>
      </c>
      <c r="J1679" s="17">
        <f>IF(Gastos[[#This Row],[Divisa]]="$", I1679*1, IF(Gastos[[#This Row],[Divisa]]="U$D", I1679*$N$1, IF(Gastos[[#This Row],[Divisa]]="EUR", I1679*$N$2, 0)))</f>
        <v>316593.96999999997</v>
      </c>
      <c r="K1679" s="54">
        <f>Gastos[[#This Row],[Importe AR$]]/$N$1</f>
        <v>202.94485256410255</v>
      </c>
      <c r="M1679" s="69"/>
      <c r="N1679" s="43" t="str">
        <f>IF(Gastos[[#This Row],[Fecha_Cheque]]&gt;0,WEEKNUM(Gastos[[#This Row],[Fecha_Cheque]]),MID(Gastos[[#This Row],[Semana]],6,2))</f>
        <v>07</v>
      </c>
      <c r="O1679" t="s">
        <v>1025</v>
      </c>
      <c r="P1679" t="s">
        <v>27</v>
      </c>
    </row>
    <row r="1680" spans="1:16" hidden="1" x14ac:dyDescent="0.25">
      <c r="A1680" s="3" t="s">
        <v>2711</v>
      </c>
      <c r="B1680" t="s">
        <v>1019</v>
      </c>
      <c r="C1680" t="s">
        <v>2838</v>
      </c>
      <c r="D1680" t="s">
        <v>26</v>
      </c>
      <c r="E1680" t="s">
        <v>91</v>
      </c>
      <c r="F1680">
        <v>1</v>
      </c>
      <c r="G1680" s="3" t="s">
        <v>5</v>
      </c>
      <c r="H1680" s="44" t="s">
        <v>15</v>
      </c>
      <c r="I1680" s="17">
        <v>310576.8</v>
      </c>
      <c r="J1680" s="17">
        <f>IF(Gastos[[#This Row],[Divisa]]="$", I1680*1, IF(Gastos[[#This Row],[Divisa]]="U$D", I1680*$N$1, IF(Gastos[[#This Row],[Divisa]]="EUR", I1680*$N$2, 0)))</f>
        <v>310576.8</v>
      </c>
      <c r="K1680" s="54">
        <f>Gastos[[#This Row],[Importe AR$]]/$N$1</f>
        <v>199.08769230769229</v>
      </c>
      <c r="M1680" s="69"/>
      <c r="N1680" s="43" t="str">
        <f>IF(Gastos[[#This Row],[Fecha_Cheque]]&gt;0,WEEKNUM(Gastos[[#This Row],[Fecha_Cheque]]),MID(Gastos[[#This Row],[Semana]],6,2))</f>
        <v>15</v>
      </c>
      <c r="O1680" t="s">
        <v>2863</v>
      </c>
      <c r="P1680" t="s">
        <v>27</v>
      </c>
    </row>
    <row r="1681" spans="1:16" hidden="1" x14ac:dyDescent="0.25">
      <c r="A1681" s="3" t="s">
        <v>2711</v>
      </c>
      <c r="B1681" t="s">
        <v>1019</v>
      </c>
      <c r="C1681" t="s">
        <v>2838</v>
      </c>
      <c r="D1681" t="s">
        <v>26</v>
      </c>
      <c r="E1681" t="s">
        <v>91</v>
      </c>
      <c r="F1681">
        <v>1</v>
      </c>
      <c r="G1681" s="3" t="s">
        <v>5</v>
      </c>
      <c r="H1681" s="44" t="s">
        <v>15</v>
      </c>
      <c r="I1681" s="17">
        <v>3853.8</v>
      </c>
      <c r="J1681" s="17">
        <f>IF(Gastos[[#This Row],[Divisa]]="$", I1681*1, IF(Gastos[[#This Row],[Divisa]]="U$D", I1681*$N$1, IF(Gastos[[#This Row],[Divisa]]="EUR", I1681*$N$2, 0)))</f>
        <v>3853.8</v>
      </c>
      <c r="K1681" s="54">
        <f>Gastos[[#This Row],[Importe AR$]]/$N$1</f>
        <v>2.4703846153846154</v>
      </c>
      <c r="L1681" t="s">
        <v>340</v>
      </c>
      <c r="M1681" s="69"/>
      <c r="N1681" s="43" t="str">
        <f>IF(Gastos[[#This Row],[Fecha_Cheque]]&gt;0,WEEKNUM(Gastos[[#This Row],[Fecha_Cheque]]),MID(Gastos[[#This Row],[Semana]],6,2))</f>
        <v>15</v>
      </c>
      <c r="O1681" t="s">
        <v>2863</v>
      </c>
      <c r="P1681" t="s">
        <v>27</v>
      </c>
    </row>
    <row r="1682" spans="1:16" hidden="1" x14ac:dyDescent="0.25">
      <c r="A1682" s="3" t="s">
        <v>2763</v>
      </c>
      <c r="B1682" t="s">
        <v>1019</v>
      </c>
      <c r="C1682" t="s">
        <v>2867</v>
      </c>
      <c r="D1682" t="s">
        <v>26</v>
      </c>
      <c r="E1682" t="s">
        <v>91</v>
      </c>
      <c r="F1682">
        <v>1</v>
      </c>
      <c r="G1682" s="3" t="s">
        <v>5</v>
      </c>
      <c r="H1682" s="44" t="s">
        <v>15</v>
      </c>
      <c r="I1682" s="17">
        <v>619810.19999999995</v>
      </c>
      <c r="J1682" s="17">
        <f>IF(Gastos[[#This Row],[Divisa]]="$", I1682*1, IF(Gastos[[#This Row],[Divisa]]="U$D", I1682*$N$1, IF(Gastos[[#This Row],[Divisa]]="EUR", I1682*$N$2, 0)))</f>
        <v>619810.19999999995</v>
      </c>
      <c r="K1682" s="54">
        <f>Gastos[[#This Row],[Importe AR$]]/$N$1</f>
        <v>397.31423076923073</v>
      </c>
      <c r="M1682" s="69"/>
      <c r="N1682" s="43" t="str">
        <f>IF(Gastos[[#This Row],[Fecha_Cheque]]&gt;0,WEEKNUM(Gastos[[#This Row],[Fecha_Cheque]]),MID(Gastos[[#This Row],[Semana]],6,2))</f>
        <v>23</v>
      </c>
      <c r="O1682" t="s">
        <v>3244</v>
      </c>
      <c r="P1682" t="s">
        <v>27</v>
      </c>
    </row>
    <row r="1683" spans="1:16" hidden="1" x14ac:dyDescent="0.25">
      <c r="A1683" s="3" t="s">
        <v>2763</v>
      </c>
      <c r="B1683" t="s">
        <v>1019</v>
      </c>
      <c r="C1683" t="s">
        <v>2867</v>
      </c>
      <c r="D1683" t="s">
        <v>26</v>
      </c>
      <c r="E1683" t="s">
        <v>91</v>
      </c>
      <c r="F1683">
        <v>1</v>
      </c>
      <c r="G1683" s="3" t="s">
        <v>5</v>
      </c>
      <c r="H1683" s="44" t="s">
        <v>15</v>
      </c>
      <c r="I1683" s="17">
        <v>9051</v>
      </c>
      <c r="J1683" s="17">
        <f>IF(Gastos[[#This Row],[Divisa]]="$", I1683*1, IF(Gastos[[#This Row],[Divisa]]="U$D", I1683*$N$1, IF(Gastos[[#This Row],[Divisa]]="EUR", I1683*$N$2, 0)))</f>
        <v>9051</v>
      </c>
      <c r="K1683" s="54">
        <f>Gastos[[#This Row],[Importe AR$]]/$N$1</f>
        <v>5.8019230769230772</v>
      </c>
      <c r="L1683" t="s">
        <v>340</v>
      </c>
      <c r="M1683" s="69"/>
      <c r="N1683" s="43" t="str">
        <f>IF(Gastos[[#This Row],[Fecha_Cheque]]&gt;0,WEEKNUM(Gastos[[#This Row],[Fecha_Cheque]]),MID(Gastos[[#This Row],[Semana]],6,2))</f>
        <v>23</v>
      </c>
      <c r="O1683" t="s">
        <v>3244</v>
      </c>
      <c r="P1683" t="s">
        <v>27</v>
      </c>
    </row>
    <row r="1684" spans="1:16" x14ac:dyDescent="0.25">
      <c r="A1684" s="3" t="s">
        <v>4655</v>
      </c>
      <c r="B1684" t="s">
        <v>921</v>
      </c>
      <c r="C1684" t="s">
        <v>118</v>
      </c>
      <c r="D1684" t="s">
        <v>26</v>
      </c>
      <c r="E1684" t="s">
        <v>3929</v>
      </c>
      <c r="F1684">
        <v>2</v>
      </c>
      <c r="G1684" s="3" t="s">
        <v>32</v>
      </c>
      <c r="H1684" s="44" t="s">
        <v>2</v>
      </c>
      <c r="I1684" s="17">
        <v>57969.24</v>
      </c>
      <c r="J1684" s="17">
        <f>IF(Gastos[[#This Row],[Divisa]]="$", I1684*1, IF(Gastos[[#This Row],[Divisa]]="U$D", I1684*$N$1, IF(Gastos[[#This Row],[Divisa]]="EUR", I1684*$N$2, 0)))</f>
        <v>90432014.399999991</v>
      </c>
      <c r="K1684" s="54">
        <f>Gastos[[#This Row],[Importe AR$]]/$N$1</f>
        <v>57969.239999999991</v>
      </c>
      <c r="L1684" s="17"/>
      <c r="M1684" s="69"/>
      <c r="N1684" s="43" t="str">
        <f>IF(Gastos[[#This Row],[Fecha_Cheque]]&gt;0,WEEKNUM(Gastos[[#This Row],[Fecha_Cheque]]),MID(Gastos[[#This Row],[Semana]],6,2))</f>
        <v>44</v>
      </c>
    </row>
    <row r="1685" spans="1:16" hidden="1" x14ac:dyDescent="0.25">
      <c r="A1685" s="3" t="s">
        <v>4569</v>
      </c>
      <c r="B1685" t="s">
        <v>1019</v>
      </c>
      <c r="C1685" t="s">
        <v>422</v>
      </c>
      <c r="D1685" t="s">
        <v>26</v>
      </c>
      <c r="E1685" t="s">
        <v>62</v>
      </c>
      <c r="F1685">
        <v>1</v>
      </c>
      <c r="G1685" s="3" t="s">
        <v>5</v>
      </c>
      <c r="H1685" s="44" t="s">
        <v>15</v>
      </c>
      <c r="I1685" s="17">
        <v>964699.08</v>
      </c>
      <c r="J1685" s="17">
        <f>IF(Gastos[[#This Row],[Divisa]]="$", I1685*1, IF(Gastos[[#This Row],[Divisa]]="U$D", I1685*$N$1, IF(Gastos[[#This Row],[Divisa]]="EUR", I1685*$N$2, 0)))</f>
        <v>964699.08</v>
      </c>
      <c r="K1685" s="54">
        <f>Gastos[[#This Row],[Importe AR$]]/$N$1</f>
        <v>618.39684615384613</v>
      </c>
      <c r="M1685" s="69"/>
      <c r="N1685" s="43" t="str">
        <f>IF(Gastos[[#This Row],[Fecha_Cheque]]&gt;0,WEEKNUM(Gastos[[#This Row],[Fecha_Cheque]]),MID(Gastos[[#This Row],[Semana]],6,2))</f>
        <v>43</v>
      </c>
      <c r="O1685" t="s">
        <v>4644</v>
      </c>
      <c r="P1685" t="s">
        <v>27</v>
      </c>
    </row>
    <row r="1686" spans="1:16" hidden="1" x14ac:dyDescent="0.25">
      <c r="A1686" s="3" t="s">
        <v>4569</v>
      </c>
      <c r="B1686" t="s">
        <v>1019</v>
      </c>
      <c r="C1686" t="s">
        <v>422</v>
      </c>
      <c r="D1686" t="s">
        <v>26</v>
      </c>
      <c r="E1686" t="s">
        <v>62</v>
      </c>
      <c r="F1686">
        <v>1</v>
      </c>
      <c r="G1686" s="3" t="s">
        <v>5</v>
      </c>
      <c r="H1686" s="44" t="s">
        <v>15</v>
      </c>
      <c r="I1686" s="17">
        <v>14847.45</v>
      </c>
      <c r="J1686" s="17">
        <f>IF(Gastos[[#This Row],[Divisa]]="$", I1686*1, IF(Gastos[[#This Row],[Divisa]]="U$D", I1686*$N$1, IF(Gastos[[#This Row],[Divisa]]="EUR", I1686*$N$2, 0)))</f>
        <v>14847.45</v>
      </c>
      <c r="K1686" s="54">
        <f>Gastos[[#This Row],[Importe AR$]]/$N$1</f>
        <v>9.5175961538461546</v>
      </c>
      <c r="L1686" t="s">
        <v>340</v>
      </c>
      <c r="M1686" s="69"/>
      <c r="N1686" s="43" t="str">
        <f>IF(Gastos[[#This Row],[Fecha_Cheque]]&gt;0,WEEKNUM(Gastos[[#This Row],[Fecha_Cheque]]),MID(Gastos[[#This Row],[Semana]],6,2))</f>
        <v>43</v>
      </c>
      <c r="O1686" t="s">
        <v>4644</v>
      </c>
      <c r="P1686" t="s">
        <v>27</v>
      </c>
    </row>
    <row r="1687" spans="1:16" hidden="1" x14ac:dyDescent="0.25">
      <c r="A1687" s="3" t="s">
        <v>99</v>
      </c>
      <c r="B1687" t="s">
        <v>1026</v>
      </c>
      <c r="C1687" t="s">
        <v>1027</v>
      </c>
      <c r="D1687" t="s">
        <v>26</v>
      </c>
      <c r="E1687" t="s">
        <v>31</v>
      </c>
      <c r="F1687">
        <v>1</v>
      </c>
      <c r="G1687" s="3" t="s">
        <v>4</v>
      </c>
      <c r="H1687" s="46" t="s">
        <v>15</v>
      </c>
      <c r="I1687" s="17">
        <v>72840</v>
      </c>
      <c r="J1687" s="17">
        <f>IF(Gastos[[#This Row],[Divisa]]="$", I1687*1, IF(Gastos[[#This Row],[Divisa]]="U$D", I1687*$N$1, IF(Gastos[[#This Row],[Divisa]]="EUR", I1687*$N$2, 0)))</f>
        <v>72840</v>
      </c>
      <c r="K1687" s="54">
        <f>Gastos[[#This Row],[Importe AR$]]/$N$1</f>
        <v>46.692307692307693</v>
      </c>
      <c r="M1687" s="69"/>
      <c r="N1687" s="43" t="str">
        <f>IF(Gastos[[#This Row],[Fecha_Cheque]]&gt;0,WEEKNUM(Gastos[[#This Row],[Fecha_Cheque]]),MID(Gastos[[#This Row],[Semana]],6,2))</f>
        <v>28</v>
      </c>
      <c r="O1687" t="s">
        <v>1028</v>
      </c>
      <c r="P1687" t="s">
        <v>27</v>
      </c>
    </row>
    <row r="1688" spans="1:16" hidden="1" x14ac:dyDescent="0.25">
      <c r="A1688" s="3" t="s">
        <v>114</v>
      </c>
      <c r="B1688" t="s">
        <v>1026</v>
      </c>
      <c r="C1688" t="s">
        <v>1029</v>
      </c>
      <c r="D1688" t="s">
        <v>26</v>
      </c>
      <c r="E1688" t="s">
        <v>42</v>
      </c>
      <c r="F1688">
        <v>1</v>
      </c>
      <c r="G1688" s="3" t="s">
        <v>4</v>
      </c>
      <c r="H1688" s="46" t="s">
        <v>15</v>
      </c>
      <c r="I1688" s="17">
        <v>72840</v>
      </c>
      <c r="J1688" s="17">
        <f>IF(Gastos[[#This Row],[Divisa]]="$", I1688*1, IF(Gastos[[#This Row],[Divisa]]="U$D", I1688*$N$1, IF(Gastos[[#This Row],[Divisa]]="EUR", I1688*$N$2, 0)))</f>
        <v>72840</v>
      </c>
      <c r="K1688" s="54">
        <f>Gastos[[#This Row],[Importe AR$]]/$N$1</f>
        <v>46.692307692307693</v>
      </c>
      <c r="M1688" s="69"/>
      <c r="N1688" s="43" t="str">
        <f>IF(Gastos[[#This Row],[Fecha_Cheque]]&gt;0,WEEKNUM(Gastos[[#This Row],[Fecha_Cheque]]),MID(Gastos[[#This Row],[Semana]],6,2))</f>
        <v>29</v>
      </c>
      <c r="O1688" t="s">
        <v>1028</v>
      </c>
      <c r="P1688" t="s">
        <v>27</v>
      </c>
    </row>
    <row r="1689" spans="1:16" hidden="1" x14ac:dyDescent="0.25">
      <c r="A1689" s="3" t="s">
        <v>210</v>
      </c>
      <c r="B1689" t="s">
        <v>1026</v>
      </c>
      <c r="C1689" t="s">
        <v>1030</v>
      </c>
      <c r="D1689" t="s">
        <v>26</v>
      </c>
      <c r="E1689" t="s">
        <v>42</v>
      </c>
      <c r="F1689">
        <v>1</v>
      </c>
      <c r="G1689" s="3" t="s">
        <v>4</v>
      </c>
      <c r="H1689" s="46" t="s">
        <v>15</v>
      </c>
      <c r="I1689" s="17">
        <v>284360</v>
      </c>
      <c r="J1689" s="17">
        <f>IF(Gastos[[#This Row],[Divisa]]="$", I1689*1, IF(Gastos[[#This Row],[Divisa]]="U$D", I1689*$N$1, IF(Gastos[[#This Row],[Divisa]]="EUR", I1689*$N$2, 0)))</f>
        <v>284360</v>
      </c>
      <c r="K1689" s="54">
        <f>Gastos[[#This Row],[Importe AR$]]/$N$1</f>
        <v>182.28205128205127</v>
      </c>
      <c r="M1689" s="69"/>
      <c r="N1689" s="43" t="str">
        <f>IF(Gastos[[#This Row],[Fecha_Cheque]]&gt;0,WEEKNUM(Gastos[[#This Row],[Fecha_Cheque]]),MID(Gastos[[#This Row],[Semana]],6,2))</f>
        <v>37</v>
      </c>
      <c r="O1689" t="s">
        <v>1031</v>
      </c>
      <c r="P1689" t="s">
        <v>27</v>
      </c>
    </row>
    <row r="1690" spans="1:16" hidden="1" x14ac:dyDescent="0.25">
      <c r="A1690" s="3" t="s">
        <v>124</v>
      </c>
      <c r="B1690" t="s">
        <v>1026</v>
      </c>
      <c r="C1690" t="s">
        <v>1032</v>
      </c>
      <c r="D1690" t="s">
        <v>26</v>
      </c>
      <c r="E1690" t="s">
        <v>42</v>
      </c>
      <c r="F1690">
        <v>1</v>
      </c>
      <c r="G1690" s="3" t="s">
        <v>4</v>
      </c>
      <c r="H1690" s="46" t="s">
        <v>15</v>
      </c>
      <c r="I1690" s="17">
        <v>201140</v>
      </c>
      <c r="J1690" s="17">
        <f>IF(Gastos[[#This Row],[Divisa]]="$", I1690*1, IF(Gastos[[#This Row],[Divisa]]="U$D", I1690*$N$1, IF(Gastos[[#This Row],[Divisa]]="EUR", I1690*$N$2, 0)))</f>
        <v>201140</v>
      </c>
      <c r="K1690" s="54">
        <f>Gastos[[#This Row],[Importe AR$]]/$N$1</f>
        <v>128.93589743589743</v>
      </c>
      <c r="M1690" s="69"/>
      <c r="N1690" s="43" t="str">
        <f>IF(Gastos[[#This Row],[Fecha_Cheque]]&gt;0,WEEKNUM(Gastos[[#This Row],[Fecha_Cheque]]),MID(Gastos[[#This Row],[Semana]],6,2))</f>
        <v>42</v>
      </c>
      <c r="O1690" t="s">
        <v>1033</v>
      </c>
      <c r="P1690" t="s">
        <v>27</v>
      </c>
    </row>
    <row r="1691" spans="1:16" hidden="1" x14ac:dyDescent="0.25">
      <c r="A1691" s="3" t="s">
        <v>81</v>
      </c>
      <c r="B1691" t="s">
        <v>1026</v>
      </c>
      <c r="C1691" t="s">
        <v>1034</v>
      </c>
      <c r="D1691" t="s">
        <v>26</v>
      </c>
      <c r="E1691" t="s">
        <v>42</v>
      </c>
      <c r="F1691">
        <v>1</v>
      </c>
      <c r="G1691" s="3" t="s">
        <v>4</v>
      </c>
      <c r="H1691" s="46" t="s">
        <v>15</v>
      </c>
      <c r="I1691" s="17">
        <v>155750</v>
      </c>
      <c r="J1691" s="17">
        <f>IF(Gastos[[#This Row],[Divisa]]="$", I1691*1, IF(Gastos[[#This Row],[Divisa]]="U$D", I1691*$N$1, IF(Gastos[[#This Row],[Divisa]]="EUR", I1691*$N$2, 0)))</f>
        <v>155750</v>
      </c>
      <c r="K1691" s="54">
        <f>Gastos[[#This Row],[Importe AR$]]/$N$1</f>
        <v>99.839743589743591</v>
      </c>
      <c r="M1691" s="69"/>
      <c r="N1691" s="43" t="str">
        <f>IF(Gastos[[#This Row],[Fecha_Cheque]]&gt;0,WEEKNUM(Gastos[[#This Row],[Fecha_Cheque]]),MID(Gastos[[#This Row],[Semana]],6,2))</f>
        <v>49</v>
      </c>
      <c r="O1691" t="s">
        <v>1035</v>
      </c>
      <c r="P1691" t="s">
        <v>27</v>
      </c>
    </row>
    <row r="1692" spans="1:16" hidden="1" x14ac:dyDescent="0.25">
      <c r="A1692" s="3" t="s">
        <v>81</v>
      </c>
      <c r="B1692" t="s">
        <v>1026</v>
      </c>
      <c r="C1692" t="s">
        <v>1034</v>
      </c>
      <c r="D1692" t="s">
        <v>26</v>
      </c>
      <c r="E1692" t="s">
        <v>42</v>
      </c>
      <c r="F1692">
        <v>1</v>
      </c>
      <c r="G1692" s="3" t="s">
        <v>4</v>
      </c>
      <c r="H1692" s="46" t="s">
        <v>15</v>
      </c>
      <c r="I1692" s="17">
        <v>241950</v>
      </c>
      <c r="J1692" s="17">
        <f>IF(Gastos[[#This Row],[Divisa]]="$", I1692*1, IF(Gastos[[#This Row],[Divisa]]="U$D", I1692*$N$1, IF(Gastos[[#This Row],[Divisa]]="EUR", I1692*$N$2, 0)))</f>
        <v>241950</v>
      </c>
      <c r="K1692" s="54">
        <f>Gastos[[#This Row],[Importe AR$]]/$N$1</f>
        <v>155.09615384615384</v>
      </c>
      <c r="M1692" s="69"/>
      <c r="N1692" s="43" t="str">
        <f>IF(Gastos[[#This Row],[Fecha_Cheque]]&gt;0,WEEKNUM(Gastos[[#This Row],[Fecha_Cheque]]),MID(Gastos[[#This Row],[Semana]],6,2))</f>
        <v>49</v>
      </c>
      <c r="O1692" t="s">
        <v>1036</v>
      </c>
      <c r="P1692" t="s">
        <v>27</v>
      </c>
    </row>
    <row r="1693" spans="1:16" hidden="1" x14ac:dyDescent="0.25">
      <c r="A1693" s="3" t="s">
        <v>81</v>
      </c>
      <c r="B1693" t="s">
        <v>1026</v>
      </c>
      <c r="C1693" t="s">
        <v>1034</v>
      </c>
      <c r="D1693" t="s">
        <v>26</v>
      </c>
      <c r="E1693" t="s">
        <v>42</v>
      </c>
      <c r="F1693">
        <v>1</v>
      </c>
      <c r="G1693" s="3" t="s">
        <v>4</v>
      </c>
      <c r="H1693" s="46" t="s">
        <v>15</v>
      </c>
      <c r="I1693" s="17">
        <v>13050</v>
      </c>
      <c r="J1693" s="17">
        <f>IF(Gastos[[#This Row],[Divisa]]="$", I1693*1, IF(Gastos[[#This Row],[Divisa]]="U$D", I1693*$N$1, IF(Gastos[[#This Row],[Divisa]]="EUR", I1693*$N$2, 0)))</f>
        <v>13050</v>
      </c>
      <c r="K1693" s="54">
        <f>Gastos[[#This Row],[Importe AR$]]/$N$1</f>
        <v>8.365384615384615</v>
      </c>
      <c r="M1693" s="69"/>
      <c r="N1693" s="43" t="str">
        <f>IF(Gastos[[#This Row],[Fecha_Cheque]]&gt;0,WEEKNUM(Gastos[[#This Row],[Fecha_Cheque]]),MID(Gastos[[#This Row],[Semana]],6,2))</f>
        <v>49</v>
      </c>
      <c r="O1693" t="s">
        <v>1037</v>
      </c>
      <c r="P1693" t="s">
        <v>27</v>
      </c>
    </row>
    <row r="1694" spans="1:16" hidden="1" x14ac:dyDescent="0.25">
      <c r="A1694" s="3" t="s">
        <v>378</v>
      </c>
      <c r="B1694" t="s">
        <v>1026</v>
      </c>
      <c r="C1694" t="s">
        <v>1038</v>
      </c>
      <c r="D1694" t="s">
        <v>26</v>
      </c>
      <c r="E1694" t="s">
        <v>42</v>
      </c>
      <c r="F1694">
        <v>1</v>
      </c>
      <c r="G1694" s="3" t="s">
        <v>4</v>
      </c>
      <c r="H1694" s="46" t="s">
        <v>15</v>
      </c>
      <c r="I1694" s="17">
        <v>134480</v>
      </c>
      <c r="J1694" s="17">
        <f>IF(Gastos[[#This Row],[Divisa]]="$", I1694*1, IF(Gastos[[#This Row],[Divisa]]="U$D", I1694*$N$1, IF(Gastos[[#This Row],[Divisa]]="EUR", I1694*$N$2, 0)))</f>
        <v>134480</v>
      </c>
      <c r="K1694" s="54">
        <f>Gastos[[#This Row],[Importe AR$]]/$N$1</f>
        <v>86.205128205128204</v>
      </c>
      <c r="M1694" s="69"/>
      <c r="N1694" s="43" t="str">
        <f>IF(Gastos[[#This Row],[Fecha_Cheque]]&gt;0,WEEKNUM(Gastos[[#This Row],[Fecha_Cheque]]),MID(Gastos[[#This Row],[Semana]],6,2))</f>
        <v>03</v>
      </c>
      <c r="O1694" t="s">
        <v>1039</v>
      </c>
      <c r="P1694" t="s">
        <v>27</v>
      </c>
    </row>
    <row r="1695" spans="1:16" hidden="1" x14ac:dyDescent="0.25">
      <c r="A1695" s="3" t="s">
        <v>378</v>
      </c>
      <c r="B1695" t="s">
        <v>1026</v>
      </c>
      <c r="C1695" t="s">
        <v>1040</v>
      </c>
      <c r="D1695" t="s">
        <v>26</v>
      </c>
      <c r="E1695" t="s">
        <v>31</v>
      </c>
      <c r="F1695">
        <v>1</v>
      </c>
      <c r="G1695" s="3" t="s">
        <v>32</v>
      </c>
      <c r="H1695" s="46" t="s">
        <v>15</v>
      </c>
      <c r="I1695" s="17">
        <v>440000</v>
      </c>
      <c r="J1695" s="17">
        <f>IF(Gastos[[#This Row],[Divisa]]="$", I1695*1, IF(Gastos[[#This Row],[Divisa]]="U$D", I1695*$N$1, IF(Gastos[[#This Row],[Divisa]]="EUR", I1695*$N$2, 0)))</f>
        <v>440000</v>
      </c>
      <c r="K1695" s="54">
        <f>Gastos[[#This Row],[Importe AR$]]/$N$1</f>
        <v>282.05128205128204</v>
      </c>
      <c r="M1695" s="69">
        <v>46047</v>
      </c>
      <c r="N1695" s="43">
        <f>IF(Gastos[[#This Row],[Fecha_Cheque]]&gt;0,WEEKNUM(Gastos[[#This Row],[Fecha_Cheque]]),MID(Gastos[[#This Row],[Semana]],6,2))</f>
        <v>5</v>
      </c>
      <c r="O1695" t="s">
        <v>1041</v>
      </c>
      <c r="P1695" t="s">
        <v>27</v>
      </c>
    </row>
    <row r="1696" spans="1:16" hidden="1" x14ac:dyDescent="0.25">
      <c r="A1696" s="3" t="s">
        <v>206</v>
      </c>
      <c r="B1696" t="s">
        <v>1026</v>
      </c>
      <c r="C1696" t="s">
        <v>1042</v>
      </c>
      <c r="D1696" t="s">
        <v>26</v>
      </c>
      <c r="E1696" t="s">
        <v>42</v>
      </c>
      <c r="F1696">
        <v>1</v>
      </c>
      <c r="G1696" s="3" t="s">
        <v>4</v>
      </c>
      <c r="H1696" s="46" t="s">
        <v>15</v>
      </c>
      <c r="I1696" s="17">
        <f>24880+248298</f>
        <v>273178</v>
      </c>
      <c r="J1696" s="17">
        <f>IF(Gastos[[#This Row],[Divisa]]="$", I1696*1, IF(Gastos[[#This Row],[Divisa]]="U$D", I1696*$N$1, IF(Gastos[[#This Row],[Divisa]]="EUR", I1696*$N$2, 0)))</f>
        <v>273178</v>
      </c>
      <c r="K1696" s="54">
        <f>Gastos[[#This Row],[Importe AR$]]/$N$1</f>
        <v>175.11410256410255</v>
      </c>
      <c r="M1696" s="69"/>
      <c r="N1696" s="43" t="str">
        <f>IF(Gastos[[#This Row],[Fecha_Cheque]]&gt;0,WEEKNUM(Gastos[[#This Row],[Fecha_Cheque]]),MID(Gastos[[#This Row],[Semana]],6,2))</f>
        <v>06</v>
      </c>
      <c r="O1696" t="s">
        <v>1043</v>
      </c>
      <c r="P1696" t="s">
        <v>27</v>
      </c>
    </row>
    <row r="1697" spans="1:16" hidden="1" x14ac:dyDescent="0.25">
      <c r="A1697" s="3" t="s">
        <v>130</v>
      </c>
      <c r="B1697" t="s">
        <v>1026</v>
      </c>
      <c r="C1697" t="s">
        <v>1046</v>
      </c>
      <c r="D1697" t="s">
        <v>26</v>
      </c>
      <c r="E1697" t="s">
        <v>31</v>
      </c>
      <c r="F1697">
        <v>1</v>
      </c>
      <c r="G1697" s="3" t="s">
        <v>4</v>
      </c>
      <c r="H1697" s="46" t="s">
        <v>15</v>
      </c>
      <c r="I1697" s="17">
        <v>207201</v>
      </c>
      <c r="J1697" s="17">
        <f>IF(Gastos[[#This Row],[Divisa]]="$", I1697*1, IF(Gastos[[#This Row],[Divisa]]="U$D", I1697*$N$1, IF(Gastos[[#This Row],[Divisa]]="EUR", I1697*$N$2, 0)))</f>
        <v>207201</v>
      </c>
      <c r="K1697" s="54">
        <f>Gastos[[#This Row],[Importe AR$]]/$N$1</f>
        <v>132.82115384615383</v>
      </c>
      <c r="M1697" s="69"/>
      <c r="N1697" s="43" t="str">
        <f>IF(Gastos[[#This Row],[Fecha_Cheque]]&gt;0,WEEKNUM(Gastos[[#This Row],[Fecha_Cheque]]),MID(Gastos[[#This Row],[Semana]],6,2))</f>
        <v>45</v>
      </c>
      <c r="O1697" t="s">
        <v>1047</v>
      </c>
      <c r="P1697" t="s">
        <v>27</v>
      </c>
    </row>
    <row r="1698" spans="1:16" hidden="1" x14ac:dyDescent="0.25">
      <c r="A1698" s="3" t="s">
        <v>397</v>
      </c>
      <c r="B1698" t="s">
        <v>1026</v>
      </c>
      <c r="C1698" t="s">
        <v>1042</v>
      </c>
      <c r="D1698" t="s">
        <v>26</v>
      </c>
      <c r="E1698" t="s">
        <v>42</v>
      </c>
      <c r="F1698">
        <v>1</v>
      </c>
      <c r="G1698" s="3" t="s">
        <v>5</v>
      </c>
      <c r="H1698" s="46" t="s">
        <v>15</v>
      </c>
      <c r="I1698" s="17">
        <v>309530</v>
      </c>
      <c r="J1698" s="17">
        <f>IF(Gastos[[#This Row],[Divisa]]="$", I1698*1, IF(Gastos[[#This Row],[Divisa]]="U$D", I1698*$N$1, IF(Gastos[[#This Row],[Divisa]]="EUR", I1698*$N$2, 0)))</f>
        <v>309530</v>
      </c>
      <c r="K1698" s="54">
        <f>Gastos[[#This Row],[Importe AR$]]/$N$1</f>
        <v>198.41666666666666</v>
      </c>
      <c r="M1698" s="69"/>
      <c r="N1698" s="43" t="str">
        <f>IF(Gastos[[#This Row],[Fecha_Cheque]]&gt;0,WEEKNUM(Gastos[[#This Row],[Fecha_Cheque]]),MID(Gastos[[#This Row],[Semana]],6,2))</f>
        <v>11</v>
      </c>
      <c r="O1698" t="s">
        <v>1932</v>
      </c>
      <c r="P1698" t="s">
        <v>27</v>
      </c>
    </row>
    <row r="1699" spans="1:16" hidden="1" x14ac:dyDescent="0.25">
      <c r="A1699" s="3" t="s">
        <v>2711</v>
      </c>
      <c r="B1699" t="s">
        <v>1026</v>
      </c>
      <c r="C1699" t="s">
        <v>1029</v>
      </c>
      <c r="D1699" t="s">
        <v>26</v>
      </c>
      <c r="E1699" t="s">
        <v>42</v>
      </c>
      <c r="F1699">
        <v>1</v>
      </c>
      <c r="G1699" s="3" t="s">
        <v>4</v>
      </c>
      <c r="H1699" s="44" t="s">
        <v>15</v>
      </c>
      <c r="I1699" s="17">
        <v>133290</v>
      </c>
      <c r="J1699" s="17">
        <f>IF(Gastos[[#This Row],[Divisa]]="$", I1699*1, IF(Gastos[[#This Row],[Divisa]]="U$D", I1699*$N$1, IF(Gastos[[#This Row],[Divisa]]="EUR", I1699*$N$2, 0)))</f>
        <v>133290</v>
      </c>
      <c r="K1699" s="54">
        <f>Gastos[[#This Row],[Importe AR$]]/$N$1</f>
        <v>85.442307692307693</v>
      </c>
      <c r="M1699" s="69"/>
      <c r="N1699" s="43" t="str">
        <f>IF(Gastos[[#This Row],[Fecha_Cheque]]&gt;0,WEEKNUM(Gastos[[#This Row],[Fecha_Cheque]]),MID(Gastos[[#This Row],[Semana]],6,2))</f>
        <v>15</v>
      </c>
      <c r="O1699" t="s">
        <v>2866</v>
      </c>
      <c r="P1699" t="s">
        <v>27</v>
      </c>
    </row>
    <row r="1700" spans="1:16" hidden="1" x14ac:dyDescent="0.25">
      <c r="A1700" s="3" t="s">
        <v>2731</v>
      </c>
      <c r="B1700" t="s">
        <v>1026</v>
      </c>
      <c r="C1700" t="s">
        <v>1029</v>
      </c>
      <c r="D1700" t="s">
        <v>26</v>
      </c>
      <c r="E1700" t="s">
        <v>42</v>
      </c>
      <c r="F1700">
        <v>1</v>
      </c>
      <c r="G1700" s="3" t="s">
        <v>4</v>
      </c>
      <c r="H1700" s="44" t="s">
        <v>15</v>
      </c>
      <c r="I1700" s="17">
        <v>48819</v>
      </c>
      <c r="J1700" s="17">
        <f>IF(Gastos[[#This Row],[Divisa]]="$", I1700*1, IF(Gastos[[#This Row],[Divisa]]="U$D", I1700*$N$1, IF(Gastos[[#This Row],[Divisa]]="EUR", I1700*$N$2, 0)))</f>
        <v>48819</v>
      </c>
      <c r="K1700" s="54">
        <f>Gastos[[#This Row],[Importe AR$]]/$N$1</f>
        <v>31.294230769230769</v>
      </c>
      <c r="M1700" s="69"/>
      <c r="N1700" s="43" t="str">
        <f>IF(Gastos[[#This Row],[Fecha_Cheque]]&gt;0,WEEKNUM(Gastos[[#This Row],[Fecha_Cheque]]),MID(Gastos[[#This Row],[Semana]],6,2))</f>
        <v>17</v>
      </c>
      <c r="O1700" t="s">
        <v>2918</v>
      </c>
      <c r="P1700" t="s">
        <v>27</v>
      </c>
    </row>
    <row r="1701" spans="1:16" hidden="1" x14ac:dyDescent="0.25">
      <c r="A1701" s="3" t="s">
        <v>2731</v>
      </c>
      <c r="B1701" t="s">
        <v>1026</v>
      </c>
      <c r="C1701" t="s">
        <v>1029</v>
      </c>
      <c r="D1701" t="s">
        <v>26</v>
      </c>
      <c r="E1701" t="s">
        <v>42</v>
      </c>
      <c r="F1701">
        <v>1</v>
      </c>
      <c r="G1701" s="3" t="s">
        <v>4</v>
      </c>
      <c r="H1701" s="44" t="s">
        <v>15</v>
      </c>
      <c r="I1701" s="17">
        <v>169300</v>
      </c>
      <c r="J1701" s="17">
        <f>IF(Gastos[[#This Row],[Divisa]]="$", I1701*1, IF(Gastos[[#This Row],[Divisa]]="U$D", I1701*$N$1, IF(Gastos[[#This Row],[Divisa]]="EUR", I1701*$N$2, 0)))</f>
        <v>169300</v>
      </c>
      <c r="K1701" s="54">
        <f>Gastos[[#This Row],[Importe AR$]]/$N$1</f>
        <v>108.52564102564102</v>
      </c>
      <c r="M1701" s="69"/>
      <c r="N1701" s="43" t="str">
        <f>IF(Gastos[[#This Row],[Fecha_Cheque]]&gt;0,WEEKNUM(Gastos[[#This Row],[Fecha_Cheque]]),MID(Gastos[[#This Row],[Semana]],6,2))</f>
        <v>17</v>
      </c>
      <c r="O1701" t="s">
        <v>2919</v>
      </c>
      <c r="P1701" t="s">
        <v>27</v>
      </c>
    </row>
    <row r="1702" spans="1:16" hidden="1" x14ac:dyDescent="0.25">
      <c r="A1702" s="3" t="s">
        <v>2751</v>
      </c>
      <c r="B1702" t="s">
        <v>1026</v>
      </c>
      <c r="C1702" t="s">
        <v>1029</v>
      </c>
      <c r="D1702" t="s">
        <v>26</v>
      </c>
      <c r="E1702" t="s">
        <v>42</v>
      </c>
      <c r="F1702">
        <v>1</v>
      </c>
      <c r="G1702" s="3" t="s">
        <v>4</v>
      </c>
      <c r="H1702" s="44" t="s">
        <v>15</v>
      </c>
      <c r="I1702" s="17">
        <v>25060</v>
      </c>
      <c r="J1702" s="17">
        <f>IF(Gastos[[#This Row],[Divisa]]="$", I1702*1, IF(Gastos[[#This Row],[Divisa]]="U$D", I1702*$N$1, IF(Gastos[[#This Row],[Divisa]]="EUR", I1702*$N$2, 0)))</f>
        <v>25060</v>
      </c>
      <c r="K1702" s="54">
        <f>Gastos[[#This Row],[Importe AR$]]/$N$1</f>
        <v>16.064102564102566</v>
      </c>
      <c r="M1702" s="69"/>
      <c r="N1702" s="43" t="str">
        <f>IF(Gastos[[#This Row],[Fecha_Cheque]]&gt;0,WEEKNUM(Gastos[[#This Row],[Fecha_Cheque]]),MID(Gastos[[#This Row],[Semana]],6,2))</f>
        <v>18</v>
      </c>
      <c r="O1702" t="s">
        <v>2983</v>
      </c>
      <c r="P1702" t="s">
        <v>27</v>
      </c>
    </row>
    <row r="1703" spans="1:16" hidden="1" x14ac:dyDescent="0.25">
      <c r="A1703" s="3" t="s">
        <v>2841</v>
      </c>
      <c r="B1703" t="s">
        <v>1026</v>
      </c>
      <c r="C1703" t="s">
        <v>3362</v>
      </c>
      <c r="D1703" t="s">
        <v>26</v>
      </c>
      <c r="E1703" t="s">
        <v>31</v>
      </c>
      <c r="F1703">
        <v>1</v>
      </c>
      <c r="G1703" s="3" t="s">
        <v>32</v>
      </c>
      <c r="H1703" s="44" t="s">
        <v>15</v>
      </c>
      <c r="I1703" s="17">
        <v>444829.19</v>
      </c>
      <c r="J1703" s="17">
        <f>IF(Gastos[[#This Row],[Divisa]]="$", I1703*1, IF(Gastos[[#This Row],[Divisa]]="U$D", I1703*$N$1, IF(Gastos[[#This Row],[Divisa]]="EUR", I1703*$N$2, 0)))</f>
        <v>444829.19</v>
      </c>
      <c r="K1703" s="54">
        <f>Gastos[[#This Row],[Importe AR$]]/$N$1</f>
        <v>285.14691666666664</v>
      </c>
      <c r="M1703" s="69"/>
      <c r="N1703" s="43" t="str">
        <f>IF(Gastos[[#This Row],[Fecha_Cheque]]&gt;0,WEEKNUM(Gastos[[#This Row],[Fecha_Cheque]]),MID(Gastos[[#This Row],[Semana]],6,2))</f>
        <v>22</v>
      </c>
      <c r="O1703" t="s">
        <v>3363</v>
      </c>
      <c r="P1703" t="s">
        <v>27</v>
      </c>
    </row>
    <row r="1704" spans="1:16" hidden="1" x14ac:dyDescent="0.25">
      <c r="A1704" s="3" t="s">
        <v>2841</v>
      </c>
      <c r="B1704" t="s">
        <v>1026</v>
      </c>
      <c r="C1704" t="s">
        <v>3362</v>
      </c>
      <c r="D1704" t="s">
        <v>26</v>
      </c>
      <c r="E1704" t="s">
        <v>31</v>
      </c>
      <c r="F1704">
        <v>1</v>
      </c>
      <c r="G1704" s="3" t="s">
        <v>32</v>
      </c>
      <c r="H1704" s="44" t="s">
        <v>15</v>
      </c>
      <c r="I1704" s="17">
        <v>2920.83</v>
      </c>
      <c r="J1704" s="17">
        <f>IF(Gastos[[#This Row],[Divisa]]="$", I1704*1, IF(Gastos[[#This Row],[Divisa]]="U$D", I1704*$N$1, IF(Gastos[[#This Row],[Divisa]]="EUR", I1704*$N$2, 0)))</f>
        <v>2920.83</v>
      </c>
      <c r="K1704" s="54">
        <f>Gastos[[#This Row],[Importe AR$]]/$N$1</f>
        <v>1.8723269230769231</v>
      </c>
      <c r="L1704" t="s">
        <v>340</v>
      </c>
      <c r="M1704" s="69"/>
      <c r="N1704" s="43" t="str">
        <f>IF(Gastos[[#This Row],[Fecha_Cheque]]&gt;0,WEEKNUM(Gastos[[#This Row],[Fecha_Cheque]]),MID(Gastos[[#This Row],[Semana]],6,2))</f>
        <v>22</v>
      </c>
      <c r="O1704" t="s">
        <v>3363</v>
      </c>
      <c r="P1704" t="s">
        <v>27</v>
      </c>
    </row>
    <row r="1705" spans="1:16" hidden="1" x14ac:dyDescent="0.25">
      <c r="A1705" s="3" t="s">
        <v>3567</v>
      </c>
      <c r="B1705" t="s">
        <v>1026</v>
      </c>
      <c r="C1705" t="s">
        <v>3591</v>
      </c>
      <c r="D1705" t="s">
        <v>26</v>
      </c>
      <c r="E1705" t="s">
        <v>31</v>
      </c>
      <c r="F1705">
        <v>1</v>
      </c>
      <c r="G1705" s="3" t="s">
        <v>32</v>
      </c>
      <c r="H1705" s="44" t="s">
        <v>15</v>
      </c>
      <c r="I1705" s="17">
        <v>356090.58</v>
      </c>
      <c r="J1705" s="17">
        <f>IF(Gastos[[#This Row],[Divisa]]="$", I1705*1, IF(Gastos[[#This Row],[Divisa]]="U$D", I1705*$N$1, IF(Gastos[[#This Row],[Divisa]]="EUR", I1705*$N$2, 0)))</f>
        <v>356090.58</v>
      </c>
      <c r="K1705" s="54">
        <f>Gastos[[#This Row],[Importe AR$]]/$N$1</f>
        <v>228.26319230769232</v>
      </c>
      <c r="M1705" s="69"/>
      <c r="N1705" s="43" t="str">
        <f>IF(Gastos[[#This Row],[Fecha_Cheque]]&gt;0,WEEKNUM(Gastos[[#This Row],[Fecha_Cheque]]),MID(Gastos[[#This Row],[Semana]],6,2))</f>
        <v>26</v>
      </c>
      <c r="O1705" t="s">
        <v>3592</v>
      </c>
      <c r="P1705" t="s">
        <v>27</v>
      </c>
    </row>
    <row r="1706" spans="1:16" hidden="1" x14ac:dyDescent="0.25">
      <c r="A1706" s="3" t="s">
        <v>3567</v>
      </c>
      <c r="B1706" t="s">
        <v>1026</v>
      </c>
      <c r="C1706" t="s">
        <v>3591</v>
      </c>
      <c r="D1706" t="s">
        <v>26</v>
      </c>
      <c r="E1706" t="s">
        <v>31</v>
      </c>
      <c r="F1706">
        <v>1</v>
      </c>
      <c r="G1706" s="3" t="s">
        <v>32</v>
      </c>
      <c r="H1706" s="44" t="s">
        <v>15</v>
      </c>
      <c r="I1706" s="17">
        <v>1429.42</v>
      </c>
      <c r="J1706" s="17">
        <f>IF(Gastos[[#This Row],[Divisa]]="$", I1706*1, IF(Gastos[[#This Row],[Divisa]]="U$D", I1706*$N$1, IF(Gastos[[#This Row],[Divisa]]="EUR", I1706*$N$2, 0)))</f>
        <v>1429.42</v>
      </c>
      <c r="K1706" s="54">
        <f>Gastos[[#This Row],[Importe AR$]]/$N$1</f>
        <v>0.91629487179487179</v>
      </c>
      <c r="L1706" t="s">
        <v>340</v>
      </c>
      <c r="M1706" s="69"/>
      <c r="N1706" s="43" t="str">
        <f>IF(Gastos[[#This Row],[Fecha_Cheque]]&gt;0,WEEKNUM(Gastos[[#This Row],[Fecha_Cheque]]),MID(Gastos[[#This Row],[Semana]],6,2))</f>
        <v>26</v>
      </c>
      <c r="O1706" t="s">
        <v>3592</v>
      </c>
      <c r="P1706" t="s">
        <v>27</v>
      </c>
    </row>
    <row r="1707" spans="1:16" hidden="1" x14ac:dyDescent="0.25">
      <c r="A1707" s="3" t="s">
        <v>3617</v>
      </c>
      <c r="B1707" t="s">
        <v>1026</v>
      </c>
      <c r="C1707" t="s">
        <v>3622</v>
      </c>
      <c r="D1707" t="s">
        <v>26</v>
      </c>
      <c r="E1707" t="s">
        <v>42</v>
      </c>
      <c r="F1707">
        <v>1</v>
      </c>
      <c r="G1707" s="3" t="s">
        <v>4</v>
      </c>
      <c r="H1707" s="44" t="s">
        <v>15</v>
      </c>
      <c r="I1707" s="17">
        <v>9500</v>
      </c>
      <c r="J1707" s="17">
        <f>IF(Gastos[[#This Row],[Divisa]]="$", I1707*1, IF(Gastos[[#This Row],[Divisa]]="U$D", I1707*$N$1, IF(Gastos[[#This Row],[Divisa]]="EUR", I1707*$N$2, 0)))</f>
        <v>9500</v>
      </c>
      <c r="K1707" s="54">
        <f>Gastos[[#This Row],[Importe AR$]]/$N$1</f>
        <v>6.0897435897435894</v>
      </c>
      <c r="M1707" s="69"/>
      <c r="N1707" s="43" t="str">
        <f>IF(Gastos[[#This Row],[Fecha_Cheque]]&gt;0,WEEKNUM(Gastos[[#This Row],[Fecha_Cheque]]),MID(Gastos[[#This Row],[Semana]],6,2))</f>
        <v>27</v>
      </c>
      <c r="O1707" t="s">
        <v>3623</v>
      </c>
      <c r="P1707" t="s">
        <v>27</v>
      </c>
    </row>
    <row r="1708" spans="1:16" hidden="1" x14ac:dyDescent="0.25">
      <c r="A1708" s="3" t="s">
        <v>3693</v>
      </c>
      <c r="B1708" t="s">
        <v>1026</v>
      </c>
      <c r="C1708" t="s">
        <v>3725</v>
      </c>
      <c r="D1708" t="s">
        <v>26</v>
      </c>
      <c r="E1708" t="s">
        <v>42</v>
      </c>
      <c r="F1708">
        <v>1</v>
      </c>
      <c r="G1708" s="3" t="s">
        <v>4</v>
      </c>
      <c r="H1708" s="44" t="s">
        <v>15</v>
      </c>
      <c r="I1708" s="17">
        <v>11000</v>
      </c>
      <c r="J1708" s="17">
        <f>IF(Gastos[[#This Row],[Divisa]]="$", I1708*1, IF(Gastos[[#This Row],[Divisa]]="U$D", I1708*$N$1, IF(Gastos[[#This Row],[Divisa]]="EUR", I1708*$N$2, 0)))</f>
        <v>11000</v>
      </c>
      <c r="K1708" s="54">
        <f>Gastos[[#This Row],[Importe AR$]]/$N$1</f>
        <v>7.0512820512820511</v>
      </c>
      <c r="M1708" s="69"/>
      <c r="N1708" s="43" t="str">
        <f>IF(Gastos[[#This Row],[Fecha_Cheque]]&gt;0,WEEKNUM(Gastos[[#This Row],[Fecha_Cheque]]),MID(Gastos[[#This Row],[Semana]],6,2))</f>
        <v>28</v>
      </c>
      <c r="O1708" t="s">
        <v>3726</v>
      </c>
      <c r="P1708" t="s">
        <v>27</v>
      </c>
    </row>
    <row r="1709" spans="1:16" hidden="1" x14ac:dyDescent="0.25">
      <c r="A1709" s="3" t="s">
        <v>3817</v>
      </c>
      <c r="B1709" t="s">
        <v>1026</v>
      </c>
      <c r="C1709" t="s">
        <v>3834</v>
      </c>
      <c r="D1709" t="s">
        <v>26</v>
      </c>
      <c r="E1709" t="s">
        <v>42</v>
      </c>
      <c r="F1709">
        <v>1</v>
      </c>
      <c r="G1709" s="3" t="s">
        <v>4</v>
      </c>
      <c r="H1709" s="44" t="s">
        <v>15</v>
      </c>
      <c r="I1709" s="17">
        <v>68400</v>
      </c>
      <c r="J1709" s="17">
        <f>IF(Gastos[[#This Row],[Divisa]]="$", I1709*1, IF(Gastos[[#This Row],[Divisa]]="U$D", I1709*$N$1, IF(Gastos[[#This Row],[Divisa]]="EUR", I1709*$N$2, 0)))</f>
        <v>68400</v>
      </c>
      <c r="K1709" s="54">
        <f>Gastos[[#This Row],[Importe AR$]]/$N$1</f>
        <v>43.846153846153847</v>
      </c>
      <c r="M1709" s="69"/>
      <c r="N1709" s="43" t="str">
        <f>IF(Gastos[[#This Row],[Fecha_Cheque]]&gt;0,WEEKNUM(Gastos[[#This Row],[Fecha_Cheque]]),MID(Gastos[[#This Row],[Semana]],6,2))</f>
        <v>30</v>
      </c>
      <c r="O1709" t="s">
        <v>3835</v>
      </c>
      <c r="P1709" t="s">
        <v>27</v>
      </c>
    </row>
    <row r="1710" spans="1:16" hidden="1" x14ac:dyDescent="0.25">
      <c r="A1710" s="3" t="s">
        <v>3882</v>
      </c>
      <c r="B1710" t="s">
        <v>1026</v>
      </c>
      <c r="C1710" t="s">
        <v>3362</v>
      </c>
      <c r="D1710" t="s">
        <v>26</v>
      </c>
      <c r="E1710" t="s">
        <v>42</v>
      </c>
      <c r="F1710">
        <v>1</v>
      </c>
      <c r="G1710" s="3" t="s">
        <v>4</v>
      </c>
      <c r="H1710" s="44" t="s">
        <v>15</v>
      </c>
      <c r="I1710" s="17">
        <v>162760</v>
      </c>
      <c r="J1710" s="17">
        <f>IF(Gastos[[#This Row],[Divisa]]="$", I1710*1, IF(Gastos[[#This Row],[Divisa]]="U$D", I1710*$N$1, IF(Gastos[[#This Row],[Divisa]]="EUR", I1710*$N$2, 0)))</f>
        <v>162760</v>
      </c>
      <c r="K1710" s="54">
        <f>Gastos[[#This Row],[Importe AR$]]/$N$1</f>
        <v>104.33333333333333</v>
      </c>
      <c r="M1710" s="69"/>
      <c r="N1710" s="43" t="str">
        <f>IF(Gastos[[#This Row],[Fecha_Cheque]]&gt;0,WEEKNUM(Gastos[[#This Row],[Fecha_Cheque]]),MID(Gastos[[#This Row],[Semana]],6,2))</f>
        <v>31</v>
      </c>
      <c r="O1710" t="s">
        <v>3937</v>
      </c>
      <c r="P1710" t="s">
        <v>27</v>
      </c>
    </row>
    <row r="1711" spans="1:16" hidden="1" x14ac:dyDescent="0.25">
      <c r="A1711" s="3" t="s">
        <v>4211</v>
      </c>
      <c r="B1711" t="s">
        <v>1026</v>
      </c>
      <c r="C1711" t="s">
        <v>4269</v>
      </c>
      <c r="D1711" t="s">
        <v>26</v>
      </c>
      <c r="E1711" t="s">
        <v>42</v>
      </c>
      <c r="F1711">
        <v>1</v>
      </c>
      <c r="G1711" s="3" t="s">
        <v>4</v>
      </c>
      <c r="H1711" s="44" t="s">
        <v>15</v>
      </c>
      <c r="I1711" s="17">
        <v>249190</v>
      </c>
      <c r="J1711" s="17">
        <f>IF(Gastos[[#This Row],[Divisa]]="$", I1711*1, IF(Gastos[[#This Row],[Divisa]]="U$D", I1711*$N$1, IF(Gastos[[#This Row],[Divisa]]="EUR", I1711*$N$2, 0)))</f>
        <v>249190</v>
      </c>
      <c r="K1711" s="54">
        <f>Gastos[[#This Row],[Importe AR$]]/$N$1</f>
        <v>159.73717948717947</v>
      </c>
      <c r="M1711" s="69"/>
      <c r="N1711" s="43" t="str">
        <f>IF(Gastos[[#This Row],[Fecha_Cheque]]&gt;0,WEEKNUM(Gastos[[#This Row],[Fecha_Cheque]]),MID(Gastos[[#This Row],[Semana]],6,2))</f>
        <v>37</v>
      </c>
      <c r="O1711" t="s">
        <v>4303</v>
      </c>
      <c r="P1711" t="s">
        <v>27</v>
      </c>
    </row>
    <row r="1712" spans="1:16" hidden="1" x14ac:dyDescent="0.25">
      <c r="A1712" s="3" t="s">
        <v>4211</v>
      </c>
      <c r="B1712" t="s">
        <v>1026</v>
      </c>
      <c r="C1712" t="s">
        <v>4295</v>
      </c>
      <c r="D1712" t="s">
        <v>26</v>
      </c>
      <c r="E1712" t="s">
        <v>42</v>
      </c>
      <c r="F1712">
        <v>1</v>
      </c>
      <c r="G1712" s="3" t="s">
        <v>4</v>
      </c>
      <c r="H1712" s="44" t="s">
        <v>15</v>
      </c>
      <c r="I1712" s="17">
        <v>2400</v>
      </c>
      <c r="J1712" s="17">
        <f>IF(Gastos[[#This Row],[Divisa]]="$", I1712*1, IF(Gastos[[#This Row],[Divisa]]="U$D", I1712*$N$1, IF(Gastos[[#This Row],[Divisa]]="EUR", I1712*$N$2, 0)))</f>
        <v>2400</v>
      </c>
      <c r="K1712" s="54">
        <f>Gastos[[#This Row],[Importe AR$]]/$N$1</f>
        <v>1.5384615384615385</v>
      </c>
      <c r="M1712" s="69"/>
      <c r="N1712" s="43" t="str">
        <f>IF(Gastos[[#This Row],[Fecha_Cheque]]&gt;0,WEEKNUM(Gastos[[#This Row],[Fecha_Cheque]]),MID(Gastos[[#This Row],[Semana]],6,2))</f>
        <v>37</v>
      </c>
      <c r="O1712" t="s">
        <v>4296</v>
      </c>
      <c r="P1712" t="s">
        <v>27</v>
      </c>
    </row>
    <row r="1713" spans="1:16" hidden="1" x14ac:dyDescent="0.25">
      <c r="A1713" s="3" t="s">
        <v>4447</v>
      </c>
      <c r="B1713" t="s">
        <v>1026</v>
      </c>
      <c r="C1713" t="s">
        <v>3362</v>
      </c>
      <c r="D1713" t="s">
        <v>26</v>
      </c>
      <c r="E1713" t="s">
        <v>42</v>
      </c>
      <c r="F1713">
        <v>1</v>
      </c>
      <c r="G1713" s="3" t="s">
        <v>4</v>
      </c>
      <c r="H1713" s="44" t="s">
        <v>15</v>
      </c>
      <c r="I1713" s="17">
        <v>175850</v>
      </c>
      <c r="J1713" s="17">
        <f>IF(Gastos[[#This Row],[Divisa]]="$", I1713*1, IF(Gastos[[#This Row],[Divisa]]="U$D", I1713*$N$1, IF(Gastos[[#This Row],[Divisa]]="EUR", I1713*$N$2, 0)))</f>
        <v>175850</v>
      </c>
      <c r="K1713" s="54">
        <f>Gastos[[#This Row],[Importe AR$]]/$N$1</f>
        <v>112.72435897435898</v>
      </c>
      <c r="M1713" s="69"/>
      <c r="N1713" s="43" t="str">
        <f>IF(Gastos[[#This Row],[Fecha_Cheque]]&gt;0,WEEKNUM(Gastos[[#This Row],[Fecha_Cheque]]),MID(Gastos[[#This Row],[Semana]],6,2))</f>
        <v>41</v>
      </c>
      <c r="O1713" t="s">
        <v>4471</v>
      </c>
      <c r="P1713" t="s">
        <v>27</v>
      </c>
    </row>
    <row r="1714" spans="1:16" hidden="1" x14ac:dyDescent="0.25">
      <c r="A1714" s="3" t="s">
        <v>4322</v>
      </c>
      <c r="B1714" t="s">
        <v>1026</v>
      </c>
      <c r="C1714" t="s">
        <v>1948</v>
      </c>
      <c r="D1714" t="s">
        <v>26</v>
      </c>
      <c r="E1714" t="s">
        <v>42</v>
      </c>
      <c r="F1714">
        <v>1</v>
      </c>
      <c r="G1714" s="3" t="s">
        <v>4</v>
      </c>
      <c r="H1714" s="44" t="s">
        <v>15</v>
      </c>
      <c r="I1714" s="17">
        <v>51500</v>
      </c>
      <c r="J1714" s="17">
        <f>IF(Gastos[[#This Row],[Divisa]]="$", I1714*1, IF(Gastos[[#This Row],[Divisa]]="U$D", I1714*$N$1, IF(Gastos[[#This Row],[Divisa]]="EUR", I1714*$N$2, 0)))</f>
        <v>51500</v>
      </c>
      <c r="K1714" s="54">
        <f>Gastos[[#This Row],[Importe AR$]]/$N$1</f>
        <v>33.012820512820511</v>
      </c>
      <c r="M1714" s="69"/>
      <c r="N1714" s="43" t="str">
        <f>IF(Gastos[[#This Row],[Fecha_Cheque]]&gt;0,WEEKNUM(Gastos[[#This Row],[Fecha_Cheque]]),MID(Gastos[[#This Row],[Semana]],6,2))</f>
        <v>38</v>
      </c>
      <c r="O1714" t="s">
        <v>4372</v>
      </c>
      <c r="P1714" t="s">
        <v>27</v>
      </c>
    </row>
    <row r="1715" spans="1:16" hidden="1" x14ac:dyDescent="0.25">
      <c r="A1715" s="3" t="s">
        <v>4569</v>
      </c>
      <c r="B1715" t="s">
        <v>4589</v>
      </c>
      <c r="C1715" t="s">
        <v>4590</v>
      </c>
      <c r="D1715" t="s">
        <v>26</v>
      </c>
      <c r="E1715" t="s">
        <v>42</v>
      </c>
      <c r="F1715">
        <v>1</v>
      </c>
      <c r="G1715" s="3" t="s">
        <v>4</v>
      </c>
      <c r="H1715" s="44" t="s">
        <v>15</v>
      </c>
      <c r="I1715" s="17">
        <v>53000</v>
      </c>
      <c r="J1715" s="17">
        <f>IF(Gastos[[#This Row],[Divisa]]="$", I1715*1, IF(Gastos[[#This Row],[Divisa]]="U$D", I1715*$N$1, IF(Gastos[[#This Row],[Divisa]]="EUR", I1715*$N$2, 0)))</f>
        <v>53000</v>
      </c>
      <c r="K1715" s="54">
        <f>Gastos[[#This Row],[Importe AR$]]/$N$1</f>
        <v>33.974358974358971</v>
      </c>
      <c r="M1715" s="69"/>
      <c r="N1715" s="43" t="str">
        <f>IF(Gastos[[#This Row],[Fecha_Cheque]]&gt;0,WEEKNUM(Gastos[[#This Row],[Fecha_Cheque]]),MID(Gastos[[#This Row],[Semana]],6,2))</f>
        <v>43</v>
      </c>
      <c r="O1715" t="s">
        <v>4591</v>
      </c>
      <c r="P1715" t="s">
        <v>27</v>
      </c>
    </row>
    <row r="1716" spans="1:16" hidden="1" x14ac:dyDescent="0.25">
      <c r="A1716" s="3" t="s">
        <v>4569</v>
      </c>
      <c r="B1716" t="s">
        <v>4589</v>
      </c>
      <c r="C1716" t="s">
        <v>4590</v>
      </c>
      <c r="D1716" t="s">
        <v>26</v>
      </c>
      <c r="E1716" t="s">
        <v>42</v>
      </c>
      <c r="F1716">
        <v>1</v>
      </c>
      <c r="G1716" s="3" t="s">
        <v>4</v>
      </c>
      <c r="H1716" s="44" t="s">
        <v>15</v>
      </c>
      <c r="I1716" s="17">
        <v>159000</v>
      </c>
      <c r="J1716" s="17">
        <f>IF(Gastos[[#This Row],[Divisa]]="$", I1716*1, IF(Gastos[[#This Row],[Divisa]]="U$D", I1716*$N$1, IF(Gastos[[#This Row],[Divisa]]="EUR", I1716*$N$2, 0)))</f>
        <v>159000</v>
      </c>
      <c r="K1716" s="54">
        <f>Gastos[[#This Row],[Importe AR$]]/$N$1</f>
        <v>101.92307692307692</v>
      </c>
      <c r="M1716" s="69"/>
      <c r="N1716" s="43" t="str">
        <f>IF(Gastos[[#This Row],[Fecha_Cheque]]&gt;0,WEEKNUM(Gastos[[#This Row],[Fecha_Cheque]]),MID(Gastos[[#This Row],[Semana]],6,2))</f>
        <v>43</v>
      </c>
      <c r="O1716" t="s">
        <v>4654</v>
      </c>
      <c r="P1716" t="s">
        <v>27</v>
      </c>
    </row>
    <row r="1717" spans="1:16" hidden="1" x14ac:dyDescent="0.25">
      <c r="A1717" s="3" t="s">
        <v>4447</v>
      </c>
      <c r="B1717" t="s">
        <v>4485</v>
      </c>
      <c r="C1717" t="s">
        <v>4486</v>
      </c>
      <c r="D1717" t="s">
        <v>26</v>
      </c>
      <c r="E1717" t="s">
        <v>31</v>
      </c>
      <c r="F1717">
        <v>1</v>
      </c>
      <c r="G1717" s="3" t="s">
        <v>5</v>
      </c>
      <c r="H1717" s="44" t="s">
        <v>15</v>
      </c>
      <c r="I1717" s="17">
        <v>361984</v>
      </c>
      <c r="J1717" s="17">
        <f>IF(Gastos[[#This Row],[Divisa]]="$", I1717*1, IF(Gastos[[#This Row],[Divisa]]="U$D", I1717*$N$1, IF(Gastos[[#This Row],[Divisa]]="EUR", I1717*$N$2, 0)))</f>
        <v>361984</v>
      </c>
      <c r="K1717" s="54">
        <f>Gastos[[#This Row],[Importe AR$]]/$N$1</f>
        <v>232.04102564102564</v>
      </c>
      <c r="M1717" s="69"/>
      <c r="N1717" s="43" t="str">
        <f>IF(Gastos[[#This Row],[Fecha_Cheque]]&gt;0,WEEKNUM(Gastos[[#This Row],[Fecha_Cheque]]),MID(Gastos[[#This Row],[Semana]],6,2))</f>
        <v>41</v>
      </c>
      <c r="O1717" t="s">
        <v>4487</v>
      </c>
      <c r="P1717" t="s">
        <v>27</v>
      </c>
    </row>
    <row r="1718" spans="1:16" hidden="1" x14ac:dyDescent="0.25">
      <c r="A1718" s="3" t="s">
        <v>4447</v>
      </c>
      <c r="B1718" t="s">
        <v>4485</v>
      </c>
      <c r="C1718" t="s">
        <v>4486</v>
      </c>
      <c r="D1718" t="s">
        <v>26</v>
      </c>
      <c r="E1718" t="s">
        <v>31</v>
      </c>
      <c r="F1718">
        <v>1</v>
      </c>
      <c r="G1718" s="3" t="s">
        <v>5</v>
      </c>
      <c r="H1718" s="44" t="s">
        <v>15</v>
      </c>
      <c r="I1718" s="17">
        <v>2816</v>
      </c>
      <c r="J1718" s="17">
        <f>IF(Gastos[[#This Row],[Divisa]]="$", I1718*1, IF(Gastos[[#This Row],[Divisa]]="U$D", I1718*$N$1, IF(Gastos[[#This Row],[Divisa]]="EUR", I1718*$N$2, 0)))</f>
        <v>2816</v>
      </c>
      <c r="K1718" s="54">
        <f>Gastos[[#This Row],[Importe AR$]]/$N$1</f>
        <v>1.8051282051282052</v>
      </c>
      <c r="M1718" s="69"/>
      <c r="N1718" s="43" t="str">
        <f>IF(Gastos[[#This Row],[Fecha_Cheque]]&gt;0,WEEKNUM(Gastos[[#This Row],[Fecha_Cheque]]),MID(Gastos[[#This Row],[Semana]],6,2))</f>
        <v>41</v>
      </c>
      <c r="O1718" t="s">
        <v>4487</v>
      </c>
      <c r="P1718" t="s">
        <v>27</v>
      </c>
    </row>
    <row r="1719" spans="1:16" hidden="1" x14ac:dyDescent="0.25">
      <c r="A1719" s="3" t="s">
        <v>128</v>
      </c>
      <c r="B1719" t="s">
        <v>1048</v>
      </c>
      <c r="C1719" t="s">
        <v>1049</v>
      </c>
      <c r="D1719" t="s">
        <v>26</v>
      </c>
      <c r="E1719" t="s">
        <v>31</v>
      </c>
      <c r="F1719">
        <v>1</v>
      </c>
      <c r="G1719" s="3" t="s">
        <v>5</v>
      </c>
      <c r="H1719" s="46" t="s">
        <v>15</v>
      </c>
      <c r="I1719" s="17">
        <v>320000</v>
      </c>
      <c r="J1719" s="17">
        <f>IF(Gastos[[#This Row],[Divisa]]="$", I1719*1, IF(Gastos[[#This Row],[Divisa]]="U$D", I1719*$N$1, IF(Gastos[[#This Row],[Divisa]]="EUR", I1719*$N$2, 0)))</f>
        <v>320000</v>
      </c>
      <c r="K1719" s="54">
        <f>Gastos[[#This Row],[Importe AR$]]/$N$1</f>
        <v>205.12820512820514</v>
      </c>
      <c r="M1719" s="69"/>
      <c r="N1719" s="43" t="str">
        <f>IF(Gastos[[#This Row],[Fecha_Cheque]]&gt;0,WEEKNUM(Gastos[[#This Row],[Fecha_Cheque]]),MID(Gastos[[#This Row],[Semana]],6,2))</f>
        <v>43</v>
      </c>
      <c r="O1719" t="s">
        <v>1050</v>
      </c>
      <c r="P1719" t="s">
        <v>27</v>
      </c>
    </row>
    <row r="1720" spans="1:16" hidden="1" x14ac:dyDescent="0.25">
      <c r="A1720" s="3" t="s">
        <v>75</v>
      </c>
      <c r="B1720" t="s">
        <v>1048</v>
      </c>
      <c r="D1720" t="s">
        <v>26</v>
      </c>
      <c r="E1720" t="s">
        <v>91</v>
      </c>
      <c r="F1720">
        <v>1</v>
      </c>
      <c r="G1720" s="3" t="s">
        <v>5</v>
      </c>
      <c r="H1720" s="46" t="s">
        <v>15</v>
      </c>
      <c r="I1720" s="17">
        <v>196000.01</v>
      </c>
      <c r="J1720" s="17">
        <f>IF(Gastos[[#This Row],[Divisa]]="$", I1720*1, IF(Gastos[[#This Row],[Divisa]]="U$D", I1720*$N$1, IF(Gastos[[#This Row],[Divisa]]="EUR", I1720*$N$2, 0)))</f>
        <v>196000.01</v>
      </c>
      <c r="K1720" s="54">
        <f>Gastos[[#This Row],[Importe AR$]]/$N$1</f>
        <v>125.64103205128205</v>
      </c>
      <c r="M1720" s="69"/>
      <c r="N1720" s="43" t="str">
        <f>IF(Gastos[[#This Row],[Fecha_Cheque]]&gt;0,WEEKNUM(Gastos[[#This Row],[Fecha_Cheque]]),MID(Gastos[[#This Row],[Semana]],6,2))</f>
        <v>07</v>
      </c>
      <c r="O1720" t="s">
        <v>1051</v>
      </c>
      <c r="P1720" t="s">
        <v>27</v>
      </c>
    </row>
    <row r="1721" spans="1:16" hidden="1" x14ac:dyDescent="0.25">
      <c r="A1721" s="3" t="s">
        <v>2711</v>
      </c>
      <c r="B1721" t="s">
        <v>1048</v>
      </c>
      <c r="C1721" t="s">
        <v>2867</v>
      </c>
      <c r="D1721" t="s">
        <v>26</v>
      </c>
      <c r="E1721" t="s">
        <v>91</v>
      </c>
      <c r="F1721">
        <v>1</v>
      </c>
      <c r="G1721" s="3" t="s">
        <v>5</v>
      </c>
      <c r="H1721" s="44" t="s">
        <v>15</v>
      </c>
      <c r="I1721" s="17">
        <v>446058.54</v>
      </c>
      <c r="J1721" s="17">
        <f>IF(Gastos[[#This Row],[Divisa]]="$", I1721*1, IF(Gastos[[#This Row],[Divisa]]="U$D", I1721*$N$1, IF(Gastos[[#This Row],[Divisa]]="EUR", I1721*$N$2, 0)))</f>
        <v>446058.54</v>
      </c>
      <c r="K1721" s="54">
        <f>Gastos[[#This Row],[Importe AR$]]/$N$1</f>
        <v>285.93496153846155</v>
      </c>
      <c r="M1721" s="69"/>
      <c r="N1721" s="43" t="str">
        <f>IF(Gastos[[#This Row],[Fecha_Cheque]]&gt;0,WEEKNUM(Gastos[[#This Row],[Fecha_Cheque]]),MID(Gastos[[#This Row],[Semana]],6,2))</f>
        <v>15</v>
      </c>
      <c r="O1721" t="s">
        <v>2868</v>
      </c>
      <c r="P1721" t="s">
        <v>27</v>
      </c>
    </row>
    <row r="1722" spans="1:16" hidden="1" x14ac:dyDescent="0.25">
      <c r="A1722" s="3" t="s">
        <v>2711</v>
      </c>
      <c r="B1722" t="s">
        <v>1048</v>
      </c>
      <c r="C1722" t="s">
        <v>2867</v>
      </c>
      <c r="D1722" t="s">
        <v>26</v>
      </c>
      <c r="E1722" t="s">
        <v>91</v>
      </c>
      <c r="F1722">
        <v>1</v>
      </c>
      <c r="G1722" s="3" t="s">
        <v>5</v>
      </c>
      <c r="H1722" s="44" t="s">
        <v>15</v>
      </c>
      <c r="I1722" s="17">
        <v>2941.49</v>
      </c>
      <c r="J1722" s="17">
        <f>IF(Gastos[[#This Row],[Divisa]]="$", I1722*1, IF(Gastos[[#This Row],[Divisa]]="U$D", I1722*$N$1, IF(Gastos[[#This Row],[Divisa]]="EUR", I1722*$N$2, 0)))</f>
        <v>2941.49</v>
      </c>
      <c r="K1722" s="54">
        <f>Gastos[[#This Row],[Importe AR$]]/$N$1</f>
        <v>1.8855705128205127</v>
      </c>
      <c r="L1722" t="s">
        <v>340</v>
      </c>
      <c r="M1722" s="69"/>
      <c r="N1722" s="43" t="str">
        <f>IF(Gastos[[#This Row],[Fecha_Cheque]]&gt;0,WEEKNUM(Gastos[[#This Row],[Fecha_Cheque]]),MID(Gastos[[#This Row],[Semana]],6,2))</f>
        <v>15</v>
      </c>
      <c r="O1722" t="s">
        <v>2868</v>
      </c>
      <c r="P1722" t="s">
        <v>27</v>
      </c>
    </row>
    <row r="1723" spans="1:16" hidden="1" x14ac:dyDescent="0.25">
      <c r="A1723" s="3" t="s">
        <v>3754</v>
      </c>
      <c r="B1723" t="s">
        <v>1048</v>
      </c>
      <c r="C1723" t="s">
        <v>3807</v>
      </c>
      <c r="D1723" t="s">
        <v>26</v>
      </c>
      <c r="E1723" t="s">
        <v>42</v>
      </c>
      <c r="F1723">
        <v>1</v>
      </c>
      <c r="G1723" s="3" t="s">
        <v>4</v>
      </c>
      <c r="H1723" s="44" t="s">
        <v>15</v>
      </c>
      <c r="I1723" s="17">
        <v>565058.54</v>
      </c>
      <c r="J1723" s="17">
        <f>IF(Gastos[[#This Row],[Divisa]]="$", I1723*1, IF(Gastos[[#This Row],[Divisa]]="U$D", I1723*$N$1, IF(Gastos[[#This Row],[Divisa]]="EUR", I1723*$N$2, 0)))</f>
        <v>565058.54</v>
      </c>
      <c r="K1723" s="54">
        <f>Gastos[[#This Row],[Importe AR$]]/$N$1</f>
        <v>362.21701282051282</v>
      </c>
      <c r="M1723" s="69"/>
      <c r="N1723" s="43" t="str">
        <f>IF(Gastos[[#This Row],[Fecha_Cheque]]&gt;0,WEEKNUM(Gastos[[#This Row],[Fecha_Cheque]]),MID(Gastos[[#This Row],[Semana]],6,2))</f>
        <v>29</v>
      </c>
      <c r="O1723" t="s">
        <v>3808</v>
      </c>
      <c r="P1723" t="s">
        <v>27</v>
      </c>
    </row>
    <row r="1724" spans="1:16" hidden="1" x14ac:dyDescent="0.25">
      <c r="A1724" s="3" t="s">
        <v>3754</v>
      </c>
      <c r="B1724" t="s">
        <v>1048</v>
      </c>
      <c r="C1724" t="s">
        <v>3807</v>
      </c>
      <c r="D1724" t="s">
        <v>26</v>
      </c>
      <c r="E1724" t="s">
        <v>42</v>
      </c>
      <c r="F1724">
        <v>1</v>
      </c>
      <c r="G1724" s="3" t="s">
        <v>4</v>
      </c>
      <c r="H1724" s="44" t="s">
        <v>15</v>
      </c>
      <c r="I1724" s="17">
        <v>4941.49</v>
      </c>
      <c r="J1724" s="17">
        <f>IF(Gastos[[#This Row],[Divisa]]="$", I1724*1, IF(Gastos[[#This Row],[Divisa]]="U$D", I1724*$N$1, IF(Gastos[[#This Row],[Divisa]]="EUR", I1724*$N$2, 0)))</f>
        <v>4941.49</v>
      </c>
      <c r="K1724" s="54">
        <f>Gastos[[#This Row],[Importe AR$]]/$N$1</f>
        <v>3.1676217948717946</v>
      </c>
      <c r="L1724" t="s">
        <v>340</v>
      </c>
      <c r="M1724" s="69"/>
      <c r="N1724" s="43" t="str">
        <f>IF(Gastos[[#This Row],[Fecha_Cheque]]&gt;0,WEEKNUM(Gastos[[#This Row],[Fecha_Cheque]]),MID(Gastos[[#This Row],[Semana]],6,2))</f>
        <v>29</v>
      </c>
      <c r="O1724" t="s">
        <v>3808</v>
      </c>
      <c r="P1724" t="s">
        <v>27</v>
      </c>
    </row>
    <row r="1725" spans="1:16" hidden="1" x14ac:dyDescent="0.25">
      <c r="A1725" s="3" t="s">
        <v>4447</v>
      </c>
      <c r="B1725" t="s">
        <v>1048</v>
      </c>
      <c r="C1725" t="s">
        <v>4474</v>
      </c>
      <c r="D1725" t="s">
        <v>26</v>
      </c>
      <c r="E1725" t="s">
        <v>62</v>
      </c>
      <c r="F1725">
        <v>1</v>
      </c>
      <c r="G1725" s="3" t="s">
        <v>5</v>
      </c>
      <c r="H1725" s="44" t="s">
        <v>15</v>
      </c>
      <c r="I1725" s="17">
        <v>437207.29</v>
      </c>
      <c r="J1725" s="17">
        <f>IF(Gastos[[#This Row],[Divisa]]="$", I1725*1, IF(Gastos[[#This Row],[Divisa]]="U$D", I1725*$N$1, IF(Gastos[[#This Row],[Divisa]]="EUR", I1725*$N$2, 0)))</f>
        <v>437207.29</v>
      </c>
      <c r="K1725" s="54">
        <f>Gastos[[#This Row],[Importe AR$]]/$N$1</f>
        <v>280.26108333333332</v>
      </c>
      <c r="M1725" s="69"/>
      <c r="N1725" s="43" t="str">
        <f>IF(Gastos[[#This Row],[Fecha_Cheque]]&gt;0,WEEKNUM(Gastos[[#This Row],[Fecha_Cheque]]),MID(Gastos[[#This Row],[Semana]],6,2))</f>
        <v>41</v>
      </c>
      <c r="O1725" t="s">
        <v>4506</v>
      </c>
      <c r="P1725" t="s">
        <v>27</v>
      </c>
    </row>
    <row r="1726" spans="1:16" ht="14.25" hidden="1" customHeight="1" x14ac:dyDescent="0.25">
      <c r="A1726" s="3" t="s">
        <v>4447</v>
      </c>
      <c r="B1726" t="s">
        <v>1048</v>
      </c>
      <c r="C1726" t="s">
        <v>4474</v>
      </c>
      <c r="D1726" t="s">
        <v>26</v>
      </c>
      <c r="E1726" t="s">
        <v>62</v>
      </c>
      <c r="F1726">
        <v>1</v>
      </c>
      <c r="G1726" s="3" t="s">
        <v>5</v>
      </c>
      <c r="H1726" s="44" t="s">
        <v>15</v>
      </c>
      <c r="I1726" s="17">
        <v>2792.73</v>
      </c>
      <c r="J1726" s="17">
        <f>IF(Gastos[[#This Row],[Divisa]]="$", I1726*1, IF(Gastos[[#This Row],[Divisa]]="U$D", I1726*$N$1, IF(Gastos[[#This Row],[Divisa]]="EUR", I1726*$N$2, 0)))</f>
        <v>2792.73</v>
      </c>
      <c r="K1726" s="54">
        <f>Gastos[[#This Row],[Importe AR$]]/$N$1</f>
        <v>1.7902115384615385</v>
      </c>
      <c r="L1726" t="s">
        <v>340</v>
      </c>
      <c r="M1726" s="69"/>
      <c r="N1726" s="43" t="str">
        <f>IF(Gastos[[#This Row],[Fecha_Cheque]]&gt;0,WEEKNUM(Gastos[[#This Row],[Fecha_Cheque]]),MID(Gastos[[#This Row],[Semana]],6,2))</f>
        <v>41</v>
      </c>
      <c r="O1726" t="s">
        <v>4506</v>
      </c>
      <c r="P1726" t="s">
        <v>27</v>
      </c>
    </row>
    <row r="1727" spans="1:16" hidden="1" x14ac:dyDescent="0.25">
      <c r="A1727" s="3" t="s">
        <v>619</v>
      </c>
      <c r="B1727" t="s">
        <v>1890</v>
      </c>
      <c r="C1727" t="s">
        <v>1844</v>
      </c>
      <c r="D1727" t="s">
        <v>26</v>
      </c>
      <c r="E1727" t="s">
        <v>31</v>
      </c>
      <c r="F1727">
        <v>2</v>
      </c>
      <c r="G1727" s="3" t="s">
        <v>4</v>
      </c>
      <c r="H1727" s="46" t="s">
        <v>15</v>
      </c>
      <c r="I1727" s="17">
        <v>1000000</v>
      </c>
      <c r="J1727" s="17">
        <f>IF(Gastos[[#This Row],[Divisa]]="$", I1727*1, IF(Gastos[[#This Row],[Divisa]]="U$D", I1727*$N$1, IF(Gastos[[#This Row],[Divisa]]="EUR", I1727*$N$2, 0)))</f>
        <v>1000000</v>
      </c>
      <c r="K1727" s="54">
        <f>Gastos[[#This Row],[Importe AR$]]/$N$1</f>
        <v>641.02564102564099</v>
      </c>
      <c r="M1727" s="69"/>
      <c r="N1727" s="43" t="str">
        <f>IF(Gastos[[#This Row],[Fecha_Cheque]]&gt;0,WEEKNUM(Gastos[[#This Row],[Fecha_Cheque]]),MID(Gastos[[#This Row],[Semana]],6,2))</f>
        <v>10</v>
      </c>
      <c r="O1727" t="s">
        <v>1891</v>
      </c>
      <c r="P1727" t="s">
        <v>27</v>
      </c>
    </row>
    <row r="1728" spans="1:16" hidden="1" x14ac:dyDescent="0.25">
      <c r="A1728" s="3" t="s">
        <v>28</v>
      </c>
      <c r="B1728" t="s">
        <v>1052</v>
      </c>
      <c r="C1728" t="s">
        <v>1053</v>
      </c>
      <c r="D1728" t="s">
        <v>26</v>
      </c>
      <c r="E1728" t="s">
        <v>31</v>
      </c>
      <c r="F1728">
        <v>2</v>
      </c>
      <c r="G1728" s="3" t="s">
        <v>4</v>
      </c>
      <c r="H1728" s="46" t="s">
        <v>15</v>
      </c>
      <c r="I1728" s="17">
        <v>1500000</v>
      </c>
      <c r="J1728" s="17">
        <f>IF(Gastos[[#This Row],[Divisa]]="$", I1728*1, IF(Gastos[[#This Row],[Divisa]]="U$D", I1728*$N$1, IF(Gastos[[#This Row],[Divisa]]="EUR", I1728*$N$2, 0)))</f>
        <v>1500000</v>
      </c>
      <c r="K1728" s="54">
        <f>Gastos[[#This Row],[Importe AR$]]/$N$1</f>
        <v>961.53846153846155</v>
      </c>
      <c r="M1728" s="69"/>
      <c r="N1728" s="43" t="str">
        <f>IF(Gastos[[#This Row],[Fecha_Cheque]]&gt;0,WEEKNUM(Gastos[[#This Row],[Fecha_Cheque]]),MID(Gastos[[#This Row],[Semana]],6,2))</f>
        <v>21</v>
      </c>
      <c r="O1728" t="s">
        <v>1054</v>
      </c>
      <c r="P1728" t="s">
        <v>27</v>
      </c>
    </row>
    <row r="1729" spans="1:16" hidden="1" x14ac:dyDescent="0.25">
      <c r="A1729" s="3" t="s">
        <v>290</v>
      </c>
      <c r="B1729" t="s">
        <v>1052</v>
      </c>
      <c r="C1729" t="s">
        <v>1055</v>
      </c>
      <c r="D1729" t="s">
        <v>26</v>
      </c>
      <c r="E1729" t="s">
        <v>31</v>
      </c>
      <c r="F1729">
        <v>2</v>
      </c>
      <c r="G1729" s="3" t="s">
        <v>4</v>
      </c>
      <c r="H1729" s="46" t="s">
        <v>15</v>
      </c>
      <c r="I1729" s="17">
        <v>2000000</v>
      </c>
      <c r="J1729" s="17">
        <f>IF(Gastos[[#This Row],[Divisa]]="$", I1729*1, IF(Gastos[[#This Row],[Divisa]]="U$D", I1729*$N$1, IF(Gastos[[#This Row],[Divisa]]="EUR", I1729*$N$2, 0)))</f>
        <v>2000000</v>
      </c>
      <c r="K1729" s="54">
        <f>Gastos[[#This Row],[Importe AR$]]/$N$1</f>
        <v>1282.051282051282</v>
      </c>
      <c r="M1729" s="69"/>
      <c r="N1729" s="43" t="str">
        <f>IF(Gastos[[#This Row],[Fecha_Cheque]]&gt;0,WEEKNUM(Gastos[[#This Row],[Fecha_Cheque]]),MID(Gastos[[#This Row],[Semana]],6,2))</f>
        <v>23</v>
      </c>
      <c r="O1729" t="s">
        <v>1056</v>
      </c>
      <c r="P1729" t="s">
        <v>27</v>
      </c>
    </row>
    <row r="1730" spans="1:16" hidden="1" x14ac:dyDescent="0.25">
      <c r="A1730" s="3" t="s">
        <v>253</v>
      </c>
      <c r="B1730" t="s">
        <v>1052</v>
      </c>
      <c r="C1730" t="s">
        <v>1055</v>
      </c>
      <c r="D1730" t="s">
        <v>26</v>
      </c>
      <c r="E1730" t="s">
        <v>31</v>
      </c>
      <c r="F1730">
        <v>2</v>
      </c>
      <c r="G1730" s="3" t="s">
        <v>4</v>
      </c>
      <c r="H1730" s="46" t="s">
        <v>15</v>
      </c>
      <c r="I1730" s="17">
        <v>500000</v>
      </c>
      <c r="J1730" s="17">
        <f>IF(Gastos[[#This Row],[Divisa]]="$", I1730*1, IF(Gastos[[#This Row],[Divisa]]="U$D", I1730*$N$1, IF(Gastos[[#This Row],[Divisa]]="EUR", I1730*$N$2, 0)))</f>
        <v>500000</v>
      </c>
      <c r="K1730" s="54">
        <f>Gastos[[#This Row],[Importe AR$]]/$N$1</f>
        <v>320.5128205128205</v>
      </c>
      <c r="M1730" s="69"/>
      <c r="N1730" s="43" t="str">
        <f>IF(Gastos[[#This Row],[Fecha_Cheque]]&gt;0,WEEKNUM(Gastos[[#This Row],[Fecha_Cheque]]),MID(Gastos[[#This Row],[Semana]],6,2))</f>
        <v>24</v>
      </c>
      <c r="O1730" t="s">
        <v>1057</v>
      </c>
      <c r="P1730" t="s">
        <v>27</v>
      </c>
    </row>
    <row r="1731" spans="1:16" hidden="1" x14ac:dyDescent="0.25">
      <c r="A1731" s="3" t="s">
        <v>2804</v>
      </c>
      <c r="B1731" t="s">
        <v>3064</v>
      </c>
      <c r="C1731" t="s">
        <v>3065</v>
      </c>
      <c r="D1731" t="s">
        <v>26</v>
      </c>
      <c r="E1731" t="s">
        <v>31</v>
      </c>
      <c r="F1731">
        <v>1</v>
      </c>
      <c r="G1731" s="3" t="s">
        <v>32</v>
      </c>
      <c r="H1731" s="44" t="s">
        <v>15</v>
      </c>
      <c r="I1731" s="17">
        <v>5000000</v>
      </c>
      <c r="J1731" s="17">
        <f>IF(Gastos[[#This Row],[Divisa]]="$", I1731*1, IF(Gastos[[#This Row],[Divisa]]="U$D", I1731*$N$1, IF(Gastos[[#This Row],[Divisa]]="EUR", I1731*$N$2, 0)))</f>
        <v>5000000</v>
      </c>
      <c r="K1731" s="54">
        <f>Gastos[[#This Row],[Importe AR$]]/$N$1</f>
        <v>3205.1282051282051</v>
      </c>
      <c r="M1731" s="69">
        <v>46187</v>
      </c>
      <c r="N1731" s="43">
        <f>IF(Gastos[[#This Row],[Fecha_Cheque]]&gt;0,WEEKNUM(Gastos[[#This Row],[Fecha_Cheque]]),MID(Gastos[[#This Row],[Semana]],6,2))</f>
        <v>25</v>
      </c>
      <c r="O1731" t="s">
        <v>2805</v>
      </c>
      <c r="P1731" t="s">
        <v>27</v>
      </c>
    </row>
    <row r="1732" spans="1:16" hidden="1" x14ac:dyDescent="0.25">
      <c r="A1732" s="3" t="s">
        <v>2804</v>
      </c>
      <c r="B1732" t="s">
        <v>3064</v>
      </c>
      <c r="C1732" t="s">
        <v>3065</v>
      </c>
      <c r="D1732" t="s">
        <v>26</v>
      </c>
      <c r="E1732" t="s">
        <v>31</v>
      </c>
      <c r="F1732">
        <v>1</v>
      </c>
      <c r="G1732" s="3" t="s">
        <v>32</v>
      </c>
      <c r="H1732" s="44" t="s">
        <v>15</v>
      </c>
      <c r="I1732" s="17">
        <v>4816306.6500000004</v>
      </c>
      <c r="J1732" s="17">
        <f>IF(Gastos[[#This Row],[Divisa]]="$", I1732*1, IF(Gastos[[#This Row],[Divisa]]="U$D", I1732*$N$1, IF(Gastos[[#This Row],[Divisa]]="EUR", I1732*$N$2, 0)))</f>
        <v>4816306.6500000004</v>
      </c>
      <c r="K1732" s="54">
        <f>Gastos[[#This Row],[Importe AR$]]/$N$1</f>
        <v>3087.3760576923078</v>
      </c>
      <c r="M1732" s="69">
        <v>46186</v>
      </c>
      <c r="N1732" s="43">
        <f>IF(Gastos[[#This Row],[Fecha_Cheque]]&gt;0,WEEKNUM(Gastos[[#This Row],[Fecha_Cheque]]),MID(Gastos[[#This Row],[Semana]],6,2))</f>
        <v>24</v>
      </c>
      <c r="O1732" t="s">
        <v>2805</v>
      </c>
      <c r="P1732" t="s">
        <v>27</v>
      </c>
    </row>
    <row r="1733" spans="1:16" hidden="1" x14ac:dyDescent="0.25">
      <c r="A1733" s="3" t="s">
        <v>2804</v>
      </c>
      <c r="B1733" t="s">
        <v>3064</v>
      </c>
      <c r="C1733" t="s">
        <v>3065</v>
      </c>
      <c r="D1733" t="s">
        <v>26</v>
      </c>
      <c r="E1733" t="s">
        <v>31</v>
      </c>
      <c r="F1733">
        <v>1</v>
      </c>
      <c r="G1733" s="3" t="s">
        <v>32</v>
      </c>
      <c r="H1733" s="44" t="s">
        <v>15</v>
      </c>
      <c r="I1733" s="17">
        <v>9934484.1600000001</v>
      </c>
      <c r="J1733" s="17">
        <f>IF(Gastos[[#This Row],[Divisa]]="$", I1733*1, IF(Gastos[[#This Row],[Divisa]]="U$D", I1733*$N$1, IF(Gastos[[#This Row],[Divisa]]="EUR", I1733*$N$2, 0)))</f>
        <v>9934484.1600000001</v>
      </c>
      <c r="K1733" s="54">
        <f>Gastos[[#This Row],[Importe AR$]]/$N$1</f>
        <v>6368.2590769230774</v>
      </c>
      <c r="M1733" s="69">
        <v>46208</v>
      </c>
      <c r="N1733" s="43">
        <f>IF(Gastos[[#This Row],[Fecha_Cheque]]&gt;0,WEEKNUM(Gastos[[#This Row],[Fecha_Cheque]]),MID(Gastos[[#This Row],[Semana]],6,2))</f>
        <v>28</v>
      </c>
      <c r="O1733" t="s">
        <v>2805</v>
      </c>
      <c r="P1733" t="s">
        <v>27</v>
      </c>
    </row>
    <row r="1734" spans="1:16" hidden="1" x14ac:dyDescent="0.25">
      <c r="A1734" s="3" t="s">
        <v>2804</v>
      </c>
      <c r="B1734" t="s">
        <v>3064</v>
      </c>
      <c r="C1734" t="s">
        <v>3065</v>
      </c>
      <c r="D1734" t="s">
        <v>26</v>
      </c>
      <c r="E1734" t="s">
        <v>31</v>
      </c>
      <c r="F1734">
        <v>1</v>
      </c>
      <c r="G1734" s="3" t="s">
        <v>32</v>
      </c>
      <c r="H1734" s="44" t="s">
        <v>15</v>
      </c>
      <c r="I1734" s="17">
        <v>327390.77</v>
      </c>
      <c r="J1734" s="17">
        <f>IF(Gastos[[#This Row],[Divisa]]="$", I1734*1, IF(Gastos[[#This Row],[Divisa]]="U$D", I1734*$N$1, IF(Gastos[[#This Row],[Divisa]]="EUR", I1734*$N$2, 0)))</f>
        <v>327390.77</v>
      </c>
      <c r="K1734" s="54">
        <f>Gastos[[#This Row],[Importe AR$]]/$N$1</f>
        <v>209.86587820512821</v>
      </c>
      <c r="L1734" t="s">
        <v>340</v>
      </c>
      <c r="M1734" s="69"/>
      <c r="N1734" s="43" t="str">
        <f>IF(Gastos[[#This Row],[Fecha_Cheque]]&gt;0,WEEKNUM(Gastos[[#This Row],[Fecha_Cheque]]),MID(Gastos[[#This Row],[Semana]],6,2))</f>
        <v>19</v>
      </c>
      <c r="O1734" t="s">
        <v>2805</v>
      </c>
      <c r="P1734" t="s">
        <v>27</v>
      </c>
    </row>
    <row r="1735" spans="1:16" hidden="1" x14ac:dyDescent="0.25">
      <c r="A1735" s="3" t="s">
        <v>79</v>
      </c>
      <c r="B1735" t="s">
        <v>1058</v>
      </c>
      <c r="C1735" t="s">
        <v>1059</v>
      </c>
      <c r="D1735" t="s">
        <v>26</v>
      </c>
      <c r="E1735" t="s">
        <v>91</v>
      </c>
      <c r="F1735">
        <v>1</v>
      </c>
      <c r="G1735" s="3" t="s">
        <v>5</v>
      </c>
      <c r="H1735" s="46" t="s">
        <v>15</v>
      </c>
      <c r="I1735" s="17">
        <v>326325</v>
      </c>
      <c r="J1735" s="17">
        <f>IF(Gastos[[#This Row],[Divisa]]="$", I1735*1, IF(Gastos[[#This Row],[Divisa]]="U$D", I1735*$N$1, IF(Gastos[[#This Row],[Divisa]]="EUR", I1735*$N$2, 0)))</f>
        <v>326325</v>
      </c>
      <c r="K1735" s="54">
        <f>Gastos[[#This Row],[Importe AR$]]/$N$1</f>
        <v>209.18269230769232</v>
      </c>
      <c r="M1735" s="69"/>
      <c r="N1735" s="43" t="str">
        <f>IF(Gastos[[#This Row],[Fecha_Cheque]]&gt;0,WEEKNUM(Gastos[[#This Row],[Fecha_Cheque]]),MID(Gastos[[#This Row],[Semana]],6,2))</f>
        <v>47</v>
      </c>
      <c r="O1735" t="s">
        <v>1060</v>
      </c>
      <c r="P1735" t="s">
        <v>27</v>
      </c>
    </row>
    <row r="1736" spans="1:16" hidden="1" x14ac:dyDescent="0.25">
      <c r="A1736" s="3" t="s">
        <v>89</v>
      </c>
      <c r="B1736" t="s">
        <v>1058</v>
      </c>
      <c r="C1736" t="s">
        <v>1061</v>
      </c>
      <c r="D1736" t="s">
        <v>26</v>
      </c>
      <c r="E1736" t="s">
        <v>31</v>
      </c>
      <c r="F1736">
        <v>1</v>
      </c>
      <c r="G1736" s="3" t="s">
        <v>5</v>
      </c>
      <c r="H1736" s="46" t="s">
        <v>15</v>
      </c>
      <c r="I1736" s="17">
        <v>336630</v>
      </c>
      <c r="J1736" s="17">
        <f>IF(Gastos[[#This Row],[Divisa]]="$", I1736*1, IF(Gastos[[#This Row],[Divisa]]="U$D", I1736*$N$1, IF(Gastos[[#This Row],[Divisa]]="EUR", I1736*$N$2, 0)))</f>
        <v>336630</v>
      </c>
      <c r="K1736" s="54">
        <f>Gastos[[#This Row],[Importe AR$]]/$N$1</f>
        <v>215.78846153846155</v>
      </c>
      <c r="M1736" s="69"/>
      <c r="N1736" s="43" t="str">
        <f>IF(Gastos[[#This Row],[Fecha_Cheque]]&gt;0,WEEKNUM(Gastos[[#This Row],[Fecha_Cheque]]),MID(Gastos[[#This Row],[Semana]],6,2))</f>
        <v>39</v>
      </c>
      <c r="O1736" t="s">
        <v>1062</v>
      </c>
      <c r="P1736" t="s">
        <v>27</v>
      </c>
    </row>
    <row r="1737" spans="1:16" hidden="1" x14ac:dyDescent="0.25">
      <c r="A1737" s="3" t="s">
        <v>93</v>
      </c>
      <c r="B1737" t="s">
        <v>1058</v>
      </c>
      <c r="C1737" t="s">
        <v>1059</v>
      </c>
      <c r="D1737" t="s">
        <v>26</v>
      </c>
      <c r="E1737" t="s">
        <v>31</v>
      </c>
      <c r="F1737">
        <v>1</v>
      </c>
      <c r="G1737" s="3" t="s">
        <v>5</v>
      </c>
      <c r="H1737" s="46" t="s">
        <v>15</v>
      </c>
      <c r="I1737" s="17">
        <v>335485</v>
      </c>
      <c r="J1737" s="17">
        <f>IF(Gastos[[#This Row],[Divisa]]="$", I1737*1, IF(Gastos[[#This Row],[Divisa]]="U$D", I1737*$N$1, IF(Gastos[[#This Row],[Divisa]]="EUR", I1737*$N$2, 0)))</f>
        <v>335485</v>
      </c>
      <c r="K1737" s="54">
        <f>Gastos[[#This Row],[Importe AR$]]/$N$1</f>
        <v>215.05448717948718</v>
      </c>
      <c r="M1737" s="69"/>
      <c r="N1737" s="43" t="str">
        <f>IF(Gastos[[#This Row],[Fecha_Cheque]]&gt;0,WEEKNUM(Gastos[[#This Row],[Fecha_Cheque]]),MID(Gastos[[#This Row],[Semana]],6,2))</f>
        <v>50</v>
      </c>
      <c r="O1737" t="s">
        <v>1063</v>
      </c>
      <c r="P1737" t="s">
        <v>27</v>
      </c>
    </row>
    <row r="1738" spans="1:16" hidden="1" x14ac:dyDescent="0.25">
      <c r="A1738" s="3" t="s">
        <v>152</v>
      </c>
      <c r="B1738" t="s">
        <v>1058</v>
      </c>
      <c r="C1738" t="s">
        <v>1064</v>
      </c>
      <c r="D1738" t="s">
        <v>26</v>
      </c>
      <c r="E1738" t="s">
        <v>91</v>
      </c>
      <c r="F1738">
        <v>1</v>
      </c>
      <c r="G1738" s="3" t="s">
        <v>5</v>
      </c>
      <c r="H1738" s="46" t="s">
        <v>15</v>
      </c>
      <c r="I1738" s="17">
        <v>333195</v>
      </c>
      <c r="J1738" s="17">
        <f>IF(Gastos[[#This Row],[Divisa]]="$", I1738*1, IF(Gastos[[#This Row],[Divisa]]="U$D", I1738*$N$1, IF(Gastos[[#This Row],[Divisa]]="EUR", I1738*$N$2, 0)))</f>
        <v>333195</v>
      </c>
      <c r="K1738" s="54">
        <f>Gastos[[#This Row],[Importe AR$]]/$N$1</f>
        <v>213.58653846153845</v>
      </c>
      <c r="M1738" s="69"/>
      <c r="N1738" s="43" t="str">
        <f>IF(Gastos[[#This Row],[Fecha_Cheque]]&gt;0,WEEKNUM(Gastos[[#This Row],[Fecha_Cheque]]),MID(Gastos[[#This Row],[Semana]],6,2))</f>
        <v>04</v>
      </c>
      <c r="O1738" t="s">
        <v>1065</v>
      </c>
      <c r="P1738" t="s">
        <v>27</v>
      </c>
    </row>
    <row r="1739" spans="1:16" hidden="1" x14ac:dyDescent="0.25">
      <c r="A1739" s="3" t="s">
        <v>397</v>
      </c>
      <c r="B1739" t="s">
        <v>1058</v>
      </c>
      <c r="C1739" t="s">
        <v>1059</v>
      </c>
      <c r="D1739" t="s">
        <v>26</v>
      </c>
      <c r="E1739" t="s">
        <v>91</v>
      </c>
      <c r="F1739">
        <v>1</v>
      </c>
      <c r="G1739" s="3" t="s">
        <v>5</v>
      </c>
      <c r="H1739" s="44" t="s">
        <v>15</v>
      </c>
      <c r="I1739" s="17">
        <v>322890</v>
      </c>
      <c r="J1739" s="17">
        <f>IF(Gastos[[#This Row],[Divisa]]="$", I1739*1, IF(Gastos[[#This Row],[Divisa]]="U$D", I1739*$N$1, IF(Gastos[[#This Row],[Divisa]]="EUR", I1739*$N$2, 0)))</f>
        <v>322890</v>
      </c>
      <c r="K1739" s="54">
        <f>Gastos[[#This Row],[Importe AR$]]/$N$1</f>
        <v>206.98076923076923</v>
      </c>
      <c r="M1739" s="69"/>
      <c r="N1739" s="43" t="str">
        <f>IF(Gastos[[#This Row],[Fecha_Cheque]]&gt;0,WEEKNUM(Gastos[[#This Row],[Fecha_Cheque]]),MID(Gastos[[#This Row],[Semana]],6,2))</f>
        <v>11</v>
      </c>
      <c r="O1739" t="s">
        <v>1933</v>
      </c>
      <c r="P1739" t="s">
        <v>27</v>
      </c>
    </row>
    <row r="1740" spans="1:16" hidden="1" x14ac:dyDescent="0.25">
      <c r="A1740" s="3" t="s">
        <v>2740</v>
      </c>
      <c r="B1740" t="s">
        <v>1058</v>
      </c>
      <c r="C1740" t="s">
        <v>2896</v>
      </c>
      <c r="D1740" t="s">
        <v>26</v>
      </c>
      <c r="E1740" t="s">
        <v>91</v>
      </c>
      <c r="F1740">
        <v>1</v>
      </c>
      <c r="G1740" s="3" t="s">
        <v>5</v>
      </c>
      <c r="H1740" s="44" t="s">
        <v>15</v>
      </c>
      <c r="I1740" s="17">
        <v>322890</v>
      </c>
      <c r="J1740" s="17">
        <f>IF(Gastos[[#This Row],[Divisa]]="$", I1740*1, IF(Gastos[[#This Row],[Divisa]]="U$D", I1740*$N$1, IF(Gastos[[#This Row],[Divisa]]="EUR", I1740*$N$2, 0)))</f>
        <v>322890</v>
      </c>
      <c r="K1740" s="54">
        <f>Gastos[[#This Row],[Importe AR$]]/$N$1</f>
        <v>206.98076923076923</v>
      </c>
      <c r="M1740" s="69"/>
      <c r="N1740" s="43" t="str">
        <f>IF(Gastos[[#This Row],[Fecha_Cheque]]&gt;0,WEEKNUM(Gastos[[#This Row],[Fecha_Cheque]]),MID(Gastos[[#This Row],[Semana]],6,2))</f>
        <v>16</v>
      </c>
      <c r="O1740" t="s">
        <v>2897</v>
      </c>
      <c r="P1740" t="s">
        <v>27</v>
      </c>
    </row>
    <row r="1741" spans="1:16" hidden="1" x14ac:dyDescent="0.25">
      <c r="A1741" s="3" t="s">
        <v>2763</v>
      </c>
      <c r="B1741" t="s">
        <v>1058</v>
      </c>
      <c r="C1741" t="s">
        <v>2867</v>
      </c>
      <c r="D1741" t="s">
        <v>26</v>
      </c>
      <c r="E1741" t="s">
        <v>91</v>
      </c>
      <c r="F1741">
        <v>1</v>
      </c>
      <c r="G1741" s="3" t="s">
        <v>5</v>
      </c>
      <c r="H1741" s="44" t="s">
        <v>15</v>
      </c>
      <c r="I1741" s="17">
        <v>320019.8</v>
      </c>
      <c r="J1741" s="17">
        <f>IF(Gastos[[#This Row],[Divisa]]="$", I1741*1, IF(Gastos[[#This Row],[Divisa]]="U$D", I1741*$N$1, IF(Gastos[[#This Row],[Divisa]]="EUR", I1741*$N$2, 0)))</f>
        <v>320019.8</v>
      </c>
      <c r="K1741" s="54">
        <f>Gastos[[#This Row],[Importe AR$]]/$N$1</f>
        <v>205.14089743589741</v>
      </c>
      <c r="M1741" s="69"/>
      <c r="N1741" s="43" t="str">
        <f>IF(Gastos[[#This Row],[Fecha_Cheque]]&gt;0,WEEKNUM(Gastos[[#This Row],[Fecha_Cheque]]),MID(Gastos[[#This Row],[Semana]],6,2))</f>
        <v>23</v>
      </c>
      <c r="O1741" t="s">
        <v>3247</v>
      </c>
      <c r="P1741" t="s">
        <v>27</v>
      </c>
    </row>
    <row r="1742" spans="1:16" ht="0.75" hidden="1" customHeight="1" x14ac:dyDescent="0.25">
      <c r="A1742" s="3" t="s">
        <v>2763</v>
      </c>
      <c r="B1742" t="s">
        <v>1058</v>
      </c>
      <c r="C1742" t="s">
        <v>2867</v>
      </c>
      <c r="D1742" t="s">
        <v>26</v>
      </c>
      <c r="E1742" t="s">
        <v>91</v>
      </c>
      <c r="F1742">
        <v>1</v>
      </c>
      <c r="G1742" s="3" t="s">
        <v>5</v>
      </c>
      <c r="H1742" s="44" t="s">
        <v>15</v>
      </c>
      <c r="I1742" s="17">
        <v>5160.2</v>
      </c>
      <c r="J1742" s="17">
        <f>IF(Gastos[[#This Row],[Divisa]]="$", I1742*1, IF(Gastos[[#This Row],[Divisa]]="U$D", I1742*$N$1, IF(Gastos[[#This Row],[Divisa]]="EUR", I1742*$N$2, 0)))</f>
        <v>5160.2</v>
      </c>
      <c r="K1742" s="54">
        <f>Gastos[[#This Row],[Importe AR$]]/$N$1</f>
        <v>3.3078205128205127</v>
      </c>
      <c r="L1742" t="s">
        <v>340</v>
      </c>
      <c r="M1742" s="69"/>
      <c r="N1742" s="43" t="str">
        <f>IF(Gastos[[#This Row],[Fecha_Cheque]]&gt;0,WEEKNUM(Gastos[[#This Row],[Fecha_Cheque]]),MID(Gastos[[#This Row],[Semana]],6,2))</f>
        <v>23</v>
      </c>
      <c r="O1742" t="s">
        <v>3247</v>
      </c>
      <c r="P1742" t="s">
        <v>27</v>
      </c>
    </row>
    <row r="1743" spans="1:16" hidden="1" x14ac:dyDescent="0.25">
      <c r="A1743" s="3" t="s">
        <v>4513</v>
      </c>
      <c r="B1743" t="s">
        <v>4541</v>
      </c>
      <c r="C1743" t="s">
        <v>4543</v>
      </c>
      <c r="D1743" t="s">
        <v>26</v>
      </c>
      <c r="E1743" t="s">
        <v>31</v>
      </c>
      <c r="F1743">
        <v>1</v>
      </c>
      <c r="G1743" s="3" t="s">
        <v>5</v>
      </c>
      <c r="H1743" s="44" t="s">
        <v>15</v>
      </c>
      <c r="I1743" s="17">
        <v>6523750</v>
      </c>
      <c r="J1743" s="17">
        <f>IF(Gastos[[#This Row],[Divisa]]="$", I1743*1, IF(Gastos[[#This Row],[Divisa]]="U$D", I1743*$N$1, IF(Gastos[[#This Row],[Divisa]]="EUR", I1743*$N$2, 0)))</f>
        <v>6523750</v>
      </c>
      <c r="K1743" s="54">
        <f>Gastos[[#This Row],[Importe AR$]]/$N$1</f>
        <v>4181.8910256410254</v>
      </c>
      <c r="M1743" s="69"/>
      <c r="N1743" s="43" t="str">
        <f>IF(Gastos[[#This Row],[Fecha_Cheque]]&gt;0,WEEKNUM(Gastos[[#This Row],[Fecha_Cheque]]),MID(Gastos[[#This Row],[Semana]],6,2))</f>
        <v>42</v>
      </c>
      <c r="O1743" t="s">
        <v>4542</v>
      </c>
      <c r="P1743" t="s">
        <v>27</v>
      </c>
    </row>
    <row r="1744" spans="1:16" hidden="1" x14ac:dyDescent="0.25">
      <c r="A1744" s="3" t="s">
        <v>79</v>
      </c>
      <c r="B1744" t="s">
        <v>1066</v>
      </c>
      <c r="D1744" t="s">
        <v>26</v>
      </c>
      <c r="E1744" t="s">
        <v>31</v>
      </c>
      <c r="F1744">
        <v>1</v>
      </c>
      <c r="G1744" s="3" t="s">
        <v>5</v>
      </c>
      <c r="H1744" s="46" t="s">
        <v>15</v>
      </c>
      <c r="I1744" s="17">
        <v>78100</v>
      </c>
      <c r="J1744" s="17">
        <f>IF(Gastos[[#This Row],[Divisa]]="$", I1744*1, IF(Gastos[[#This Row],[Divisa]]="U$D", I1744*$N$1, IF(Gastos[[#This Row],[Divisa]]="EUR", I1744*$N$2, 0)))</f>
        <v>78100</v>
      </c>
      <c r="K1744" s="54">
        <f>Gastos[[#This Row],[Importe AR$]]/$N$1</f>
        <v>50.064102564102562</v>
      </c>
      <c r="M1744" s="69"/>
      <c r="N1744" s="43" t="str">
        <f>IF(Gastos[[#This Row],[Fecha_Cheque]]&gt;0,WEEKNUM(Gastos[[#This Row],[Fecha_Cheque]]),MID(Gastos[[#This Row],[Semana]],6,2))</f>
        <v>47</v>
      </c>
      <c r="O1744" t="s">
        <v>1067</v>
      </c>
      <c r="P1744" t="s">
        <v>27</v>
      </c>
    </row>
    <row r="1745" spans="1:16" hidden="1" x14ac:dyDescent="0.25">
      <c r="A1745" s="3" t="s">
        <v>2726</v>
      </c>
      <c r="B1745" t="s">
        <v>3294</v>
      </c>
      <c r="C1745" t="s">
        <v>3295</v>
      </c>
      <c r="D1745" t="s">
        <v>26</v>
      </c>
      <c r="E1745" t="s">
        <v>42</v>
      </c>
      <c r="F1745">
        <v>2</v>
      </c>
      <c r="G1745" s="3" t="s">
        <v>4</v>
      </c>
      <c r="H1745" s="44" t="s">
        <v>15</v>
      </c>
      <c r="I1745" s="17">
        <v>400000</v>
      </c>
      <c r="J1745" s="17">
        <f>IF(Gastos[[#This Row],[Divisa]]="$", I1745*1, IF(Gastos[[#This Row],[Divisa]]="U$D", I1745*$N$1, IF(Gastos[[#This Row],[Divisa]]="EUR", I1745*$N$2, 0)))</f>
        <v>400000</v>
      </c>
      <c r="K1745" s="54">
        <f>Gastos[[#This Row],[Importe AR$]]/$N$1</f>
        <v>256.41025641025641</v>
      </c>
      <c r="M1745" s="69"/>
      <c r="N1745" s="43" t="str">
        <f>IF(Gastos[[#This Row],[Fecha_Cheque]]&gt;0,WEEKNUM(Gastos[[#This Row],[Fecha_Cheque]]),MID(Gastos[[#This Row],[Semana]],6,2))</f>
        <v>24</v>
      </c>
      <c r="O1745" t="s">
        <v>3296</v>
      </c>
      <c r="P1745" t="s">
        <v>27</v>
      </c>
    </row>
    <row r="1746" spans="1:16" hidden="1" x14ac:dyDescent="0.25">
      <c r="A1746" s="3" t="s">
        <v>3567</v>
      </c>
      <c r="B1746" t="s">
        <v>3294</v>
      </c>
      <c r="C1746" t="s">
        <v>3602</v>
      </c>
      <c r="D1746" t="s">
        <v>26</v>
      </c>
      <c r="E1746" t="s">
        <v>42</v>
      </c>
      <c r="F1746">
        <v>2</v>
      </c>
      <c r="G1746" s="3" t="s">
        <v>4</v>
      </c>
      <c r="H1746" s="44" t="s">
        <v>15</v>
      </c>
      <c r="I1746" s="17">
        <v>504840</v>
      </c>
      <c r="J1746" s="17">
        <f>IF(Gastos[[#This Row],[Divisa]]="$", I1746*1, IF(Gastos[[#This Row],[Divisa]]="U$D", I1746*$N$1, IF(Gastos[[#This Row],[Divisa]]="EUR", I1746*$N$2, 0)))</f>
        <v>504840</v>
      </c>
      <c r="K1746" s="54">
        <f>Gastos[[#This Row],[Importe AR$]]/$N$1</f>
        <v>323.61538461538464</v>
      </c>
      <c r="M1746" s="69"/>
      <c r="N1746" s="43" t="str">
        <f>IF(Gastos[[#This Row],[Fecha_Cheque]]&gt;0,WEEKNUM(Gastos[[#This Row],[Fecha_Cheque]]),MID(Gastos[[#This Row],[Semana]],6,2))</f>
        <v>26</v>
      </c>
      <c r="O1746" t="s">
        <v>3603</v>
      </c>
      <c r="P1746" t="s">
        <v>27</v>
      </c>
    </row>
    <row r="1747" spans="1:16" hidden="1" x14ac:dyDescent="0.25">
      <c r="A1747" s="3" t="s">
        <v>3567</v>
      </c>
      <c r="B1747" t="s">
        <v>3294</v>
      </c>
      <c r="C1747" t="s">
        <v>3602</v>
      </c>
      <c r="D1747" t="s">
        <v>26</v>
      </c>
      <c r="E1747" t="s">
        <v>31</v>
      </c>
      <c r="F1747">
        <v>2</v>
      </c>
      <c r="G1747" s="3" t="s">
        <v>4</v>
      </c>
      <c r="H1747" s="44" t="s">
        <v>15</v>
      </c>
      <c r="I1747" s="17">
        <v>551900</v>
      </c>
      <c r="J1747" s="17">
        <f>IF(Gastos[[#This Row],[Divisa]]="$", I1747*1, IF(Gastos[[#This Row],[Divisa]]="U$D", I1747*$N$1, IF(Gastos[[#This Row],[Divisa]]="EUR", I1747*$N$2, 0)))</f>
        <v>551900</v>
      </c>
      <c r="K1747" s="54">
        <f>Gastos[[#This Row],[Importe AR$]]/$N$1</f>
        <v>353.78205128205127</v>
      </c>
      <c r="M1747" s="69">
        <v>46231</v>
      </c>
      <c r="N1747" s="43">
        <f>IF(Gastos[[#This Row],[Fecha_Cheque]]&gt;0,WEEKNUM(Gastos[[#This Row],[Fecha_Cheque]]),MID(Gastos[[#This Row],[Semana]],6,2))</f>
        <v>31</v>
      </c>
      <c r="O1747" t="s">
        <v>3603</v>
      </c>
      <c r="P1747" t="s">
        <v>27</v>
      </c>
    </row>
    <row r="1748" spans="1:16" hidden="1" x14ac:dyDescent="0.25">
      <c r="A1748" s="3" t="s">
        <v>3567</v>
      </c>
      <c r="B1748" t="s">
        <v>3294</v>
      </c>
      <c r="C1748" t="s">
        <v>3602</v>
      </c>
      <c r="D1748" t="s">
        <v>26</v>
      </c>
      <c r="E1748" t="s">
        <v>31</v>
      </c>
      <c r="F1748">
        <v>2</v>
      </c>
      <c r="G1748" s="3" t="s">
        <v>4</v>
      </c>
      <c r="H1748" s="44" t="s">
        <v>15</v>
      </c>
      <c r="I1748" s="17">
        <v>1000000</v>
      </c>
      <c r="J1748" s="17">
        <f>IF(Gastos[[#This Row],[Divisa]]="$", I1748*1, IF(Gastos[[#This Row],[Divisa]]="U$D", I1748*$N$1, IF(Gastos[[#This Row],[Divisa]]="EUR", I1748*$N$2, 0)))</f>
        <v>1000000</v>
      </c>
      <c r="K1748" s="54">
        <f>Gastos[[#This Row],[Importe AR$]]/$N$1</f>
        <v>641.02564102564099</v>
      </c>
      <c r="M1748" s="69">
        <v>46226</v>
      </c>
      <c r="N1748" s="43">
        <f>IF(Gastos[[#This Row],[Fecha_Cheque]]&gt;0,WEEKNUM(Gastos[[#This Row],[Fecha_Cheque]]),MID(Gastos[[#This Row],[Semana]],6,2))</f>
        <v>30</v>
      </c>
      <c r="O1748" t="s">
        <v>3603</v>
      </c>
      <c r="P1748" t="s">
        <v>27</v>
      </c>
    </row>
    <row r="1749" spans="1:16" hidden="1" x14ac:dyDescent="0.25">
      <c r="A1749" s="3" t="s">
        <v>3817</v>
      </c>
      <c r="B1749" t="s">
        <v>3294</v>
      </c>
      <c r="C1749" t="s">
        <v>3602</v>
      </c>
      <c r="D1749" t="s">
        <v>26</v>
      </c>
      <c r="E1749" t="s">
        <v>42</v>
      </c>
      <c r="F1749">
        <v>2</v>
      </c>
      <c r="G1749" s="3" t="s">
        <v>4</v>
      </c>
      <c r="H1749" s="44" t="s">
        <v>15</v>
      </c>
      <c r="I1749" s="17">
        <v>380000</v>
      </c>
      <c r="J1749" s="17">
        <f>IF(Gastos[[#This Row],[Divisa]]="$", I1749*1, IF(Gastos[[#This Row],[Divisa]]="U$D", I1749*$N$1, IF(Gastos[[#This Row],[Divisa]]="EUR", I1749*$N$2, 0)))</f>
        <v>380000</v>
      </c>
      <c r="K1749" s="54">
        <f>Gastos[[#This Row],[Importe AR$]]/$N$1</f>
        <v>243.58974358974359</v>
      </c>
      <c r="M1749" s="69"/>
      <c r="N1749" s="43" t="str">
        <f>IF(Gastos[[#This Row],[Fecha_Cheque]]&gt;0,WEEKNUM(Gastos[[#This Row],[Fecha_Cheque]]),MID(Gastos[[#This Row],[Semana]],6,2))</f>
        <v>30</v>
      </c>
      <c r="O1749" t="s">
        <v>3881</v>
      </c>
      <c r="P1749" t="s">
        <v>27</v>
      </c>
    </row>
    <row r="1750" spans="1:16" hidden="1" x14ac:dyDescent="0.25">
      <c r="A1750" s="3" t="s">
        <v>28</v>
      </c>
      <c r="B1750" t="s">
        <v>1068</v>
      </c>
      <c r="C1750" t="s">
        <v>1069</v>
      </c>
      <c r="D1750" t="s">
        <v>26</v>
      </c>
      <c r="E1750" t="s">
        <v>31</v>
      </c>
      <c r="F1750">
        <v>1</v>
      </c>
      <c r="G1750" s="3" t="s">
        <v>5</v>
      </c>
      <c r="H1750" s="46" t="s">
        <v>15</v>
      </c>
      <c r="I1750" s="17">
        <v>49100</v>
      </c>
      <c r="J1750" s="17">
        <f>IF(Gastos[[#This Row],[Divisa]]="$", I1750*1, IF(Gastos[[#This Row],[Divisa]]="U$D", I1750*$N$1, IF(Gastos[[#This Row],[Divisa]]="EUR", I1750*$N$2, 0)))</f>
        <v>49100</v>
      </c>
      <c r="K1750" s="54">
        <f>Gastos[[#This Row],[Importe AR$]]/$N$1</f>
        <v>31.474358974358974</v>
      </c>
      <c r="M1750" s="69"/>
      <c r="N1750" s="43" t="str">
        <f>IF(Gastos[[#This Row],[Fecha_Cheque]]&gt;0,WEEKNUM(Gastos[[#This Row],[Fecha_Cheque]]),MID(Gastos[[#This Row],[Semana]],6,2))</f>
        <v>21</v>
      </c>
      <c r="O1750" t="s">
        <v>1070</v>
      </c>
      <c r="P1750" t="s">
        <v>27</v>
      </c>
    </row>
    <row r="1751" spans="1:16" hidden="1" x14ac:dyDescent="0.25">
      <c r="A1751" s="3" t="s">
        <v>99</v>
      </c>
      <c r="B1751" t="s">
        <v>1068</v>
      </c>
      <c r="C1751" t="s">
        <v>1071</v>
      </c>
      <c r="D1751" t="s">
        <v>26</v>
      </c>
      <c r="E1751" t="s">
        <v>31</v>
      </c>
      <c r="F1751">
        <v>1</v>
      </c>
      <c r="G1751" s="3" t="s">
        <v>5</v>
      </c>
      <c r="H1751" s="46" t="s">
        <v>15</v>
      </c>
      <c r="I1751" s="17">
        <v>377500</v>
      </c>
      <c r="J1751" s="17">
        <f>IF(Gastos[[#This Row],[Divisa]]="$", I1751*1, IF(Gastos[[#This Row],[Divisa]]="U$D", I1751*$N$1, IF(Gastos[[#This Row],[Divisa]]="EUR", I1751*$N$2, 0)))</f>
        <v>377500</v>
      </c>
      <c r="K1751" s="54">
        <f>Gastos[[#This Row],[Importe AR$]]/$N$1</f>
        <v>241.98717948717947</v>
      </c>
      <c r="M1751" s="69"/>
      <c r="N1751" s="43" t="str">
        <f>IF(Gastos[[#This Row],[Fecha_Cheque]]&gt;0,WEEKNUM(Gastos[[#This Row],[Fecha_Cheque]]),MID(Gastos[[#This Row],[Semana]],6,2))</f>
        <v>28</v>
      </c>
      <c r="O1751" t="s">
        <v>1072</v>
      </c>
      <c r="P1751" t="s">
        <v>27</v>
      </c>
    </row>
    <row r="1752" spans="1:16" hidden="1" x14ac:dyDescent="0.25">
      <c r="A1752" s="3" t="s">
        <v>68</v>
      </c>
      <c r="B1752" t="s">
        <v>1068</v>
      </c>
      <c r="C1752" t="s">
        <v>1073</v>
      </c>
      <c r="D1752" t="s">
        <v>26</v>
      </c>
      <c r="E1752" t="s">
        <v>42</v>
      </c>
      <c r="F1752">
        <v>1</v>
      </c>
      <c r="G1752" s="3" t="s">
        <v>4</v>
      </c>
      <c r="H1752" s="46" t="s">
        <v>15</v>
      </c>
      <c r="I1752" s="17">
        <v>41400</v>
      </c>
      <c r="J1752" s="17">
        <f>IF(Gastos[[#This Row],[Divisa]]="$", I1752*1, IF(Gastos[[#This Row],[Divisa]]="U$D", I1752*$N$1, IF(Gastos[[#This Row],[Divisa]]="EUR", I1752*$N$2, 0)))</f>
        <v>41400</v>
      </c>
      <c r="K1752" s="54">
        <f>Gastos[[#This Row],[Importe AR$]]/$N$1</f>
        <v>26.53846153846154</v>
      </c>
      <c r="M1752" s="69"/>
      <c r="N1752" s="43" t="str">
        <f>IF(Gastos[[#This Row],[Fecha_Cheque]]&gt;0,WEEKNUM(Gastos[[#This Row],[Fecha_Cheque]]),MID(Gastos[[#This Row],[Semana]],6,2))</f>
        <v>05</v>
      </c>
      <c r="O1752" t="s">
        <v>1074</v>
      </c>
      <c r="P1752" t="s">
        <v>27</v>
      </c>
    </row>
    <row r="1753" spans="1:16" hidden="1" x14ac:dyDescent="0.25">
      <c r="A1753" s="3" t="s">
        <v>4005</v>
      </c>
      <c r="B1753" t="s">
        <v>1068</v>
      </c>
      <c r="C1753" t="s">
        <v>4065</v>
      </c>
      <c r="D1753" t="s">
        <v>26</v>
      </c>
      <c r="E1753" t="s">
        <v>42</v>
      </c>
      <c r="F1753">
        <v>1</v>
      </c>
      <c r="G1753" s="3" t="s">
        <v>4</v>
      </c>
      <c r="H1753" s="44" t="s">
        <v>15</v>
      </c>
      <c r="I1753" s="17">
        <v>12600</v>
      </c>
      <c r="J1753" s="17">
        <f>IF(Gastos[[#This Row],[Divisa]]="$", I1753*1, IF(Gastos[[#This Row],[Divisa]]="U$D", I1753*$N$1, IF(Gastos[[#This Row],[Divisa]]="EUR", I1753*$N$2, 0)))</f>
        <v>12600</v>
      </c>
      <c r="K1753" s="54">
        <f>Gastos[[#This Row],[Importe AR$]]/$N$1</f>
        <v>8.0769230769230766</v>
      </c>
      <c r="M1753" s="69"/>
      <c r="N1753" s="43" t="str">
        <f>IF(Gastos[[#This Row],[Fecha_Cheque]]&gt;0,WEEKNUM(Gastos[[#This Row],[Fecha_Cheque]]),MID(Gastos[[#This Row],[Semana]],6,2))</f>
        <v>33</v>
      </c>
      <c r="O1753" t="s">
        <v>4066</v>
      </c>
      <c r="P1753" t="s">
        <v>27</v>
      </c>
    </row>
    <row r="1754" spans="1:16" hidden="1" x14ac:dyDescent="0.25">
      <c r="A1754" s="3" t="s">
        <v>72</v>
      </c>
      <c r="B1754" t="s">
        <v>1075</v>
      </c>
      <c r="C1754" t="s">
        <v>1076</v>
      </c>
      <c r="D1754" t="s">
        <v>26</v>
      </c>
      <c r="E1754" t="s">
        <v>31</v>
      </c>
      <c r="F1754">
        <v>1</v>
      </c>
      <c r="G1754" s="3" t="s">
        <v>32</v>
      </c>
      <c r="H1754" s="46" t="s">
        <v>15</v>
      </c>
      <c r="I1754" s="17">
        <v>277755.5</v>
      </c>
      <c r="J1754" s="17">
        <f>IF(Gastos[[#This Row],[Divisa]]="$", I1754*1, IF(Gastos[[#This Row],[Divisa]]="U$D", I1754*$N$1, IF(Gastos[[#This Row],[Divisa]]="EUR", I1754*$N$2, 0)))</f>
        <v>277755.5</v>
      </c>
      <c r="K1754" s="54">
        <f>Gastos[[#This Row],[Importe AR$]]/$N$1</f>
        <v>178.04839743589744</v>
      </c>
      <c r="M1754" s="69">
        <v>46006</v>
      </c>
      <c r="N1754" s="43">
        <f>IF(Gastos[[#This Row],[Fecha_Cheque]]&gt;0,WEEKNUM(Gastos[[#This Row],[Fecha_Cheque]]),MID(Gastos[[#This Row],[Semana]],6,2))</f>
        <v>51</v>
      </c>
      <c r="O1754" t="s">
        <v>1077</v>
      </c>
      <c r="P1754" t="s">
        <v>27</v>
      </c>
    </row>
    <row r="1755" spans="1:16" hidden="1" x14ac:dyDescent="0.25">
      <c r="A1755" s="3" t="s">
        <v>4569</v>
      </c>
      <c r="B1755" t="s">
        <v>4592</v>
      </c>
      <c r="C1755" t="s">
        <v>4593</v>
      </c>
      <c r="D1755" t="s">
        <v>26</v>
      </c>
      <c r="E1755" t="s">
        <v>42</v>
      </c>
      <c r="F1755">
        <v>1</v>
      </c>
      <c r="G1755" s="3" t="s">
        <v>4</v>
      </c>
      <c r="H1755" s="44" t="s">
        <v>15</v>
      </c>
      <c r="I1755" s="17">
        <v>23983.88</v>
      </c>
      <c r="J1755" s="17">
        <f>IF(Gastos[[#This Row],[Divisa]]="$", I1755*1, IF(Gastos[[#This Row],[Divisa]]="U$D", I1755*$N$1, IF(Gastos[[#This Row],[Divisa]]="EUR", I1755*$N$2, 0)))</f>
        <v>23983.88</v>
      </c>
      <c r="K1755" s="54">
        <f>Gastos[[#This Row],[Importe AR$]]/$N$1</f>
        <v>15.374282051282051</v>
      </c>
      <c r="M1755" s="69"/>
      <c r="N1755" s="43" t="str">
        <f>IF(Gastos[[#This Row],[Fecha_Cheque]]&gt;0,WEEKNUM(Gastos[[#This Row],[Fecha_Cheque]]),MID(Gastos[[#This Row],[Semana]],6,2))</f>
        <v>43</v>
      </c>
      <c r="O1755" t="s">
        <v>4594</v>
      </c>
      <c r="P1755" t="s">
        <v>27</v>
      </c>
    </row>
    <row r="1756" spans="1:16" hidden="1" x14ac:dyDescent="0.25">
      <c r="A1756" s="3" t="s">
        <v>4569</v>
      </c>
      <c r="B1756" t="s">
        <v>4592</v>
      </c>
      <c r="C1756" t="s">
        <v>4593</v>
      </c>
      <c r="D1756" t="s">
        <v>26</v>
      </c>
      <c r="E1756" t="s">
        <v>42</v>
      </c>
      <c r="F1756">
        <v>1</v>
      </c>
      <c r="G1756" s="3" t="s">
        <v>4</v>
      </c>
      <c r="H1756" s="44" t="s">
        <v>15</v>
      </c>
      <c r="I1756" s="17">
        <v>1700000</v>
      </c>
      <c r="J1756" s="17">
        <f>IF(Gastos[[#This Row],[Divisa]]="$", I1756*1, IF(Gastos[[#This Row],[Divisa]]="U$D", I1756*$N$1, IF(Gastos[[#This Row],[Divisa]]="EUR", I1756*$N$2, 0)))</f>
        <v>1700000</v>
      </c>
      <c r="K1756" s="54">
        <f>Gastos[[#This Row],[Importe AR$]]/$N$1</f>
        <v>1089.7435897435898</v>
      </c>
      <c r="M1756" s="69">
        <v>46343</v>
      </c>
      <c r="N1756" s="43">
        <f>IF(Gastos[[#This Row],[Fecha_Cheque]]&gt;0,WEEKNUM(Gastos[[#This Row],[Fecha_Cheque]]),MID(Gastos[[#This Row],[Semana]],6,2))</f>
        <v>47</v>
      </c>
      <c r="O1756" t="s">
        <v>4594</v>
      </c>
      <c r="P1756" t="s">
        <v>27</v>
      </c>
    </row>
    <row r="1757" spans="1:16" hidden="1" x14ac:dyDescent="0.25">
      <c r="A1757" s="3" t="s">
        <v>4569</v>
      </c>
      <c r="B1757" t="s">
        <v>4592</v>
      </c>
      <c r="C1757" t="s">
        <v>4593</v>
      </c>
      <c r="D1757" t="s">
        <v>26</v>
      </c>
      <c r="E1757" t="s">
        <v>42</v>
      </c>
      <c r="F1757">
        <v>1</v>
      </c>
      <c r="G1757" s="3" t="s">
        <v>4</v>
      </c>
      <c r="H1757" s="44" t="s">
        <v>15</v>
      </c>
      <c r="I1757" s="17">
        <v>24419.23</v>
      </c>
      <c r="J1757" s="17">
        <f>IF(Gastos[[#This Row],[Divisa]]="$", I1757*1, IF(Gastos[[#This Row],[Divisa]]="U$D", I1757*$N$1, IF(Gastos[[#This Row],[Divisa]]="EUR", I1757*$N$2, 0)))</f>
        <v>24419.23</v>
      </c>
      <c r="K1757" s="54">
        <f>Gastos[[#This Row],[Importe AR$]]/$N$1</f>
        <v>15.653352564102564</v>
      </c>
      <c r="M1757" s="69"/>
      <c r="N1757" s="43" t="str">
        <f>IF(Gastos[[#This Row],[Fecha_Cheque]]&gt;0,WEEKNUM(Gastos[[#This Row],[Fecha_Cheque]]),MID(Gastos[[#This Row],[Semana]],6,2))</f>
        <v>43</v>
      </c>
      <c r="O1757" t="s">
        <v>4594</v>
      </c>
      <c r="P1757" t="s">
        <v>27</v>
      </c>
    </row>
    <row r="1758" spans="1:16" x14ac:dyDescent="0.25">
      <c r="A1758" s="3" t="s">
        <v>4655</v>
      </c>
      <c r="B1758" t="s">
        <v>963</v>
      </c>
      <c r="C1758" t="s">
        <v>118</v>
      </c>
      <c r="D1758" t="s">
        <v>26</v>
      </c>
      <c r="E1758" t="s">
        <v>3929</v>
      </c>
      <c r="F1758">
        <v>2</v>
      </c>
      <c r="G1758" s="3" t="s">
        <v>32</v>
      </c>
      <c r="H1758" s="44" t="s">
        <v>2</v>
      </c>
      <c r="I1758" s="8">
        <v>634</v>
      </c>
      <c r="J1758" s="17">
        <f>IF(Gastos[[#This Row],[Divisa]]="$", I1758*1, IF(Gastos[[#This Row],[Divisa]]="U$D", I1758*$N$1, IF(Gastos[[#This Row],[Divisa]]="EUR", I1758*$N$2, 0)))</f>
        <v>989040</v>
      </c>
      <c r="K1758" s="54">
        <f>Gastos[[#This Row],[Importe AR$]]/$N$1</f>
        <v>634</v>
      </c>
      <c r="L1758" s="8"/>
      <c r="M1758" s="69"/>
      <c r="N1758" s="43" t="str">
        <f>IF(Gastos[[#This Row],[Fecha_Cheque]]&gt;0,WEEKNUM(Gastos[[#This Row],[Fecha_Cheque]]),MID(Gastos[[#This Row],[Semana]],6,2))</f>
        <v>44</v>
      </c>
    </row>
    <row r="1759" spans="1:16" hidden="1" x14ac:dyDescent="0.25">
      <c r="A1759" s="3" t="s">
        <v>3439</v>
      </c>
      <c r="B1759" t="s">
        <v>3539</v>
      </c>
      <c r="C1759" t="s">
        <v>3540</v>
      </c>
      <c r="D1759" t="s">
        <v>26</v>
      </c>
      <c r="E1759" t="s">
        <v>31</v>
      </c>
      <c r="F1759">
        <v>1</v>
      </c>
      <c r="G1759" s="3" t="s">
        <v>5</v>
      </c>
      <c r="H1759" s="44" t="s">
        <v>15</v>
      </c>
      <c r="I1759" s="17">
        <v>1926998.81</v>
      </c>
      <c r="J1759" s="17">
        <f>IF(Gastos[[#This Row],[Divisa]]="$", I1759*1, IF(Gastos[[#This Row],[Divisa]]="U$D", I1759*$N$1, IF(Gastos[[#This Row],[Divisa]]="EUR", I1759*$N$2, 0)))</f>
        <v>1926998.81</v>
      </c>
      <c r="K1759" s="54">
        <f>Gastos[[#This Row],[Importe AR$]]/$N$1</f>
        <v>1235.2556474358976</v>
      </c>
      <c r="M1759" s="69"/>
      <c r="N1759" s="43" t="str">
        <f>IF(Gastos[[#This Row],[Fecha_Cheque]]&gt;0,WEEKNUM(Gastos[[#This Row],[Fecha_Cheque]]),MID(Gastos[[#This Row],[Semana]],6,2))</f>
        <v>25</v>
      </c>
      <c r="O1759" t="s">
        <v>3541</v>
      </c>
      <c r="P1759" t="s">
        <v>27</v>
      </c>
    </row>
    <row r="1760" spans="1:16" hidden="1" x14ac:dyDescent="0.25">
      <c r="A1760" s="3" t="s">
        <v>3439</v>
      </c>
      <c r="B1760" t="s">
        <v>3539</v>
      </c>
      <c r="C1760" t="s">
        <v>3540</v>
      </c>
      <c r="D1760" t="s">
        <v>26</v>
      </c>
      <c r="E1760" t="s">
        <v>31</v>
      </c>
      <c r="F1760">
        <v>1</v>
      </c>
      <c r="G1760" s="3" t="s">
        <v>5</v>
      </c>
      <c r="H1760" s="44" t="s">
        <v>15</v>
      </c>
      <c r="I1760" s="17">
        <v>1926998.81</v>
      </c>
      <c r="J1760" s="17">
        <f>IF(Gastos[[#This Row],[Divisa]]="$", I1760*1, IF(Gastos[[#This Row],[Divisa]]="U$D", I1760*$N$1, IF(Gastos[[#This Row],[Divisa]]="EUR", I1760*$N$2, 0)))</f>
        <v>1926998.81</v>
      </c>
      <c r="K1760" s="54">
        <f>Gastos[[#This Row],[Importe AR$]]/$N$1</f>
        <v>1235.2556474358976</v>
      </c>
      <c r="M1760" s="69"/>
      <c r="N1760" s="43" t="str">
        <f>IF(Gastos[[#This Row],[Fecha_Cheque]]&gt;0,WEEKNUM(Gastos[[#This Row],[Fecha_Cheque]]),MID(Gastos[[#This Row],[Semana]],6,2))</f>
        <v>25</v>
      </c>
      <c r="O1760" t="s">
        <v>3541</v>
      </c>
      <c r="P1760" t="s">
        <v>27</v>
      </c>
    </row>
    <row r="1761" spans="1:16" hidden="1" x14ac:dyDescent="0.25">
      <c r="A1761" s="3" t="s">
        <v>3439</v>
      </c>
      <c r="B1761" t="s">
        <v>3539</v>
      </c>
      <c r="C1761" t="s">
        <v>3540</v>
      </c>
      <c r="D1761" t="s">
        <v>26</v>
      </c>
      <c r="E1761" t="s">
        <v>31</v>
      </c>
      <c r="F1761">
        <v>1</v>
      </c>
      <c r="G1761" s="3" t="s">
        <v>5</v>
      </c>
      <c r="H1761" s="44" t="s">
        <v>15</v>
      </c>
      <c r="I1761" s="17">
        <v>74081.58</v>
      </c>
      <c r="J1761" s="17">
        <f>IF(Gastos[[#This Row],[Divisa]]="$", I1761*1, IF(Gastos[[#This Row],[Divisa]]="U$D", I1761*$N$1, IF(Gastos[[#This Row],[Divisa]]="EUR", I1761*$N$2, 0)))</f>
        <v>74081.58</v>
      </c>
      <c r="K1761" s="54">
        <f>Gastos[[#This Row],[Importe AR$]]/$N$1</f>
        <v>47.488192307692309</v>
      </c>
      <c r="L1761" t="s">
        <v>340</v>
      </c>
      <c r="M1761" s="69"/>
      <c r="N1761" s="43" t="str">
        <f>IF(Gastos[[#This Row],[Fecha_Cheque]]&gt;0,WEEKNUM(Gastos[[#This Row],[Fecha_Cheque]]),MID(Gastos[[#This Row],[Semana]],6,2))</f>
        <v>25</v>
      </c>
      <c r="O1761" t="s">
        <v>3541</v>
      </c>
      <c r="P1761" t="s">
        <v>27</v>
      </c>
    </row>
    <row r="1762" spans="1:16" hidden="1" x14ac:dyDescent="0.25">
      <c r="A1762" s="3" t="s">
        <v>52</v>
      </c>
      <c r="B1762" t="s">
        <v>1079</v>
      </c>
      <c r="C1762" t="s">
        <v>1080</v>
      </c>
      <c r="D1762" t="s">
        <v>26</v>
      </c>
      <c r="E1762" t="s">
        <v>31</v>
      </c>
      <c r="F1762">
        <v>1</v>
      </c>
      <c r="G1762" s="3" t="s">
        <v>32</v>
      </c>
      <c r="H1762" s="46" t="s">
        <v>15</v>
      </c>
      <c r="I1762" s="19">
        <v>19366532.789999999</v>
      </c>
      <c r="J1762" s="17">
        <f>IF(Gastos[[#This Row],[Divisa]]="$", I1762*1, IF(Gastos[[#This Row],[Divisa]]="U$D", I1762*$N$1, IF(Gastos[[#This Row],[Divisa]]="EUR", I1762*$N$2, 0)))</f>
        <v>19366532.789999999</v>
      </c>
      <c r="K1762" s="55">
        <f>Gastos[[#This Row],[Importe AR$]]/$N$1</f>
        <v>12414.444096153846</v>
      </c>
      <c r="L1762" t="s">
        <v>1081</v>
      </c>
      <c r="M1762" s="69"/>
      <c r="N1762" s="43" t="str">
        <f>IF(Gastos[[#This Row],[Fecha_Cheque]]&gt;0,WEEKNUM(Gastos[[#This Row],[Fecha_Cheque]]),MID(Gastos[[#This Row],[Semana]],6,2))</f>
        <v>12</v>
      </c>
      <c r="P1762" t="s">
        <v>27</v>
      </c>
    </row>
    <row r="1763" spans="1:16" hidden="1" x14ac:dyDescent="0.25">
      <c r="A1763" s="3" t="s">
        <v>217</v>
      </c>
      <c r="B1763" t="s">
        <v>1079</v>
      </c>
      <c r="C1763" t="s">
        <v>1082</v>
      </c>
      <c r="D1763" t="s">
        <v>26</v>
      </c>
      <c r="E1763" t="s">
        <v>31</v>
      </c>
      <c r="F1763">
        <v>1</v>
      </c>
      <c r="G1763" s="3" t="s">
        <v>32</v>
      </c>
      <c r="H1763" s="46" t="s">
        <v>15</v>
      </c>
      <c r="I1763" s="17">
        <v>4498200</v>
      </c>
      <c r="J1763" s="17">
        <f>IF(Gastos[[#This Row],[Divisa]]="$", I1763*1, IF(Gastos[[#This Row],[Divisa]]="U$D", I1763*$N$1, IF(Gastos[[#This Row],[Divisa]]="EUR", I1763*$N$2, 0)))</f>
        <v>4498200</v>
      </c>
      <c r="K1763" s="54">
        <f>Gastos[[#This Row],[Importe AR$]]/$N$1</f>
        <v>2883.4615384615386</v>
      </c>
      <c r="L1763" t="s">
        <v>1083</v>
      </c>
      <c r="M1763" s="69">
        <v>45905</v>
      </c>
      <c r="N1763" s="43">
        <f>IF(Gastos[[#This Row],[Fecha_Cheque]]&gt;0,WEEKNUM(Gastos[[#This Row],[Fecha_Cheque]]),MID(Gastos[[#This Row],[Semana]],6,2))</f>
        <v>36</v>
      </c>
      <c r="O1763" t="s">
        <v>1084</v>
      </c>
      <c r="P1763" t="s">
        <v>27</v>
      </c>
    </row>
    <row r="1764" spans="1:16" hidden="1" x14ac:dyDescent="0.25">
      <c r="A1764" s="3" t="s">
        <v>217</v>
      </c>
      <c r="B1764" t="s">
        <v>1079</v>
      </c>
      <c r="C1764" t="s">
        <v>1082</v>
      </c>
      <c r="D1764" t="s">
        <v>26</v>
      </c>
      <c r="E1764" t="s">
        <v>31</v>
      </c>
      <c r="F1764">
        <v>1</v>
      </c>
      <c r="G1764" s="3" t="s">
        <v>32</v>
      </c>
      <c r="H1764" s="46" t="s">
        <v>15</v>
      </c>
      <c r="I1764" s="17">
        <v>4498200</v>
      </c>
      <c r="J1764" s="17">
        <f>IF(Gastos[[#This Row],[Divisa]]="$", I1764*1, IF(Gastos[[#This Row],[Divisa]]="U$D", I1764*$N$1, IF(Gastos[[#This Row],[Divisa]]="EUR", I1764*$N$2, 0)))</f>
        <v>4498200</v>
      </c>
      <c r="K1764" s="54">
        <f>Gastos[[#This Row],[Importe AR$]]/$N$1</f>
        <v>2883.4615384615386</v>
      </c>
      <c r="L1764" t="s">
        <v>1083</v>
      </c>
      <c r="M1764" s="69">
        <v>45893</v>
      </c>
      <c r="N1764" s="43">
        <f>IF(Gastos[[#This Row],[Fecha_Cheque]]&gt;0,WEEKNUM(Gastos[[#This Row],[Fecha_Cheque]]),MID(Gastos[[#This Row],[Semana]],6,2))</f>
        <v>35</v>
      </c>
      <c r="O1764" t="s">
        <v>1084</v>
      </c>
      <c r="P1764" t="s">
        <v>27</v>
      </c>
    </row>
    <row r="1765" spans="1:16" hidden="1" x14ac:dyDescent="0.25">
      <c r="A1765" s="3" t="s">
        <v>117</v>
      </c>
      <c r="B1765" t="s">
        <v>1079</v>
      </c>
      <c r="C1765" t="s">
        <v>1085</v>
      </c>
      <c r="D1765" t="s">
        <v>26</v>
      </c>
      <c r="E1765" t="s">
        <v>31</v>
      </c>
      <c r="F1765">
        <v>1</v>
      </c>
      <c r="G1765" s="3" t="s">
        <v>32</v>
      </c>
      <c r="H1765" s="46" t="s">
        <v>15</v>
      </c>
      <c r="I1765" s="17">
        <v>11689739.720000001</v>
      </c>
      <c r="J1765" s="17">
        <f>IF(Gastos[[#This Row],[Divisa]]="$", I1765*1, IF(Gastos[[#This Row],[Divisa]]="U$D", I1765*$N$1, IF(Gastos[[#This Row],[Divisa]]="EUR", I1765*$N$2, 0)))</f>
        <v>11689739.720000001</v>
      </c>
      <c r="K1765" s="54">
        <f>Gastos[[#This Row],[Importe AR$]]/$N$1</f>
        <v>7493.4228974358975</v>
      </c>
      <c r="M1765" s="69">
        <v>45919</v>
      </c>
      <c r="N1765" s="43">
        <f>IF(Gastos[[#This Row],[Fecha_Cheque]]&gt;0,WEEKNUM(Gastos[[#This Row],[Fecha_Cheque]]),MID(Gastos[[#This Row],[Semana]],6,2))</f>
        <v>38</v>
      </c>
      <c r="O1765" t="s">
        <v>1086</v>
      </c>
      <c r="P1765" t="s">
        <v>27</v>
      </c>
    </row>
    <row r="1766" spans="1:16" hidden="1" x14ac:dyDescent="0.25">
      <c r="A1766" s="3" t="s">
        <v>171</v>
      </c>
      <c r="B1766" t="s">
        <v>1079</v>
      </c>
      <c r="C1766" t="s">
        <v>1087</v>
      </c>
      <c r="D1766" t="s">
        <v>26</v>
      </c>
      <c r="E1766" t="s">
        <v>31</v>
      </c>
      <c r="F1766">
        <v>1</v>
      </c>
      <c r="G1766" s="3" t="s">
        <v>32</v>
      </c>
      <c r="H1766" s="46" t="s">
        <v>15</v>
      </c>
      <c r="I1766" s="17">
        <v>13196874.25</v>
      </c>
      <c r="J1766" s="17">
        <f>IF(Gastos[[#This Row],[Divisa]]="$", I1766*1, IF(Gastos[[#This Row],[Divisa]]="U$D", I1766*$N$1, IF(Gastos[[#This Row],[Divisa]]="EUR", I1766*$N$2, 0)))</f>
        <v>13196874.25</v>
      </c>
      <c r="K1766" s="54">
        <f>Gastos[[#This Row],[Importe AR$]]/$N$1</f>
        <v>8459.5347756410265</v>
      </c>
      <c r="M1766" s="69">
        <v>45960</v>
      </c>
      <c r="N1766" s="43">
        <f>IF(Gastos[[#This Row],[Fecha_Cheque]]&gt;0,WEEKNUM(Gastos[[#This Row],[Fecha_Cheque]]),MID(Gastos[[#This Row],[Semana]],6,2))</f>
        <v>44</v>
      </c>
      <c r="O1766" t="s">
        <v>1088</v>
      </c>
      <c r="P1766" t="s">
        <v>27</v>
      </c>
    </row>
    <row r="1767" spans="1:16" hidden="1" x14ac:dyDescent="0.25">
      <c r="A1767" s="3" t="s">
        <v>72</v>
      </c>
      <c r="B1767" t="s">
        <v>1079</v>
      </c>
      <c r="C1767" t="s">
        <v>1089</v>
      </c>
      <c r="D1767" t="s">
        <v>26</v>
      </c>
      <c r="E1767" t="s">
        <v>62</v>
      </c>
      <c r="F1767">
        <v>1</v>
      </c>
      <c r="G1767" s="3" t="s">
        <v>32</v>
      </c>
      <c r="H1767" s="46" t="s">
        <v>15</v>
      </c>
      <c r="I1767" s="17">
        <v>1950000</v>
      </c>
      <c r="J1767" s="17">
        <f>IF(Gastos[[#This Row],[Divisa]]="$", I1767*1, IF(Gastos[[#This Row],[Divisa]]="U$D", I1767*$N$1, IF(Gastos[[#This Row],[Divisa]]="EUR", I1767*$N$2, 0)))</f>
        <v>1950000</v>
      </c>
      <c r="K1767" s="54">
        <f>Gastos[[#This Row],[Importe AR$]]/$N$1</f>
        <v>1250</v>
      </c>
      <c r="M1767" s="69">
        <v>46036</v>
      </c>
      <c r="N1767" s="43">
        <f>IF(Gastos[[#This Row],[Fecha_Cheque]]&gt;0,WEEKNUM(Gastos[[#This Row],[Fecha_Cheque]]),MID(Gastos[[#This Row],[Semana]],6,2))</f>
        <v>3</v>
      </c>
      <c r="O1767" t="s">
        <v>1090</v>
      </c>
      <c r="P1767" t="s">
        <v>27</v>
      </c>
    </row>
    <row r="1768" spans="1:16" hidden="1" x14ac:dyDescent="0.25">
      <c r="A1768" s="3" t="s">
        <v>72</v>
      </c>
      <c r="B1768" t="s">
        <v>1079</v>
      </c>
      <c r="C1768" t="s">
        <v>1089</v>
      </c>
      <c r="D1768" t="s">
        <v>26</v>
      </c>
      <c r="E1768" t="s">
        <v>62</v>
      </c>
      <c r="F1768">
        <v>1</v>
      </c>
      <c r="G1768" s="3" t="s">
        <v>32</v>
      </c>
      <c r="H1768" s="46" t="s">
        <v>15</v>
      </c>
      <c r="I1768" s="17">
        <v>1950000</v>
      </c>
      <c r="J1768" s="17">
        <f>IF(Gastos[[#This Row],[Divisa]]="$", I1768*1, IF(Gastos[[#This Row],[Divisa]]="U$D", I1768*$N$1, IF(Gastos[[#This Row],[Divisa]]="EUR", I1768*$N$2, 0)))</f>
        <v>1950000</v>
      </c>
      <c r="K1768" s="54">
        <f>Gastos[[#This Row],[Importe AR$]]/$N$1</f>
        <v>1250</v>
      </c>
      <c r="M1768" s="69">
        <v>46034</v>
      </c>
      <c r="N1768" s="43">
        <f>IF(Gastos[[#This Row],[Fecha_Cheque]]&gt;0,WEEKNUM(Gastos[[#This Row],[Fecha_Cheque]]),MID(Gastos[[#This Row],[Semana]],6,2))</f>
        <v>3</v>
      </c>
      <c r="O1768" t="s">
        <v>1090</v>
      </c>
      <c r="P1768" t="s">
        <v>27</v>
      </c>
    </row>
    <row r="1769" spans="1:16" hidden="1" x14ac:dyDescent="0.25">
      <c r="A1769" s="3" t="s">
        <v>72</v>
      </c>
      <c r="B1769" t="s">
        <v>1079</v>
      </c>
      <c r="C1769" t="s">
        <v>1089</v>
      </c>
      <c r="D1769" t="s">
        <v>26</v>
      </c>
      <c r="E1769" t="s">
        <v>62</v>
      </c>
      <c r="F1769">
        <v>1</v>
      </c>
      <c r="G1769" s="3" t="s">
        <v>32</v>
      </c>
      <c r="H1769" s="46" t="s">
        <v>15</v>
      </c>
      <c r="I1769" s="17">
        <v>1950000</v>
      </c>
      <c r="J1769" s="17">
        <f>IF(Gastos[[#This Row],[Divisa]]="$", I1769*1, IF(Gastos[[#This Row],[Divisa]]="U$D", I1769*$N$1, IF(Gastos[[#This Row],[Divisa]]="EUR", I1769*$N$2, 0)))</f>
        <v>1950000</v>
      </c>
      <c r="K1769" s="54">
        <f>Gastos[[#This Row],[Importe AR$]]/$N$1</f>
        <v>1250</v>
      </c>
      <c r="M1769" s="69">
        <v>46031</v>
      </c>
      <c r="N1769" s="43">
        <f>IF(Gastos[[#This Row],[Fecha_Cheque]]&gt;0,WEEKNUM(Gastos[[#This Row],[Fecha_Cheque]]),MID(Gastos[[#This Row],[Semana]],6,2))</f>
        <v>2</v>
      </c>
      <c r="O1769" t="s">
        <v>1090</v>
      </c>
      <c r="P1769" t="s">
        <v>27</v>
      </c>
    </row>
    <row r="1770" spans="1:16" hidden="1" x14ac:dyDescent="0.25">
      <c r="A1770" s="3" t="s">
        <v>72</v>
      </c>
      <c r="B1770" t="s">
        <v>1079</v>
      </c>
      <c r="C1770" t="s">
        <v>1089</v>
      </c>
      <c r="D1770" t="s">
        <v>26</v>
      </c>
      <c r="E1770" t="s">
        <v>62</v>
      </c>
      <c r="F1770">
        <v>1</v>
      </c>
      <c r="G1770" s="3" t="s">
        <v>32</v>
      </c>
      <c r="H1770" s="46" t="s">
        <v>15</v>
      </c>
      <c r="I1770" s="17">
        <v>1950000</v>
      </c>
      <c r="J1770" s="17">
        <f>IF(Gastos[[#This Row],[Divisa]]="$", I1770*1, IF(Gastos[[#This Row],[Divisa]]="U$D", I1770*$N$1, IF(Gastos[[#This Row],[Divisa]]="EUR", I1770*$N$2, 0)))</f>
        <v>1950000</v>
      </c>
      <c r="K1770" s="54">
        <f>Gastos[[#This Row],[Importe AR$]]/$N$1</f>
        <v>1250</v>
      </c>
      <c r="M1770" s="69">
        <v>46035</v>
      </c>
      <c r="N1770" s="43">
        <f>IF(Gastos[[#This Row],[Fecha_Cheque]]&gt;0,WEEKNUM(Gastos[[#This Row],[Fecha_Cheque]]),MID(Gastos[[#This Row],[Semana]],6,2))</f>
        <v>3</v>
      </c>
      <c r="O1770" t="s">
        <v>1090</v>
      </c>
      <c r="P1770" t="s">
        <v>27</v>
      </c>
    </row>
    <row r="1771" spans="1:16" hidden="1" x14ac:dyDescent="0.25">
      <c r="A1771" s="3" t="s">
        <v>72</v>
      </c>
      <c r="B1771" t="s">
        <v>1079</v>
      </c>
      <c r="C1771" t="s">
        <v>1089</v>
      </c>
      <c r="D1771" t="s">
        <v>26</v>
      </c>
      <c r="E1771" t="s">
        <v>62</v>
      </c>
      <c r="F1771">
        <v>1</v>
      </c>
      <c r="G1771" s="3" t="s">
        <v>32</v>
      </c>
      <c r="H1771" s="46" t="s">
        <v>15</v>
      </c>
      <c r="I1771" s="17">
        <v>1643989.68</v>
      </c>
      <c r="J1771" s="17">
        <f>IF(Gastos[[#This Row],[Divisa]]="$", I1771*1, IF(Gastos[[#This Row],[Divisa]]="U$D", I1771*$N$1, IF(Gastos[[#This Row],[Divisa]]="EUR", I1771*$N$2, 0)))</f>
        <v>1643989.68</v>
      </c>
      <c r="K1771" s="54">
        <f>Gastos[[#This Row],[Importe AR$]]/$N$1</f>
        <v>1053.8395384615385</v>
      </c>
      <c r="M1771" s="69">
        <v>45954</v>
      </c>
      <c r="N1771" s="43">
        <f>IF(Gastos[[#This Row],[Fecha_Cheque]]&gt;0,WEEKNUM(Gastos[[#This Row],[Fecha_Cheque]]),MID(Gastos[[#This Row],[Semana]],6,2))</f>
        <v>43</v>
      </c>
      <c r="O1771" t="s">
        <v>1090</v>
      </c>
      <c r="P1771" t="s">
        <v>27</v>
      </c>
    </row>
    <row r="1772" spans="1:16" hidden="1" x14ac:dyDescent="0.25">
      <c r="A1772" s="3" t="s">
        <v>72</v>
      </c>
      <c r="B1772" t="s">
        <v>1079</v>
      </c>
      <c r="C1772" t="s">
        <v>1089</v>
      </c>
      <c r="D1772" t="s">
        <v>26</v>
      </c>
      <c r="E1772" t="s">
        <v>62</v>
      </c>
      <c r="F1772">
        <v>1</v>
      </c>
      <c r="G1772" s="3" t="s">
        <v>32</v>
      </c>
      <c r="H1772" s="46" t="s">
        <v>15</v>
      </c>
      <c r="I1772" s="17">
        <v>2535150.08</v>
      </c>
      <c r="J1772" s="17">
        <f>IF(Gastos[[#This Row],[Divisa]]="$", I1772*1, IF(Gastos[[#This Row],[Divisa]]="U$D", I1772*$N$1, IF(Gastos[[#This Row],[Divisa]]="EUR", I1772*$N$2, 0)))</f>
        <v>2535150.08</v>
      </c>
      <c r="K1772" s="54">
        <f>Gastos[[#This Row],[Importe AR$]]/$N$1</f>
        <v>1625.0962051282052</v>
      </c>
      <c r="M1772" s="69">
        <v>46044</v>
      </c>
      <c r="N1772" s="43">
        <f>IF(Gastos[[#This Row],[Fecha_Cheque]]&gt;0,WEEKNUM(Gastos[[#This Row],[Fecha_Cheque]]),MID(Gastos[[#This Row],[Semana]],6,2))</f>
        <v>4</v>
      </c>
      <c r="O1772" t="s">
        <v>1090</v>
      </c>
      <c r="P1772" t="s">
        <v>27</v>
      </c>
    </row>
    <row r="1773" spans="1:16" hidden="1" x14ac:dyDescent="0.25">
      <c r="A1773" s="3" t="s">
        <v>72</v>
      </c>
      <c r="B1773" t="s">
        <v>1079</v>
      </c>
      <c r="C1773" t="s">
        <v>1089</v>
      </c>
      <c r="D1773" t="s">
        <v>26</v>
      </c>
      <c r="E1773" t="s">
        <v>62</v>
      </c>
      <c r="F1773">
        <v>1</v>
      </c>
      <c r="G1773" s="3" t="s">
        <v>32</v>
      </c>
      <c r="H1773" s="46" t="s">
        <v>15</v>
      </c>
      <c r="I1773" s="17">
        <v>3287782.47</v>
      </c>
      <c r="J1773" s="17">
        <f>IF(Gastos[[#This Row],[Divisa]]="$", I1773*1, IF(Gastos[[#This Row],[Divisa]]="U$D", I1773*$N$1, IF(Gastos[[#This Row],[Divisa]]="EUR", I1773*$N$2, 0)))</f>
        <v>3287782.47</v>
      </c>
      <c r="K1773" s="54">
        <f>Gastos[[#This Row],[Importe AR$]]/$N$1</f>
        <v>2107.5528653846154</v>
      </c>
      <c r="M1773" s="69">
        <v>46044</v>
      </c>
      <c r="N1773" s="43">
        <f>IF(Gastos[[#This Row],[Fecha_Cheque]]&gt;0,WEEKNUM(Gastos[[#This Row],[Fecha_Cheque]]),MID(Gastos[[#This Row],[Semana]],6,2))</f>
        <v>4</v>
      </c>
      <c r="O1773" t="s">
        <v>1090</v>
      </c>
      <c r="P1773" t="s">
        <v>27</v>
      </c>
    </row>
    <row r="1774" spans="1:16" hidden="1" x14ac:dyDescent="0.25">
      <c r="A1774" s="3" t="s">
        <v>72</v>
      </c>
      <c r="B1774" t="s">
        <v>1079</v>
      </c>
      <c r="C1774" t="s">
        <v>1089</v>
      </c>
      <c r="D1774" t="s">
        <v>26</v>
      </c>
      <c r="E1774" t="s">
        <v>62</v>
      </c>
      <c r="F1774">
        <v>1</v>
      </c>
      <c r="G1774" s="3" t="s">
        <v>32</v>
      </c>
      <c r="H1774" s="46" t="s">
        <v>15</v>
      </c>
      <c r="I1774" s="17">
        <v>4495601.4000000004</v>
      </c>
      <c r="J1774" s="17">
        <f>IF(Gastos[[#This Row],[Divisa]]="$", I1774*1, IF(Gastos[[#This Row],[Divisa]]="U$D", I1774*$N$1, IF(Gastos[[#This Row],[Divisa]]="EUR", I1774*$N$2, 0)))</f>
        <v>4495601.4000000004</v>
      </c>
      <c r="K1774" s="54">
        <f>Gastos[[#This Row],[Importe AR$]]/$N$1</f>
        <v>2881.7957692307696</v>
      </c>
      <c r="M1774" s="69">
        <v>46043</v>
      </c>
      <c r="N1774" s="43">
        <f>IF(Gastos[[#This Row],[Fecha_Cheque]]&gt;0,WEEKNUM(Gastos[[#This Row],[Fecha_Cheque]]),MID(Gastos[[#This Row],[Semana]],6,2))</f>
        <v>4</v>
      </c>
      <c r="O1774" t="s">
        <v>1090</v>
      </c>
      <c r="P1774" t="s">
        <v>27</v>
      </c>
    </row>
    <row r="1775" spans="1:16" hidden="1" x14ac:dyDescent="0.25">
      <c r="A1775" s="3" t="s">
        <v>72</v>
      </c>
      <c r="B1775" t="s">
        <v>1079</v>
      </c>
      <c r="C1775" t="s">
        <v>1091</v>
      </c>
      <c r="D1775" t="s">
        <v>26</v>
      </c>
      <c r="E1775" t="s">
        <v>31</v>
      </c>
      <c r="F1775">
        <v>1</v>
      </c>
      <c r="G1775" s="3" t="s">
        <v>5</v>
      </c>
      <c r="H1775" s="46" t="s">
        <v>15</v>
      </c>
      <c r="I1775" s="17">
        <v>26528.84</v>
      </c>
      <c r="J1775" s="17">
        <f>IF(Gastos[[#This Row],[Divisa]]="$", I1775*1, IF(Gastos[[#This Row],[Divisa]]="U$D", I1775*$N$1, IF(Gastos[[#This Row],[Divisa]]="EUR", I1775*$N$2, 0)))</f>
        <v>26528.84</v>
      </c>
      <c r="K1775" s="54">
        <f>Gastos[[#This Row],[Importe AR$]]/$N$1</f>
        <v>17.005666666666666</v>
      </c>
      <c r="M1775" s="69"/>
      <c r="N1775" s="43" t="str">
        <f>IF(Gastos[[#This Row],[Fecha_Cheque]]&gt;0,WEEKNUM(Gastos[[#This Row],[Fecha_Cheque]]),MID(Gastos[[#This Row],[Semana]],6,2))</f>
        <v>48</v>
      </c>
      <c r="O1775" t="s">
        <v>1090</v>
      </c>
      <c r="P1775" t="s">
        <v>27</v>
      </c>
    </row>
    <row r="1776" spans="1:16" hidden="1" x14ac:dyDescent="0.25">
      <c r="A1776" s="3" t="s">
        <v>93</v>
      </c>
      <c r="B1776" t="s">
        <v>1079</v>
      </c>
      <c r="C1776" t="s">
        <v>1089</v>
      </c>
      <c r="D1776" t="s">
        <v>26</v>
      </c>
      <c r="E1776" t="s">
        <v>62</v>
      </c>
      <c r="F1776">
        <v>1</v>
      </c>
      <c r="G1776" s="3" t="s">
        <v>32</v>
      </c>
      <c r="H1776" s="46" t="s">
        <v>15</v>
      </c>
      <c r="I1776" s="17">
        <v>845838.53</v>
      </c>
      <c r="J1776" s="17">
        <f>IF(Gastos[[#This Row],[Divisa]]="$", I1776*1, IF(Gastos[[#This Row],[Divisa]]="U$D", I1776*$N$1, IF(Gastos[[#This Row],[Divisa]]="EUR", I1776*$N$2, 0)))</f>
        <v>845838.53</v>
      </c>
      <c r="K1776" s="54">
        <f>Gastos[[#This Row],[Importe AR$]]/$N$1</f>
        <v>542.20418589743588</v>
      </c>
      <c r="M1776" s="69">
        <v>46002</v>
      </c>
      <c r="N1776" s="43">
        <f>IF(Gastos[[#This Row],[Fecha_Cheque]]&gt;0,WEEKNUM(Gastos[[#This Row],[Fecha_Cheque]]),MID(Gastos[[#This Row],[Semana]],6,2))</f>
        <v>50</v>
      </c>
      <c r="O1776" t="s">
        <v>1092</v>
      </c>
      <c r="P1776" t="s">
        <v>27</v>
      </c>
    </row>
    <row r="1777" spans="1:16" hidden="1" x14ac:dyDescent="0.25">
      <c r="A1777" s="3" t="s">
        <v>93</v>
      </c>
      <c r="B1777" t="s">
        <v>1079</v>
      </c>
      <c r="C1777" t="s">
        <v>1089</v>
      </c>
      <c r="D1777" t="s">
        <v>26</v>
      </c>
      <c r="E1777" t="s">
        <v>62</v>
      </c>
      <c r="F1777">
        <v>1</v>
      </c>
      <c r="G1777" s="3" t="s">
        <v>32</v>
      </c>
      <c r="H1777" s="46" t="s">
        <v>15</v>
      </c>
      <c r="I1777" s="17">
        <v>852200.09</v>
      </c>
      <c r="J1777" s="17">
        <f>IF(Gastos[[#This Row],[Divisa]]="$", I1777*1, IF(Gastos[[#This Row],[Divisa]]="U$D", I1777*$N$1, IF(Gastos[[#This Row],[Divisa]]="EUR", I1777*$N$2, 0)))</f>
        <v>852200.09</v>
      </c>
      <c r="K1777" s="54">
        <f>Gastos[[#This Row],[Importe AR$]]/$N$1</f>
        <v>546.28210897435895</v>
      </c>
      <c r="M1777" s="69">
        <v>46006</v>
      </c>
      <c r="N1777" s="43">
        <f>IF(Gastos[[#This Row],[Fecha_Cheque]]&gt;0,WEEKNUM(Gastos[[#This Row],[Fecha_Cheque]]),MID(Gastos[[#This Row],[Semana]],6,2))</f>
        <v>51</v>
      </c>
      <c r="O1777" t="s">
        <v>1092</v>
      </c>
      <c r="P1777" t="s">
        <v>27</v>
      </c>
    </row>
    <row r="1778" spans="1:16" hidden="1" x14ac:dyDescent="0.25">
      <c r="A1778" s="3" t="s">
        <v>93</v>
      </c>
      <c r="B1778" t="s">
        <v>1079</v>
      </c>
      <c r="C1778" t="s">
        <v>1089</v>
      </c>
      <c r="D1778" t="s">
        <v>26</v>
      </c>
      <c r="E1778" t="s">
        <v>62</v>
      </c>
      <c r="F1778">
        <v>1</v>
      </c>
      <c r="G1778" s="3" t="s">
        <v>32</v>
      </c>
      <c r="H1778" s="46" t="s">
        <v>15</v>
      </c>
      <c r="I1778" s="17">
        <v>875099.5</v>
      </c>
      <c r="J1778" s="17">
        <f>IF(Gastos[[#This Row],[Divisa]]="$", I1778*1, IF(Gastos[[#This Row],[Divisa]]="U$D", I1778*$N$1, IF(Gastos[[#This Row],[Divisa]]="EUR", I1778*$N$2, 0)))</f>
        <v>875099.5</v>
      </c>
      <c r="K1778" s="54">
        <f>Gastos[[#This Row],[Importe AR$]]/$N$1</f>
        <v>560.96121794871794</v>
      </c>
      <c r="M1778" s="69">
        <v>46003</v>
      </c>
      <c r="N1778" s="43">
        <f>IF(Gastos[[#This Row],[Fecha_Cheque]]&gt;0,WEEKNUM(Gastos[[#This Row],[Fecha_Cheque]]),MID(Gastos[[#This Row],[Semana]],6,2))</f>
        <v>50</v>
      </c>
      <c r="O1778" t="s">
        <v>1092</v>
      </c>
      <c r="P1778" t="s">
        <v>27</v>
      </c>
    </row>
    <row r="1779" spans="1:16" hidden="1" x14ac:dyDescent="0.25">
      <c r="A1779" s="3" t="s">
        <v>93</v>
      </c>
      <c r="B1779" t="s">
        <v>1079</v>
      </c>
      <c r="C1779" t="s">
        <v>1089</v>
      </c>
      <c r="D1779" t="s">
        <v>26</v>
      </c>
      <c r="E1779" t="s">
        <v>62</v>
      </c>
      <c r="F1779">
        <v>1</v>
      </c>
      <c r="G1779" s="3" t="s">
        <v>32</v>
      </c>
      <c r="H1779" s="46" t="s">
        <v>15</v>
      </c>
      <c r="I1779" s="17">
        <v>1529551.7</v>
      </c>
      <c r="J1779" s="17">
        <f>IF(Gastos[[#This Row],[Divisa]]="$", I1779*1, IF(Gastos[[#This Row],[Divisa]]="U$D", I1779*$N$1, IF(Gastos[[#This Row],[Divisa]]="EUR", I1779*$N$2, 0)))</f>
        <v>1529551.7</v>
      </c>
      <c r="K1779" s="54">
        <f>Gastos[[#This Row],[Importe AR$]]/$N$1</f>
        <v>980.48185897435894</v>
      </c>
      <c r="M1779" s="69">
        <v>46003</v>
      </c>
      <c r="N1779" s="43">
        <f>IF(Gastos[[#This Row],[Fecha_Cheque]]&gt;0,WEEKNUM(Gastos[[#This Row],[Fecha_Cheque]]),MID(Gastos[[#This Row],[Semana]],6,2))</f>
        <v>50</v>
      </c>
      <c r="O1779" t="s">
        <v>1092</v>
      </c>
      <c r="P1779" t="s">
        <v>27</v>
      </c>
    </row>
    <row r="1780" spans="1:16" hidden="1" x14ac:dyDescent="0.25">
      <c r="A1780" s="3" t="s">
        <v>93</v>
      </c>
      <c r="B1780" t="s">
        <v>1079</v>
      </c>
      <c r="C1780" t="s">
        <v>1089</v>
      </c>
      <c r="D1780" t="s">
        <v>26</v>
      </c>
      <c r="E1780" t="s">
        <v>62</v>
      </c>
      <c r="F1780">
        <v>1</v>
      </c>
      <c r="G1780" s="3" t="s">
        <v>32</v>
      </c>
      <c r="H1780" s="46" t="s">
        <v>15</v>
      </c>
      <c r="I1780" s="17">
        <v>3900000</v>
      </c>
      <c r="J1780" s="17">
        <f>IF(Gastos[[#This Row],[Divisa]]="$", I1780*1, IF(Gastos[[#This Row],[Divisa]]="U$D", I1780*$N$1, IF(Gastos[[#This Row],[Divisa]]="EUR", I1780*$N$2, 0)))</f>
        <v>3900000</v>
      </c>
      <c r="K1780" s="54">
        <f>Gastos[[#This Row],[Importe AR$]]/$N$1</f>
        <v>2500</v>
      </c>
      <c r="M1780" s="69">
        <v>46009</v>
      </c>
      <c r="N1780" s="43">
        <f>IF(Gastos[[#This Row],[Fecha_Cheque]]&gt;0,WEEKNUM(Gastos[[#This Row],[Fecha_Cheque]]),MID(Gastos[[#This Row],[Semana]],6,2))</f>
        <v>51</v>
      </c>
      <c r="O1780" t="s">
        <v>1092</v>
      </c>
      <c r="P1780" t="s">
        <v>27</v>
      </c>
    </row>
    <row r="1781" spans="1:16" hidden="1" x14ac:dyDescent="0.25">
      <c r="A1781" s="3" t="s">
        <v>378</v>
      </c>
      <c r="B1781" t="s">
        <v>1079</v>
      </c>
      <c r="C1781" t="s">
        <v>1089</v>
      </c>
      <c r="D1781" t="s">
        <v>26</v>
      </c>
      <c r="E1781" t="s">
        <v>62</v>
      </c>
      <c r="F1781">
        <v>1</v>
      </c>
      <c r="G1781" s="3" t="s">
        <v>32</v>
      </c>
      <c r="H1781" s="46" t="s">
        <v>15</v>
      </c>
      <c r="I1781" s="17">
        <v>3107237.2</v>
      </c>
      <c r="J1781" s="17">
        <f>IF(Gastos[[#This Row],[Divisa]]="$", I1781*1, IF(Gastos[[#This Row],[Divisa]]="U$D", I1781*$N$1, IF(Gastos[[#This Row],[Divisa]]="EUR", I1781*$N$2, 0)))</f>
        <v>3107237.2</v>
      </c>
      <c r="K1781" s="54">
        <f>Gastos[[#This Row],[Importe AR$]]/$N$1</f>
        <v>1991.8187179487181</v>
      </c>
      <c r="M1781" s="69">
        <v>46066</v>
      </c>
      <c r="N1781" s="43">
        <f>IF(Gastos[[#This Row],[Fecha_Cheque]]&gt;0,WEEKNUM(Gastos[[#This Row],[Fecha_Cheque]]),MID(Gastos[[#This Row],[Semana]],6,2))</f>
        <v>7</v>
      </c>
      <c r="O1781" t="s">
        <v>1093</v>
      </c>
      <c r="P1781" t="s">
        <v>27</v>
      </c>
    </row>
    <row r="1782" spans="1:16" hidden="1" x14ac:dyDescent="0.25">
      <c r="A1782" s="3" t="s">
        <v>378</v>
      </c>
      <c r="B1782" t="s">
        <v>1079</v>
      </c>
      <c r="C1782" t="s">
        <v>1089</v>
      </c>
      <c r="D1782" t="s">
        <v>26</v>
      </c>
      <c r="E1782" t="s">
        <v>62</v>
      </c>
      <c r="F1782">
        <v>1</v>
      </c>
      <c r="G1782" s="3" t="s">
        <v>32</v>
      </c>
      <c r="H1782" s="46" t="s">
        <v>15</v>
      </c>
      <c r="I1782" s="17">
        <v>3226335.42</v>
      </c>
      <c r="J1782" s="17">
        <f>IF(Gastos[[#This Row],[Divisa]]="$", I1782*1, IF(Gastos[[#This Row],[Divisa]]="U$D", I1782*$N$1, IF(Gastos[[#This Row],[Divisa]]="EUR", I1782*$N$2, 0)))</f>
        <v>3226335.42</v>
      </c>
      <c r="K1782" s="54">
        <f>Gastos[[#This Row],[Importe AR$]]/$N$1</f>
        <v>2068.1637307692308</v>
      </c>
      <c r="M1782" s="69">
        <v>46059</v>
      </c>
      <c r="N1782" s="43">
        <f>IF(Gastos[[#This Row],[Fecha_Cheque]]&gt;0,WEEKNUM(Gastos[[#This Row],[Fecha_Cheque]]),MID(Gastos[[#This Row],[Semana]],6,2))</f>
        <v>6</v>
      </c>
      <c r="O1782" t="s">
        <v>1093</v>
      </c>
      <c r="P1782" t="s">
        <v>27</v>
      </c>
    </row>
    <row r="1783" spans="1:16" hidden="1" x14ac:dyDescent="0.25">
      <c r="A1783" s="3" t="s">
        <v>378</v>
      </c>
      <c r="B1783" t="s">
        <v>1079</v>
      </c>
      <c r="C1783" t="s">
        <v>1089</v>
      </c>
      <c r="D1783" t="s">
        <v>26</v>
      </c>
      <c r="E1783" t="s">
        <v>62</v>
      </c>
      <c r="F1783">
        <v>1</v>
      </c>
      <c r="G1783" s="3" t="s">
        <v>32</v>
      </c>
      <c r="H1783" s="46" t="s">
        <v>15</v>
      </c>
      <c r="I1783" s="17">
        <v>31452.41</v>
      </c>
      <c r="J1783" s="17">
        <f>IF(Gastos[[#This Row],[Divisa]]="$", I1783*1, IF(Gastos[[#This Row],[Divisa]]="U$D", I1783*$N$1, IF(Gastos[[#This Row],[Divisa]]="EUR", I1783*$N$2, 0)))</f>
        <v>31452.41</v>
      </c>
      <c r="K1783" s="54">
        <f>Gastos[[#This Row],[Importe AR$]]/$N$1</f>
        <v>20.161801282051282</v>
      </c>
      <c r="M1783" s="69">
        <v>46036</v>
      </c>
      <c r="N1783" s="43">
        <f>IF(Gastos[[#This Row],[Fecha_Cheque]]&gt;0,WEEKNUM(Gastos[[#This Row],[Fecha_Cheque]]),MID(Gastos[[#This Row],[Semana]],6,2))</f>
        <v>3</v>
      </c>
      <c r="O1783" t="s">
        <v>1093</v>
      </c>
      <c r="P1783" t="s">
        <v>27</v>
      </c>
    </row>
    <row r="1784" spans="1:16" hidden="1" x14ac:dyDescent="0.25">
      <c r="A1784" s="3" t="s">
        <v>152</v>
      </c>
      <c r="B1784" t="s">
        <v>1079</v>
      </c>
      <c r="D1784" t="s">
        <v>26</v>
      </c>
      <c r="E1784" t="s">
        <v>31</v>
      </c>
      <c r="F1784">
        <v>1</v>
      </c>
      <c r="G1784" s="3" t="s">
        <v>32</v>
      </c>
      <c r="H1784" s="46" t="s">
        <v>15</v>
      </c>
      <c r="I1784" s="17">
        <v>3000000</v>
      </c>
      <c r="J1784" s="17">
        <f>IF(Gastos[[#This Row],[Divisa]]="$", I1784*1, IF(Gastos[[#This Row],[Divisa]]="U$D", I1784*$N$1, IF(Gastos[[#This Row],[Divisa]]="EUR", I1784*$N$2, 0)))</f>
        <v>3000000</v>
      </c>
      <c r="K1784" s="54">
        <f>Gastos[[#This Row],[Importe AR$]]/$N$1</f>
        <v>1923.0769230769231</v>
      </c>
      <c r="M1784" s="69">
        <v>46061</v>
      </c>
      <c r="N1784" s="43">
        <f>IF(Gastos[[#This Row],[Fecha_Cheque]]&gt;0,WEEKNUM(Gastos[[#This Row],[Fecha_Cheque]]),MID(Gastos[[#This Row],[Semana]],6,2))</f>
        <v>7</v>
      </c>
      <c r="O1784" t="s">
        <v>1094</v>
      </c>
      <c r="P1784" t="s">
        <v>27</v>
      </c>
    </row>
    <row r="1785" spans="1:16" hidden="1" x14ac:dyDescent="0.25">
      <c r="A1785" s="3" t="s">
        <v>152</v>
      </c>
      <c r="B1785" t="s">
        <v>1079</v>
      </c>
      <c r="D1785" t="s">
        <v>26</v>
      </c>
      <c r="E1785" t="s">
        <v>31</v>
      </c>
      <c r="F1785">
        <v>1</v>
      </c>
      <c r="G1785" s="3" t="s">
        <v>32</v>
      </c>
      <c r="H1785" s="46" t="s">
        <v>15</v>
      </c>
      <c r="I1785" s="17">
        <v>2000000</v>
      </c>
      <c r="J1785" s="17">
        <f>IF(Gastos[[#This Row],[Divisa]]="$", I1785*1, IF(Gastos[[#This Row],[Divisa]]="U$D", I1785*$N$1, IF(Gastos[[#This Row],[Divisa]]="EUR", I1785*$N$2, 0)))</f>
        <v>2000000</v>
      </c>
      <c r="K1785" s="54">
        <f>Gastos[[#This Row],[Importe AR$]]/$N$1</f>
        <v>1282.051282051282</v>
      </c>
      <c r="M1785" s="69">
        <v>46039</v>
      </c>
      <c r="N1785" s="43">
        <f>IF(Gastos[[#This Row],[Fecha_Cheque]]&gt;0,WEEKNUM(Gastos[[#This Row],[Fecha_Cheque]]),MID(Gastos[[#This Row],[Semana]],6,2))</f>
        <v>3</v>
      </c>
      <c r="O1785" t="s">
        <v>1094</v>
      </c>
      <c r="P1785" t="s">
        <v>27</v>
      </c>
    </row>
    <row r="1786" spans="1:16" hidden="1" x14ac:dyDescent="0.25">
      <c r="A1786" s="3" t="s">
        <v>152</v>
      </c>
      <c r="B1786" t="s">
        <v>1079</v>
      </c>
      <c r="D1786" t="s">
        <v>26</v>
      </c>
      <c r="E1786" t="s">
        <v>31</v>
      </c>
      <c r="F1786">
        <v>1</v>
      </c>
      <c r="G1786" s="3" t="s">
        <v>32</v>
      </c>
      <c r="H1786" s="46" t="s">
        <v>15</v>
      </c>
      <c r="I1786" s="17">
        <v>12278795.48</v>
      </c>
      <c r="J1786" s="17">
        <f>IF(Gastos[[#This Row],[Divisa]]="$", I1786*1, IF(Gastos[[#This Row],[Divisa]]="U$D", I1786*$N$1, IF(Gastos[[#This Row],[Divisa]]="EUR", I1786*$N$2, 0)))</f>
        <v>12278795.48</v>
      </c>
      <c r="K1786" s="54">
        <f>Gastos[[#This Row],[Importe AR$]]/$N$1</f>
        <v>7871.0227435897441</v>
      </c>
      <c r="M1786" s="69"/>
      <c r="N1786" s="43" t="str">
        <f>IF(Gastos[[#This Row],[Fecha_Cheque]]&gt;0,WEEKNUM(Gastos[[#This Row],[Fecha_Cheque]]),MID(Gastos[[#This Row],[Semana]],6,2))</f>
        <v>04</v>
      </c>
      <c r="O1786" t="s">
        <v>1095</v>
      </c>
      <c r="P1786" t="s">
        <v>27</v>
      </c>
    </row>
    <row r="1787" spans="1:16" hidden="1" x14ac:dyDescent="0.25">
      <c r="A1787" s="3" t="s">
        <v>206</v>
      </c>
      <c r="B1787" t="s">
        <v>1079</v>
      </c>
      <c r="C1787" t="s">
        <v>1096</v>
      </c>
      <c r="D1787" t="s">
        <v>26</v>
      </c>
      <c r="E1787" t="s">
        <v>31</v>
      </c>
      <c r="F1787">
        <v>1</v>
      </c>
      <c r="G1787" s="3" t="s">
        <v>32</v>
      </c>
      <c r="H1787" s="46" t="s">
        <v>15</v>
      </c>
      <c r="I1787" s="17">
        <v>1000000</v>
      </c>
      <c r="J1787" s="17">
        <f>IF(Gastos[[#This Row],[Divisa]]="$", I1787*1, IF(Gastos[[#This Row],[Divisa]]="U$D", I1787*$N$1, IF(Gastos[[#This Row],[Divisa]]="EUR", I1787*$N$2, 0)))</f>
        <v>1000000</v>
      </c>
      <c r="K1787" s="54">
        <f>Gastos[[#This Row],[Importe AR$]]/$N$1</f>
        <v>641.02564102564099</v>
      </c>
      <c r="M1787" s="69">
        <v>46087</v>
      </c>
      <c r="N1787" s="43">
        <f>IF(Gastos[[#This Row],[Fecha_Cheque]]&gt;0,WEEKNUM(Gastos[[#This Row],[Fecha_Cheque]]),MID(Gastos[[#This Row],[Semana]],6,2))</f>
        <v>10</v>
      </c>
      <c r="O1787" t="s">
        <v>1097</v>
      </c>
      <c r="P1787" t="s">
        <v>27</v>
      </c>
    </row>
    <row r="1788" spans="1:16" hidden="1" x14ac:dyDescent="0.25">
      <c r="A1788" s="3" t="s">
        <v>206</v>
      </c>
      <c r="B1788" t="s">
        <v>1079</v>
      </c>
      <c r="C1788" t="s">
        <v>1096</v>
      </c>
      <c r="D1788" t="s">
        <v>26</v>
      </c>
      <c r="E1788" t="s">
        <v>31</v>
      </c>
      <c r="F1788">
        <v>1</v>
      </c>
      <c r="G1788" s="3" t="s">
        <v>32</v>
      </c>
      <c r="H1788" s="46" t="s">
        <v>15</v>
      </c>
      <c r="I1788" s="17">
        <v>762939.75</v>
      </c>
      <c r="J1788" s="17">
        <f>IF(Gastos[[#This Row],[Divisa]]="$", I1788*1, IF(Gastos[[#This Row],[Divisa]]="U$D", I1788*$N$1, IF(Gastos[[#This Row],[Divisa]]="EUR", I1788*$N$2, 0)))</f>
        <v>762939.75</v>
      </c>
      <c r="K1788" s="54">
        <f>Gastos[[#This Row],[Importe AR$]]/$N$1</f>
        <v>489.06394230769229</v>
      </c>
      <c r="M1788" s="69">
        <v>46086</v>
      </c>
      <c r="N1788" s="43">
        <f>IF(Gastos[[#This Row],[Fecha_Cheque]]&gt;0,WEEKNUM(Gastos[[#This Row],[Fecha_Cheque]]),MID(Gastos[[#This Row],[Semana]],6,2))</f>
        <v>10</v>
      </c>
      <c r="O1788" t="s">
        <v>1097</v>
      </c>
      <c r="P1788" t="s">
        <v>27</v>
      </c>
    </row>
    <row r="1789" spans="1:16" hidden="1" x14ac:dyDescent="0.25">
      <c r="A1789" s="3" t="s">
        <v>206</v>
      </c>
      <c r="B1789" t="s">
        <v>1079</v>
      </c>
      <c r="C1789" t="s">
        <v>1096</v>
      </c>
      <c r="D1789" t="s">
        <v>26</v>
      </c>
      <c r="E1789" t="s">
        <v>31</v>
      </c>
      <c r="F1789">
        <v>1</v>
      </c>
      <c r="G1789" s="3" t="s">
        <v>32</v>
      </c>
      <c r="H1789" s="46" t="s">
        <v>15</v>
      </c>
      <c r="I1789" s="17">
        <v>2000000</v>
      </c>
      <c r="J1789" s="17">
        <f>IF(Gastos[[#This Row],[Divisa]]="$", I1789*1, IF(Gastos[[#This Row],[Divisa]]="U$D", I1789*$N$1, IF(Gastos[[#This Row],[Divisa]]="EUR", I1789*$N$2, 0)))</f>
        <v>2000000</v>
      </c>
      <c r="K1789" s="54">
        <f>Gastos[[#This Row],[Importe AR$]]/$N$1</f>
        <v>1282.051282051282</v>
      </c>
      <c r="M1789" s="69">
        <v>46081</v>
      </c>
      <c r="N1789" s="43">
        <f>IF(Gastos[[#This Row],[Fecha_Cheque]]&gt;0,WEEKNUM(Gastos[[#This Row],[Fecha_Cheque]]),MID(Gastos[[#This Row],[Semana]],6,2))</f>
        <v>9</v>
      </c>
      <c r="O1789" t="s">
        <v>1097</v>
      </c>
      <c r="P1789" t="s">
        <v>27</v>
      </c>
    </row>
    <row r="1790" spans="1:16" hidden="1" x14ac:dyDescent="0.25">
      <c r="A1790" s="3" t="s">
        <v>206</v>
      </c>
      <c r="B1790" t="s">
        <v>1079</v>
      </c>
      <c r="C1790" t="s">
        <v>1096</v>
      </c>
      <c r="D1790" t="s">
        <v>26</v>
      </c>
      <c r="E1790" t="s">
        <v>31</v>
      </c>
      <c r="F1790">
        <v>1</v>
      </c>
      <c r="G1790" s="3" t="s">
        <v>32</v>
      </c>
      <c r="H1790" s="46" t="s">
        <v>15</v>
      </c>
      <c r="I1790" s="17">
        <v>2263000</v>
      </c>
      <c r="J1790" s="17">
        <f>IF(Gastos[[#This Row],[Divisa]]="$", I1790*1, IF(Gastos[[#This Row],[Divisa]]="U$D", I1790*$N$1, IF(Gastos[[#This Row],[Divisa]]="EUR", I1790*$N$2, 0)))</f>
        <v>2263000</v>
      </c>
      <c r="K1790" s="54">
        <f>Gastos[[#This Row],[Importe AR$]]/$N$1</f>
        <v>1450.6410256410256</v>
      </c>
      <c r="M1790" s="69">
        <v>46108</v>
      </c>
      <c r="N1790" s="43">
        <f>IF(Gastos[[#This Row],[Fecha_Cheque]]&gt;0,WEEKNUM(Gastos[[#This Row],[Fecha_Cheque]]),MID(Gastos[[#This Row],[Semana]],6,2))</f>
        <v>13</v>
      </c>
      <c r="O1790" t="s">
        <v>1097</v>
      </c>
      <c r="P1790" t="s">
        <v>27</v>
      </c>
    </row>
    <row r="1791" spans="1:16" hidden="1" x14ac:dyDescent="0.25">
      <c r="A1791" s="3" t="s">
        <v>206</v>
      </c>
      <c r="B1791" t="s">
        <v>1079</v>
      </c>
      <c r="C1791" t="s">
        <v>1096</v>
      </c>
      <c r="D1791" t="s">
        <v>26</v>
      </c>
      <c r="E1791" t="s">
        <v>31</v>
      </c>
      <c r="F1791">
        <v>1</v>
      </c>
      <c r="G1791" s="3" t="s">
        <v>32</v>
      </c>
      <c r="H1791" s="46" t="s">
        <v>15</v>
      </c>
      <c r="I1791" s="17">
        <v>2263000</v>
      </c>
      <c r="J1791" s="17">
        <f>IF(Gastos[[#This Row],[Divisa]]="$", I1791*1, IF(Gastos[[#This Row],[Divisa]]="U$D", I1791*$N$1, IF(Gastos[[#This Row],[Divisa]]="EUR", I1791*$N$2, 0)))</f>
        <v>2263000</v>
      </c>
      <c r="K1791" s="54">
        <f>Gastos[[#This Row],[Importe AR$]]/$N$1</f>
        <v>1450.6410256410256</v>
      </c>
      <c r="M1791" s="69">
        <v>46106</v>
      </c>
      <c r="N1791" s="43">
        <f>IF(Gastos[[#This Row],[Fecha_Cheque]]&gt;0,WEEKNUM(Gastos[[#This Row],[Fecha_Cheque]]),MID(Gastos[[#This Row],[Semana]],6,2))</f>
        <v>13</v>
      </c>
      <c r="O1791" t="s">
        <v>1097</v>
      </c>
      <c r="P1791" t="s">
        <v>27</v>
      </c>
    </row>
    <row r="1792" spans="1:16" hidden="1" x14ac:dyDescent="0.25">
      <c r="A1792" s="3" t="s">
        <v>206</v>
      </c>
      <c r="B1792" t="s">
        <v>1079</v>
      </c>
      <c r="C1792" t="s">
        <v>1096</v>
      </c>
      <c r="D1792" t="s">
        <v>26</v>
      </c>
      <c r="E1792" t="s">
        <v>31</v>
      </c>
      <c r="F1792">
        <v>1</v>
      </c>
      <c r="G1792" s="3" t="s">
        <v>32</v>
      </c>
      <c r="H1792" s="46" t="s">
        <v>15</v>
      </c>
      <c r="I1792" s="17">
        <v>3000000</v>
      </c>
      <c r="J1792" s="17">
        <f>IF(Gastos[[#This Row],[Divisa]]="$", I1792*1, IF(Gastos[[#This Row],[Divisa]]="U$D", I1792*$N$1, IF(Gastos[[#This Row],[Divisa]]="EUR", I1792*$N$2, 0)))</f>
        <v>3000000</v>
      </c>
      <c r="K1792" s="54">
        <f>Gastos[[#This Row],[Importe AR$]]/$N$1</f>
        <v>1923.0769230769231</v>
      </c>
      <c r="M1792" s="69">
        <v>46081</v>
      </c>
      <c r="N1792" s="43">
        <f>IF(Gastos[[#This Row],[Fecha_Cheque]]&gt;0,WEEKNUM(Gastos[[#This Row],[Fecha_Cheque]]),MID(Gastos[[#This Row],[Semana]],6,2))</f>
        <v>9</v>
      </c>
      <c r="O1792" t="s">
        <v>1097</v>
      </c>
      <c r="P1792" t="s">
        <v>27</v>
      </c>
    </row>
    <row r="1793" spans="1:16" hidden="1" x14ac:dyDescent="0.25">
      <c r="A1793" s="3" t="s">
        <v>2740</v>
      </c>
      <c r="B1793" t="s">
        <v>1079</v>
      </c>
      <c r="C1793" t="s">
        <v>2913</v>
      </c>
      <c r="D1793" t="s">
        <v>26</v>
      </c>
      <c r="E1793" t="s">
        <v>62</v>
      </c>
      <c r="F1793">
        <v>1</v>
      </c>
      <c r="G1793" s="3" t="s">
        <v>32</v>
      </c>
      <c r="H1793" s="46" t="s">
        <v>15</v>
      </c>
      <c r="I1793" s="17">
        <v>5196927.97</v>
      </c>
      <c r="J1793" s="17">
        <f>IF(Gastos[[#This Row],[Divisa]]="$", I1793*1, IF(Gastos[[#This Row],[Divisa]]="U$D", I1793*$N$1, IF(Gastos[[#This Row],[Divisa]]="EUR", I1793*$N$2, 0)))</f>
        <v>5196927.97</v>
      </c>
      <c r="K1793" s="54">
        <f>Gastos[[#This Row],[Importe AR$]]/$N$1</f>
        <v>3331.3640833333334</v>
      </c>
      <c r="M1793" s="69">
        <v>46151</v>
      </c>
      <c r="N1793" s="43">
        <f>IF(Gastos[[#This Row],[Fecha_Cheque]]&gt;0,WEEKNUM(Gastos[[#This Row],[Fecha_Cheque]]),MID(Gastos[[#This Row],[Semana]],6,2))</f>
        <v>19</v>
      </c>
      <c r="O1793" t="s">
        <v>2914</v>
      </c>
      <c r="P1793" t="s">
        <v>27</v>
      </c>
    </row>
    <row r="1794" spans="1:16" hidden="1" x14ac:dyDescent="0.25">
      <c r="A1794" s="3" t="s">
        <v>2740</v>
      </c>
      <c r="B1794" t="s">
        <v>1079</v>
      </c>
      <c r="C1794" t="s">
        <v>2913</v>
      </c>
      <c r="D1794" t="s">
        <v>26</v>
      </c>
      <c r="E1794" t="s">
        <v>62</v>
      </c>
      <c r="F1794">
        <v>1</v>
      </c>
      <c r="G1794" s="3" t="s">
        <v>32</v>
      </c>
      <c r="H1794" s="46" t="s">
        <v>15</v>
      </c>
      <c r="I1794" s="17">
        <v>805152.03</v>
      </c>
      <c r="J1794" s="17">
        <f>IF(Gastos[[#This Row],[Divisa]]="$", I1794*1, IF(Gastos[[#This Row],[Divisa]]="U$D", I1794*$N$1, IF(Gastos[[#This Row],[Divisa]]="EUR", I1794*$N$2, 0)))</f>
        <v>805152.03</v>
      </c>
      <c r="K1794" s="54">
        <f>Gastos[[#This Row],[Importe AR$]]/$N$1</f>
        <v>516.12309615384618</v>
      </c>
      <c r="M1794" s="69">
        <v>46156</v>
      </c>
      <c r="N1794" s="43">
        <f>IF(Gastos[[#This Row],[Fecha_Cheque]]&gt;0,WEEKNUM(Gastos[[#This Row],[Fecha_Cheque]]),MID(Gastos[[#This Row],[Semana]],6,2))</f>
        <v>20</v>
      </c>
      <c r="O1794" t="s">
        <v>2914</v>
      </c>
      <c r="P1794" t="s">
        <v>27</v>
      </c>
    </row>
    <row r="1795" spans="1:16" hidden="1" x14ac:dyDescent="0.25">
      <c r="A1795" s="3" t="s">
        <v>2740</v>
      </c>
      <c r="B1795" t="s">
        <v>1079</v>
      </c>
      <c r="C1795" t="s">
        <v>2913</v>
      </c>
      <c r="D1795" t="s">
        <v>26</v>
      </c>
      <c r="E1795" t="s">
        <v>62</v>
      </c>
      <c r="F1795">
        <v>1</v>
      </c>
      <c r="G1795" s="3" t="s">
        <v>32</v>
      </c>
      <c r="H1795" s="46" t="s">
        <v>15</v>
      </c>
      <c r="I1795" s="17">
        <v>96320</v>
      </c>
      <c r="J1795" s="17">
        <f>IF(Gastos[[#This Row],[Divisa]]="$", I1795*1, IF(Gastos[[#This Row],[Divisa]]="U$D", I1795*$N$1, IF(Gastos[[#This Row],[Divisa]]="EUR", I1795*$N$2, 0)))</f>
        <v>96320</v>
      </c>
      <c r="K1795" s="54">
        <f>Gastos[[#This Row],[Importe AR$]]/$N$1</f>
        <v>61.743589743589745</v>
      </c>
      <c r="L1795" t="s">
        <v>340</v>
      </c>
      <c r="M1795" s="69"/>
      <c r="N1795" s="43" t="str">
        <f>IF(Gastos[[#This Row],[Fecha_Cheque]]&gt;0,WEEKNUM(Gastos[[#This Row],[Fecha_Cheque]]),MID(Gastos[[#This Row],[Semana]],6,2))</f>
        <v>16</v>
      </c>
      <c r="O1795" t="s">
        <v>2914</v>
      </c>
      <c r="P1795" t="s">
        <v>27</v>
      </c>
    </row>
    <row r="1796" spans="1:16" hidden="1" x14ac:dyDescent="0.25">
      <c r="A1796" s="3" t="s">
        <v>2731</v>
      </c>
      <c r="B1796" t="s">
        <v>1079</v>
      </c>
      <c r="C1796" t="s">
        <v>2934</v>
      </c>
      <c r="D1796" t="s">
        <v>26</v>
      </c>
      <c r="E1796" t="s">
        <v>31</v>
      </c>
      <c r="F1796">
        <v>1</v>
      </c>
      <c r="G1796" s="3" t="s">
        <v>32</v>
      </c>
      <c r="H1796" s="44" t="s">
        <v>15</v>
      </c>
      <c r="I1796" s="17">
        <v>1000000</v>
      </c>
      <c r="J1796" s="17">
        <f>IF(Gastos[[#This Row],[Divisa]]="$", I1796*1, IF(Gastos[[#This Row],[Divisa]]="U$D", I1796*$N$1, IF(Gastos[[#This Row],[Divisa]]="EUR", I1796*$N$2, 0)))</f>
        <v>1000000</v>
      </c>
      <c r="K1796" s="54">
        <f>Gastos[[#This Row],[Importe AR$]]/$N$1</f>
        <v>641.02564102564099</v>
      </c>
      <c r="M1796" s="69">
        <v>46152</v>
      </c>
      <c r="N1796" s="43">
        <f>IF(Gastos[[#This Row],[Fecha_Cheque]]&gt;0,WEEKNUM(Gastos[[#This Row],[Fecha_Cheque]]),MID(Gastos[[#This Row],[Semana]],6,2))</f>
        <v>20</v>
      </c>
      <c r="O1796" t="s">
        <v>2935</v>
      </c>
      <c r="P1796" t="s">
        <v>27</v>
      </c>
    </row>
    <row r="1797" spans="1:16" hidden="1" x14ac:dyDescent="0.25">
      <c r="A1797" s="3" t="s">
        <v>2731</v>
      </c>
      <c r="B1797" t="s">
        <v>1079</v>
      </c>
      <c r="C1797" t="s">
        <v>2934</v>
      </c>
      <c r="D1797" t="s">
        <v>26</v>
      </c>
      <c r="E1797" t="s">
        <v>31</v>
      </c>
      <c r="F1797">
        <v>1</v>
      </c>
      <c r="G1797" s="3" t="s">
        <v>32</v>
      </c>
      <c r="H1797" s="44" t="s">
        <v>15</v>
      </c>
      <c r="I1797" s="17">
        <v>1115822</v>
      </c>
      <c r="J1797" s="17">
        <f>IF(Gastos[[#This Row],[Divisa]]="$", I1797*1, IF(Gastos[[#This Row],[Divisa]]="U$D", I1797*$N$1, IF(Gastos[[#This Row],[Divisa]]="EUR", I1797*$N$2, 0)))</f>
        <v>1115822</v>
      </c>
      <c r="K1797" s="54">
        <f>Gastos[[#This Row],[Importe AR$]]/$N$1</f>
        <v>715.27051282051286</v>
      </c>
      <c r="M1797" s="69">
        <v>46190</v>
      </c>
      <c r="N1797" s="43">
        <f>IF(Gastos[[#This Row],[Fecha_Cheque]]&gt;0,WEEKNUM(Gastos[[#This Row],[Fecha_Cheque]]),MID(Gastos[[#This Row],[Semana]],6,2))</f>
        <v>25</v>
      </c>
      <c r="O1797" t="s">
        <v>2935</v>
      </c>
      <c r="P1797" t="s">
        <v>27</v>
      </c>
    </row>
    <row r="1798" spans="1:16" hidden="1" x14ac:dyDescent="0.25">
      <c r="A1798" s="3" t="s">
        <v>2731</v>
      </c>
      <c r="B1798" t="s">
        <v>1079</v>
      </c>
      <c r="C1798" t="s">
        <v>2934</v>
      </c>
      <c r="D1798" t="s">
        <v>26</v>
      </c>
      <c r="E1798" t="s">
        <v>31</v>
      </c>
      <c r="F1798">
        <v>1</v>
      </c>
      <c r="G1798" s="3" t="s">
        <v>32</v>
      </c>
      <c r="H1798" s="44" t="s">
        <v>15</v>
      </c>
      <c r="I1798" s="17">
        <v>1320000</v>
      </c>
      <c r="J1798" s="17">
        <f>IF(Gastos[[#This Row],[Divisa]]="$", I1798*1, IF(Gastos[[#This Row],[Divisa]]="U$D", I1798*$N$1, IF(Gastos[[#This Row],[Divisa]]="EUR", I1798*$N$2, 0)))</f>
        <v>1320000</v>
      </c>
      <c r="K1798" s="54">
        <f>Gastos[[#This Row],[Importe AR$]]/$N$1</f>
        <v>846.15384615384619</v>
      </c>
      <c r="M1798" s="69">
        <v>46174</v>
      </c>
      <c r="N1798" s="43">
        <f>IF(Gastos[[#This Row],[Fecha_Cheque]]&gt;0,WEEKNUM(Gastos[[#This Row],[Fecha_Cheque]]),MID(Gastos[[#This Row],[Semana]],6,2))</f>
        <v>23</v>
      </c>
      <c r="O1798" t="s">
        <v>2935</v>
      </c>
      <c r="P1798" t="s">
        <v>27</v>
      </c>
    </row>
    <row r="1799" spans="1:16" hidden="1" x14ac:dyDescent="0.25">
      <c r="A1799" s="3" t="s">
        <v>2731</v>
      </c>
      <c r="B1799" t="s">
        <v>1079</v>
      </c>
      <c r="C1799" t="s">
        <v>2934</v>
      </c>
      <c r="D1799" t="s">
        <v>26</v>
      </c>
      <c r="E1799" t="s">
        <v>31</v>
      </c>
      <c r="F1799">
        <v>1</v>
      </c>
      <c r="G1799" s="3" t="s">
        <v>32</v>
      </c>
      <c r="H1799" s="44" t="s">
        <v>15</v>
      </c>
      <c r="I1799" s="17">
        <v>1320000</v>
      </c>
      <c r="J1799" s="17">
        <f>IF(Gastos[[#This Row],[Divisa]]="$", I1799*1, IF(Gastos[[#This Row],[Divisa]]="U$D", I1799*$N$1, IF(Gastos[[#This Row],[Divisa]]="EUR", I1799*$N$2, 0)))</f>
        <v>1320000</v>
      </c>
      <c r="K1799" s="54">
        <f>Gastos[[#This Row],[Importe AR$]]/$N$1</f>
        <v>846.15384615384619</v>
      </c>
      <c r="M1799" s="69">
        <v>46160</v>
      </c>
      <c r="N1799" s="43">
        <f>IF(Gastos[[#This Row],[Fecha_Cheque]]&gt;0,WEEKNUM(Gastos[[#This Row],[Fecha_Cheque]]),MID(Gastos[[#This Row],[Semana]],6,2))</f>
        <v>21</v>
      </c>
      <c r="O1799" t="s">
        <v>2935</v>
      </c>
      <c r="P1799" t="s">
        <v>27</v>
      </c>
    </row>
    <row r="1800" spans="1:16" hidden="1" x14ac:dyDescent="0.25">
      <c r="A1800" s="3" t="s">
        <v>2731</v>
      </c>
      <c r="B1800" t="s">
        <v>1079</v>
      </c>
      <c r="C1800" t="s">
        <v>2934</v>
      </c>
      <c r="D1800" t="s">
        <v>26</v>
      </c>
      <c r="E1800" t="s">
        <v>31</v>
      </c>
      <c r="F1800">
        <v>1</v>
      </c>
      <c r="G1800" s="3" t="s">
        <v>32</v>
      </c>
      <c r="H1800" s="44" t="s">
        <v>15</v>
      </c>
      <c r="I1800" s="17">
        <v>1320000</v>
      </c>
      <c r="J1800" s="17">
        <f>IF(Gastos[[#This Row],[Divisa]]="$", I1800*1, IF(Gastos[[#This Row],[Divisa]]="U$D", I1800*$N$1, IF(Gastos[[#This Row],[Divisa]]="EUR", I1800*$N$2, 0)))</f>
        <v>1320000</v>
      </c>
      <c r="K1800" s="54">
        <f>Gastos[[#This Row],[Importe AR$]]/$N$1</f>
        <v>846.15384615384619</v>
      </c>
      <c r="M1800" s="69">
        <v>46164</v>
      </c>
      <c r="N1800" s="43">
        <f>IF(Gastos[[#This Row],[Fecha_Cheque]]&gt;0,WEEKNUM(Gastos[[#This Row],[Fecha_Cheque]]),MID(Gastos[[#This Row],[Semana]],6,2))</f>
        <v>21</v>
      </c>
      <c r="O1800" t="s">
        <v>2935</v>
      </c>
      <c r="P1800" t="s">
        <v>27</v>
      </c>
    </row>
    <row r="1801" spans="1:16" hidden="1" x14ac:dyDescent="0.25">
      <c r="A1801" s="3" t="s">
        <v>2731</v>
      </c>
      <c r="B1801" t="s">
        <v>1079</v>
      </c>
      <c r="C1801" t="s">
        <v>2934</v>
      </c>
      <c r="D1801" t="s">
        <v>26</v>
      </c>
      <c r="E1801" t="s">
        <v>31</v>
      </c>
      <c r="F1801">
        <v>1</v>
      </c>
      <c r="G1801" s="3" t="s">
        <v>32</v>
      </c>
      <c r="H1801" s="44" t="s">
        <v>15</v>
      </c>
      <c r="I1801" s="17">
        <v>1320000</v>
      </c>
      <c r="J1801" s="17">
        <f>IF(Gastos[[#This Row],[Divisa]]="$", I1801*1, IF(Gastos[[#This Row],[Divisa]]="U$D", I1801*$N$1, IF(Gastos[[#This Row],[Divisa]]="EUR", I1801*$N$2, 0)))</f>
        <v>1320000</v>
      </c>
      <c r="K1801" s="54">
        <f>Gastos[[#This Row],[Importe AR$]]/$N$1</f>
        <v>846.15384615384619</v>
      </c>
      <c r="M1801" s="69">
        <v>46183</v>
      </c>
      <c r="N1801" s="43">
        <f>IF(Gastos[[#This Row],[Fecha_Cheque]]&gt;0,WEEKNUM(Gastos[[#This Row],[Fecha_Cheque]]),MID(Gastos[[#This Row],[Semana]],6,2))</f>
        <v>24</v>
      </c>
      <c r="O1801" t="s">
        <v>2935</v>
      </c>
      <c r="P1801" t="s">
        <v>27</v>
      </c>
    </row>
    <row r="1802" spans="1:16" hidden="1" x14ac:dyDescent="0.25">
      <c r="A1802" s="3" t="s">
        <v>2731</v>
      </c>
      <c r="B1802" t="s">
        <v>1079</v>
      </c>
      <c r="C1802" t="s">
        <v>2934</v>
      </c>
      <c r="D1802" t="s">
        <v>26</v>
      </c>
      <c r="E1802" t="s">
        <v>31</v>
      </c>
      <c r="F1802">
        <v>1</v>
      </c>
      <c r="G1802" s="3" t="s">
        <v>32</v>
      </c>
      <c r="H1802" s="44" t="s">
        <v>15</v>
      </c>
      <c r="I1802" s="17">
        <v>1320000</v>
      </c>
      <c r="J1802" s="17">
        <f>IF(Gastos[[#This Row],[Divisa]]="$", I1802*1, IF(Gastos[[#This Row],[Divisa]]="U$D", I1802*$N$1, IF(Gastos[[#This Row],[Divisa]]="EUR", I1802*$N$2, 0)))</f>
        <v>1320000</v>
      </c>
      <c r="K1802" s="54">
        <f>Gastos[[#This Row],[Importe AR$]]/$N$1</f>
        <v>846.15384615384619</v>
      </c>
      <c r="M1802" s="69">
        <v>46170</v>
      </c>
      <c r="N1802" s="43">
        <f>IF(Gastos[[#This Row],[Fecha_Cheque]]&gt;0,WEEKNUM(Gastos[[#This Row],[Fecha_Cheque]]),MID(Gastos[[#This Row],[Semana]],6,2))</f>
        <v>22</v>
      </c>
      <c r="O1802" t="s">
        <v>2935</v>
      </c>
      <c r="P1802" t="s">
        <v>27</v>
      </c>
    </row>
    <row r="1803" spans="1:16" hidden="1" x14ac:dyDescent="0.25">
      <c r="A1803" s="3" t="s">
        <v>2731</v>
      </c>
      <c r="B1803" t="s">
        <v>1079</v>
      </c>
      <c r="C1803" t="s">
        <v>2934</v>
      </c>
      <c r="D1803" t="s">
        <v>26</v>
      </c>
      <c r="E1803" t="s">
        <v>31</v>
      </c>
      <c r="F1803">
        <v>1</v>
      </c>
      <c r="G1803" s="3" t="s">
        <v>32</v>
      </c>
      <c r="H1803" s="44" t="s">
        <v>15</v>
      </c>
      <c r="I1803" s="17">
        <v>1320000</v>
      </c>
      <c r="J1803" s="17">
        <f>IF(Gastos[[#This Row],[Divisa]]="$", I1803*1, IF(Gastos[[#This Row],[Divisa]]="U$D", I1803*$N$1, IF(Gastos[[#This Row],[Divisa]]="EUR", I1803*$N$2, 0)))</f>
        <v>1320000</v>
      </c>
      <c r="K1803" s="54">
        <f>Gastos[[#This Row],[Importe AR$]]/$N$1</f>
        <v>846.15384615384619</v>
      </c>
      <c r="M1803" s="69">
        <v>46181</v>
      </c>
      <c r="N1803" s="43">
        <f>IF(Gastos[[#This Row],[Fecha_Cheque]]&gt;0,WEEKNUM(Gastos[[#This Row],[Fecha_Cheque]]),MID(Gastos[[#This Row],[Semana]],6,2))</f>
        <v>24</v>
      </c>
      <c r="O1803" t="s">
        <v>2935</v>
      </c>
      <c r="P1803" t="s">
        <v>27</v>
      </c>
    </row>
    <row r="1804" spans="1:16" hidden="1" x14ac:dyDescent="0.25">
      <c r="A1804" s="3" t="s">
        <v>2731</v>
      </c>
      <c r="B1804" t="s">
        <v>1079</v>
      </c>
      <c r="C1804" t="s">
        <v>2934</v>
      </c>
      <c r="D1804" t="s">
        <v>26</v>
      </c>
      <c r="E1804" t="s">
        <v>31</v>
      </c>
      <c r="F1804">
        <v>1</v>
      </c>
      <c r="G1804" s="3" t="s">
        <v>32</v>
      </c>
      <c r="H1804" s="44" t="s">
        <v>15</v>
      </c>
      <c r="I1804" s="17">
        <v>1320000</v>
      </c>
      <c r="J1804" s="17">
        <f>IF(Gastos[[#This Row],[Divisa]]="$", I1804*1, IF(Gastos[[#This Row],[Divisa]]="U$D", I1804*$N$1, IF(Gastos[[#This Row],[Divisa]]="EUR", I1804*$N$2, 0)))</f>
        <v>1320000</v>
      </c>
      <c r="K1804" s="54">
        <f>Gastos[[#This Row],[Importe AR$]]/$N$1</f>
        <v>846.15384615384619</v>
      </c>
      <c r="M1804" s="69">
        <v>46162</v>
      </c>
      <c r="N1804" s="43">
        <f>IF(Gastos[[#This Row],[Fecha_Cheque]]&gt;0,WEEKNUM(Gastos[[#This Row],[Fecha_Cheque]]),MID(Gastos[[#This Row],[Semana]],6,2))</f>
        <v>21</v>
      </c>
      <c r="O1804" t="s">
        <v>2935</v>
      </c>
      <c r="P1804" t="s">
        <v>27</v>
      </c>
    </row>
    <row r="1805" spans="1:16" hidden="1" x14ac:dyDescent="0.25">
      <c r="A1805" s="3" t="s">
        <v>2731</v>
      </c>
      <c r="B1805" t="s">
        <v>1079</v>
      </c>
      <c r="C1805" t="s">
        <v>2934</v>
      </c>
      <c r="D1805" t="s">
        <v>26</v>
      </c>
      <c r="E1805" t="s">
        <v>31</v>
      </c>
      <c r="F1805">
        <v>1</v>
      </c>
      <c r="G1805" s="3" t="s">
        <v>32</v>
      </c>
      <c r="H1805" s="44" t="s">
        <v>15</v>
      </c>
      <c r="I1805" s="17">
        <v>1320000</v>
      </c>
      <c r="J1805" s="17">
        <f>IF(Gastos[[#This Row],[Divisa]]="$", I1805*1, IF(Gastos[[#This Row],[Divisa]]="U$D", I1805*$N$1, IF(Gastos[[#This Row],[Divisa]]="EUR", I1805*$N$2, 0)))</f>
        <v>1320000</v>
      </c>
      <c r="K1805" s="54">
        <f>Gastos[[#This Row],[Importe AR$]]/$N$1</f>
        <v>846.15384615384619</v>
      </c>
      <c r="M1805" s="69">
        <v>46178</v>
      </c>
      <c r="N1805" s="43">
        <f>IF(Gastos[[#This Row],[Fecha_Cheque]]&gt;0,WEEKNUM(Gastos[[#This Row],[Fecha_Cheque]]),MID(Gastos[[#This Row],[Semana]],6,2))</f>
        <v>23</v>
      </c>
      <c r="O1805" t="s">
        <v>2935</v>
      </c>
      <c r="P1805" t="s">
        <v>27</v>
      </c>
    </row>
    <row r="1806" spans="1:16" hidden="1" x14ac:dyDescent="0.25">
      <c r="A1806" s="3" t="s">
        <v>2731</v>
      </c>
      <c r="B1806" t="s">
        <v>1079</v>
      </c>
      <c r="C1806" t="s">
        <v>2934</v>
      </c>
      <c r="D1806" t="s">
        <v>26</v>
      </c>
      <c r="E1806" t="s">
        <v>31</v>
      </c>
      <c r="F1806">
        <v>1</v>
      </c>
      <c r="G1806" s="3" t="s">
        <v>32</v>
      </c>
      <c r="H1806" s="44" t="s">
        <v>15</v>
      </c>
      <c r="I1806" s="17">
        <v>1320000</v>
      </c>
      <c r="J1806" s="17">
        <f>IF(Gastos[[#This Row],[Divisa]]="$", I1806*1, IF(Gastos[[#This Row],[Divisa]]="U$D", I1806*$N$1, IF(Gastos[[#This Row],[Divisa]]="EUR", I1806*$N$2, 0)))</f>
        <v>1320000</v>
      </c>
      <c r="K1806" s="54">
        <f>Gastos[[#This Row],[Importe AR$]]/$N$1</f>
        <v>846.15384615384619</v>
      </c>
      <c r="M1806" s="69">
        <v>46171</v>
      </c>
      <c r="N1806" s="43">
        <f>IF(Gastos[[#This Row],[Fecha_Cheque]]&gt;0,WEEKNUM(Gastos[[#This Row],[Fecha_Cheque]]),MID(Gastos[[#This Row],[Semana]],6,2))</f>
        <v>22</v>
      </c>
      <c r="O1806" t="s">
        <v>2935</v>
      </c>
      <c r="P1806" t="s">
        <v>27</v>
      </c>
    </row>
    <row r="1807" spans="1:16" hidden="1" x14ac:dyDescent="0.25">
      <c r="A1807" s="3" t="s">
        <v>2731</v>
      </c>
      <c r="B1807" t="s">
        <v>1079</v>
      </c>
      <c r="C1807" t="s">
        <v>2934</v>
      </c>
      <c r="D1807" t="s">
        <v>26</v>
      </c>
      <c r="E1807" t="s">
        <v>31</v>
      </c>
      <c r="F1807">
        <v>1</v>
      </c>
      <c r="G1807" s="3" t="s">
        <v>32</v>
      </c>
      <c r="H1807" s="44" t="s">
        <v>15</v>
      </c>
      <c r="I1807" s="17">
        <v>1320000</v>
      </c>
      <c r="J1807" s="17">
        <f>IF(Gastos[[#This Row],[Divisa]]="$", I1807*1, IF(Gastos[[#This Row],[Divisa]]="U$D", I1807*$N$1, IF(Gastos[[#This Row],[Divisa]]="EUR", I1807*$N$2, 0)))</f>
        <v>1320000</v>
      </c>
      <c r="K1807" s="54">
        <f>Gastos[[#This Row],[Importe AR$]]/$N$1</f>
        <v>846.15384615384619</v>
      </c>
      <c r="M1807" s="69">
        <v>46182</v>
      </c>
      <c r="N1807" s="43">
        <f>IF(Gastos[[#This Row],[Fecha_Cheque]]&gt;0,WEEKNUM(Gastos[[#This Row],[Fecha_Cheque]]),MID(Gastos[[#This Row],[Semana]],6,2))</f>
        <v>24</v>
      </c>
      <c r="O1807" t="s">
        <v>2935</v>
      </c>
      <c r="P1807" t="s">
        <v>27</v>
      </c>
    </row>
    <row r="1808" spans="1:16" hidden="1" x14ac:dyDescent="0.25">
      <c r="A1808" s="3" t="s">
        <v>2731</v>
      </c>
      <c r="B1808" t="s">
        <v>1079</v>
      </c>
      <c r="C1808" t="s">
        <v>2934</v>
      </c>
      <c r="D1808" t="s">
        <v>26</v>
      </c>
      <c r="E1808" t="s">
        <v>31</v>
      </c>
      <c r="F1808">
        <v>1</v>
      </c>
      <c r="G1808" s="3" t="s">
        <v>32</v>
      </c>
      <c r="H1808" s="44" t="s">
        <v>15</v>
      </c>
      <c r="I1808" s="17">
        <v>1320000</v>
      </c>
      <c r="J1808" s="17">
        <f>IF(Gastos[[#This Row],[Divisa]]="$", I1808*1, IF(Gastos[[#This Row],[Divisa]]="U$D", I1808*$N$1, IF(Gastos[[#This Row],[Divisa]]="EUR", I1808*$N$2, 0)))</f>
        <v>1320000</v>
      </c>
      <c r="K1808" s="54">
        <f>Gastos[[#This Row],[Importe AR$]]/$N$1</f>
        <v>846.15384615384619</v>
      </c>
      <c r="M1808" s="69">
        <v>46161</v>
      </c>
      <c r="N1808" s="43">
        <f>IF(Gastos[[#This Row],[Fecha_Cheque]]&gt;0,WEEKNUM(Gastos[[#This Row],[Fecha_Cheque]]),MID(Gastos[[#This Row],[Semana]],6,2))</f>
        <v>21</v>
      </c>
      <c r="O1808" t="s">
        <v>2935</v>
      </c>
      <c r="P1808" t="s">
        <v>27</v>
      </c>
    </row>
    <row r="1809" spans="1:16" hidden="1" x14ac:dyDescent="0.25">
      <c r="A1809" s="3" t="s">
        <v>2731</v>
      </c>
      <c r="B1809" t="s">
        <v>1079</v>
      </c>
      <c r="C1809" t="s">
        <v>2934</v>
      </c>
      <c r="D1809" t="s">
        <v>26</v>
      </c>
      <c r="E1809" t="s">
        <v>31</v>
      </c>
      <c r="F1809">
        <v>1</v>
      </c>
      <c r="G1809" s="3" t="s">
        <v>32</v>
      </c>
      <c r="H1809" s="44" t="s">
        <v>15</v>
      </c>
      <c r="I1809" s="17">
        <v>1320000</v>
      </c>
      <c r="J1809" s="17">
        <f>IF(Gastos[[#This Row],[Divisa]]="$", I1809*1, IF(Gastos[[#This Row],[Divisa]]="U$D", I1809*$N$1, IF(Gastos[[#This Row],[Divisa]]="EUR", I1809*$N$2, 0)))</f>
        <v>1320000</v>
      </c>
      <c r="K1809" s="54">
        <f>Gastos[[#This Row],[Importe AR$]]/$N$1</f>
        <v>846.15384615384619</v>
      </c>
      <c r="M1809" s="69">
        <v>46175</v>
      </c>
      <c r="N1809" s="43">
        <f>IF(Gastos[[#This Row],[Fecha_Cheque]]&gt;0,WEEKNUM(Gastos[[#This Row],[Fecha_Cheque]]),MID(Gastos[[#This Row],[Semana]],6,2))</f>
        <v>23</v>
      </c>
      <c r="O1809" t="s">
        <v>2935</v>
      </c>
      <c r="P1809" t="s">
        <v>27</v>
      </c>
    </row>
    <row r="1810" spans="1:16" hidden="1" x14ac:dyDescent="0.25">
      <c r="A1810" s="3" t="s">
        <v>2731</v>
      </c>
      <c r="B1810" t="s">
        <v>1079</v>
      </c>
      <c r="C1810" t="s">
        <v>2934</v>
      </c>
      <c r="D1810" t="s">
        <v>26</v>
      </c>
      <c r="E1810" t="s">
        <v>31</v>
      </c>
      <c r="F1810">
        <v>1</v>
      </c>
      <c r="G1810" s="3" t="s">
        <v>32</v>
      </c>
      <c r="H1810" s="44" t="s">
        <v>15</v>
      </c>
      <c r="I1810" s="17">
        <v>1320000</v>
      </c>
      <c r="J1810" s="17">
        <f>IF(Gastos[[#This Row],[Divisa]]="$", I1810*1, IF(Gastos[[#This Row],[Divisa]]="U$D", I1810*$N$1, IF(Gastos[[#This Row],[Divisa]]="EUR", I1810*$N$2, 0)))</f>
        <v>1320000</v>
      </c>
      <c r="K1810" s="54">
        <f>Gastos[[#This Row],[Importe AR$]]/$N$1</f>
        <v>846.15384615384619</v>
      </c>
      <c r="M1810" s="69">
        <v>46187</v>
      </c>
      <c r="N1810" s="43">
        <f>IF(Gastos[[#This Row],[Fecha_Cheque]]&gt;0,WEEKNUM(Gastos[[#This Row],[Fecha_Cheque]]),MID(Gastos[[#This Row],[Semana]],6,2))</f>
        <v>25</v>
      </c>
      <c r="O1810" t="s">
        <v>2935</v>
      </c>
      <c r="P1810" t="s">
        <v>27</v>
      </c>
    </row>
    <row r="1811" spans="1:16" hidden="1" x14ac:dyDescent="0.25">
      <c r="A1811" s="3" t="s">
        <v>2731</v>
      </c>
      <c r="B1811" t="s">
        <v>1079</v>
      </c>
      <c r="C1811" t="s">
        <v>2934</v>
      </c>
      <c r="D1811" t="s">
        <v>26</v>
      </c>
      <c r="E1811" t="s">
        <v>31</v>
      </c>
      <c r="F1811">
        <v>1</v>
      </c>
      <c r="G1811" s="3" t="s">
        <v>32</v>
      </c>
      <c r="H1811" s="44" t="s">
        <v>15</v>
      </c>
      <c r="I1811" s="17">
        <v>1320000</v>
      </c>
      <c r="J1811" s="17">
        <f>IF(Gastos[[#This Row],[Divisa]]="$", I1811*1, IF(Gastos[[#This Row],[Divisa]]="U$D", I1811*$N$1, IF(Gastos[[#This Row],[Divisa]]="EUR", I1811*$N$2, 0)))</f>
        <v>1320000</v>
      </c>
      <c r="K1811" s="54">
        <f>Gastos[[#This Row],[Importe AR$]]/$N$1</f>
        <v>846.15384615384619</v>
      </c>
      <c r="M1811" s="69">
        <v>46169</v>
      </c>
      <c r="N1811" s="43">
        <f>IF(Gastos[[#This Row],[Fecha_Cheque]]&gt;0,WEEKNUM(Gastos[[#This Row],[Fecha_Cheque]]),MID(Gastos[[#This Row],[Semana]],6,2))</f>
        <v>22</v>
      </c>
      <c r="O1811" t="s">
        <v>2935</v>
      </c>
      <c r="P1811" t="s">
        <v>27</v>
      </c>
    </row>
    <row r="1812" spans="1:16" hidden="1" x14ac:dyDescent="0.25">
      <c r="A1812" s="3" t="s">
        <v>2731</v>
      </c>
      <c r="B1812" t="s">
        <v>1079</v>
      </c>
      <c r="C1812" t="s">
        <v>2934</v>
      </c>
      <c r="D1812" t="s">
        <v>26</v>
      </c>
      <c r="E1812" t="s">
        <v>31</v>
      </c>
      <c r="F1812">
        <v>1</v>
      </c>
      <c r="G1812" s="3" t="s">
        <v>32</v>
      </c>
      <c r="H1812" s="44" t="s">
        <v>15</v>
      </c>
      <c r="I1812" s="17">
        <v>1320000</v>
      </c>
      <c r="J1812" s="17">
        <f>IF(Gastos[[#This Row],[Divisa]]="$", I1812*1, IF(Gastos[[#This Row],[Divisa]]="U$D", I1812*$N$1, IF(Gastos[[#This Row],[Divisa]]="EUR", I1812*$N$2, 0)))</f>
        <v>1320000</v>
      </c>
      <c r="K1812" s="54">
        <f>Gastos[[#This Row],[Importe AR$]]/$N$1</f>
        <v>846.15384615384619</v>
      </c>
      <c r="M1812" s="69">
        <v>46176</v>
      </c>
      <c r="N1812" s="43">
        <f>IF(Gastos[[#This Row],[Fecha_Cheque]]&gt;0,WEEKNUM(Gastos[[#This Row],[Fecha_Cheque]]),MID(Gastos[[#This Row],[Semana]],6,2))</f>
        <v>23</v>
      </c>
      <c r="O1812" t="s">
        <v>2935</v>
      </c>
      <c r="P1812" t="s">
        <v>27</v>
      </c>
    </row>
    <row r="1813" spans="1:16" hidden="1" x14ac:dyDescent="0.25">
      <c r="A1813" s="3" t="s">
        <v>2731</v>
      </c>
      <c r="B1813" t="s">
        <v>1079</v>
      </c>
      <c r="C1813" t="s">
        <v>2934</v>
      </c>
      <c r="D1813" t="s">
        <v>26</v>
      </c>
      <c r="E1813" t="s">
        <v>31</v>
      </c>
      <c r="F1813">
        <v>1</v>
      </c>
      <c r="G1813" s="3" t="s">
        <v>32</v>
      </c>
      <c r="H1813" s="44" t="s">
        <v>15</v>
      </c>
      <c r="I1813" s="17">
        <v>1320000</v>
      </c>
      <c r="J1813" s="17">
        <f>IF(Gastos[[#This Row],[Divisa]]="$", I1813*1, IF(Gastos[[#This Row],[Divisa]]="U$D", I1813*$N$1, IF(Gastos[[#This Row],[Divisa]]="EUR", I1813*$N$2, 0)))</f>
        <v>1320000</v>
      </c>
      <c r="K1813" s="54">
        <f>Gastos[[#This Row],[Importe AR$]]/$N$1</f>
        <v>846.15384615384619</v>
      </c>
      <c r="M1813" s="69">
        <v>46189</v>
      </c>
      <c r="N1813" s="43">
        <f>IF(Gastos[[#This Row],[Fecha_Cheque]]&gt;0,WEEKNUM(Gastos[[#This Row],[Fecha_Cheque]]),MID(Gastos[[#This Row],[Semana]],6,2))</f>
        <v>25</v>
      </c>
      <c r="O1813" t="s">
        <v>2935</v>
      </c>
      <c r="P1813" t="s">
        <v>27</v>
      </c>
    </row>
    <row r="1814" spans="1:16" hidden="1" x14ac:dyDescent="0.25">
      <c r="A1814" s="3" t="s">
        <v>2731</v>
      </c>
      <c r="B1814" t="s">
        <v>1079</v>
      </c>
      <c r="C1814" t="s">
        <v>2934</v>
      </c>
      <c r="D1814" t="s">
        <v>26</v>
      </c>
      <c r="E1814" t="s">
        <v>31</v>
      </c>
      <c r="F1814">
        <v>1</v>
      </c>
      <c r="G1814" s="3" t="s">
        <v>32</v>
      </c>
      <c r="H1814" s="44" t="s">
        <v>15</v>
      </c>
      <c r="I1814" s="17">
        <v>2349983.33</v>
      </c>
      <c r="J1814" s="17">
        <f>IF(Gastos[[#This Row],[Divisa]]="$", I1814*1, IF(Gastos[[#This Row],[Divisa]]="U$D", I1814*$N$1, IF(Gastos[[#This Row],[Divisa]]="EUR", I1814*$N$2, 0)))</f>
        <v>2349983.33</v>
      </c>
      <c r="K1814" s="54">
        <f>Gastos[[#This Row],[Importe AR$]]/$N$1</f>
        <v>1506.3995705128207</v>
      </c>
      <c r="M1814" s="69">
        <v>46211</v>
      </c>
      <c r="N1814" s="43">
        <f>IF(Gastos[[#This Row],[Fecha_Cheque]]&gt;0,WEEKNUM(Gastos[[#This Row],[Fecha_Cheque]]),MID(Gastos[[#This Row],[Semana]],6,2))</f>
        <v>28</v>
      </c>
      <c r="O1814" t="s">
        <v>2935</v>
      </c>
      <c r="P1814" t="s">
        <v>27</v>
      </c>
    </row>
    <row r="1815" spans="1:16" hidden="1" x14ac:dyDescent="0.25">
      <c r="A1815" s="3" t="s">
        <v>2731</v>
      </c>
      <c r="B1815" t="s">
        <v>1079</v>
      </c>
      <c r="C1815" t="s">
        <v>2934</v>
      </c>
      <c r="D1815" t="s">
        <v>26</v>
      </c>
      <c r="E1815" t="s">
        <v>31</v>
      </c>
      <c r="F1815">
        <v>1</v>
      </c>
      <c r="G1815" s="3" t="s">
        <v>32</v>
      </c>
      <c r="H1815" s="44" t="s">
        <v>15</v>
      </c>
      <c r="I1815" s="17">
        <v>2349983.33</v>
      </c>
      <c r="J1815" s="17">
        <f>IF(Gastos[[#This Row],[Divisa]]="$", I1815*1, IF(Gastos[[#This Row],[Divisa]]="U$D", I1815*$N$1, IF(Gastos[[#This Row],[Divisa]]="EUR", I1815*$N$2, 0)))</f>
        <v>2349983.33</v>
      </c>
      <c r="K1815" s="54">
        <f>Gastos[[#This Row],[Importe AR$]]/$N$1</f>
        <v>1506.3995705128207</v>
      </c>
      <c r="M1815" s="69">
        <v>46190</v>
      </c>
      <c r="N1815" s="43">
        <f>IF(Gastos[[#This Row],[Fecha_Cheque]]&gt;0,WEEKNUM(Gastos[[#This Row],[Fecha_Cheque]]),MID(Gastos[[#This Row],[Semana]],6,2))</f>
        <v>25</v>
      </c>
      <c r="O1815" t="s">
        <v>2935</v>
      </c>
      <c r="P1815" t="s">
        <v>27</v>
      </c>
    </row>
    <row r="1816" spans="1:16" hidden="1" x14ac:dyDescent="0.25">
      <c r="A1816" s="3" t="s">
        <v>2731</v>
      </c>
      <c r="B1816" t="s">
        <v>1079</v>
      </c>
      <c r="C1816" t="s">
        <v>2934</v>
      </c>
      <c r="D1816" t="s">
        <v>26</v>
      </c>
      <c r="E1816" t="s">
        <v>31</v>
      </c>
      <c r="F1816">
        <v>1</v>
      </c>
      <c r="G1816" s="3" t="s">
        <v>32</v>
      </c>
      <c r="H1816" s="44" t="s">
        <v>15</v>
      </c>
      <c r="I1816" s="17">
        <v>10835376.67</v>
      </c>
      <c r="J1816" s="17">
        <f>IF(Gastos[[#This Row],[Divisa]]="$", I1816*1, IF(Gastos[[#This Row],[Divisa]]="U$D", I1816*$N$1, IF(Gastos[[#This Row],[Divisa]]="EUR", I1816*$N$2, 0)))</f>
        <v>10835376.67</v>
      </c>
      <c r="K1816" s="54">
        <f>Gastos[[#This Row],[Importe AR$]]/$N$1</f>
        <v>6945.7542756410257</v>
      </c>
      <c r="M1816" s="69">
        <v>46195</v>
      </c>
      <c r="N1816" s="43">
        <f>IF(Gastos[[#This Row],[Fecha_Cheque]]&gt;0,WEEKNUM(Gastos[[#This Row],[Fecha_Cheque]]),MID(Gastos[[#This Row],[Semana]],6,2))</f>
        <v>26</v>
      </c>
      <c r="O1816" t="s">
        <v>2935</v>
      </c>
      <c r="P1816" t="s">
        <v>27</v>
      </c>
    </row>
    <row r="1817" spans="1:16" hidden="1" x14ac:dyDescent="0.25">
      <c r="A1817" s="3" t="s">
        <v>2731</v>
      </c>
      <c r="B1817" t="s">
        <v>1079</v>
      </c>
      <c r="C1817" t="s">
        <v>2934</v>
      </c>
      <c r="D1817" t="s">
        <v>26</v>
      </c>
      <c r="E1817" t="s">
        <v>31</v>
      </c>
      <c r="F1817">
        <v>1</v>
      </c>
      <c r="G1817" s="3" t="s">
        <v>32</v>
      </c>
      <c r="H1817" s="44" t="s">
        <v>15</v>
      </c>
      <c r="I1817" s="17">
        <v>651616.22</v>
      </c>
      <c r="J1817" s="17">
        <f>IF(Gastos[[#This Row],[Divisa]]="$", I1817*1, IF(Gastos[[#This Row],[Divisa]]="U$D", I1817*$N$1, IF(Gastos[[#This Row],[Divisa]]="EUR", I1817*$N$2, 0)))</f>
        <v>651616.22</v>
      </c>
      <c r="K1817" s="54">
        <f>Gastos[[#This Row],[Importe AR$]]/$N$1</f>
        <v>417.70270512820508</v>
      </c>
      <c r="L1817" t="s">
        <v>340</v>
      </c>
      <c r="M1817" s="69"/>
      <c r="N1817" s="43" t="str">
        <f>IF(Gastos[[#This Row],[Fecha_Cheque]]&gt;0,WEEKNUM(Gastos[[#This Row],[Fecha_Cheque]]),MID(Gastos[[#This Row],[Semana]],6,2))</f>
        <v>17</v>
      </c>
      <c r="O1817" t="s">
        <v>2935</v>
      </c>
      <c r="P1817" t="s">
        <v>27</v>
      </c>
    </row>
    <row r="1818" spans="1:16" hidden="1" x14ac:dyDescent="0.25">
      <c r="A1818" s="3" t="s">
        <v>2763</v>
      </c>
      <c r="B1818" t="s">
        <v>1079</v>
      </c>
      <c r="C1818" t="s">
        <v>3271</v>
      </c>
      <c r="D1818" t="s">
        <v>26</v>
      </c>
      <c r="E1818" t="s">
        <v>31</v>
      </c>
      <c r="F1818">
        <v>1</v>
      </c>
      <c r="G1818" s="3" t="s">
        <v>32</v>
      </c>
      <c r="H1818" s="44" t="s">
        <v>15</v>
      </c>
      <c r="I1818" s="17">
        <v>7195841.1100000003</v>
      </c>
      <c r="J1818" s="17">
        <f>IF(Gastos[[#This Row],[Divisa]]="$", I1818*1, IF(Gastos[[#This Row],[Divisa]]="U$D", I1818*$N$1, IF(Gastos[[#This Row],[Divisa]]="EUR", I1818*$N$2, 0)))</f>
        <v>7195841.1100000003</v>
      </c>
      <c r="K1818" s="54">
        <f>Gastos[[#This Row],[Importe AR$]]/$N$1</f>
        <v>4612.7186602564107</v>
      </c>
      <c r="M1818" s="69">
        <v>46223</v>
      </c>
      <c r="N1818" s="43">
        <f>IF(Gastos[[#This Row],[Fecha_Cheque]]&gt;0,WEEKNUM(Gastos[[#This Row],[Fecha_Cheque]]),MID(Gastos[[#This Row],[Semana]],6,2))</f>
        <v>30</v>
      </c>
      <c r="O1818" t="s">
        <v>3272</v>
      </c>
      <c r="P1818" t="s">
        <v>27</v>
      </c>
    </row>
    <row r="1819" spans="1:16" hidden="1" x14ac:dyDescent="0.25">
      <c r="A1819" s="3" t="s">
        <v>2763</v>
      </c>
      <c r="B1819" t="s">
        <v>1079</v>
      </c>
      <c r="C1819" t="s">
        <v>3271</v>
      </c>
      <c r="D1819" t="s">
        <v>26</v>
      </c>
      <c r="E1819" t="s">
        <v>31</v>
      </c>
      <c r="F1819">
        <v>1</v>
      </c>
      <c r="G1819" s="3" t="s">
        <v>32</v>
      </c>
      <c r="H1819" s="44" t="s">
        <v>15</v>
      </c>
      <c r="I1819" s="17">
        <v>7195841.1100000003</v>
      </c>
      <c r="J1819" s="17">
        <f>IF(Gastos[[#This Row],[Divisa]]="$", I1819*1, IF(Gastos[[#This Row],[Divisa]]="U$D", I1819*$N$1, IF(Gastos[[#This Row],[Divisa]]="EUR", I1819*$N$2, 0)))</f>
        <v>7195841.1100000003</v>
      </c>
      <c r="K1819" s="54">
        <f>Gastos[[#This Row],[Importe AR$]]/$N$1</f>
        <v>4612.7186602564107</v>
      </c>
      <c r="M1819" s="69">
        <v>46237</v>
      </c>
      <c r="N1819" s="43">
        <f>IF(Gastos[[#This Row],[Fecha_Cheque]]&gt;0,WEEKNUM(Gastos[[#This Row],[Fecha_Cheque]]),MID(Gastos[[#This Row],[Semana]],6,2))</f>
        <v>32</v>
      </c>
      <c r="O1819" t="s">
        <v>3272</v>
      </c>
      <c r="P1819" t="s">
        <v>27</v>
      </c>
    </row>
    <row r="1820" spans="1:16" hidden="1" x14ac:dyDescent="0.25">
      <c r="A1820" s="3" t="s">
        <v>2763</v>
      </c>
      <c r="B1820" t="s">
        <v>1079</v>
      </c>
      <c r="C1820" t="s">
        <v>3271</v>
      </c>
      <c r="D1820" t="s">
        <v>26</v>
      </c>
      <c r="E1820" t="s">
        <v>31</v>
      </c>
      <c r="F1820">
        <v>1</v>
      </c>
      <c r="G1820" s="3" t="s">
        <v>32</v>
      </c>
      <c r="H1820" s="44" t="s">
        <v>15</v>
      </c>
      <c r="I1820" s="17">
        <v>7195841.1100000003</v>
      </c>
      <c r="J1820" s="17">
        <f>IF(Gastos[[#This Row],[Divisa]]="$", I1820*1, IF(Gastos[[#This Row],[Divisa]]="U$D", I1820*$N$1, IF(Gastos[[#This Row],[Divisa]]="EUR", I1820*$N$2, 0)))</f>
        <v>7195841.1100000003</v>
      </c>
      <c r="K1820" s="54">
        <f>Gastos[[#This Row],[Importe AR$]]/$N$1</f>
        <v>4612.7186602564107</v>
      </c>
      <c r="M1820" s="69">
        <v>46247</v>
      </c>
      <c r="N1820" s="43">
        <f>IF(Gastos[[#This Row],[Fecha_Cheque]]&gt;0,WEEKNUM(Gastos[[#This Row],[Fecha_Cheque]]),MID(Gastos[[#This Row],[Semana]],6,2))</f>
        <v>33</v>
      </c>
      <c r="O1820" t="s">
        <v>3272</v>
      </c>
      <c r="P1820" t="s">
        <v>27</v>
      </c>
    </row>
    <row r="1821" spans="1:16" hidden="1" x14ac:dyDescent="0.25">
      <c r="A1821" s="3" t="s">
        <v>2763</v>
      </c>
      <c r="B1821" t="s">
        <v>1079</v>
      </c>
      <c r="C1821" t="s">
        <v>3271</v>
      </c>
      <c r="D1821" t="s">
        <v>26</v>
      </c>
      <c r="E1821" t="s">
        <v>31</v>
      </c>
      <c r="F1821">
        <v>1</v>
      </c>
      <c r="G1821" s="3" t="s">
        <v>32</v>
      </c>
      <c r="H1821" s="44" t="s">
        <v>15</v>
      </c>
      <c r="I1821" s="17">
        <v>358260.22</v>
      </c>
      <c r="J1821" s="17">
        <f>IF(Gastos[[#This Row],[Divisa]]="$", I1821*1, IF(Gastos[[#This Row],[Divisa]]="U$D", I1821*$N$1, IF(Gastos[[#This Row],[Divisa]]="EUR", I1821*$N$2, 0)))</f>
        <v>358260.22</v>
      </c>
      <c r="K1821" s="54">
        <f>Gastos[[#This Row],[Importe AR$]]/$N$1</f>
        <v>229.65398717948716</v>
      </c>
      <c r="L1821" t="s">
        <v>340</v>
      </c>
      <c r="M1821" s="69"/>
      <c r="N1821" s="43" t="str">
        <f>IF(Gastos[[#This Row],[Fecha_Cheque]]&gt;0,WEEKNUM(Gastos[[#This Row],[Fecha_Cheque]]),MID(Gastos[[#This Row],[Semana]],6,2))</f>
        <v>23</v>
      </c>
      <c r="O1821" t="s">
        <v>3272</v>
      </c>
      <c r="P1821" t="s">
        <v>27</v>
      </c>
    </row>
    <row r="1822" spans="1:16" hidden="1" x14ac:dyDescent="0.25">
      <c r="A1822" s="3" t="s">
        <v>4074</v>
      </c>
      <c r="B1822" t="s">
        <v>1079</v>
      </c>
      <c r="C1822" t="s">
        <v>2913</v>
      </c>
      <c r="D1822" t="s">
        <v>26</v>
      </c>
      <c r="E1822" t="s">
        <v>62</v>
      </c>
      <c r="F1822">
        <v>1</v>
      </c>
      <c r="G1822" s="3" t="s">
        <v>32</v>
      </c>
      <c r="H1822" s="46" t="s">
        <v>15</v>
      </c>
      <c r="I1822" s="17">
        <v>3555047.92</v>
      </c>
      <c r="J1822" s="17">
        <f>IF(Gastos[[#This Row],[Divisa]]="$", I1822*1, IF(Gastos[[#This Row],[Divisa]]="U$D", I1822*$N$1, IF(Gastos[[#This Row],[Divisa]]="EUR", I1822*$N$2, 0)))</f>
        <v>3555047.92</v>
      </c>
      <c r="K1822" s="54">
        <f>Gastos[[#This Row],[Importe AR$]]/$N$1</f>
        <v>2278.8768717948719</v>
      </c>
      <c r="M1822" s="69">
        <v>46266</v>
      </c>
      <c r="N1822" s="43">
        <f>IF(Gastos[[#This Row],[Fecha_Cheque]]&gt;0,WEEKNUM(Gastos[[#This Row],[Fecha_Cheque]]),MID(Gastos[[#This Row],[Semana]],6,2))</f>
        <v>36</v>
      </c>
      <c r="O1822" t="s">
        <v>4109</v>
      </c>
      <c r="P1822" t="s">
        <v>27</v>
      </c>
    </row>
    <row r="1823" spans="1:16" hidden="1" x14ac:dyDescent="0.25">
      <c r="A1823" s="3" t="s">
        <v>4074</v>
      </c>
      <c r="B1823" t="s">
        <v>1079</v>
      </c>
      <c r="C1823" t="s">
        <v>2913</v>
      </c>
      <c r="D1823" t="s">
        <v>26</v>
      </c>
      <c r="E1823" t="s">
        <v>62</v>
      </c>
      <c r="F1823">
        <v>1</v>
      </c>
      <c r="G1823" s="3" t="s">
        <v>32</v>
      </c>
      <c r="H1823" s="46" t="s">
        <v>15</v>
      </c>
      <c r="I1823" s="17">
        <v>54281.120000000003</v>
      </c>
      <c r="J1823" s="17">
        <f>IF(Gastos[[#This Row],[Divisa]]="$", I1823*1, IF(Gastos[[#This Row],[Divisa]]="U$D", I1823*$N$1, IF(Gastos[[#This Row],[Divisa]]="EUR", I1823*$N$2, 0)))</f>
        <v>54281.120000000003</v>
      </c>
      <c r="K1823" s="54">
        <f>Gastos[[#This Row],[Importe AR$]]/$N$1</f>
        <v>34.795589743589744</v>
      </c>
      <c r="L1823" t="s">
        <v>340</v>
      </c>
      <c r="M1823" s="69"/>
      <c r="N1823" s="43" t="str">
        <f>IF(Gastos[[#This Row],[Fecha_Cheque]]&gt;0,WEEKNUM(Gastos[[#This Row],[Fecha_Cheque]]),MID(Gastos[[#This Row],[Semana]],6,2))</f>
        <v>34</v>
      </c>
      <c r="O1823" t="s">
        <v>4109</v>
      </c>
      <c r="P1823" t="s">
        <v>27</v>
      </c>
    </row>
    <row r="1824" spans="1:16" hidden="1" x14ac:dyDescent="0.25">
      <c r="A1824" s="3" t="s">
        <v>4157</v>
      </c>
      <c r="B1824" t="s">
        <v>1079</v>
      </c>
      <c r="C1824" t="s">
        <v>4110</v>
      </c>
      <c r="D1824" t="s">
        <v>26</v>
      </c>
      <c r="E1824" t="s">
        <v>62</v>
      </c>
      <c r="F1824">
        <v>1</v>
      </c>
      <c r="G1824" s="3" t="s">
        <v>5</v>
      </c>
      <c r="H1824" s="46" t="s">
        <v>15</v>
      </c>
      <c r="I1824" s="17">
        <v>7281852.0700000003</v>
      </c>
      <c r="J1824" s="17">
        <f>IF(Gastos[[#This Row],[Divisa]]="$", I1824*1, IF(Gastos[[#This Row],[Divisa]]="U$D", I1824*$N$1, IF(Gastos[[#This Row],[Divisa]]="EUR", I1824*$N$2, 0)))</f>
        <v>7281852.0700000003</v>
      </c>
      <c r="K1824" s="54">
        <f>Gastos[[#This Row],[Importe AR$]]/$N$1</f>
        <v>4667.8538910256411</v>
      </c>
      <c r="M1824" s="69"/>
      <c r="N1824" s="43" t="str">
        <f>IF(Gastos[[#This Row],[Fecha_Cheque]]&gt;0,WEEKNUM(Gastos[[#This Row],[Fecha_Cheque]]),MID(Gastos[[#This Row],[Semana]],6,2))</f>
        <v>36</v>
      </c>
      <c r="O1824" t="s">
        <v>4174</v>
      </c>
      <c r="P1824" t="s">
        <v>27</v>
      </c>
    </row>
    <row r="1825" spans="1:16" hidden="1" x14ac:dyDescent="0.25">
      <c r="A1825" s="3" t="s">
        <v>4211</v>
      </c>
      <c r="B1825" t="s">
        <v>1079</v>
      </c>
      <c r="C1825" t="s">
        <v>4319</v>
      </c>
      <c r="D1825" t="s">
        <v>26</v>
      </c>
      <c r="E1825" t="s">
        <v>31</v>
      </c>
      <c r="F1825">
        <v>1</v>
      </c>
      <c r="G1825" s="3" t="s">
        <v>32</v>
      </c>
      <c r="H1825" s="44" t="s">
        <v>15</v>
      </c>
      <c r="I1825" s="17">
        <v>10917335.779999999</v>
      </c>
      <c r="J1825" s="17">
        <f>IF(Gastos[[#This Row],[Divisa]]="$", I1825*1, IF(Gastos[[#This Row],[Divisa]]="U$D", I1825*$N$1, IF(Gastos[[#This Row],[Divisa]]="EUR", I1825*$N$2, 0)))</f>
        <v>10917335.779999999</v>
      </c>
      <c r="K1825" s="54">
        <f>Gastos[[#This Row],[Importe AR$]]/$N$1</f>
        <v>6998.2921666666662</v>
      </c>
      <c r="M1825" s="69">
        <v>46294</v>
      </c>
      <c r="N1825" s="43">
        <f>IF(Gastos[[#This Row],[Fecha_Cheque]]&gt;0,WEEKNUM(Gastos[[#This Row],[Fecha_Cheque]]),MID(Gastos[[#This Row],[Semana]],6,2))</f>
        <v>40</v>
      </c>
      <c r="O1825" t="s">
        <v>4320</v>
      </c>
      <c r="P1825" t="s">
        <v>27</v>
      </c>
    </row>
    <row r="1826" spans="1:16" hidden="1" x14ac:dyDescent="0.25">
      <c r="A1826" s="3" t="s">
        <v>4211</v>
      </c>
      <c r="B1826" t="s">
        <v>1079</v>
      </c>
      <c r="C1826" t="s">
        <v>4319</v>
      </c>
      <c r="D1826" t="s">
        <v>26</v>
      </c>
      <c r="E1826" t="s">
        <v>31</v>
      </c>
      <c r="F1826">
        <v>1</v>
      </c>
      <c r="G1826" s="3" t="s">
        <v>32</v>
      </c>
      <c r="H1826" s="44" t="s">
        <v>15</v>
      </c>
      <c r="I1826" s="17">
        <v>221338.01</v>
      </c>
      <c r="J1826" s="17">
        <f>IF(Gastos[[#This Row],[Divisa]]="$", I1826*1, IF(Gastos[[#This Row],[Divisa]]="U$D", I1826*$N$1, IF(Gastos[[#This Row],[Divisa]]="EUR", I1826*$N$2, 0)))</f>
        <v>221338.01</v>
      </c>
      <c r="K1826" s="54">
        <f>Gastos[[#This Row],[Importe AR$]]/$N$1</f>
        <v>141.88333974358974</v>
      </c>
      <c r="L1826" t="s">
        <v>340</v>
      </c>
      <c r="M1826" s="69"/>
      <c r="N1826" s="43" t="str">
        <f>IF(Gastos[[#This Row],[Fecha_Cheque]]&gt;0,WEEKNUM(Gastos[[#This Row],[Fecha_Cheque]]),MID(Gastos[[#This Row],[Semana]],6,2))</f>
        <v>37</v>
      </c>
      <c r="O1826" t="s">
        <v>4320</v>
      </c>
      <c r="P1826" t="s">
        <v>27</v>
      </c>
    </row>
    <row r="1827" spans="1:16" hidden="1" x14ac:dyDescent="0.25">
      <c r="A1827" s="3" t="s">
        <v>4005</v>
      </c>
      <c r="B1827" t="s">
        <v>1098</v>
      </c>
      <c r="C1827" t="s">
        <v>3301</v>
      </c>
      <c r="D1827" t="s">
        <v>26</v>
      </c>
      <c r="E1827" t="s">
        <v>62</v>
      </c>
      <c r="F1827">
        <v>1</v>
      </c>
      <c r="G1827" s="3" t="s">
        <v>32</v>
      </c>
      <c r="H1827" s="46" t="s">
        <v>15</v>
      </c>
      <c r="I1827" s="17">
        <v>3000000</v>
      </c>
      <c r="J1827" s="17">
        <f>IF(Gastos[[#This Row],[Divisa]]="$", I1827*1, IF(Gastos[[#This Row],[Divisa]]="U$D", I1827*$N$1, IF(Gastos[[#This Row],[Divisa]]="EUR", I1827*$N$2, 0)))</f>
        <v>3000000</v>
      </c>
      <c r="K1827" s="54">
        <f>Gastos[[#This Row],[Importe AR$]]/$N$1</f>
        <v>1923.0769230769231</v>
      </c>
      <c r="M1827" s="69">
        <v>46313</v>
      </c>
      <c r="N1827" s="43">
        <f>IF(Gastos[[#This Row],[Fecha_Cheque]]&gt;0,WEEKNUM(Gastos[[#This Row],[Fecha_Cheque]]),MID(Gastos[[#This Row],[Semana]],6,2))</f>
        <v>43</v>
      </c>
      <c r="O1827" t="s">
        <v>4040</v>
      </c>
      <c r="P1827" t="s">
        <v>27</v>
      </c>
    </row>
    <row r="1828" spans="1:16" hidden="1" x14ac:dyDescent="0.25">
      <c r="A1828" s="3" t="s">
        <v>4005</v>
      </c>
      <c r="B1828" t="s">
        <v>1098</v>
      </c>
      <c r="C1828" t="s">
        <v>3301</v>
      </c>
      <c r="D1828" t="s">
        <v>26</v>
      </c>
      <c r="E1828" t="s">
        <v>62</v>
      </c>
      <c r="F1828">
        <v>1</v>
      </c>
      <c r="G1828" s="3" t="s">
        <v>32</v>
      </c>
      <c r="H1828" s="46" t="s">
        <v>15</v>
      </c>
      <c r="I1828" s="17">
        <v>55520</v>
      </c>
      <c r="J1828" s="17">
        <f>IF(Gastos[[#This Row],[Divisa]]="$", I1828*1, IF(Gastos[[#This Row],[Divisa]]="U$D", I1828*$N$1, IF(Gastos[[#This Row],[Divisa]]="EUR", I1828*$N$2, 0)))</f>
        <v>55520</v>
      </c>
      <c r="K1828" s="54">
        <f>Gastos[[#This Row],[Importe AR$]]/$N$1</f>
        <v>35.589743589743591</v>
      </c>
      <c r="L1828" t="s">
        <v>340</v>
      </c>
      <c r="M1828" s="69"/>
      <c r="N1828" s="43" t="str">
        <f>IF(Gastos[[#This Row],[Fecha_Cheque]]&gt;0,WEEKNUM(Gastos[[#This Row],[Fecha_Cheque]]),MID(Gastos[[#This Row],[Semana]],6,2))</f>
        <v>33</v>
      </c>
      <c r="O1828" t="s">
        <v>4040</v>
      </c>
      <c r="P1828" t="s">
        <v>27</v>
      </c>
    </row>
    <row r="1829" spans="1:16" hidden="1" x14ac:dyDescent="0.25">
      <c r="A1829" s="3" t="s">
        <v>4513</v>
      </c>
      <c r="B1829" t="s">
        <v>1098</v>
      </c>
      <c r="C1829" t="s">
        <v>3301</v>
      </c>
      <c r="D1829" t="s">
        <v>26</v>
      </c>
      <c r="E1829" t="s">
        <v>62</v>
      </c>
      <c r="F1829">
        <v>1</v>
      </c>
      <c r="G1829" s="3" t="s">
        <v>32</v>
      </c>
      <c r="H1829" s="46" t="s">
        <v>15</v>
      </c>
      <c r="I1829" s="17">
        <v>2400000</v>
      </c>
      <c r="J1829" s="17">
        <f>IF(Gastos[[#This Row],[Divisa]]="$", I1829*1, IF(Gastos[[#This Row],[Divisa]]="U$D", I1829*$N$1, IF(Gastos[[#This Row],[Divisa]]="EUR", I1829*$N$2, 0)))</f>
        <v>2400000</v>
      </c>
      <c r="K1829" s="54">
        <f>Gastos[[#This Row],[Importe AR$]]/$N$1</f>
        <v>1538.4615384615386</v>
      </c>
      <c r="M1829" s="69">
        <v>46366</v>
      </c>
      <c r="N1829" s="43">
        <f>IF(Gastos[[#This Row],[Fecha_Cheque]]&gt;0,WEEKNUM(Gastos[[#This Row],[Fecha_Cheque]]),MID(Gastos[[#This Row],[Semana]],6,2))</f>
        <v>50</v>
      </c>
      <c r="O1829" t="s">
        <v>4567</v>
      </c>
      <c r="P1829" t="s">
        <v>27</v>
      </c>
    </row>
    <row r="1830" spans="1:16" hidden="1" x14ac:dyDescent="0.25">
      <c r="A1830" s="3" t="s">
        <v>4513</v>
      </c>
      <c r="B1830" t="s">
        <v>1098</v>
      </c>
      <c r="C1830" t="s">
        <v>3301</v>
      </c>
      <c r="D1830" t="s">
        <v>26</v>
      </c>
      <c r="E1830" t="s">
        <v>62</v>
      </c>
      <c r="F1830">
        <v>1</v>
      </c>
      <c r="G1830" s="3" t="s">
        <v>32</v>
      </c>
      <c r="H1830" s="46" t="s">
        <v>15</v>
      </c>
      <c r="I1830" s="17">
        <v>2400000</v>
      </c>
      <c r="J1830" s="17">
        <f>IF(Gastos[[#This Row],[Divisa]]="$", I1830*1, IF(Gastos[[#This Row],[Divisa]]="U$D", I1830*$N$1, IF(Gastos[[#This Row],[Divisa]]="EUR", I1830*$N$2, 0)))</f>
        <v>2400000</v>
      </c>
      <c r="K1830" s="54">
        <f>Gastos[[#This Row],[Importe AR$]]/$N$1</f>
        <v>1538.4615384615386</v>
      </c>
      <c r="M1830" s="69">
        <v>46367</v>
      </c>
      <c r="N1830" s="43">
        <f>IF(Gastos[[#This Row],[Fecha_Cheque]]&gt;0,WEEKNUM(Gastos[[#This Row],[Fecha_Cheque]]),MID(Gastos[[#This Row],[Semana]],6,2))</f>
        <v>50</v>
      </c>
      <c r="O1830" t="s">
        <v>4567</v>
      </c>
      <c r="P1830" t="s">
        <v>27</v>
      </c>
    </row>
    <row r="1831" spans="1:16" hidden="1" x14ac:dyDescent="0.25">
      <c r="A1831" s="3" t="s">
        <v>4513</v>
      </c>
      <c r="B1831" t="s">
        <v>1098</v>
      </c>
      <c r="C1831" t="s">
        <v>3301</v>
      </c>
      <c r="D1831" t="s">
        <v>26</v>
      </c>
      <c r="E1831" t="s">
        <v>62</v>
      </c>
      <c r="F1831">
        <v>1</v>
      </c>
      <c r="G1831" s="3" t="s">
        <v>32</v>
      </c>
      <c r="H1831" s="46" t="s">
        <v>15</v>
      </c>
      <c r="I1831" s="17">
        <v>82397.789999999994</v>
      </c>
      <c r="J1831" s="17">
        <f>IF(Gastos[[#This Row],[Divisa]]="$", I1831*1, IF(Gastos[[#This Row],[Divisa]]="U$D", I1831*$N$1, IF(Gastos[[#This Row],[Divisa]]="EUR", I1831*$N$2, 0)))</f>
        <v>82397.789999999994</v>
      </c>
      <c r="K1831" s="54">
        <f>Gastos[[#This Row],[Importe AR$]]/$N$1</f>
        <v>52.819096153846147</v>
      </c>
      <c r="L1831" t="s">
        <v>340</v>
      </c>
      <c r="M1831" s="69"/>
      <c r="N1831" s="43" t="str">
        <f>IF(Gastos[[#This Row],[Fecha_Cheque]]&gt;0,WEEKNUM(Gastos[[#This Row],[Fecha_Cheque]]),MID(Gastos[[#This Row],[Semana]],6,2))</f>
        <v>42</v>
      </c>
      <c r="O1831" t="s">
        <v>4567</v>
      </c>
      <c r="P1831" t="s">
        <v>27</v>
      </c>
    </row>
    <row r="1832" spans="1:16" x14ac:dyDescent="0.25">
      <c r="A1832" s="3" t="s">
        <v>4655</v>
      </c>
      <c r="B1832" t="s">
        <v>3925</v>
      </c>
      <c r="C1832" t="s">
        <v>2667</v>
      </c>
      <c r="D1832" t="s">
        <v>26</v>
      </c>
      <c r="E1832" t="s">
        <v>3928</v>
      </c>
      <c r="F1832">
        <v>2</v>
      </c>
      <c r="G1832" s="3" t="s">
        <v>32</v>
      </c>
      <c r="H1832" s="44" t="s">
        <v>2</v>
      </c>
      <c r="I1832" s="17">
        <v>162</v>
      </c>
      <c r="J1832" s="17">
        <f>IF(Gastos[[#This Row],[Divisa]]="$", I1832*1, IF(Gastos[[#This Row],[Divisa]]="U$D", I1832*$N$1, IF(Gastos[[#This Row],[Divisa]]="EUR", I1832*$N$2, 0)))</f>
        <v>252720</v>
      </c>
      <c r="K1832" s="54">
        <f>Gastos[[#This Row],[Importe AR$]]/$N$1</f>
        <v>162</v>
      </c>
      <c r="M1832" s="69"/>
      <c r="N1832" s="43" t="str">
        <f>IF(Gastos[[#This Row],[Fecha_Cheque]]&gt;0,WEEKNUM(Gastos[[#This Row],[Fecha_Cheque]]),MID(Gastos[[#This Row],[Semana]],6,2))</f>
        <v>44</v>
      </c>
    </row>
    <row r="1833" spans="1:16" hidden="1" x14ac:dyDescent="0.25">
      <c r="A1833" s="3" t="s">
        <v>93</v>
      </c>
      <c r="B1833" t="s">
        <v>1099</v>
      </c>
      <c r="C1833" t="s">
        <v>1100</v>
      </c>
      <c r="D1833" t="s">
        <v>26</v>
      </c>
      <c r="E1833" t="s">
        <v>31</v>
      </c>
      <c r="F1833">
        <v>1</v>
      </c>
      <c r="G1833" s="3" t="s">
        <v>5</v>
      </c>
      <c r="H1833" s="46" t="s">
        <v>15</v>
      </c>
      <c r="I1833" s="17">
        <v>2420000</v>
      </c>
      <c r="J1833" s="17">
        <f>IF(Gastos[[#This Row],[Divisa]]="$", I1833*1, IF(Gastos[[#This Row],[Divisa]]="U$D", I1833*$N$1, IF(Gastos[[#This Row],[Divisa]]="EUR", I1833*$N$2, 0)))</f>
        <v>2420000</v>
      </c>
      <c r="K1833" s="54">
        <f>Gastos[[#This Row],[Importe AR$]]/$N$1</f>
        <v>1551.2820512820513</v>
      </c>
      <c r="M1833" s="69"/>
      <c r="N1833" s="43" t="str">
        <f>IF(Gastos[[#This Row],[Fecha_Cheque]]&gt;0,WEEKNUM(Gastos[[#This Row],[Fecha_Cheque]]),MID(Gastos[[#This Row],[Semana]],6,2))</f>
        <v>50</v>
      </c>
      <c r="O1833" t="s">
        <v>1101</v>
      </c>
      <c r="P1833" t="s">
        <v>27</v>
      </c>
    </row>
    <row r="1834" spans="1:16" hidden="1" x14ac:dyDescent="0.25">
      <c r="A1834" s="3" t="s">
        <v>416</v>
      </c>
      <c r="B1834" t="s">
        <v>1099</v>
      </c>
      <c r="C1834" t="s">
        <v>1102</v>
      </c>
      <c r="D1834" t="s">
        <v>26</v>
      </c>
      <c r="E1834" t="s">
        <v>31</v>
      </c>
      <c r="F1834">
        <v>1</v>
      </c>
      <c r="G1834" s="3" t="s">
        <v>32</v>
      </c>
      <c r="H1834" s="46" t="s">
        <v>15</v>
      </c>
      <c r="I1834" s="17">
        <v>1785671.7</v>
      </c>
      <c r="J1834" s="17">
        <f>IF(Gastos[[#This Row],[Divisa]]="$", I1834*1, IF(Gastos[[#This Row],[Divisa]]="U$D", I1834*$N$1, IF(Gastos[[#This Row],[Divisa]]="EUR", I1834*$N$2, 0)))</f>
        <v>1785671.7</v>
      </c>
      <c r="K1834" s="54">
        <f>Gastos[[#This Row],[Importe AR$]]/$N$1</f>
        <v>1144.6613461538461</v>
      </c>
      <c r="M1834" s="69">
        <v>46053</v>
      </c>
      <c r="N1834" s="43">
        <f>IF(Gastos[[#This Row],[Fecha_Cheque]]&gt;0,WEEKNUM(Gastos[[#This Row],[Fecha_Cheque]]),MID(Gastos[[#This Row],[Semana]],6,2))</f>
        <v>5</v>
      </c>
      <c r="O1834" t="s">
        <v>1103</v>
      </c>
      <c r="P1834" t="s">
        <v>27</v>
      </c>
    </row>
    <row r="1835" spans="1:16" hidden="1" x14ac:dyDescent="0.25">
      <c r="A1835" s="3" t="s">
        <v>416</v>
      </c>
      <c r="B1835" t="s">
        <v>1099</v>
      </c>
      <c r="C1835" t="s">
        <v>1102</v>
      </c>
      <c r="D1835" t="s">
        <v>26</v>
      </c>
      <c r="E1835" t="s">
        <v>31</v>
      </c>
      <c r="F1835">
        <v>1</v>
      </c>
      <c r="G1835" s="3" t="s">
        <v>32</v>
      </c>
      <c r="H1835" s="46" t="s">
        <v>15</v>
      </c>
      <c r="I1835" s="17">
        <v>1785671.7</v>
      </c>
      <c r="J1835" s="17">
        <f>IF(Gastos[[#This Row],[Divisa]]="$", I1835*1, IF(Gastos[[#This Row],[Divisa]]="U$D", I1835*$N$1, IF(Gastos[[#This Row],[Divisa]]="EUR", I1835*$N$2, 0)))</f>
        <v>1785671.7</v>
      </c>
      <c r="K1835" s="54">
        <f>Gastos[[#This Row],[Importe AR$]]/$N$1</f>
        <v>1144.6613461538461</v>
      </c>
      <c r="M1835" s="69">
        <v>46060</v>
      </c>
      <c r="N1835" s="43">
        <f>IF(Gastos[[#This Row],[Fecha_Cheque]]&gt;0,WEEKNUM(Gastos[[#This Row],[Fecha_Cheque]]),MID(Gastos[[#This Row],[Semana]],6,2))</f>
        <v>6</v>
      </c>
      <c r="O1835" t="s">
        <v>1103</v>
      </c>
      <c r="P1835" t="s">
        <v>27</v>
      </c>
    </row>
    <row r="1836" spans="1:16" hidden="1" x14ac:dyDescent="0.25">
      <c r="A1836" s="3" t="s">
        <v>3882</v>
      </c>
      <c r="B1836" t="s">
        <v>3951</v>
      </c>
      <c r="C1836" t="s">
        <v>3952</v>
      </c>
      <c r="D1836" t="s">
        <v>26</v>
      </c>
      <c r="E1836" t="s">
        <v>42</v>
      </c>
      <c r="F1836">
        <v>2</v>
      </c>
      <c r="G1836" s="3" t="s">
        <v>4</v>
      </c>
      <c r="H1836" s="44" t="s">
        <v>15</v>
      </c>
      <c r="I1836" s="17">
        <v>85000</v>
      </c>
      <c r="J1836" s="17">
        <f>IF(Gastos[[#This Row],[Divisa]]="$", I1836*1, IF(Gastos[[#This Row],[Divisa]]="U$D", I1836*$N$1, IF(Gastos[[#This Row],[Divisa]]="EUR", I1836*$N$2, 0)))</f>
        <v>85000</v>
      </c>
      <c r="K1836" s="54">
        <f>Gastos[[#This Row],[Importe AR$]]/$N$1</f>
        <v>54.487179487179489</v>
      </c>
      <c r="M1836" s="69"/>
      <c r="N1836" s="43" t="str">
        <f>IF(Gastos[[#This Row],[Fecha_Cheque]]&gt;0,WEEKNUM(Gastos[[#This Row],[Fecha_Cheque]]),MID(Gastos[[#This Row],[Semana]],6,2))</f>
        <v>31</v>
      </c>
      <c r="O1836" t="s">
        <v>3953</v>
      </c>
      <c r="P1836" t="s">
        <v>27</v>
      </c>
    </row>
    <row r="1837" spans="1:16" hidden="1" x14ac:dyDescent="0.25">
      <c r="A1837" s="3" t="s">
        <v>4005</v>
      </c>
      <c r="B1837" t="s">
        <v>3951</v>
      </c>
      <c r="C1837" t="s">
        <v>4068</v>
      </c>
      <c r="D1837" t="s">
        <v>26</v>
      </c>
      <c r="E1837" t="s">
        <v>42</v>
      </c>
      <c r="F1837">
        <v>2</v>
      </c>
      <c r="G1837" s="3" t="s">
        <v>4</v>
      </c>
      <c r="H1837" s="44" t="s">
        <v>15</v>
      </c>
      <c r="I1837" s="17">
        <v>65000</v>
      </c>
      <c r="J1837" s="17">
        <f>IF(Gastos[[#This Row],[Divisa]]="$", I1837*1, IF(Gastos[[#This Row],[Divisa]]="U$D", I1837*$N$1, IF(Gastos[[#This Row],[Divisa]]="EUR", I1837*$N$2, 0)))</f>
        <v>65000</v>
      </c>
      <c r="K1837" s="54">
        <f>Gastos[[#This Row],[Importe AR$]]/$N$1</f>
        <v>41.666666666666664</v>
      </c>
      <c r="M1837" s="69"/>
      <c r="N1837" s="43" t="str">
        <f>IF(Gastos[[#This Row],[Fecha_Cheque]]&gt;0,WEEKNUM(Gastos[[#This Row],[Fecha_Cheque]]),MID(Gastos[[#This Row],[Semana]],6,2))</f>
        <v>33</v>
      </c>
      <c r="O1837" t="s">
        <v>4071</v>
      </c>
      <c r="P1837" t="s">
        <v>27</v>
      </c>
    </row>
    <row r="1838" spans="1:16" hidden="1" x14ac:dyDescent="0.25">
      <c r="A1838" s="3" t="s">
        <v>305</v>
      </c>
      <c r="B1838" t="s">
        <v>1104</v>
      </c>
      <c r="C1838" t="s">
        <v>1105</v>
      </c>
      <c r="D1838" t="s">
        <v>26</v>
      </c>
      <c r="E1838" t="s">
        <v>31</v>
      </c>
      <c r="F1838">
        <v>1</v>
      </c>
      <c r="G1838" s="3" t="s">
        <v>5</v>
      </c>
      <c r="H1838" s="46" t="s">
        <v>15</v>
      </c>
      <c r="I1838" s="17">
        <v>35000</v>
      </c>
      <c r="J1838" s="17">
        <f>IF(Gastos[[#This Row],[Divisa]]="$", I1838*1, IF(Gastos[[#This Row],[Divisa]]="U$D", I1838*$N$1, IF(Gastos[[#This Row],[Divisa]]="EUR", I1838*$N$2, 0)))</f>
        <v>35000</v>
      </c>
      <c r="K1838" s="54">
        <f>Gastos[[#This Row],[Importe AR$]]/$N$1</f>
        <v>22.435897435897434</v>
      </c>
      <c r="M1838" s="69"/>
      <c r="N1838" s="43" t="str">
        <f>IF(Gastos[[#This Row],[Fecha_Cheque]]&gt;0,WEEKNUM(Gastos[[#This Row],[Fecha_Cheque]]),MID(Gastos[[#This Row],[Semana]],6,2))</f>
        <v>31</v>
      </c>
      <c r="O1838" t="s">
        <v>1106</v>
      </c>
      <c r="P1838" t="s">
        <v>27</v>
      </c>
    </row>
    <row r="1839" spans="1:16" hidden="1" x14ac:dyDescent="0.25">
      <c r="A1839" s="3" t="s">
        <v>89</v>
      </c>
      <c r="B1839" t="s">
        <v>1104</v>
      </c>
      <c r="C1839" t="s">
        <v>1105</v>
      </c>
      <c r="D1839" t="s">
        <v>26</v>
      </c>
      <c r="E1839" t="s">
        <v>31</v>
      </c>
      <c r="F1839">
        <v>1</v>
      </c>
      <c r="G1839" s="3" t="s">
        <v>4</v>
      </c>
      <c r="H1839" s="46" t="s">
        <v>15</v>
      </c>
      <c r="I1839" s="17">
        <v>171000</v>
      </c>
      <c r="J1839" s="17">
        <f>IF(Gastos[[#This Row],[Divisa]]="$", I1839*1, IF(Gastos[[#This Row],[Divisa]]="U$D", I1839*$N$1, IF(Gastos[[#This Row],[Divisa]]="EUR", I1839*$N$2, 0)))</f>
        <v>171000</v>
      </c>
      <c r="K1839" s="54">
        <f>Gastos[[#This Row],[Importe AR$]]/$N$1</f>
        <v>109.61538461538461</v>
      </c>
      <c r="M1839" s="69"/>
      <c r="N1839" s="43" t="str">
        <f>IF(Gastos[[#This Row],[Fecha_Cheque]]&gt;0,WEEKNUM(Gastos[[#This Row],[Fecha_Cheque]]),MID(Gastos[[#This Row],[Semana]],6,2))</f>
        <v>39</v>
      </c>
      <c r="O1839" t="s">
        <v>1107</v>
      </c>
      <c r="P1839" t="s">
        <v>27</v>
      </c>
    </row>
    <row r="1840" spans="1:16" hidden="1" x14ac:dyDescent="0.25">
      <c r="A1840" s="3" t="s">
        <v>416</v>
      </c>
      <c r="B1840" t="s">
        <v>1104</v>
      </c>
      <c r="C1840" t="s">
        <v>1108</v>
      </c>
      <c r="D1840" t="s">
        <v>26</v>
      </c>
      <c r="E1840" t="s">
        <v>42</v>
      </c>
      <c r="F1840">
        <v>1</v>
      </c>
      <c r="G1840" s="3" t="s">
        <v>4</v>
      </c>
      <c r="H1840" s="46" t="s">
        <v>15</v>
      </c>
      <c r="I1840" s="17">
        <v>26000</v>
      </c>
      <c r="J1840" s="17">
        <f>IF(Gastos[[#This Row],[Divisa]]="$", I1840*1, IF(Gastos[[#This Row],[Divisa]]="U$D", I1840*$N$1, IF(Gastos[[#This Row],[Divisa]]="EUR", I1840*$N$2, 0)))</f>
        <v>26000</v>
      </c>
      <c r="K1840" s="54">
        <f>Gastos[[#This Row],[Importe AR$]]/$N$1</f>
        <v>16.666666666666668</v>
      </c>
      <c r="M1840" s="69"/>
      <c r="N1840" s="43" t="str">
        <f>IF(Gastos[[#This Row],[Fecha_Cheque]]&gt;0,WEEKNUM(Gastos[[#This Row],[Fecha_Cheque]]),MID(Gastos[[#This Row],[Semana]],6,2))</f>
        <v>52</v>
      </c>
      <c r="O1840" t="s">
        <v>1109</v>
      </c>
      <c r="P1840" t="s">
        <v>27</v>
      </c>
    </row>
    <row r="1841" spans="1:16" hidden="1" x14ac:dyDescent="0.25">
      <c r="A1841" s="3" t="s">
        <v>253</v>
      </c>
      <c r="B1841" t="s">
        <v>1110</v>
      </c>
      <c r="C1841" t="s">
        <v>1111</v>
      </c>
      <c r="D1841" t="s">
        <v>26</v>
      </c>
      <c r="E1841" t="s">
        <v>31</v>
      </c>
      <c r="F1841">
        <v>1</v>
      </c>
      <c r="G1841" s="3" t="s">
        <v>5</v>
      </c>
      <c r="H1841" s="46" t="s">
        <v>15</v>
      </c>
      <c r="I1841" s="17">
        <v>201203.63</v>
      </c>
      <c r="J1841" s="17">
        <f>IF(Gastos[[#This Row],[Divisa]]="$", I1841*1, IF(Gastos[[#This Row],[Divisa]]="U$D", I1841*$N$1, IF(Gastos[[#This Row],[Divisa]]="EUR", I1841*$N$2, 0)))</f>
        <v>201203.63</v>
      </c>
      <c r="K1841" s="54">
        <f>Gastos[[#This Row],[Importe AR$]]/$N$1</f>
        <v>128.97668589743591</v>
      </c>
      <c r="M1841" s="69"/>
      <c r="N1841" s="43" t="str">
        <f>IF(Gastos[[#This Row],[Fecha_Cheque]]&gt;0,WEEKNUM(Gastos[[#This Row],[Fecha_Cheque]]),MID(Gastos[[#This Row],[Semana]],6,2))</f>
        <v>24</v>
      </c>
      <c r="O1841" t="s">
        <v>1112</v>
      </c>
      <c r="P1841" t="s">
        <v>27</v>
      </c>
    </row>
    <row r="1842" spans="1:16" hidden="1" x14ac:dyDescent="0.25">
      <c r="A1842" s="3" t="s">
        <v>105</v>
      </c>
      <c r="B1842" t="s">
        <v>1110</v>
      </c>
      <c r="C1842" t="s">
        <v>1113</v>
      </c>
      <c r="D1842" t="s">
        <v>26</v>
      </c>
      <c r="E1842" t="s">
        <v>31</v>
      </c>
      <c r="F1842">
        <v>1</v>
      </c>
      <c r="G1842" s="3" t="s">
        <v>32</v>
      </c>
      <c r="H1842" s="46" t="s">
        <v>15</v>
      </c>
      <c r="I1842" s="17">
        <v>1721892.18</v>
      </c>
      <c r="J1842" s="17">
        <f>IF(Gastos[[#This Row],[Divisa]]="$", I1842*1, IF(Gastos[[#This Row],[Divisa]]="U$D", I1842*$N$1, IF(Gastos[[#This Row],[Divisa]]="EUR", I1842*$N$2, 0)))</f>
        <v>1721892.18</v>
      </c>
      <c r="K1842" s="54">
        <f>Gastos[[#This Row],[Importe AR$]]/$N$1</f>
        <v>1103.7770384615385</v>
      </c>
      <c r="L1842" t="s">
        <v>215</v>
      </c>
      <c r="M1842" s="69">
        <v>45863</v>
      </c>
      <c r="N1842" s="43">
        <f>IF(Gastos[[#This Row],[Fecha_Cheque]]&gt;0,WEEKNUM(Gastos[[#This Row],[Fecha_Cheque]]),MID(Gastos[[#This Row],[Semana]],6,2))</f>
        <v>30</v>
      </c>
      <c r="O1842" t="s">
        <v>1114</v>
      </c>
      <c r="P1842" t="s">
        <v>27</v>
      </c>
    </row>
    <row r="1843" spans="1:16" hidden="1" x14ac:dyDescent="0.25">
      <c r="A1843" s="3" t="s">
        <v>232</v>
      </c>
      <c r="B1843" t="s">
        <v>1110</v>
      </c>
      <c r="C1843" t="s">
        <v>1115</v>
      </c>
      <c r="D1843" t="s">
        <v>26</v>
      </c>
      <c r="E1843" t="s">
        <v>31</v>
      </c>
      <c r="F1843">
        <v>1</v>
      </c>
      <c r="G1843" s="3" t="s">
        <v>5</v>
      </c>
      <c r="H1843" s="46" t="s">
        <v>15</v>
      </c>
      <c r="I1843" s="17">
        <v>27960.68</v>
      </c>
      <c r="J1843" s="17">
        <f>IF(Gastos[[#This Row],[Divisa]]="$", I1843*1, IF(Gastos[[#This Row],[Divisa]]="U$D", I1843*$N$1, IF(Gastos[[#This Row],[Divisa]]="EUR", I1843*$N$2, 0)))</f>
        <v>27960.68</v>
      </c>
      <c r="K1843" s="54">
        <f>Gastos[[#This Row],[Importe AR$]]/$N$1</f>
        <v>17.923512820512819</v>
      </c>
      <c r="M1843" s="69"/>
      <c r="N1843" s="43" t="str">
        <f>IF(Gastos[[#This Row],[Fecha_Cheque]]&gt;0,WEEKNUM(Gastos[[#This Row],[Fecha_Cheque]]),MID(Gastos[[#This Row],[Semana]],6,2))</f>
        <v>44</v>
      </c>
      <c r="O1843" t="s">
        <v>1116</v>
      </c>
      <c r="P1843" t="s">
        <v>27</v>
      </c>
    </row>
    <row r="1844" spans="1:16" hidden="1" x14ac:dyDescent="0.25">
      <c r="A1844" s="3" t="s">
        <v>2841</v>
      </c>
      <c r="B1844" t="s">
        <v>1110</v>
      </c>
      <c r="C1844" t="s">
        <v>3159</v>
      </c>
      <c r="D1844" t="s">
        <v>26</v>
      </c>
      <c r="E1844" t="s">
        <v>31</v>
      </c>
      <c r="F1844">
        <v>1</v>
      </c>
      <c r="G1844" s="3" t="s">
        <v>32</v>
      </c>
      <c r="H1844" s="44" t="s">
        <v>15</v>
      </c>
      <c r="I1844" s="17">
        <v>1764906.74</v>
      </c>
      <c r="J1844" s="17">
        <f>IF(Gastos[[#This Row],[Divisa]]="$", I1844*1, IF(Gastos[[#This Row],[Divisa]]="U$D", I1844*$N$1, IF(Gastos[[#This Row],[Divisa]]="EUR", I1844*$N$2, 0)))</f>
        <v>1764906.74</v>
      </c>
      <c r="K1844" s="54">
        <f>Gastos[[#This Row],[Importe AR$]]/$N$1</f>
        <v>1131.3504743589745</v>
      </c>
      <c r="M1844" s="69">
        <v>46199</v>
      </c>
      <c r="N1844" s="43">
        <f>IF(Gastos[[#This Row],[Fecha_Cheque]]&gt;0,WEEKNUM(Gastos[[#This Row],[Fecha_Cheque]]),MID(Gastos[[#This Row],[Semana]],6,2))</f>
        <v>26</v>
      </c>
      <c r="O1844" t="s">
        <v>3160</v>
      </c>
      <c r="P1844" t="s">
        <v>27</v>
      </c>
    </row>
    <row r="1845" spans="1:16" hidden="1" x14ac:dyDescent="0.25">
      <c r="A1845" s="3" t="s">
        <v>2841</v>
      </c>
      <c r="B1845" t="s">
        <v>1110</v>
      </c>
      <c r="C1845" t="s">
        <v>3159</v>
      </c>
      <c r="D1845" t="s">
        <v>26</v>
      </c>
      <c r="E1845" t="s">
        <v>31</v>
      </c>
      <c r="F1845">
        <v>1</v>
      </c>
      <c r="G1845" s="3" t="s">
        <v>32</v>
      </c>
      <c r="H1845" s="44" t="s">
        <v>15</v>
      </c>
      <c r="I1845" s="17">
        <v>28296.32</v>
      </c>
      <c r="J1845" s="17">
        <f>IF(Gastos[[#This Row],[Divisa]]="$", I1845*1, IF(Gastos[[#This Row],[Divisa]]="U$D", I1845*$N$1, IF(Gastos[[#This Row],[Divisa]]="EUR", I1845*$N$2, 0)))</f>
        <v>28296.32</v>
      </c>
      <c r="K1845" s="54">
        <f>Gastos[[#This Row],[Importe AR$]]/$N$1</f>
        <v>18.138666666666666</v>
      </c>
      <c r="L1845" t="s">
        <v>340</v>
      </c>
      <c r="M1845" s="69"/>
      <c r="N1845" s="43" t="str">
        <f>IF(Gastos[[#This Row],[Fecha_Cheque]]&gt;0,WEEKNUM(Gastos[[#This Row],[Fecha_Cheque]]),MID(Gastos[[#This Row],[Semana]],6,2))</f>
        <v>22</v>
      </c>
      <c r="O1845" t="s">
        <v>3160</v>
      </c>
      <c r="P1845" t="s">
        <v>27</v>
      </c>
    </row>
    <row r="1846" spans="1:16" hidden="1" x14ac:dyDescent="0.25">
      <c r="A1846" s="3" t="s">
        <v>3617</v>
      </c>
      <c r="B1846" t="s">
        <v>1110</v>
      </c>
      <c r="C1846" t="s">
        <v>3644</v>
      </c>
      <c r="D1846" t="s">
        <v>26</v>
      </c>
      <c r="E1846" t="s">
        <v>31</v>
      </c>
      <c r="F1846">
        <v>1</v>
      </c>
      <c r="G1846" s="3" t="s">
        <v>5</v>
      </c>
      <c r="H1846" s="44" t="s">
        <v>15</v>
      </c>
      <c r="I1846" s="17">
        <v>1764906.74</v>
      </c>
      <c r="J1846" s="17">
        <f>IF(Gastos[[#This Row],[Divisa]]="$", I1846*1, IF(Gastos[[#This Row],[Divisa]]="U$D", I1846*$N$1, IF(Gastos[[#This Row],[Divisa]]="EUR", I1846*$N$2, 0)))</f>
        <v>1764906.74</v>
      </c>
      <c r="K1846" s="54">
        <f>Gastos[[#This Row],[Importe AR$]]/$N$1</f>
        <v>1131.3504743589745</v>
      </c>
      <c r="M1846" s="69"/>
      <c r="N1846" s="43" t="str">
        <f>IF(Gastos[[#This Row],[Fecha_Cheque]]&gt;0,WEEKNUM(Gastos[[#This Row],[Fecha_Cheque]]),MID(Gastos[[#This Row],[Semana]],6,2))</f>
        <v>27</v>
      </c>
      <c r="O1846" t="s">
        <v>3664</v>
      </c>
      <c r="P1846" t="s">
        <v>27</v>
      </c>
    </row>
    <row r="1847" spans="1:16" x14ac:dyDescent="0.25">
      <c r="A1847" s="3" t="s">
        <v>4655</v>
      </c>
      <c r="B1847" t="s">
        <v>1019</v>
      </c>
      <c r="C1847" t="s">
        <v>422</v>
      </c>
      <c r="D1847" t="s">
        <v>26</v>
      </c>
      <c r="E1847" t="s">
        <v>91</v>
      </c>
      <c r="F1847">
        <v>1</v>
      </c>
      <c r="G1847" s="3" t="s">
        <v>5</v>
      </c>
      <c r="H1847" s="44" t="s">
        <v>15</v>
      </c>
      <c r="I1847" s="17">
        <v>646653.1</v>
      </c>
      <c r="J1847" s="17">
        <f>IF(Gastos[[#This Row],[Divisa]]="$", I1847*1, IF(Gastos[[#This Row],[Divisa]]="U$D", I1847*$N$1, IF(Gastos[[#This Row],[Divisa]]="EUR", I1847*$N$2, 0)))</f>
        <v>646653.1</v>
      </c>
      <c r="K1847" s="54">
        <f>Gastos[[#This Row],[Importe AR$]]/$N$1</f>
        <v>414.52121794871795</v>
      </c>
      <c r="M1847" s="69"/>
      <c r="N1847" s="43" t="str">
        <f>IF(Gastos[[#This Row],[Fecha_Cheque]]&gt;0,WEEKNUM(Gastos[[#This Row],[Fecha_Cheque]]),MID(Gastos[[#This Row],[Semana]],6,2))</f>
        <v>44</v>
      </c>
      <c r="P1847" t="s">
        <v>7</v>
      </c>
    </row>
    <row r="1848" spans="1:16" x14ac:dyDescent="0.25">
      <c r="A1848" s="3" t="s">
        <v>4655</v>
      </c>
      <c r="B1848" t="s">
        <v>3299</v>
      </c>
      <c r="C1848" t="s">
        <v>3300</v>
      </c>
      <c r="D1848" t="s">
        <v>26</v>
      </c>
      <c r="E1848" t="s">
        <v>42</v>
      </c>
      <c r="F1848">
        <v>1</v>
      </c>
      <c r="G1848" s="3" t="s">
        <v>4</v>
      </c>
      <c r="H1848" s="46" t="s">
        <v>15</v>
      </c>
      <c r="I1848" s="49">
        <v>250000</v>
      </c>
      <c r="J1848" s="17">
        <f>IF(Gastos[[#This Row],[Divisa]]="$", I1848*1, IF(Gastos[[#This Row],[Divisa]]="U$D", I1848*$N$1, IF(Gastos[[#This Row],[Divisa]]="EUR", I1848*$N$2, 0)))</f>
        <v>250000</v>
      </c>
      <c r="K1848" s="54">
        <f>Gastos[[#This Row],[Importe AR$]]/$N$1</f>
        <v>160.25641025641025</v>
      </c>
      <c r="M1848" s="69"/>
      <c r="N1848" s="43" t="str">
        <f>IF(Gastos[[#This Row],[Fecha_Cheque]]&gt;0,WEEKNUM(Gastos[[#This Row],[Fecha_Cheque]]),MID(Gastos[[#This Row],[Semana]],6,2))</f>
        <v>44</v>
      </c>
      <c r="P1848" t="s">
        <v>7</v>
      </c>
    </row>
    <row r="1849" spans="1:16" x14ac:dyDescent="0.25">
      <c r="A1849" s="99" t="s">
        <v>4655</v>
      </c>
      <c r="B1849" s="100" t="s">
        <v>4692</v>
      </c>
      <c r="C1849" s="100" t="s">
        <v>4693</v>
      </c>
      <c r="D1849" s="100" t="s">
        <v>26</v>
      </c>
      <c r="E1849" s="100" t="s">
        <v>62</v>
      </c>
      <c r="F1849" s="100">
        <v>1</v>
      </c>
      <c r="G1849" s="99" t="s">
        <v>32</v>
      </c>
      <c r="H1849" s="44" t="s">
        <v>15</v>
      </c>
      <c r="I1849" s="17">
        <v>800000</v>
      </c>
      <c r="J1849" s="17">
        <f>IF(Gastos[[#This Row],[Divisa]]="$", I1849*1, IF(Gastos[[#This Row],[Divisa]]="U$D", I1849*$N$1, IF(Gastos[[#This Row],[Divisa]]="EUR", I1849*$N$2, 0)))</f>
        <v>800000</v>
      </c>
      <c r="K1849" s="54">
        <f>Gastos[[#This Row],[Importe AR$]]/$N$1</f>
        <v>512.82051282051282</v>
      </c>
      <c r="L1849" s="100"/>
      <c r="M1849" s="101">
        <v>46300</v>
      </c>
      <c r="N1849" s="102">
        <f>IF(Gastos[[#This Row],[Fecha_Cheque]]&gt;0,WEEKNUM(Gastos[[#This Row],[Fecha_Cheque]]),MID(Gastos[[#This Row],[Semana]],6,2))</f>
        <v>41</v>
      </c>
      <c r="O1849" s="100" t="s">
        <v>4694</v>
      </c>
      <c r="P1849" s="100" t="s">
        <v>7</v>
      </c>
    </row>
    <row r="1850" spans="1:16" hidden="1" x14ac:dyDescent="0.25">
      <c r="A1850" s="3" t="s">
        <v>253</v>
      </c>
      <c r="B1850" t="s">
        <v>1118</v>
      </c>
      <c r="C1850" t="s">
        <v>1119</v>
      </c>
      <c r="D1850" t="s">
        <v>26</v>
      </c>
      <c r="E1850" t="s">
        <v>91</v>
      </c>
      <c r="F1850">
        <v>1</v>
      </c>
      <c r="G1850" s="3" t="s">
        <v>5</v>
      </c>
      <c r="H1850" s="46" t="s">
        <v>15</v>
      </c>
      <c r="I1850" s="17">
        <v>5875500</v>
      </c>
      <c r="J1850" s="17">
        <f>IF(Gastos[[#This Row],[Divisa]]="$", I1850*1, IF(Gastos[[#This Row],[Divisa]]="U$D", I1850*$N$1, IF(Gastos[[#This Row],[Divisa]]="EUR", I1850*$N$2, 0)))</f>
        <v>5875500</v>
      </c>
      <c r="K1850" s="54">
        <f>Gastos[[#This Row],[Importe AR$]]/$N$1</f>
        <v>3766.3461538461538</v>
      </c>
      <c r="M1850" s="69"/>
      <c r="N1850" s="43" t="str">
        <f>IF(Gastos[[#This Row],[Fecha_Cheque]]&gt;0,WEEKNUM(Gastos[[#This Row],[Fecha_Cheque]]),MID(Gastos[[#This Row],[Semana]],6,2))</f>
        <v>24</v>
      </c>
      <c r="P1850" t="s">
        <v>27</v>
      </c>
    </row>
    <row r="1851" spans="1:16" hidden="1" x14ac:dyDescent="0.25">
      <c r="A1851" s="3" t="s">
        <v>53</v>
      </c>
      <c r="B1851" t="s">
        <v>1120</v>
      </c>
      <c r="C1851" t="s">
        <v>1121</v>
      </c>
      <c r="D1851" t="s">
        <v>26</v>
      </c>
      <c r="E1851" t="s">
        <v>31</v>
      </c>
      <c r="F1851">
        <v>1</v>
      </c>
      <c r="G1851" s="3" t="s">
        <v>32</v>
      </c>
      <c r="H1851" s="46" t="s">
        <v>15</v>
      </c>
      <c r="I1851" s="17">
        <v>291000.09999999998</v>
      </c>
      <c r="J1851" s="17">
        <f>IF(Gastos[[#This Row],[Divisa]]="$", I1851*1, IF(Gastos[[#This Row],[Divisa]]="U$D", I1851*$N$1, IF(Gastos[[#This Row],[Divisa]]="EUR", I1851*$N$2, 0)))</f>
        <v>291000.09999999998</v>
      </c>
      <c r="K1851" s="54">
        <f>Gastos[[#This Row],[Importe AR$]]/$N$1</f>
        <v>186.53852564102561</v>
      </c>
      <c r="M1851" s="69">
        <v>45922</v>
      </c>
      <c r="N1851" s="43">
        <f>IF(Gastos[[#This Row],[Fecha_Cheque]]&gt;0,WEEKNUM(Gastos[[#This Row],[Fecha_Cheque]]),MID(Gastos[[#This Row],[Semana]],6,2))</f>
        <v>39</v>
      </c>
      <c r="P1851" t="s">
        <v>27</v>
      </c>
    </row>
    <row r="1852" spans="1:16" hidden="1" x14ac:dyDescent="0.25">
      <c r="A1852" s="3" t="s">
        <v>122</v>
      </c>
      <c r="B1852" t="s">
        <v>1120</v>
      </c>
      <c r="C1852" t="s">
        <v>1122</v>
      </c>
      <c r="D1852" t="s">
        <v>26</v>
      </c>
      <c r="E1852" t="s">
        <v>31</v>
      </c>
      <c r="F1852">
        <v>1</v>
      </c>
      <c r="G1852" s="3" t="s">
        <v>4</v>
      </c>
      <c r="H1852" s="46" t="s">
        <v>15</v>
      </c>
      <c r="I1852" s="17">
        <v>40000</v>
      </c>
      <c r="J1852" s="17">
        <f>IF(Gastos[[#This Row],[Divisa]]="$", I1852*1, IF(Gastos[[#This Row],[Divisa]]="U$D", I1852*$N$1, IF(Gastos[[#This Row],[Divisa]]="EUR", I1852*$N$2, 0)))</f>
        <v>40000</v>
      </c>
      <c r="K1852" s="54">
        <f>Gastos[[#This Row],[Importe AR$]]/$N$1</f>
        <v>25.641025641025642</v>
      </c>
      <c r="M1852" s="69">
        <v>45962</v>
      </c>
      <c r="N1852" s="43">
        <f>IF(Gastos[[#This Row],[Fecha_Cheque]]&gt;0,WEEKNUM(Gastos[[#This Row],[Fecha_Cheque]]),MID(Gastos[[#This Row],[Semana]],6,2))</f>
        <v>44</v>
      </c>
      <c r="O1852" t="s">
        <v>1123</v>
      </c>
      <c r="P1852" t="s">
        <v>27</v>
      </c>
    </row>
    <row r="1853" spans="1:16" hidden="1" x14ac:dyDescent="0.25">
      <c r="A1853" s="3" t="s">
        <v>2773</v>
      </c>
      <c r="B1853" t="s">
        <v>1120</v>
      </c>
      <c r="C1853" t="s">
        <v>3113</v>
      </c>
      <c r="D1853" t="s">
        <v>26</v>
      </c>
      <c r="E1853" t="s">
        <v>31</v>
      </c>
      <c r="F1853">
        <v>1</v>
      </c>
      <c r="G1853" s="3" t="s">
        <v>32</v>
      </c>
      <c r="H1853" s="44" t="s">
        <v>15</v>
      </c>
      <c r="I1853" s="17">
        <v>200000</v>
      </c>
      <c r="J1853" s="17">
        <f>IF(Gastos[[#This Row],[Divisa]]="$", I1853*1, IF(Gastos[[#This Row],[Divisa]]="U$D", I1853*$N$1, IF(Gastos[[#This Row],[Divisa]]="EUR", I1853*$N$2, 0)))</f>
        <v>200000</v>
      </c>
      <c r="K1853" s="54">
        <f>Gastos[[#This Row],[Importe AR$]]/$N$1</f>
        <v>128.2051282051282</v>
      </c>
      <c r="M1853" s="69">
        <v>46175</v>
      </c>
      <c r="N1853" s="43">
        <f>IF(Gastos[[#This Row],[Fecha_Cheque]]&gt;0,WEEKNUM(Gastos[[#This Row],[Fecha_Cheque]]),MID(Gastos[[#This Row],[Semana]],6,2))</f>
        <v>23</v>
      </c>
      <c r="O1853" t="s">
        <v>3114</v>
      </c>
      <c r="P1853" t="s">
        <v>27</v>
      </c>
    </row>
    <row r="1854" spans="1:16" hidden="1" x14ac:dyDescent="0.25">
      <c r="A1854" s="3" t="s">
        <v>2773</v>
      </c>
      <c r="B1854" t="s">
        <v>1120</v>
      </c>
      <c r="C1854" t="s">
        <v>3113</v>
      </c>
      <c r="D1854" t="s">
        <v>26</v>
      </c>
      <c r="E1854" t="s">
        <v>31</v>
      </c>
      <c r="F1854">
        <v>1</v>
      </c>
      <c r="G1854" s="3" t="s">
        <v>32</v>
      </c>
      <c r="H1854" s="44" t="s">
        <v>15</v>
      </c>
      <c r="I1854" s="17">
        <v>100000</v>
      </c>
      <c r="J1854" s="17">
        <f>IF(Gastos[[#This Row],[Divisa]]="$", I1854*1, IF(Gastos[[#This Row],[Divisa]]="U$D", I1854*$N$1, IF(Gastos[[#This Row],[Divisa]]="EUR", I1854*$N$2, 0)))</f>
        <v>100000</v>
      </c>
      <c r="K1854" s="54">
        <f>Gastos[[#This Row],[Importe AR$]]/$N$1</f>
        <v>64.102564102564102</v>
      </c>
      <c r="M1854" s="69">
        <v>46192</v>
      </c>
      <c r="N1854" s="43">
        <f>IF(Gastos[[#This Row],[Fecha_Cheque]]&gt;0,WEEKNUM(Gastos[[#This Row],[Fecha_Cheque]]),MID(Gastos[[#This Row],[Semana]],6,2))</f>
        <v>25</v>
      </c>
      <c r="O1854" t="s">
        <v>3114</v>
      </c>
      <c r="P1854" t="s">
        <v>27</v>
      </c>
    </row>
    <row r="1855" spans="1:16" hidden="1" x14ac:dyDescent="0.25">
      <c r="A1855" s="3" t="s">
        <v>2773</v>
      </c>
      <c r="B1855" t="s">
        <v>1120</v>
      </c>
      <c r="C1855" t="s">
        <v>3113</v>
      </c>
      <c r="D1855" t="s">
        <v>26</v>
      </c>
      <c r="E1855" t="s">
        <v>42</v>
      </c>
      <c r="F1855">
        <v>1</v>
      </c>
      <c r="G1855" s="3" t="s">
        <v>4</v>
      </c>
      <c r="H1855" s="44" t="s">
        <v>15</v>
      </c>
      <c r="I1855" s="17">
        <v>25091.62</v>
      </c>
      <c r="J1855" s="17">
        <f>IF(Gastos[[#This Row],[Divisa]]="$", I1855*1, IF(Gastos[[#This Row],[Divisa]]="U$D", I1855*$N$1, IF(Gastos[[#This Row],[Divisa]]="EUR", I1855*$N$2, 0)))</f>
        <v>25091.62</v>
      </c>
      <c r="K1855" s="54">
        <f>Gastos[[#This Row],[Importe AR$]]/$N$1</f>
        <v>16.084371794871796</v>
      </c>
      <c r="M1855" s="69">
        <v>46184</v>
      </c>
      <c r="N1855" s="43">
        <f>IF(Gastos[[#This Row],[Fecha_Cheque]]&gt;0,WEEKNUM(Gastos[[#This Row],[Fecha_Cheque]]),MID(Gastos[[#This Row],[Semana]],6,2))</f>
        <v>24</v>
      </c>
      <c r="O1855" t="s">
        <v>3114</v>
      </c>
      <c r="P1855" t="s">
        <v>27</v>
      </c>
    </row>
    <row r="1856" spans="1:16" hidden="1" x14ac:dyDescent="0.25">
      <c r="A1856" s="3" t="s">
        <v>2773</v>
      </c>
      <c r="B1856" t="s">
        <v>1120</v>
      </c>
      <c r="C1856" t="s">
        <v>3113</v>
      </c>
      <c r="D1856" t="s">
        <v>26</v>
      </c>
      <c r="E1856" t="s">
        <v>31</v>
      </c>
      <c r="F1856">
        <v>1</v>
      </c>
      <c r="G1856" s="3" t="s">
        <v>32</v>
      </c>
      <c r="H1856" s="44" t="s">
        <v>15</v>
      </c>
      <c r="I1856" s="17">
        <v>908.43</v>
      </c>
      <c r="J1856" s="17">
        <f>IF(Gastos[[#This Row],[Divisa]]="$", I1856*1, IF(Gastos[[#This Row],[Divisa]]="U$D", I1856*$N$1, IF(Gastos[[#This Row],[Divisa]]="EUR", I1856*$N$2, 0)))</f>
        <v>908.43</v>
      </c>
      <c r="K1856" s="54">
        <f>Gastos[[#This Row],[Importe AR$]]/$N$1</f>
        <v>0.58232692307692302</v>
      </c>
      <c r="L1856" t="s">
        <v>340</v>
      </c>
      <c r="M1856" s="69"/>
      <c r="N1856" s="43" t="str">
        <f>IF(Gastos[[#This Row],[Fecha_Cheque]]&gt;0,WEEKNUM(Gastos[[#This Row],[Fecha_Cheque]]),MID(Gastos[[#This Row],[Semana]],6,2))</f>
        <v>20</v>
      </c>
      <c r="O1856" t="s">
        <v>3114</v>
      </c>
      <c r="P1856" t="s">
        <v>27</v>
      </c>
    </row>
    <row r="1857" spans="1:16" hidden="1" x14ac:dyDescent="0.25">
      <c r="A1857" s="3" t="s">
        <v>4447</v>
      </c>
      <c r="B1857" t="s">
        <v>1120</v>
      </c>
      <c r="C1857" t="s">
        <v>4466</v>
      </c>
      <c r="D1857" t="s">
        <v>26</v>
      </c>
      <c r="E1857" t="s">
        <v>42</v>
      </c>
      <c r="F1857">
        <v>1</v>
      </c>
      <c r="G1857" s="3" t="s">
        <v>4</v>
      </c>
      <c r="H1857" s="44" t="s">
        <v>15</v>
      </c>
      <c r="I1857" s="17">
        <v>97500.17</v>
      </c>
      <c r="J1857" s="17">
        <f>IF(Gastos[[#This Row],[Divisa]]="$", I1857*1, IF(Gastos[[#This Row],[Divisa]]="U$D", I1857*$N$1, IF(Gastos[[#This Row],[Divisa]]="EUR", I1857*$N$2, 0)))</f>
        <v>97500.17</v>
      </c>
      <c r="K1857" s="54">
        <f>Gastos[[#This Row],[Importe AR$]]/$N$1</f>
        <v>62.500108974358973</v>
      </c>
      <c r="M1857" s="69"/>
      <c r="N1857" s="43" t="str">
        <f>IF(Gastos[[#This Row],[Fecha_Cheque]]&gt;0,WEEKNUM(Gastos[[#This Row],[Fecha_Cheque]]),MID(Gastos[[#This Row],[Semana]],6,2))</f>
        <v>41</v>
      </c>
      <c r="O1857" t="s">
        <v>4467</v>
      </c>
      <c r="P1857" t="s">
        <v>27</v>
      </c>
    </row>
    <row r="1858" spans="1:16" hidden="1" x14ac:dyDescent="0.25">
      <c r="A1858" s="3" t="s">
        <v>3882</v>
      </c>
      <c r="B1858" t="s">
        <v>3938</v>
      </c>
      <c r="C1858" t="s">
        <v>1211</v>
      </c>
      <c r="D1858" t="s">
        <v>26</v>
      </c>
      <c r="E1858" t="s">
        <v>42</v>
      </c>
      <c r="F1858">
        <v>1</v>
      </c>
      <c r="G1858" s="3" t="s">
        <v>4</v>
      </c>
      <c r="H1858" s="44" t="s">
        <v>15</v>
      </c>
      <c r="I1858" s="17">
        <v>45592</v>
      </c>
      <c r="J1858" s="17">
        <f>IF(Gastos[[#This Row],[Divisa]]="$", I1858*1, IF(Gastos[[#This Row],[Divisa]]="U$D", I1858*$N$1, IF(Gastos[[#This Row],[Divisa]]="EUR", I1858*$N$2, 0)))</f>
        <v>45592</v>
      </c>
      <c r="K1858" s="54">
        <f>Gastos[[#This Row],[Importe AR$]]/$N$1</f>
        <v>29.225641025641025</v>
      </c>
      <c r="M1858" s="69"/>
      <c r="N1858" s="43" t="str">
        <f>IF(Gastos[[#This Row],[Fecha_Cheque]]&gt;0,WEEKNUM(Gastos[[#This Row],[Fecha_Cheque]]),MID(Gastos[[#This Row],[Semana]],6,2))</f>
        <v>31</v>
      </c>
      <c r="O1858" t="s">
        <v>3939</v>
      </c>
      <c r="P1858" t="s">
        <v>27</v>
      </c>
    </row>
    <row r="1859" spans="1:16" hidden="1" x14ac:dyDescent="0.25">
      <c r="A1859" s="3" t="s">
        <v>253</v>
      </c>
      <c r="B1859" t="s">
        <v>1124</v>
      </c>
      <c r="C1859" t="s">
        <v>1125</v>
      </c>
      <c r="D1859" t="s">
        <v>61</v>
      </c>
      <c r="E1859" t="s">
        <v>31</v>
      </c>
      <c r="F1859">
        <v>1</v>
      </c>
      <c r="G1859" s="3" t="s">
        <v>32</v>
      </c>
      <c r="H1859" s="46" t="s">
        <v>15</v>
      </c>
      <c r="I1859" s="17">
        <v>11693067.4</v>
      </c>
      <c r="J1859" s="17">
        <f>IF(Gastos[[#This Row],[Divisa]]="$", I1859*1, IF(Gastos[[#This Row],[Divisa]]="U$D", I1859*$N$1, IF(Gastos[[#This Row],[Divisa]]="EUR", I1859*$N$2, 0)))</f>
        <v>11693067.4</v>
      </c>
      <c r="K1859" s="54">
        <f>Gastos[[#This Row],[Importe AR$]]/$N$1</f>
        <v>7495.5560256410263</v>
      </c>
      <c r="M1859" s="69"/>
      <c r="N1859" s="43" t="str">
        <f>IF(Gastos[[#This Row],[Fecha_Cheque]]&gt;0,WEEKNUM(Gastos[[#This Row],[Fecha_Cheque]]),MID(Gastos[[#This Row],[Semana]],6,2))</f>
        <v>24</v>
      </c>
      <c r="P1859" t="s">
        <v>27</v>
      </c>
    </row>
    <row r="1860" spans="1:16" hidden="1" x14ac:dyDescent="0.25">
      <c r="A1860" s="3" t="s">
        <v>253</v>
      </c>
      <c r="B1860" t="s">
        <v>1124</v>
      </c>
      <c r="C1860" t="s">
        <v>1125</v>
      </c>
      <c r="D1860" t="s">
        <v>61</v>
      </c>
      <c r="E1860" t="s">
        <v>31</v>
      </c>
      <c r="F1860">
        <v>1</v>
      </c>
      <c r="G1860" s="3" t="s">
        <v>32</v>
      </c>
      <c r="H1860" s="46" t="s">
        <v>15</v>
      </c>
      <c r="I1860" s="17">
        <v>144427.5</v>
      </c>
      <c r="J1860" s="17">
        <f>IF(Gastos[[#This Row],[Divisa]]="$", I1860*1, IF(Gastos[[#This Row],[Divisa]]="U$D", I1860*$N$1, IF(Gastos[[#This Row],[Divisa]]="EUR", I1860*$N$2, 0)))</f>
        <v>144427.5</v>
      </c>
      <c r="K1860" s="54">
        <f>Gastos[[#This Row],[Importe AR$]]/$N$1</f>
        <v>92.581730769230774</v>
      </c>
      <c r="M1860" s="69"/>
      <c r="N1860" s="43" t="str">
        <f>IF(Gastos[[#This Row],[Fecha_Cheque]]&gt;0,WEEKNUM(Gastos[[#This Row],[Fecha_Cheque]]),MID(Gastos[[#This Row],[Semana]],6,2))</f>
        <v>24</v>
      </c>
      <c r="P1860" t="s">
        <v>27</v>
      </c>
    </row>
    <row r="1861" spans="1:16" hidden="1" x14ac:dyDescent="0.25">
      <c r="A1861" s="3" t="s">
        <v>210</v>
      </c>
      <c r="B1861" t="s">
        <v>1124</v>
      </c>
      <c r="C1861" t="s">
        <v>1126</v>
      </c>
      <c r="D1861" t="s">
        <v>26</v>
      </c>
      <c r="E1861" t="s">
        <v>31</v>
      </c>
      <c r="F1861">
        <v>1</v>
      </c>
      <c r="G1861" s="3" t="s">
        <v>32</v>
      </c>
      <c r="H1861" s="46" t="s">
        <v>15</v>
      </c>
      <c r="I1861" s="17">
        <v>195247.14</v>
      </c>
      <c r="J1861" s="17">
        <f>IF(Gastos[[#This Row],[Divisa]]="$", I1861*1, IF(Gastos[[#This Row],[Divisa]]="U$D", I1861*$N$1, IF(Gastos[[#This Row],[Divisa]]="EUR", I1861*$N$2, 0)))</f>
        <v>195247.14</v>
      </c>
      <c r="K1861" s="54">
        <f>Gastos[[#This Row],[Importe AR$]]/$N$1</f>
        <v>125.15842307692309</v>
      </c>
      <c r="M1861" s="69">
        <v>45944</v>
      </c>
      <c r="N1861" s="43">
        <f>IF(Gastos[[#This Row],[Fecha_Cheque]]&gt;0,WEEKNUM(Gastos[[#This Row],[Fecha_Cheque]]),MID(Gastos[[#This Row],[Semana]],6,2))</f>
        <v>42</v>
      </c>
      <c r="O1861" t="s">
        <v>1127</v>
      </c>
      <c r="P1861" t="s">
        <v>27</v>
      </c>
    </row>
    <row r="1862" spans="1:16" hidden="1" x14ac:dyDescent="0.25">
      <c r="A1862" s="3" t="s">
        <v>210</v>
      </c>
      <c r="B1862" t="s">
        <v>1124</v>
      </c>
      <c r="C1862" t="s">
        <v>1126</v>
      </c>
      <c r="D1862" t="s">
        <v>26</v>
      </c>
      <c r="E1862" t="s">
        <v>31</v>
      </c>
      <c r="F1862">
        <v>1</v>
      </c>
      <c r="G1862" s="3" t="s">
        <v>32</v>
      </c>
      <c r="H1862" s="46" t="s">
        <v>15</v>
      </c>
      <c r="I1862" s="17">
        <v>799085.34</v>
      </c>
      <c r="J1862" s="17">
        <f>IF(Gastos[[#This Row],[Divisa]]="$", I1862*1, IF(Gastos[[#This Row],[Divisa]]="U$D", I1862*$N$1, IF(Gastos[[#This Row],[Divisa]]="EUR", I1862*$N$2, 0)))</f>
        <v>799085.34</v>
      </c>
      <c r="K1862" s="54">
        <f>Gastos[[#This Row],[Importe AR$]]/$N$1</f>
        <v>512.2341923076923</v>
      </c>
      <c r="M1862" s="69">
        <v>45955</v>
      </c>
      <c r="N1862" s="43">
        <f>IF(Gastos[[#This Row],[Fecha_Cheque]]&gt;0,WEEKNUM(Gastos[[#This Row],[Fecha_Cheque]]),MID(Gastos[[#This Row],[Semana]],6,2))</f>
        <v>43</v>
      </c>
      <c r="O1862" t="s">
        <v>1127</v>
      </c>
      <c r="P1862" t="s">
        <v>27</v>
      </c>
    </row>
    <row r="1863" spans="1:16" hidden="1" x14ac:dyDescent="0.25">
      <c r="A1863" s="3" t="s">
        <v>210</v>
      </c>
      <c r="B1863" t="s">
        <v>1124</v>
      </c>
      <c r="C1863" t="s">
        <v>1126</v>
      </c>
      <c r="D1863" t="s">
        <v>26</v>
      </c>
      <c r="E1863" t="s">
        <v>31</v>
      </c>
      <c r="F1863">
        <v>1</v>
      </c>
      <c r="G1863" s="3" t="s">
        <v>32</v>
      </c>
      <c r="H1863" s="46" t="s">
        <v>15</v>
      </c>
      <c r="I1863" s="17">
        <v>1085405.3600000001</v>
      </c>
      <c r="J1863" s="17">
        <f>IF(Gastos[[#This Row],[Divisa]]="$", I1863*1, IF(Gastos[[#This Row],[Divisa]]="U$D", I1863*$N$1, IF(Gastos[[#This Row],[Divisa]]="EUR", I1863*$N$2, 0)))</f>
        <v>1085405.3600000001</v>
      </c>
      <c r="K1863" s="54">
        <f>Gastos[[#This Row],[Importe AR$]]/$N$1</f>
        <v>695.77266666666674</v>
      </c>
      <c r="M1863" s="69">
        <v>45946</v>
      </c>
      <c r="N1863" s="43">
        <f>IF(Gastos[[#This Row],[Fecha_Cheque]]&gt;0,WEEKNUM(Gastos[[#This Row],[Fecha_Cheque]]),MID(Gastos[[#This Row],[Semana]],6,2))</f>
        <v>42</v>
      </c>
      <c r="O1863" t="s">
        <v>1127</v>
      </c>
      <c r="P1863" t="s">
        <v>27</v>
      </c>
    </row>
    <row r="1864" spans="1:16" hidden="1" x14ac:dyDescent="0.25">
      <c r="A1864" s="3" t="s">
        <v>210</v>
      </c>
      <c r="B1864" t="s">
        <v>1124</v>
      </c>
      <c r="C1864" t="s">
        <v>1126</v>
      </c>
      <c r="D1864" t="s">
        <v>26</v>
      </c>
      <c r="E1864" t="s">
        <v>31</v>
      </c>
      <c r="F1864">
        <v>1</v>
      </c>
      <c r="G1864" s="3" t="s">
        <v>32</v>
      </c>
      <c r="H1864" s="46" t="s">
        <v>15</v>
      </c>
      <c r="I1864" s="17">
        <v>1132751</v>
      </c>
      <c r="J1864" s="17">
        <f>IF(Gastos[[#This Row],[Divisa]]="$", I1864*1, IF(Gastos[[#This Row],[Divisa]]="U$D", I1864*$N$1, IF(Gastos[[#This Row],[Divisa]]="EUR", I1864*$N$2, 0)))</f>
        <v>1132751</v>
      </c>
      <c r="K1864" s="54">
        <f>Gastos[[#This Row],[Importe AR$]]/$N$1</f>
        <v>726.12243589743593</v>
      </c>
      <c r="M1864" s="69">
        <v>45939</v>
      </c>
      <c r="N1864" s="43">
        <f>IF(Gastos[[#This Row],[Fecha_Cheque]]&gt;0,WEEKNUM(Gastos[[#This Row],[Fecha_Cheque]]),MID(Gastos[[#This Row],[Semana]],6,2))</f>
        <v>41</v>
      </c>
      <c r="O1864" t="s">
        <v>1127</v>
      </c>
      <c r="P1864" t="s">
        <v>27</v>
      </c>
    </row>
    <row r="1865" spans="1:16" hidden="1" x14ac:dyDescent="0.25">
      <c r="A1865" s="3" t="s">
        <v>210</v>
      </c>
      <c r="B1865" t="s">
        <v>1124</v>
      </c>
      <c r="C1865" t="s">
        <v>1126</v>
      </c>
      <c r="D1865" t="s">
        <v>26</v>
      </c>
      <c r="E1865" t="s">
        <v>31</v>
      </c>
      <c r="F1865">
        <v>1</v>
      </c>
      <c r="G1865" s="3" t="s">
        <v>5</v>
      </c>
      <c r="H1865" s="46" t="s">
        <v>15</v>
      </c>
      <c r="I1865" s="17">
        <v>13490.61</v>
      </c>
      <c r="J1865" s="17">
        <f>IF(Gastos[[#This Row],[Divisa]]="$", I1865*1, IF(Gastos[[#This Row],[Divisa]]="U$D", I1865*$N$1, IF(Gastos[[#This Row],[Divisa]]="EUR", I1865*$N$2, 0)))</f>
        <v>13490.61</v>
      </c>
      <c r="K1865" s="54">
        <f>Gastos[[#This Row],[Importe AR$]]/$N$1</f>
        <v>8.6478269230769236</v>
      </c>
      <c r="M1865" s="69"/>
      <c r="N1865" s="43" t="str">
        <f>IF(Gastos[[#This Row],[Fecha_Cheque]]&gt;0,WEEKNUM(Gastos[[#This Row],[Fecha_Cheque]]),MID(Gastos[[#This Row],[Semana]],6,2))</f>
        <v>37</v>
      </c>
      <c r="O1865" t="s">
        <v>1127</v>
      </c>
      <c r="P1865" t="s">
        <v>27</v>
      </c>
    </row>
    <row r="1866" spans="1:16" hidden="1" x14ac:dyDescent="0.25">
      <c r="A1866" s="3" t="s">
        <v>75</v>
      </c>
      <c r="B1866" s="47" t="s">
        <v>1128</v>
      </c>
      <c r="C1866" t="s">
        <v>1129</v>
      </c>
      <c r="D1866" t="s">
        <v>26</v>
      </c>
      <c r="E1866" t="s">
        <v>31</v>
      </c>
      <c r="F1866">
        <v>1</v>
      </c>
      <c r="G1866" s="3" t="s">
        <v>32</v>
      </c>
      <c r="H1866" s="46" t="s">
        <v>15</v>
      </c>
      <c r="I1866" s="17">
        <v>1000000</v>
      </c>
      <c r="J1866" s="17">
        <f>IF(Gastos[[#This Row],[Divisa]]="$", I1866*1, IF(Gastos[[#This Row],[Divisa]]="U$D", I1866*$N$1, IF(Gastos[[#This Row],[Divisa]]="EUR", I1866*$N$2, 0)))</f>
        <v>1000000</v>
      </c>
      <c r="K1866" s="54">
        <f>Gastos[[#This Row],[Importe AR$]]/$N$1</f>
        <v>641.02564102564099</v>
      </c>
      <c r="M1866" s="69">
        <v>46095</v>
      </c>
      <c r="N1866" s="43">
        <f>IF(Gastos[[#This Row],[Fecha_Cheque]]&gt;0,WEEKNUM(Gastos[[#This Row],[Fecha_Cheque]]),MID(Gastos[[#This Row],[Semana]],6,2))</f>
        <v>11</v>
      </c>
      <c r="O1866" t="s">
        <v>1130</v>
      </c>
      <c r="P1866" t="s">
        <v>27</v>
      </c>
    </row>
    <row r="1867" spans="1:16" hidden="1" x14ac:dyDescent="0.25">
      <c r="A1867" s="3" t="s">
        <v>75</v>
      </c>
      <c r="B1867" s="47" t="s">
        <v>1128</v>
      </c>
      <c r="C1867" t="s">
        <v>1129</v>
      </c>
      <c r="D1867" t="s">
        <v>26</v>
      </c>
      <c r="E1867" t="s">
        <v>31</v>
      </c>
      <c r="F1867">
        <v>1</v>
      </c>
      <c r="G1867" s="3" t="s">
        <v>32</v>
      </c>
      <c r="H1867" s="46" t="s">
        <v>15</v>
      </c>
      <c r="I1867" s="17">
        <v>2800000</v>
      </c>
      <c r="J1867" s="17">
        <f>IF(Gastos[[#This Row],[Divisa]]="$", I1867*1, IF(Gastos[[#This Row],[Divisa]]="U$D", I1867*$N$1, IF(Gastos[[#This Row],[Divisa]]="EUR", I1867*$N$2, 0)))</f>
        <v>2800000</v>
      </c>
      <c r="K1867" s="54">
        <f>Gastos[[#This Row],[Importe AR$]]/$N$1</f>
        <v>1794.8717948717949</v>
      </c>
      <c r="M1867" s="69">
        <v>46132</v>
      </c>
      <c r="N1867" s="43">
        <f>IF(Gastos[[#This Row],[Fecha_Cheque]]&gt;0,WEEKNUM(Gastos[[#This Row],[Fecha_Cheque]]),MID(Gastos[[#This Row],[Semana]],6,2))</f>
        <v>17</v>
      </c>
      <c r="O1867" t="s">
        <v>1130</v>
      </c>
      <c r="P1867" t="s">
        <v>27</v>
      </c>
    </row>
    <row r="1868" spans="1:16" hidden="1" x14ac:dyDescent="0.25">
      <c r="A1868" s="3" t="s">
        <v>75</v>
      </c>
      <c r="B1868" s="47" t="s">
        <v>1128</v>
      </c>
      <c r="C1868" t="s">
        <v>1129</v>
      </c>
      <c r="D1868" t="s">
        <v>26</v>
      </c>
      <c r="E1868" t="s">
        <v>31</v>
      </c>
      <c r="F1868">
        <v>1</v>
      </c>
      <c r="G1868" s="3" t="s">
        <v>32</v>
      </c>
      <c r="H1868" s="46" t="s">
        <v>15</v>
      </c>
      <c r="I1868" s="17">
        <v>3000000</v>
      </c>
      <c r="J1868" s="17">
        <f>IF(Gastos[[#This Row],[Divisa]]="$", I1868*1, IF(Gastos[[#This Row],[Divisa]]="U$D", I1868*$N$1, IF(Gastos[[#This Row],[Divisa]]="EUR", I1868*$N$2, 0)))</f>
        <v>3000000</v>
      </c>
      <c r="K1868" s="54">
        <f>Gastos[[#This Row],[Importe AR$]]/$N$1</f>
        <v>1923.0769230769231</v>
      </c>
      <c r="M1868" s="69">
        <v>46136</v>
      </c>
      <c r="N1868" s="43">
        <f>IF(Gastos[[#This Row],[Fecha_Cheque]]&gt;0,WEEKNUM(Gastos[[#This Row],[Fecha_Cheque]]),MID(Gastos[[#This Row],[Semana]],6,2))</f>
        <v>17</v>
      </c>
      <c r="O1868" t="s">
        <v>1130</v>
      </c>
      <c r="P1868" t="s">
        <v>27</v>
      </c>
    </row>
    <row r="1869" spans="1:16" hidden="1" x14ac:dyDescent="0.25">
      <c r="A1869" s="3" t="s">
        <v>397</v>
      </c>
      <c r="B1869" t="s">
        <v>1128</v>
      </c>
      <c r="C1869" t="s">
        <v>1089</v>
      </c>
      <c r="D1869" t="s">
        <v>61</v>
      </c>
      <c r="E1869" t="s">
        <v>62</v>
      </c>
      <c r="F1869">
        <v>1</v>
      </c>
      <c r="G1869" s="3" t="s">
        <v>32</v>
      </c>
      <c r="H1869" s="46" t="s">
        <v>15</v>
      </c>
      <c r="I1869" s="17">
        <v>1223150</v>
      </c>
      <c r="J1869" s="17">
        <f>IF(Gastos[[#This Row],[Divisa]]="$", I1869*1, IF(Gastos[[#This Row],[Divisa]]="U$D", I1869*$N$1, IF(Gastos[[#This Row],[Divisa]]="EUR", I1869*$N$2, 0)))</f>
        <v>1223150</v>
      </c>
      <c r="K1869" s="54">
        <f>Gastos[[#This Row],[Importe AR$]]/$N$1</f>
        <v>784.07051282051282</v>
      </c>
      <c r="M1869" s="69">
        <v>46108</v>
      </c>
      <c r="N1869" s="43">
        <f>IF(Gastos[[#This Row],[Fecha_Cheque]]&gt;0,WEEKNUM(Gastos[[#This Row],[Fecha_Cheque]]),MID(Gastos[[#This Row],[Semana]],6,2))</f>
        <v>13</v>
      </c>
      <c r="O1869" t="s">
        <v>1942</v>
      </c>
      <c r="P1869" t="s">
        <v>27</v>
      </c>
    </row>
    <row r="1870" spans="1:16" hidden="1" x14ac:dyDescent="0.25">
      <c r="A1870" s="3" t="s">
        <v>397</v>
      </c>
      <c r="B1870" t="s">
        <v>1128</v>
      </c>
      <c r="C1870" t="s">
        <v>1089</v>
      </c>
      <c r="D1870" t="s">
        <v>61</v>
      </c>
      <c r="E1870" t="s">
        <v>62</v>
      </c>
      <c r="F1870">
        <v>1</v>
      </c>
      <c r="G1870" s="3" t="s">
        <v>32</v>
      </c>
      <c r="H1870" s="46" t="s">
        <v>15</v>
      </c>
      <c r="I1870" s="17">
        <v>15248.23</v>
      </c>
      <c r="J1870" s="17">
        <f>IF(Gastos[[#This Row],[Divisa]]="$", I1870*1, IF(Gastos[[#This Row],[Divisa]]="U$D", I1870*$N$1, IF(Gastos[[#This Row],[Divisa]]="EUR", I1870*$N$2, 0)))</f>
        <v>15248.23</v>
      </c>
      <c r="K1870" s="54">
        <f>Gastos[[#This Row],[Importe AR$]]/$N$1</f>
        <v>9.7745064102564108</v>
      </c>
      <c r="M1870" s="69"/>
      <c r="N1870" s="43" t="str">
        <f>IF(Gastos[[#This Row],[Fecha_Cheque]]&gt;0,WEEKNUM(Gastos[[#This Row],[Fecha_Cheque]]),MID(Gastos[[#This Row],[Semana]],6,2))</f>
        <v>11</v>
      </c>
      <c r="O1870" t="s">
        <v>1942</v>
      </c>
      <c r="P1870" t="s">
        <v>27</v>
      </c>
    </row>
    <row r="1871" spans="1:16" hidden="1" x14ac:dyDescent="0.25">
      <c r="A1871" s="3" t="s">
        <v>332</v>
      </c>
      <c r="B1871" t="s">
        <v>1128</v>
      </c>
      <c r="C1871" t="s">
        <v>1089</v>
      </c>
      <c r="D1871" t="s">
        <v>26</v>
      </c>
      <c r="E1871" t="s">
        <v>62</v>
      </c>
      <c r="F1871">
        <v>1</v>
      </c>
      <c r="G1871" s="3" t="s">
        <v>32</v>
      </c>
      <c r="H1871" s="46" t="s">
        <v>15</v>
      </c>
      <c r="I1871" s="17">
        <v>2000000</v>
      </c>
      <c r="J1871" s="17">
        <f>IF(Gastos[[#This Row],[Divisa]]="$", I1871*1, IF(Gastos[[#This Row],[Divisa]]="U$D", I1871*$N$1, IF(Gastos[[#This Row],[Divisa]]="EUR", I1871*$N$2, 0)))</f>
        <v>2000000</v>
      </c>
      <c r="K1871" s="54">
        <f>Gastos[[#This Row],[Importe AR$]]/$N$1</f>
        <v>1282.051282051282</v>
      </c>
      <c r="M1871" s="69">
        <v>46103</v>
      </c>
      <c r="N1871" s="43">
        <f>IF(Gastos[[#This Row],[Fecha_Cheque]]&gt;0,WEEKNUM(Gastos[[#This Row],[Fecha_Cheque]]),MID(Gastos[[#This Row],[Semana]],6,2))</f>
        <v>13</v>
      </c>
      <c r="O1871" t="s">
        <v>2385</v>
      </c>
      <c r="P1871" t="s">
        <v>27</v>
      </c>
    </row>
    <row r="1872" spans="1:16" hidden="1" x14ac:dyDescent="0.25">
      <c r="A1872" s="3" t="s">
        <v>332</v>
      </c>
      <c r="B1872" t="s">
        <v>1128</v>
      </c>
      <c r="C1872" t="s">
        <v>1089</v>
      </c>
      <c r="D1872" t="s">
        <v>26</v>
      </c>
      <c r="E1872" t="s">
        <v>62</v>
      </c>
      <c r="F1872">
        <v>1</v>
      </c>
      <c r="G1872" s="3" t="s">
        <v>32</v>
      </c>
      <c r="H1872" s="46" t="s">
        <v>15</v>
      </c>
      <c r="I1872" s="17">
        <v>33110.17</v>
      </c>
      <c r="J1872" s="17">
        <f>IF(Gastos[[#This Row],[Divisa]]="$", I1872*1, IF(Gastos[[#This Row],[Divisa]]="U$D", I1872*$N$1, IF(Gastos[[#This Row],[Divisa]]="EUR", I1872*$N$2, 0)))</f>
        <v>33110.17</v>
      </c>
      <c r="K1872" s="54">
        <f>Gastos[[#This Row],[Importe AR$]]/$N$1</f>
        <v>21.224467948717948</v>
      </c>
      <c r="L1872" t="s">
        <v>340</v>
      </c>
      <c r="M1872" s="69"/>
      <c r="N1872" s="43" t="str">
        <f>IF(Gastos[[#This Row],[Fecha_Cheque]]&gt;0,WEEKNUM(Gastos[[#This Row],[Fecha_Cheque]]),MID(Gastos[[#This Row],[Semana]],6,2))</f>
        <v>12</v>
      </c>
      <c r="O1872" t="s">
        <v>2385</v>
      </c>
      <c r="P1872" t="s">
        <v>27</v>
      </c>
    </row>
    <row r="1873" spans="1:16" hidden="1" x14ac:dyDescent="0.25">
      <c r="A1873" s="3" t="s">
        <v>2731</v>
      </c>
      <c r="B1873" t="s">
        <v>1128</v>
      </c>
      <c r="C1873" t="s">
        <v>1089</v>
      </c>
      <c r="D1873" t="s">
        <v>26</v>
      </c>
      <c r="E1873" t="s">
        <v>62</v>
      </c>
      <c r="F1873">
        <v>1</v>
      </c>
      <c r="G1873" s="3" t="s">
        <v>32</v>
      </c>
      <c r="H1873" s="46" t="s">
        <v>15</v>
      </c>
      <c r="I1873" s="17">
        <v>45106.77</v>
      </c>
      <c r="J1873" s="17">
        <f>IF(Gastos[[#This Row],[Divisa]]="$", I1873*1, IF(Gastos[[#This Row],[Divisa]]="U$D", I1873*$N$1, IF(Gastos[[#This Row],[Divisa]]="EUR", I1873*$N$2, 0)))</f>
        <v>45106.77</v>
      </c>
      <c r="K1873" s="54">
        <f>Gastos[[#This Row],[Importe AR$]]/$N$1</f>
        <v>28.914596153846151</v>
      </c>
      <c r="L1873" t="s">
        <v>340</v>
      </c>
      <c r="M1873" s="69"/>
      <c r="N1873" s="43" t="str">
        <f>IF(Gastos[[#This Row],[Fecha_Cheque]]&gt;0,WEEKNUM(Gastos[[#This Row],[Fecha_Cheque]]),MID(Gastos[[#This Row],[Semana]],6,2))</f>
        <v>17</v>
      </c>
      <c r="O1873" t="s">
        <v>2982</v>
      </c>
      <c r="P1873" t="s">
        <v>27</v>
      </c>
    </row>
    <row r="1874" spans="1:16" hidden="1" x14ac:dyDescent="0.25">
      <c r="A1874" s="3" t="s">
        <v>2731</v>
      </c>
      <c r="B1874" t="s">
        <v>1128</v>
      </c>
      <c r="C1874" t="s">
        <v>1089</v>
      </c>
      <c r="D1874" t="s">
        <v>26</v>
      </c>
      <c r="E1874" t="s">
        <v>62</v>
      </c>
      <c r="F1874">
        <v>1</v>
      </c>
      <c r="G1874" s="3" t="s">
        <v>32</v>
      </c>
      <c r="H1874" s="46" t="s">
        <v>15</v>
      </c>
      <c r="I1874" s="17">
        <v>3000000</v>
      </c>
      <c r="J1874" s="17">
        <f>IF(Gastos[[#This Row],[Divisa]]="$", I1874*1, IF(Gastos[[#This Row],[Divisa]]="U$D", I1874*$N$1, IF(Gastos[[#This Row],[Divisa]]="EUR", I1874*$N$2, 0)))</f>
        <v>3000000</v>
      </c>
      <c r="K1874" s="54">
        <f>Gastos[[#This Row],[Importe AR$]]/$N$1</f>
        <v>1923.0769230769231</v>
      </c>
      <c r="M1874" s="69">
        <v>46148</v>
      </c>
      <c r="N1874" s="43">
        <f>IF(Gastos[[#This Row],[Fecha_Cheque]]&gt;0,WEEKNUM(Gastos[[#This Row],[Fecha_Cheque]]),MID(Gastos[[#This Row],[Semana]],6,2))</f>
        <v>19</v>
      </c>
      <c r="O1874" t="s">
        <v>2982</v>
      </c>
      <c r="P1874" t="s">
        <v>27</v>
      </c>
    </row>
    <row r="1875" spans="1:16" hidden="1" x14ac:dyDescent="0.25">
      <c r="A1875" s="3" t="s">
        <v>2841</v>
      </c>
      <c r="B1875" t="s">
        <v>1128</v>
      </c>
      <c r="C1875" t="s">
        <v>1089</v>
      </c>
      <c r="D1875" t="s">
        <v>26</v>
      </c>
      <c r="E1875" t="s">
        <v>62</v>
      </c>
      <c r="F1875">
        <v>1</v>
      </c>
      <c r="G1875" s="3" t="s">
        <v>32</v>
      </c>
      <c r="H1875" s="46" t="s">
        <v>15</v>
      </c>
      <c r="I1875" s="17">
        <v>1600000</v>
      </c>
      <c r="J1875" s="17">
        <f>IF(Gastos[[#This Row],[Divisa]]="$", I1875*1, IF(Gastos[[#This Row],[Divisa]]="U$D", I1875*$N$1, IF(Gastos[[#This Row],[Divisa]]="EUR", I1875*$N$2, 0)))</f>
        <v>1600000</v>
      </c>
      <c r="K1875" s="54">
        <f>Gastos[[#This Row],[Importe AR$]]/$N$1</f>
        <v>1025.6410256410256</v>
      </c>
      <c r="M1875" s="69">
        <v>46223</v>
      </c>
      <c r="N1875" s="43">
        <f>IF(Gastos[[#This Row],[Fecha_Cheque]]&gt;0,WEEKNUM(Gastos[[#This Row],[Fecha_Cheque]]),MID(Gastos[[#This Row],[Semana]],6,2))</f>
        <v>30</v>
      </c>
      <c r="O1875" t="s">
        <v>3164</v>
      </c>
      <c r="P1875" t="s">
        <v>27</v>
      </c>
    </row>
    <row r="1876" spans="1:16" hidden="1" x14ac:dyDescent="0.25">
      <c r="A1876" s="3" t="s">
        <v>2841</v>
      </c>
      <c r="B1876" t="s">
        <v>1128</v>
      </c>
      <c r="C1876" t="s">
        <v>1089</v>
      </c>
      <c r="D1876" t="s">
        <v>26</v>
      </c>
      <c r="E1876" t="s">
        <v>62</v>
      </c>
      <c r="F1876">
        <v>1</v>
      </c>
      <c r="G1876" s="3" t="s">
        <v>32</v>
      </c>
      <c r="H1876" s="46" t="s">
        <v>15</v>
      </c>
      <c r="I1876" s="17">
        <v>1733000</v>
      </c>
      <c r="J1876" s="17">
        <f>IF(Gastos[[#This Row],[Divisa]]="$", I1876*1, IF(Gastos[[#This Row],[Divisa]]="U$D", I1876*$N$1, IF(Gastos[[#This Row],[Divisa]]="EUR", I1876*$N$2, 0)))</f>
        <v>1733000</v>
      </c>
      <c r="K1876" s="54">
        <f>Gastos[[#This Row],[Importe AR$]]/$N$1</f>
        <v>1110.8974358974358</v>
      </c>
      <c r="M1876" s="69">
        <v>46233</v>
      </c>
      <c r="N1876" s="43">
        <f>IF(Gastos[[#This Row],[Fecha_Cheque]]&gt;0,WEEKNUM(Gastos[[#This Row],[Fecha_Cheque]]),MID(Gastos[[#This Row],[Semana]],6,2))</f>
        <v>31</v>
      </c>
      <c r="O1876" t="s">
        <v>3164</v>
      </c>
      <c r="P1876" t="s">
        <v>27</v>
      </c>
    </row>
    <row r="1877" spans="1:16" hidden="1" x14ac:dyDescent="0.25">
      <c r="A1877" s="3" t="s">
        <v>2841</v>
      </c>
      <c r="B1877" t="s">
        <v>1128</v>
      </c>
      <c r="C1877" t="s">
        <v>1089</v>
      </c>
      <c r="D1877" t="s">
        <v>26</v>
      </c>
      <c r="E1877" t="s">
        <v>62</v>
      </c>
      <c r="F1877">
        <v>1</v>
      </c>
      <c r="G1877" s="3" t="s">
        <v>32</v>
      </c>
      <c r="H1877" s="46" t="s">
        <v>15</v>
      </c>
      <c r="I1877" s="17">
        <v>50610.9</v>
      </c>
      <c r="J1877" s="17">
        <f>IF(Gastos[[#This Row],[Divisa]]="$", I1877*1, IF(Gastos[[#This Row],[Divisa]]="U$D", I1877*$N$1, IF(Gastos[[#This Row],[Divisa]]="EUR", I1877*$N$2, 0)))</f>
        <v>50610.9</v>
      </c>
      <c r="K1877" s="54">
        <f>Gastos[[#This Row],[Importe AR$]]/$N$1</f>
        <v>32.442884615384614</v>
      </c>
      <c r="L1877" t="s">
        <v>340</v>
      </c>
      <c r="M1877" s="69"/>
      <c r="N1877" s="43" t="str">
        <f>IF(Gastos[[#This Row],[Fecha_Cheque]]&gt;0,WEEKNUM(Gastos[[#This Row],[Fecha_Cheque]]),MID(Gastos[[#This Row],[Semana]],6,2))</f>
        <v>22</v>
      </c>
      <c r="O1877" t="s">
        <v>3164</v>
      </c>
      <c r="P1877" t="s">
        <v>27</v>
      </c>
    </row>
    <row r="1878" spans="1:16" hidden="1" x14ac:dyDescent="0.25">
      <c r="A1878" s="3" t="s">
        <v>3754</v>
      </c>
      <c r="B1878" t="s">
        <v>1128</v>
      </c>
      <c r="C1878" t="s">
        <v>1089</v>
      </c>
      <c r="D1878" t="s">
        <v>26</v>
      </c>
      <c r="E1878" t="s">
        <v>62</v>
      </c>
      <c r="F1878">
        <v>1</v>
      </c>
      <c r="G1878" s="3" t="s">
        <v>32</v>
      </c>
      <c r="H1878" s="46" t="s">
        <v>15</v>
      </c>
      <c r="I1878" s="17">
        <v>1246636.3999999999</v>
      </c>
      <c r="J1878" s="17">
        <f>IF(Gastos[[#This Row],[Divisa]]="$", I1878*1, IF(Gastos[[#This Row],[Divisa]]="U$D", I1878*$N$1, IF(Gastos[[#This Row],[Divisa]]="EUR", I1878*$N$2, 0)))</f>
        <v>1246636.3999999999</v>
      </c>
      <c r="K1878" s="54">
        <f>Gastos[[#This Row],[Importe AR$]]/$N$1</f>
        <v>799.1258974358974</v>
      </c>
      <c r="M1878" s="69">
        <v>46240</v>
      </c>
      <c r="N1878" s="43">
        <f>IF(Gastos[[#This Row],[Fecha_Cheque]]&gt;0,WEEKNUM(Gastos[[#This Row],[Fecha_Cheque]]),MID(Gastos[[#This Row],[Semana]],6,2))</f>
        <v>32</v>
      </c>
      <c r="O1878" t="s">
        <v>3766</v>
      </c>
      <c r="P1878" t="s">
        <v>27</v>
      </c>
    </row>
    <row r="1879" spans="1:16" hidden="1" x14ac:dyDescent="0.25">
      <c r="A1879" s="3" t="s">
        <v>3754</v>
      </c>
      <c r="B1879" t="s">
        <v>1128</v>
      </c>
      <c r="C1879" t="s">
        <v>1089</v>
      </c>
      <c r="D1879" t="s">
        <v>26</v>
      </c>
      <c r="E1879" t="s">
        <v>62</v>
      </c>
      <c r="F1879">
        <v>1</v>
      </c>
      <c r="G1879" s="3" t="s">
        <v>32</v>
      </c>
      <c r="H1879" s="46" t="s">
        <v>15</v>
      </c>
      <c r="I1879" s="17">
        <v>1537459.06</v>
      </c>
      <c r="J1879" s="17">
        <f>IF(Gastos[[#This Row],[Divisa]]="$", I1879*1, IF(Gastos[[#This Row],[Divisa]]="U$D", I1879*$N$1, IF(Gastos[[#This Row],[Divisa]]="EUR", I1879*$N$2, 0)))</f>
        <v>1537459.06</v>
      </c>
      <c r="K1879" s="54">
        <f>Gastos[[#This Row],[Importe AR$]]/$N$1</f>
        <v>985.55067948717954</v>
      </c>
      <c r="M1879" s="69">
        <v>46269</v>
      </c>
      <c r="N1879" s="43">
        <f>IF(Gastos[[#This Row],[Fecha_Cheque]]&gt;0,WEEKNUM(Gastos[[#This Row],[Fecha_Cheque]]),MID(Gastos[[#This Row],[Semana]],6,2))</f>
        <v>36</v>
      </c>
      <c r="O1879" t="s">
        <v>3766</v>
      </c>
      <c r="P1879" t="s">
        <v>27</v>
      </c>
    </row>
    <row r="1880" spans="1:16" hidden="1" x14ac:dyDescent="0.25">
      <c r="A1880" s="3" t="s">
        <v>3754</v>
      </c>
      <c r="B1880" t="s">
        <v>1128</v>
      </c>
      <c r="C1880" t="s">
        <v>1089</v>
      </c>
      <c r="D1880" t="s">
        <v>26</v>
      </c>
      <c r="E1880" t="s">
        <v>62</v>
      </c>
      <c r="F1880">
        <v>1</v>
      </c>
      <c r="G1880" s="3" t="s">
        <v>32</v>
      </c>
      <c r="H1880" s="46" t="s">
        <v>15</v>
      </c>
      <c r="I1880" s="17">
        <v>1537459.06</v>
      </c>
      <c r="J1880" s="17">
        <f>IF(Gastos[[#This Row],[Divisa]]="$", I1880*1, IF(Gastos[[#This Row],[Divisa]]="U$D", I1880*$N$1, IF(Gastos[[#This Row],[Divisa]]="EUR", I1880*$N$2, 0)))</f>
        <v>1537459.06</v>
      </c>
      <c r="K1880" s="54">
        <f>Gastos[[#This Row],[Importe AR$]]/$N$1</f>
        <v>985.55067948717954</v>
      </c>
      <c r="M1880" s="69">
        <v>46283</v>
      </c>
      <c r="N1880" s="43">
        <f>IF(Gastos[[#This Row],[Fecha_Cheque]]&gt;0,WEEKNUM(Gastos[[#This Row],[Fecha_Cheque]]),MID(Gastos[[#This Row],[Semana]],6,2))</f>
        <v>38</v>
      </c>
      <c r="O1880" t="s">
        <v>3766</v>
      </c>
      <c r="P1880" t="s">
        <v>27</v>
      </c>
    </row>
    <row r="1881" spans="1:16" hidden="1" x14ac:dyDescent="0.25">
      <c r="A1881" s="3" t="s">
        <v>3754</v>
      </c>
      <c r="B1881" t="s">
        <v>1128</v>
      </c>
      <c r="C1881" t="s">
        <v>1089</v>
      </c>
      <c r="D1881" t="s">
        <v>26</v>
      </c>
      <c r="E1881" t="s">
        <v>62</v>
      </c>
      <c r="F1881">
        <v>1</v>
      </c>
      <c r="G1881" s="3" t="s">
        <v>32</v>
      </c>
      <c r="H1881" s="46" t="s">
        <v>15</v>
      </c>
      <c r="I1881" s="17">
        <v>1537459.06</v>
      </c>
      <c r="J1881" s="17">
        <f>IF(Gastos[[#This Row],[Divisa]]="$", I1881*1, IF(Gastos[[#This Row],[Divisa]]="U$D", I1881*$N$1, IF(Gastos[[#This Row],[Divisa]]="EUR", I1881*$N$2, 0)))</f>
        <v>1537459.06</v>
      </c>
      <c r="K1881" s="54">
        <f>Gastos[[#This Row],[Importe AR$]]/$N$1</f>
        <v>985.55067948717954</v>
      </c>
      <c r="M1881" s="69">
        <v>46304</v>
      </c>
      <c r="N1881" s="43">
        <f>IF(Gastos[[#This Row],[Fecha_Cheque]]&gt;0,WEEKNUM(Gastos[[#This Row],[Fecha_Cheque]]),MID(Gastos[[#This Row],[Semana]],6,2))</f>
        <v>41</v>
      </c>
      <c r="O1881" t="s">
        <v>3766</v>
      </c>
      <c r="P1881" t="s">
        <v>27</v>
      </c>
    </row>
    <row r="1882" spans="1:16" hidden="1" x14ac:dyDescent="0.25">
      <c r="A1882" s="3" t="s">
        <v>3754</v>
      </c>
      <c r="B1882" t="s">
        <v>1128</v>
      </c>
      <c r="C1882" t="s">
        <v>1089</v>
      </c>
      <c r="D1882" t="s">
        <v>26</v>
      </c>
      <c r="E1882" t="s">
        <v>62</v>
      </c>
      <c r="F1882">
        <v>1</v>
      </c>
      <c r="G1882" s="3" t="s">
        <v>32</v>
      </c>
      <c r="H1882" s="46" t="s">
        <v>15</v>
      </c>
      <c r="I1882" s="17">
        <v>1537459.07</v>
      </c>
      <c r="J1882" s="17">
        <f>IF(Gastos[[#This Row],[Divisa]]="$", I1882*1, IF(Gastos[[#This Row],[Divisa]]="U$D", I1882*$N$1, IF(Gastos[[#This Row],[Divisa]]="EUR", I1882*$N$2, 0)))</f>
        <v>1537459.07</v>
      </c>
      <c r="K1882" s="54">
        <f>Gastos[[#This Row],[Importe AR$]]/$N$1</f>
        <v>985.55068589743598</v>
      </c>
      <c r="M1882" s="69">
        <v>46318</v>
      </c>
      <c r="N1882" s="43">
        <f>IF(Gastos[[#This Row],[Fecha_Cheque]]&gt;0,WEEKNUM(Gastos[[#This Row],[Fecha_Cheque]]),MID(Gastos[[#This Row],[Semana]],6,2))</f>
        <v>43</v>
      </c>
      <c r="O1882" t="s">
        <v>3766</v>
      </c>
      <c r="P1882" t="s">
        <v>27</v>
      </c>
    </row>
    <row r="1883" spans="1:16" hidden="1" x14ac:dyDescent="0.25">
      <c r="A1883" s="3" t="s">
        <v>3754</v>
      </c>
      <c r="B1883" t="s">
        <v>1128</v>
      </c>
      <c r="C1883" t="s">
        <v>1089</v>
      </c>
      <c r="D1883" t="s">
        <v>26</v>
      </c>
      <c r="E1883" t="s">
        <v>62</v>
      </c>
      <c r="F1883">
        <v>1</v>
      </c>
      <c r="G1883" s="3" t="s">
        <v>32</v>
      </c>
      <c r="H1883" s="46" t="s">
        <v>15</v>
      </c>
      <c r="I1883" s="17">
        <v>119755.15</v>
      </c>
      <c r="J1883" s="17">
        <f>IF(Gastos[[#This Row],[Divisa]]="$", I1883*1, IF(Gastos[[#This Row],[Divisa]]="U$D", I1883*$N$1, IF(Gastos[[#This Row],[Divisa]]="EUR", I1883*$N$2, 0)))</f>
        <v>119755.15</v>
      </c>
      <c r="K1883" s="54">
        <f>Gastos[[#This Row],[Importe AR$]]/$N$1</f>
        <v>76.766121794871793</v>
      </c>
      <c r="L1883" t="s">
        <v>340</v>
      </c>
      <c r="M1883" s="69"/>
      <c r="N1883" s="43" t="str">
        <f>IF(Gastos[[#This Row],[Fecha_Cheque]]&gt;0,WEEKNUM(Gastos[[#This Row],[Fecha_Cheque]]),MID(Gastos[[#This Row],[Semana]],6,2))</f>
        <v>29</v>
      </c>
      <c r="O1883" t="s">
        <v>3766</v>
      </c>
      <c r="P1883" t="s">
        <v>27</v>
      </c>
    </row>
    <row r="1884" spans="1:16" x14ac:dyDescent="0.25">
      <c r="A1884" s="99" t="s">
        <v>4655</v>
      </c>
      <c r="B1884" s="100" t="s">
        <v>4692</v>
      </c>
      <c r="C1884" s="100" t="s">
        <v>4693</v>
      </c>
      <c r="D1884" s="100" t="s">
        <v>26</v>
      </c>
      <c r="E1884" s="100" t="s">
        <v>62</v>
      </c>
      <c r="F1884" s="100">
        <v>1</v>
      </c>
      <c r="G1884" s="99" t="s">
        <v>32</v>
      </c>
      <c r="H1884" s="44" t="s">
        <v>15</v>
      </c>
      <c r="I1884" s="17">
        <v>900000</v>
      </c>
      <c r="J1884" s="17">
        <f>IF(Gastos[[#This Row],[Divisa]]="$", I1884*1, IF(Gastos[[#This Row],[Divisa]]="U$D", I1884*$N$1, IF(Gastos[[#This Row],[Divisa]]="EUR", I1884*$N$2, 0)))</f>
        <v>900000</v>
      </c>
      <c r="K1884" s="54">
        <f>Gastos[[#This Row],[Importe AR$]]/$N$1</f>
        <v>576.92307692307691</v>
      </c>
      <c r="L1884" s="100"/>
      <c r="M1884" s="101">
        <v>46308</v>
      </c>
      <c r="N1884" s="102">
        <f>IF(Gastos[[#This Row],[Fecha_Cheque]]&gt;0,WEEKNUM(Gastos[[#This Row],[Fecha_Cheque]]),MID(Gastos[[#This Row],[Semana]],6,2))</f>
        <v>42</v>
      </c>
      <c r="O1884" s="100" t="s">
        <v>4694</v>
      </c>
      <c r="P1884" s="100" t="s">
        <v>7</v>
      </c>
    </row>
    <row r="1885" spans="1:16" hidden="1" x14ac:dyDescent="0.25">
      <c r="A1885" s="3" t="s">
        <v>60</v>
      </c>
      <c r="B1885" t="s">
        <v>1131</v>
      </c>
      <c r="D1885" t="s">
        <v>26</v>
      </c>
      <c r="E1885" t="s">
        <v>62</v>
      </c>
      <c r="F1885">
        <v>2</v>
      </c>
      <c r="G1885" s="3" t="s">
        <v>4</v>
      </c>
      <c r="H1885" s="44" t="s">
        <v>2</v>
      </c>
      <c r="I1885" s="17">
        <f>2050*1415</f>
        <v>2900750</v>
      </c>
      <c r="J1885" s="17">
        <f>IF(Gastos[[#This Row],[Divisa]]="$", I1885*1, IF(Gastos[[#This Row],[Divisa]]="U$D", I1885*$N$1, IF(Gastos[[#This Row],[Divisa]]="EUR", I1885*$N$2, 0)))</f>
        <v>4525170000</v>
      </c>
      <c r="K1885" s="54">
        <f>Gastos[[#This Row],[Importe AR$]]/$N$1</f>
        <v>2900750</v>
      </c>
      <c r="M1885" s="69"/>
      <c r="N1885" s="43" t="str">
        <f>IF(Gastos[[#This Row],[Fecha_Cheque]]&gt;0,WEEKNUM(Gastos[[#This Row],[Fecha_Cheque]]),MID(Gastos[[#This Row],[Semana]],6,2))</f>
        <v>46</v>
      </c>
      <c r="O1885" t="s">
        <v>1132</v>
      </c>
      <c r="P1885" t="s">
        <v>27</v>
      </c>
    </row>
    <row r="1886" spans="1:16" hidden="1" x14ac:dyDescent="0.25">
      <c r="A1886" s="3" t="s">
        <v>290</v>
      </c>
      <c r="B1886" t="s">
        <v>1133</v>
      </c>
      <c r="C1886" t="s">
        <v>1134</v>
      </c>
      <c r="D1886" t="s">
        <v>26</v>
      </c>
      <c r="E1886" t="s">
        <v>62</v>
      </c>
      <c r="F1886">
        <v>1</v>
      </c>
      <c r="G1886" s="3" t="s">
        <v>32</v>
      </c>
      <c r="H1886" s="46" t="s">
        <v>15</v>
      </c>
      <c r="I1886" s="17">
        <f>540125.85+192010.06</f>
        <v>732135.90999999992</v>
      </c>
      <c r="J1886" s="17">
        <f>IF(Gastos[[#This Row],[Divisa]]="$", I1886*1, IF(Gastos[[#This Row],[Divisa]]="U$D", I1886*$N$1, IF(Gastos[[#This Row],[Divisa]]="EUR", I1886*$N$2, 0)))</f>
        <v>732135.90999999992</v>
      </c>
      <c r="K1886" s="54">
        <f>Gastos[[#This Row],[Importe AR$]]/$N$1</f>
        <v>469.31789102564096</v>
      </c>
      <c r="L1886" s="26" t="s">
        <v>1135</v>
      </c>
      <c r="M1886" s="69"/>
      <c r="N1886" s="43" t="str">
        <f>IF(Gastos[[#This Row],[Fecha_Cheque]]&gt;0,WEEKNUM(Gastos[[#This Row],[Fecha_Cheque]]),MID(Gastos[[#This Row],[Semana]],6,2))</f>
        <v>23</v>
      </c>
      <c r="O1886" t="s">
        <v>1136</v>
      </c>
      <c r="P1886" t="s">
        <v>27</v>
      </c>
    </row>
    <row r="1887" spans="1:16" hidden="1" x14ac:dyDescent="0.25">
      <c r="A1887" s="3" t="s">
        <v>89</v>
      </c>
      <c r="B1887" t="s">
        <v>1133</v>
      </c>
      <c r="C1887" t="s">
        <v>1137</v>
      </c>
      <c r="D1887" t="s">
        <v>26</v>
      </c>
      <c r="E1887" t="s">
        <v>31</v>
      </c>
      <c r="F1887">
        <v>1</v>
      </c>
      <c r="G1887" s="3" t="s">
        <v>32</v>
      </c>
      <c r="H1887" s="46" t="s">
        <v>15</v>
      </c>
      <c r="I1887" s="17">
        <v>1143450</v>
      </c>
      <c r="J1887" s="17">
        <f>IF(Gastos[[#This Row],[Divisa]]="$", I1887*1, IF(Gastos[[#This Row],[Divisa]]="U$D", I1887*$N$1, IF(Gastos[[#This Row],[Divisa]]="EUR", I1887*$N$2, 0)))</f>
        <v>1143450</v>
      </c>
      <c r="K1887" s="54">
        <f>Gastos[[#This Row],[Importe AR$]]/$N$1</f>
        <v>732.98076923076928</v>
      </c>
      <c r="M1887" s="69">
        <v>45950</v>
      </c>
      <c r="N1887" s="43">
        <f>IF(Gastos[[#This Row],[Fecha_Cheque]]&gt;0,WEEKNUM(Gastos[[#This Row],[Fecha_Cheque]]),MID(Gastos[[#This Row],[Semana]],6,2))</f>
        <v>43</v>
      </c>
      <c r="O1887" t="s">
        <v>1138</v>
      </c>
      <c r="P1887" t="s">
        <v>27</v>
      </c>
    </row>
    <row r="1888" spans="1:16" hidden="1" x14ac:dyDescent="0.25">
      <c r="A1888" s="3" t="s">
        <v>89</v>
      </c>
      <c r="B1888" t="s">
        <v>1133</v>
      </c>
      <c r="C1888" t="s">
        <v>1139</v>
      </c>
      <c r="D1888" t="s">
        <v>26</v>
      </c>
      <c r="E1888" t="s">
        <v>31</v>
      </c>
      <c r="F1888">
        <v>1</v>
      </c>
      <c r="G1888" s="3" t="s">
        <v>32</v>
      </c>
      <c r="H1888" s="46" t="s">
        <v>15</v>
      </c>
      <c r="I1888" s="17">
        <v>1070596.33</v>
      </c>
      <c r="J1888" s="17">
        <f>IF(Gastos[[#This Row],[Divisa]]="$", I1888*1, IF(Gastos[[#This Row],[Divisa]]="U$D", I1888*$N$1, IF(Gastos[[#This Row],[Divisa]]="EUR", I1888*$N$2, 0)))</f>
        <v>1070596.33</v>
      </c>
      <c r="K1888" s="54">
        <f>Gastos[[#This Row],[Importe AR$]]/$N$1</f>
        <v>686.2796987179488</v>
      </c>
      <c r="M1888" s="69">
        <v>45960</v>
      </c>
      <c r="N1888" s="43">
        <f>IF(Gastos[[#This Row],[Fecha_Cheque]]&gt;0,WEEKNUM(Gastos[[#This Row],[Fecha_Cheque]]),MID(Gastos[[#This Row],[Semana]],6,2))</f>
        <v>44</v>
      </c>
      <c r="O1888" t="s">
        <v>1138</v>
      </c>
      <c r="P1888" t="s">
        <v>27</v>
      </c>
    </row>
    <row r="1889" spans="1:16" hidden="1" x14ac:dyDescent="0.25">
      <c r="A1889" s="3" t="s">
        <v>89</v>
      </c>
      <c r="B1889" t="s">
        <v>1133</v>
      </c>
      <c r="C1889" t="s">
        <v>1139</v>
      </c>
      <c r="D1889" t="s">
        <v>26</v>
      </c>
      <c r="E1889" t="s">
        <v>31</v>
      </c>
      <c r="F1889">
        <v>1</v>
      </c>
      <c r="G1889" s="3" t="s">
        <v>32</v>
      </c>
      <c r="H1889" s="46" t="s">
        <v>15</v>
      </c>
      <c r="I1889" s="17">
        <v>885200.27</v>
      </c>
      <c r="J1889" s="17">
        <f>IF(Gastos[[#This Row],[Divisa]]="$", I1889*1, IF(Gastos[[#This Row],[Divisa]]="U$D", I1889*$N$1, IF(Gastos[[#This Row],[Divisa]]="EUR", I1889*$N$2, 0)))</f>
        <v>885200.27</v>
      </c>
      <c r="K1889" s="54">
        <f>Gastos[[#This Row],[Importe AR$]]/$N$1</f>
        <v>567.43607051282049</v>
      </c>
      <c r="M1889" s="69">
        <v>45960</v>
      </c>
      <c r="N1889" s="43">
        <f>IF(Gastos[[#This Row],[Fecha_Cheque]]&gt;0,WEEKNUM(Gastos[[#This Row],[Fecha_Cheque]]),MID(Gastos[[#This Row],[Semana]],6,2))</f>
        <v>44</v>
      </c>
      <c r="O1889" t="s">
        <v>1138</v>
      </c>
      <c r="P1889" t="s">
        <v>27</v>
      </c>
    </row>
    <row r="1890" spans="1:16" hidden="1" x14ac:dyDescent="0.25">
      <c r="A1890" s="3" t="s">
        <v>828</v>
      </c>
      <c r="B1890" t="s">
        <v>1133</v>
      </c>
      <c r="C1890" t="s">
        <v>2612</v>
      </c>
      <c r="D1890" t="s">
        <v>26</v>
      </c>
      <c r="E1890" t="s">
        <v>31</v>
      </c>
      <c r="F1890">
        <v>1</v>
      </c>
      <c r="G1890" s="3" t="s">
        <v>32</v>
      </c>
      <c r="H1890" s="44" t="s">
        <v>15</v>
      </c>
      <c r="I1890" s="17">
        <v>279787.09000000003</v>
      </c>
      <c r="J1890" s="17">
        <f>IF(Gastos[[#This Row],[Divisa]]="$", I1890*1, IF(Gastos[[#This Row],[Divisa]]="U$D", I1890*$N$1, IF(Gastos[[#This Row],[Divisa]]="EUR", I1890*$N$2, 0)))</f>
        <v>279787.09000000003</v>
      </c>
      <c r="K1890" s="54">
        <f>Gastos[[#This Row],[Importe AR$]]/$N$1</f>
        <v>179.35069871794875</v>
      </c>
      <c r="M1890" s="69">
        <v>46138</v>
      </c>
      <c r="N1890" s="43">
        <f>IF(Gastos[[#This Row],[Fecha_Cheque]]&gt;0,WEEKNUM(Gastos[[#This Row],[Fecha_Cheque]]),MID(Gastos[[#This Row],[Semana]],6,2))</f>
        <v>18</v>
      </c>
      <c r="O1890" t="s">
        <v>2613</v>
      </c>
      <c r="P1890" t="s">
        <v>27</v>
      </c>
    </row>
    <row r="1891" spans="1:16" hidden="1" x14ac:dyDescent="0.25">
      <c r="A1891" s="3" t="s">
        <v>72</v>
      </c>
      <c r="B1891" t="s">
        <v>1140</v>
      </c>
      <c r="C1891" t="s">
        <v>1141</v>
      </c>
      <c r="D1891" t="s">
        <v>26</v>
      </c>
      <c r="E1891" t="s">
        <v>31</v>
      </c>
      <c r="F1891">
        <v>1</v>
      </c>
      <c r="G1891" s="3" t="s">
        <v>5</v>
      </c>
      <c r="H1891" s="46" t="s">
        <v>15</v>
      </c>
      <c r="I1891" s="17">
        <v>937487.67</v>
      </c>
      <c r="J1891" s="17">
        <f>IF(Gastos[[#This Row],[Divisa]]="$", I1891*1, IF(Gastos[[#This Row],[Divisa]]="U$D", I1891*$N$1, IF(Gastos[[#This Row],[Divisa]]="EUR", I1891*$N$2, 0)))</f>
        <v>937487.67</v>
      </c>
      <c r="K1891" s="54">
        <f>Gastos[[#This Row],[Importe AR$]]/$N$1</f>
        <v>600.95363461538466</v>
      </c>
      <c r="M1891" s="69"/>
      <c r="N1891" s="43" t="str">
        <f>IF(Gastos[[#This Row],[Fecha_Cheque]]&gt;0,WEEKNUM(Gastos[[#This Row],[Fecha_Cheque]]),MID(Gastos[[#This Row],[Semana]],6,2))</f>
        <v>48</v>
      </c>
      <c r="O1891" t="s">
        <v>1142</v>
      </c>
      <c r="P1891" t="s">
        <v>27</v>
      </c>
    </row>
    <row r="1892" spans="1:16" hidden="1" x14ac:dyDescent="0.25">
      <c r="A1892" s="3" t="s">
        <v>290</v>
      </c>
      <c r="B1892" t="s">
        <v>1143</v>
      </c>
      <c r="C1892" t="s">
        <v>1144</v>
      </c>
      <c r="D1892" t="s">
        <v>26</v>
      </c>
      <c r="E1892" t="s">
        <v>91</v>
      </c>
      <c r="F1892">
        <v>1</v>
      </c>
      <c r="G1892" s="3" t="s">
        <v>5</v>
      </c>
      <c r="H1892" s="46" t="s">
        <v>15</v>
      </c>
      <c r="I1892" s="17">
        <v>120000</v>
      </c>
      <c r="J1892" s="17">
        <f>IF(Gastos[[#This Row],[Divisa]]="$", I1892*1, IF(Gastos[[#This Row],[Divisa]]="U$D", I1892*$N$1, IF(Gastos[[#This Row],[Divisa]]="EUR", I1892*$N$2, 0)))</f>
        <v>120000</v>
      </c>
      <c r="K1892" s="54">
        <f>Gastos[[#This Row],[Importe AR$]]/$N$1</f>
        <v>76.92307692307692</v>
      </c>
      <c r="M1892" s="69"/>
      <c r="N1892" s="43" t="str">
        <f>IF(Gastos[[#This Row],[Fecha_Cheque]]&gt;0,WEEKNUM(Gastos[[#This Row],[Fecha_Cheque]]),MID(Gastos[[#This Row],[Semana]],6,2))</f>
        <v>23</v>
      </c>
      <c r="O1892" t="s">
        <v>1145</v>
      </c>
      <c r="P1892" t="s">
        <v>27</v>
      </c>
    </row>
    <row r="1893" spans="1:16" hidden="1" x14ac:dyDescent="0.25">
      <c r="A1893" s="3" t="s">
        <v>53</v>
      </c>
      <c r="B1893" t="s">
        <v>1143</v>
      </c>
      <c r="C1893" t="s">
        <v>1146</v>
      </c>
      <c r="D1893" t="s">
        <v>26</v>
      </c>
      <c r="E1893" t="s">
        <v>91</v>
      </c>
      <c r="F1893">
        <v>1</v>
      </c>
      <c r="G1893" s="3" t="s">
        <v>5</v>
      </c>
      <c r="H1893" s="46" t="s">
        <v>15</v>
      </c>
      <c r="I1893" s="17">
        <v>120000</v>
      </c>
      <c r="J1893" s="17">
        <f>IF(Gastos[[#This Row],[Divisa]]="$", I1893*1, IF(Gastos[[#This Row],[Divisa]]="U$D", I1893*$N$1, IF(Gastos[[#This Row],[Divisa]]="EUR", I1893*$N$2, 0)))</f>
        <v>120000</v>
      </c>
      <c r="K1893" s="54">
        <f>Gastos[[#This Row],[Importe AR$]]/$N$1</f>
        <v>76.92307692307692</v>
      </c>
      <c r="M1893" s="69"/>
      <c r="N1893" s="43" t="str">
        <f>IF(Gastos[[#This Row],[Fecha_Cheque]]&gt;0,WEEKNUM(Gastos[[#This Row],[Fecha_Cheque]]),MID(Gastos[[#This Row],[Semana]],6,2))</f>
        <v>34</v>
      </c>
      <c r="P1893" t="s">
        <v>27</v>
      </c>
    </row>
    <row r="1894" spans="1:16" hidden="1" x14ac:dyDescent="0.25">
      <c r="A1894" s="3" t="s">
        <v>53</v>
      </c>
      <c r="B1894" t="s">
        <v>1143</v>
      </c>
      <c r="C1894" t="s">
        <v>1146</v>
      </c>
      <c r="D1894" t="s">
        <v>26</v>
      </c>
      <c r="E1894" t="s">
        <v>91</v>
      </c>
      <c r="F1894">
        <v>1</v>
      </c>
      <c r="G1894" s="3" t="s">
        <v>5</v>
      </c>
      <c r="H1894" s="46" t="s">
        <v>15</v>
      </c>
      <c r="I1894" s="17">
        <v>120000</v>
      </c>
      <c r="J1894" s="17">
        <f>IF(Gastos[[#This Row],[Divisa]]="$", I1894*1, IF(Gastos[[#This Row],[Divisa]]="U$D", I1894*$N$1, IF(Gastos[[#This Row],[Divisa]]="EUR", I1894*$N$2, 0)))</f>
        <v>120000</v>
      </c>
      <c r="K1894" s="54">
        <f>Gastos[[#This Row],[Importe AR$]]/$N$1</f>
        <v>76.92307692307692</v>
      </c>
      <c r="M1894" s="69"/>
      <c r="N1894" s="43" t="str">
        <f>IF(Gastos[[#This Row],[Fecha_Cheque]]&gt;0,WEEKNUM(Gastos[[#This Row],[Fecha_Cheque]]),MID(Gastos[[#This Row],[Semana]],6,2))</f>
        <v>34</v>
      </c>
      <c r="P1894" t="s">
        <v>27</v>
      </c>
    </row>
    <row r="1895" spans="1:16" hidden="1" x14ac:dyDescent="0.25">
      <c r="A1895" s="3" t="s">
        <v>53</v>
      </c>
      <c r="B1895" t="s">
        <v>1143</v>
      </c>
      <c r="C1895" t="s">
        <v>1147</v>
      </c>
      <c r="D1895" t="s">
        <v>26</v>
      </c>
      <c r="E1895" t="s">
        <v>91</v>
      </c>
      <c r="F1895">
        <v>1</v>
      </c>
      <c r="G1895" s="3" t="s">
        <v>5</v>
      </c>
      <c r="H1895" s="46" t="s">
        <v>15</v>
      </c>
      <c r="I1895" s="17">
        <v>120000</v>
      </c>
      <c r="J1895" s="17">
        <f>IF(Gastos[[#This Row],[Divisa]]="$", I1895*1, IF(Gastos[[#This Row],[Divisa]]="U$D", I1895*$N$1, IF(Gastos[[#This Row],[Divisa]]="EUR", I1895*$N$2, 0)))</f>
        <v>120000</v>
      </c>
      <c r="K1895" s="54">
        <f>Gastos[[#This Row],[Importe AR$]]/$N$1</f>
        <v>76.92307692307692</v>
      </c>
      <c r="M1895" s="69"/>
      <c r="N1895" s="43" t="str">
        <f>IF(Gastos[[#This Row],[Fecha_Cheque]]&gt;0,WEEKNUM(Gastos[[#This Row],[Fecha_Cheque]]),MID(Gastos[[#This Row],[Semana]],6,2))</f>
        <v>34</v>
      </c>
      <c r="P1895" t="s">
        <v>27</v>
      </c>
    </row>
    <row r="1896" spans="1:16" hidden="1" x14ac:dyDescent="0.25">
      <c r="A1896" s="3" t="s">
        <v>89</v>
      </c>
      <c r="B1896" t="s">
        <v>1143</v>
      </c>
      <c r="C1896" t="s">
        <v>1146</v>
      </c>
      <c r="D1896" t="s">
        <v>26</v>
      </c>
      <c r="E1896" t="s">
        <v>91</v>
      </c>
      <c r="F1896">
        <v>1</v>
      </c>
      <c r="G1896" s="3" t="s">
        <v>5</v>
      </c>
      <c r="H1896" s="46" t="s">
        <v>15</v>
      </c>
      <c r="I1896" s="17">
        <v>120000</v>
      </c>
      <c r="J1896" s="17">
        <f>IF(Gastos[[#This Row],[Divisa]]="$", I1896*1, IF(Gastos[[#This Row],[Divisa]]="U$D", I1896*$N$1, IF(Gastos[[#This Row],[Divisa]]="EUR", I1896*$N$2, 0)))</f>
        <v>120000</v>
      </c>
      <c r="K1896" s="54">
        <f>Gastos[[#This Row],[Importe AR$]]/$N$1</f>
        <v>76.92307692307692</v>
      </c>
      <c r="M1896" s="69"/>
      <c r="N1896" s="43" t="str">
        <f>IF(Gastos[[#This Row],[Fecha_Cheque]]&gt;0,WEEKNUM(Gastos[[#This Row],[Fecha_Cheque]]),MID(Gastos[[#This Row],[Semana]],6,2))</f>
        <v>39</v>
      </c>
      <c r="O1896" t="s">
        <v>1148</v>
      </c>
      <c r="P1896" t="s">
        <v>27</v>
      </c>
    </row>
    <row r="1897" spans="1:16" hidden="1" x14ac:dyDescent="0.25">
      <c r="A1897" s="3" t="s">
        <v>56</v>
      </c>
      <c r="B1897" t="s">
        <v>1143</v>
      </c>
      <c r="C1897" t="s">
        <v>1146</v>
      </c>
      <c r="D1897" t="s">
        <v>26</v>
      </c>
      <c r="E1897" t="s">
        <v>91</v>
      </c>
      <c r="F1897">
        <v>1</v>
      </c>
      <c r="G1897" s="3" t="s">
        <v>5</v>
      </c>
      <c r="H1897" s="46" t="s">
        <v>15</v>
      </c>
      <c r="I1897" s="17">
        <v>120000</v>
      </c>
      <c r="J1897" s="17">
        <f>IF(Gastos[[#This Row],[Divisa]]="$", I1897*1, IF(Gastos[[#This Row],[Divisa]]="U$D", I1897*$N$1, IF(Gastos[[#This Row],[Divisa]]="EUR", I1897*$N$2, 0)))</f>
        <v>120000</v>
      </c>
      <c r="K1897" s="54">
        <f>Gastos[[#This Row],[Importe AR$]]/$N$1</f>
        <v>76.92307692307692</v>
      </c>
      <c r="M1897" s="69"/>
      <c r="N1897" s="43" t="str">
        <f>IF(Gastos[[#This Row],[Fecha_Cheque]]&gt;0,WEEKNUM(Gastos[[#This Row],[Fecha_Cheque]]),MID(Gastos[[#This Row],[Semana]],6,2))</f>
        <v>41</v>
      </c>
      <c r="O1897" t="s">
        <v>1149</v>
      </c>
      <c r="P1897" t="s">
        <v>27</v>
      </c>
    </row>
    <row r="1898" spans="1:16" hidden="1" x14ac:dyDescent="0.25">
      <c r="A1898" s="3" t="s">
        <v>93</v>
      </c>
      <c r="B1898" t="s">
        <v>1143</v>
      </c>
      <c r="C1898" t="s">
        <v>1147</v>
      </c>
      <c r="D1898" t="s">
        <v>26</v>
      </c>
      <c r="E1898" t="s">
        <v>91</v>
      </c>
      <c r="F1898">
        <v>1</v>
      </c>
      <c r="G1898" s="3" t="s">
        <v>5</v>
      </c>
      <c r="H1898" s="46" t="s">
        <v>15</v>
      </c>
      <c r="I1898" s="17">
        <v>120000</v>
      </c>
      <c r="J1898" s="17">
        <f>IF(Gastos[[#This Row],[Divisa]]="$", I1898*1, IF(Gastos[[#This Row],[Divisa]]="U$D", I1898*$N$1, IF(Gastos[[#This Row],[Divisa]]="EUR", I1898*$N$2, 0)))</f>
        <v>120000</v>
      </c>
      <c r="K1898" s="54">
        <f>Gastos[[#This Row],[Importe AR$]]/$N$1</f>
        <v>76.92307692307692</v>
      </c>
      <c r="M1898" s="69"/>
      <c r="N1898" s="43" t="str">
        <f>IF(Gastos[[#This Row],[Fecha_Cheque]]&gt;0,WEEKNUM(Gastos[[#This Row],[Fecha_Cheque]]),MID(Gastos[[#This Row],[Semana]],6,2))</f>
        <v>50</v>
      </c>
      <c r="O1898" t="s">
        <v>1150</v>
      </c>
      <c r="P1898" t="s">
        <v>27</v>
      </c>
    </row>
    <row r="1899" spans="1:16" hidden="1" x14ac:dyDescent="0.25">
      <c r="A1899" s="3" t="s">
        <v>75</v>
      </c>
      <c r="B1899" t="s">
        <v>1143</v>
      </c>
      <c r="C1899" t="s">
        <v>639</v>
      </c>
      <c r="D1899" t="s">
        <v>26</v>
      </c>
      <c r="E1899" t="s">
        <v>91</v>
      </c>
      <c r="F1899">
        <v>1</v>
      </c>
      <c r="G1899" s="3" t="s">
        <v>5</v>
      </c>
      <c r="H1899" s="46" t="s">
        <v>15</v>
      </c>
      <c r="I1899" s="17">
        <v>120000</v>
      </c>
      <c r="J1899" s="17">
        <f>IF(Gastos[[#This Row],[Divisa]]="$", I1899*1, IF(Gastos[[#This Row],[Divisa]]="U$D", I1899*$N$1, IF(Gastos[[#This Row],[Divisa]]="EUR", I1899*$N$2, 0)))</f>
        <v>120000</v>
      </c>
      <c r="K1899" s="54">
        <f>Gastos[[#This Row],[Importe AR$]]/$N$1</f>
        <v>76.92307692307692</v>
      </c>
      <c r="M1899" s="69"/>
      <c r="N1899" s="43" t="str">
        <f>IF(Gastos[[#This Row],[Fecha_Cheque]]&gt;0,WEEKNUM(Gastos[[#This Row],[Fecha_Cheque]]),MID(Gastos[[#This Row],[Semana]],6,2))</f>
        <v>07</v>
      </c>
      <c r="O1899" t="s">
        <v>1151</v>
      </c>
      <c r="P1899" t="s">
        <v>27</v>
      </c>
    </row>
    <row r="1900" spans="1:16" hidden="1" x14ac:dyDescent="0.25">
      <c r="A1900" s="3" t="s">
        <v>2711</v>
      </c>
      <c r="B1900" t="s">
        <v>1143</v>
      </c>
      <c r="C1900" t="s">
        <v>2838</v>
      </c>
      <c r="D1900" t="s">
        <v>26</v>
      </c>
      <c r="E1900" t="s">
        <v>91</v>
      </c>
      <c r="F1900">
        <v>1</v>
      </c>
      <c r="G1900" s="3" t="s">
        <v>5</v>
      </c>
      <c r="H1900" s="44" t="s">
        <v>15</v>
      </c>
      <c r="I1900" s="17">
        <v>119359.93</v>
      </c>
      <c r="J1900" s="17">
        <f>IF(Gastos[[#This Row],[Divisa]]="$", I1900*1, IF(Gastos[[#This Row],[Divisa]]="U$D", I1900*$N$1, IF(Gastos[[#This Row],[Divisa]]="EUR", I1900*$N$2, 0)))</f>
        <v>119359.93</v>
      </c>
      <c r="K1900" s="54">
        <f>Gastos[[#This Row],[Importe AR$]]/$N$1</f>
        <v>76.512775641025641</v>
      </c>
      <c r="M1900" s="69"/>
      <c r="N1900" s="43" t="str">
        <f>IF(Gastos[[#This Row],[Fecha_Cheque]]&gt;0,WEEKNUM(Gastos[[#This Row],[Fecha_Cheque]]),MID(Gastos[[#This Row],[Semana]],6,2))</f>
        <v>15</v>
      </c>
      <c r="O1900" t="s">
        <v>2874</v>
      </c>
      <c r="P1900" t="s">
        <v>27</v>
      </c>
    </row>
    <row r="1901" spans="1:16" hidden="1" x14ac:dyDescent="0.25">
      <c r="A1901" s="3" t="s">
        <v>2711</v>
      </c>
      <c r="B1901" t="s">
        <v>1143</v>
      </c>
      <c r="C1901" t="s">
        <v>2838</v>
      </c>
      <c r="D1901" t="s">
        <v>26</v>
      </c>
      <c r="E1901" t="s">
        <v>91</v>
      </c>
      <c r="F1901">
        <v>1</v>
      </c>
      <c r="G1901" s="3" t="s">
        <v>5</v>
      </c>
      <c r="H1901" s="44" t="s">
        <v>15</v>
      </c>
      <c r="I1901" s="17">
        <v>640.07000000000005</v>
      </c>
      <c r="J1901" s="17">
        <f>IF(Gastos[[#This Row],[Divisa]]="$", I1901*1, IF(Gastos[[#This Row],[Divisa]]="U$D", I1901*$N$1, IF(Gastos[[#This Row],[Divisa]]="EUR", I1901*$N$2, 0)))</f>
        <v>640.07000000000005</v>
      </c>
      <c r="K1901" s="54">
        <f>Gastos[[#This Row],[Importe AR$]]/$N$1</f>
        <v>0.41030128205128208</v>
      </c>
      <c r="L1901" t="s">
        <v>340</v>
      </c>
      <c r="M1901" s="69"/>
      <c r="N1901" s="43" t="str">
        <f>IF(Gastos[[#This Row],[Fecha_Cheque]]&gt;0,WEEKNUM(Gastos[[#This Row],[Fecha_Cheque]]),MID(Gastos[[#This Row],[Semana]],6,2))</f>
        <v>15</v>
      </c>
      <c r="O1901" t="s">
        <v>2874</v>
      </c>
      <c r="P1901" t="s">
        <v>27</v>
      </c>
    </row>
    <row r="1902" spans="1:16" hidden="1" x14ac:dyDescent="0.25">
      <c r="A1902" s="3" t="s">
        <v>2763</v>
      </c>
      <c r="B1902" t="s">
        <v>1143</v>
      </c>
      <c r="C1902" t="s">
        <v>1147</v>
      </c>
      <c r="D1902" t="s">
        <v>26</v>
      </c>
      <c r="E1902" t="s">
        <v>91</v>
      </c>
      <c r="F1902">
        <v>1</v>
      </c>
      <c r="G1902" s="3" t="s">
        <v>5</v>
      </c>
      <c r="H1902" s="44" t="s">
        <v>15</v>
      </c>
      <c r="I1902" s="17">
        <v>237376.46</v>
      </c>
      <c r="J1902" s="17">
        <f>IF(Gastos[[#This Row],[Divisa]]="$", I1902*1, IF(Gastos[[#This Row],[Divisa]]="U$D", I1902*$N$1, IF(Gastos[[#This Row],[Divisa]]="EUR", I1902*$N$2, 0)))</f>
        <v>237376.46</v>
      </c>
      <c r="K1902" s="54">
        <f>Gastos[[#This Row],[Importe AR$]]/$N$1</f>
        <v>152.16439743589743</v>
      </c>
      <c r="M1902" s="69"/>
      <c r="N1902" s="43" t="str">
        <f>IF(Gastos[[#This Row],[Fecha_Cheque]]&gt;0,WEEKNUM(Gastos[[#This Row],[Fecha_Cheque]]),MID(Gastos[[#This Row],[Semana]],6,2))</f>
        <v>23</v>
      </c>
      <c r="O1902" t="s">
        <v>3275</v>
      </c>
      <c r="P1902" t="s">
        <v>27</v>
      </c>
    </row>
    <row r="1903" spans="1:16" hidden="1" x14ac:dyDescent="0.25">
      <c r="A1903" s="3" t="s">
        <v>2763</v>
      </c>
      <c r="B1903" t="s">
        <v>1143</v>
      </c>
      <c r="C1903" t="s">
        <v>1147</v>
      </c>
      <c r="D1903" t="s">
        <v>26</v>
      </c>
      <c r="E1903" t="s">
        <v>91</v>
      </c>
      <c r="F1903">
        <v>1</v>
      </c>
      <c r="G1903" s="3" t="s">
        <v>5</v>
      </c>
      <c r="H1903" s="44" t="s">
        <v>15</v>
      </c>
      <c r="I1903" s="17">
        <v>2623.54</v>
      </c>
      <c r="J1903" s="17">
        <f>IF(Gastos[[#This Row],[Divisa]]="$", I1903*1, IF(Gastos[[#This Row],[Divisa]]="U$D", I1903*$N$1, IF(Gastos[[#This Row],[Divisa]]="EUR", I1903*$N$2, 0)))</f>
        <v>2623.54</v>
      </c>
      <c r="K1903" s="54">
        <f>Gastos[[#This Row],[Importe AR$]]/$N$1</f>
        <v>1.6817564102564102</v>
      </c>
      <c r="L1903" t="s">
        <v>340</v>
      </c>
      <c r="M1903" s="69"/>
      <c r="N1903" s="43" t="str">
        <f>IF(Gastos[[#This Row],[Fecha_Cheque]]&gt;0,WEEKNUM(Gastos[[#This Row],[Fecha_Cheque]]),MID(Gastos[[#This Row],[Semana]],6,2))</f>
        <v>23</v>
      </c>
      <c r="O1903" t="s">
        <v>3275</v>
      </c>
      <c r="P1903" t="s">
        <v>27</v>
      </c>
    </row>
    <row r="1904" spans="1:16" hidden="1" x14ac:dyDescent="0.25">
      <c r="A1904" s="3" t="s">
        <v>72</v>
      </c>
      <c r="B1904" t="s">
        <v>1152</v>
      </c>
      <c r="C1904" t="s">
        <v>1153</v>
      </c>
      <c r="D1904" t="s">
        <v>26</v>
      </c>
      <c r="E1904" t="s">
        <v>31</v>
      </c>
      <c r="F1904">
        <v>1</v>
      </c>
      <c r="G1904" s="3" t="s">
        <v>32</v>
      </c>
      <c r="H1904" s="46" t="s">
        <v>15</v>
      </c>
      <c r="I1904" s="17">
        <v>164003.4</v>
      </c>
      <c r="J1904" s="17">
        <f>IF(Gastos[[#This Row],[Divisa]]="$", I1904*1, IF(Gastos[[#This Row],[Divisa]]="U$D", I1904*$N$1, IF(Gastos[[#This Row],[Divisa]]="EUR", I1904*$N$2, 0)))</f>
        <v>164003.4</v>
      </c>
      <c r="K1904" s="54">
        <f>Gastos[[#This Row],[Importe AR$]]/$N$1</f>
        <v>105.13038461538461</v>
      </c>
      <c r="M1904" s="69">
        <v>46018</v>
      </c>
      <c r="N1904" s="43">
        <f>IF(Gastos[[#This Row],[Fecha_Cheque]]&gt;0,WEEKNUM(Gastos[[#This Row],[Fecha_Cheque]]),MID(Gastos[[#This Row],[Semana]],6,2))</f>
        <v>52</v>
      </c>
      <c r="O1904" t="s">
        <v>1154</v>
      </c>
      <c r="P1904" t="s">
        <v>27</v>
      </c>
    </row>
    <row r="1905" spans="1:16" hidden="1" x14ac:dyDescent="0.25">
      <c r="A1905" s="3" t="s">
        <v>93</v>
      </c>
      <c r="B1905" t="s">
        <v>1152</v>
      </c>
      <c r="C1905" t="s">
        <v>1155</v>
      </c>
      <c r="D1905" t="s">
        <v>26</v>
      </c>
      <c r="E1905" t="s">
        <v>31</v>
      </c>
      <c r="F1905">
        <v>1</v>
      </c>
      <c r="G1905" s="3" t="s">
        <v>32</v>
      </c>
      <c r="H1905" s="46" t="s">
        <v>15</v>
      </c>
      <c r="I1905" s="17">
        <v>300709.2</v>
      </c>
      <c r="J1905" s="17">
        <f>IF(Gastos[[#This Row],[Divisa]]="$", I1905*1, IF(Gastos[[#This Row],[Divisa]]="U$D", I1905*$N$1, IF(Gastos[[#This Row],[Divisa]]="EUR", I1905*$N$2, 0)))</f>
        <v>300709.2</v>
      </c>
      <c r="K1905" s="54">
        <f>Gastos[[#This Row],[Importe AR$]]/$N$1</f>
        <v>192.7623076923077</v>
      </c>
      <c r="M1905" s="69"/>
      <c r="N1905" s="43" t="str">
        <f>IF(Gastos[[#This Row],[Fecha_Cheque]]&gt;0,WEEKNUM(Gastos[[#This Row],[Fecha_Cheque]]),MID(Gastos[[#This Row],[Semana]],6,2))</f>
        <v>50</v>
      </c>
      <c r="O1905" t="s">
        <v>1156</v>
      </c>
      <c r="P1905" t="s">
        <v>27</v>
      </c>
    </row>
    <row r="1906" spans="1:16" hidden="1" x14ac:dyDescent="0.25">
      <c r="A1906" s="3" t="s">
        <v>206</v>
      </c>
      <c r="B1906" t="s">
        <v>1152</v>
      </c>
      <c r="C1906" t="s">
        <v>1157</v>
      </c>
      <c r="D1906" t="s">
        <v>26</v>
      </c>
      <c r="E1906" t="s">
        <v>31</v>
      </c>
      <c r="F1906">
        <v>1</v>
      </c>
      <c r="G1906" s="3" t="s">
        <v>32</v>
      </c>
      <c r="H1906" s="46" t="s">
        <v>15</v>
      </c>
      <c r="I1906" s="17">
        <v>156041.60000000001</v>
      </c>
      <c r="J1906" s="17">
        <f>IF(Gastos[[#This Row],[Divisa]]="$", I1906*1, IF(Gastos[[#This Row],[Divisa]]="U$D", I1906*$N$1, IF(Gastos[[#This Row],[Divisa]]="EUR", I1906*$N$2, 0)))</f>
        <v>156041.60000000001</v>
      </c>
      <c r="K1906" s="54">
        <f>Gastos[[#This Row],[Importe AR$]]/$N$1</f>
        <v>100.02666666666667</v>
      </c>
      <c r="L1906" t="s">
        <v>277</v>
      </c>
      <c r="M1906" s="69">
        <v>46088</v>
      </c>
      <c r="N1906" s="43">
        <f>IF(Gastos[[#This Row],[Fecha_Cheque]]&gt;0,WEEKNUM(Gastos[[#This Row],[Fecha_Cheque]]),MID(Gastos[[#This Row],[Semana]],6,2))</f>
        <v>10</v>
      </c>
      <c r="O1906" t="s">
        <v>1158</v>
      </c>
      <c r="P1906" t="s">
        <v>27</v>
      </c>
    </row>
    <row r="1907" spans="1:16" hidden="1" x14ac:dyDescent="0.25">
      <c r="A1907" s="3" t="s">
        <v>210</v>
      </c>
      <c r="B1907" t="s">
        <v>1152</v>
      </c>
      <c r="C1907" t="s">
        <v>270</v>
      </c>
      <c r="D1907" t="s">
        <v>26</v>
      </c>
      <c r="E1907" t="s">
        <v>31</v>
      </c>
      <c r="F1907">
        <v>1</v>
      </c>
      <c r="G1907" s="3" t="s">
        <v>32</v>
      </c>
      <c r="H1907" s="46" t="s">
        <v>15</v>
      </c>
      <c r="I1907" s="17">
        <f>79860+440875.6</f>
        <v>520735.6</v>
      </c>
      <c r="J1907" s="17">
        <f>IF(Gastos[[#This Row],[Divisa]]="$", I1907*1, IF(Gastos[[#This Row],[Divisa]]="U$D", I1907*$N$1, IF(Gastos[[#This Row],[Divisa]]="EUR", I1907*$N$2, 0)))</f>
        <v>520735.6</v>
      </c>
      <c r="K1907" s="54">
        <f>Gastos[[#This Row],[Importe AR$]]/$N$1</f>
        <v>333.80487179487176</v>
      </c>
      <c r="M1907" s="69">
        <v>45940</v>
      </c>
      <c r="N1907" s="43">
        <f>IF(Gastos[[#This Row],[Fecha_Cheque]]&gt;0,WEEKNUM(Gastos[[#This Row],[Fecha_Cheque]]),MID(Gastos[[#This Row],[Semana]],6,2))</f>
        <v>41</v>
      </c>
      <c r="O1907" t="s">
        <v>1159</v>
      </c>
      <c r="P1907" t="s">
        <v>27</v>
      </c>
    </row>
    <row r="1908" spans="1:16" hidden="1" x14ac:dyDescent="0.25">
      <c r="A1908" s="3" t="s">
        <v>79</v>
      </c>
      <c r="B1908" t="s">
        <v>1152</v>
      </c>
      <c r="C1908" t="s">
        <v>1160</v>
      </c>
      <c r="D1908" t="s">
        <v>26</v>
      </c>
      <c r="E1908" t="s">
        <v>31</v>
      </c>
      <c r="F1908">
        <v>1</v>
      </c>
      <c r="G1908" s="3" t="s">
        <v>32</v>
      </c>
      <c r="H1908" s="46" t="s">
        <v>15</v>
      </c>
      <c r="I1908" s="17">
        <v>436078.72</v>
      </c>
      <c r="J1908" s="17">
        <f>IF(Gastos[[#This Row],[Divisa]]="$", I1908*1, IF(Gastos[[#This Row],[Divisa]]="U$D", I1908*$N$1, IF(Gastos[[#This Row],[Divisa]]="EUR", I1908*$N$2, 0)))</f>
        <v>436078.72</v>
      </c>
      <c r="K1908" s="54">
        <f>Gastos[[#This Row],[Importe AR$]]/$N$1</f>
        <v>279.53764102564099</v>
      </c>
      <c r="M1908" s="69">
        <v>46010</v>
      </c>
      <c r="N1908" s="43">
        <f>IF(Gastos[[#This Row],[Fecha_Cheque]]&gt;0,WEEKNUM(Gastos[[#This Row],[Fecha_Cheque]]),MID(Gastos[[#This Row],[Semana]],6,2))</f>
        <v>51</v>
      </c>
      <c r="O1908" t="s">
        <v>1161</v>
      </c>
      <c r="P1908" t="s">
        <v>27</v>
      </c>
    </row>
    <row r="1909" spans="1:16" hidden="1" x14ac:dyDescent="0.25">
      <c r="A1909" s="3" t="s">
        <v>93</v>
      </c>
      <c r="B1909" t="s">
        <v>1152</v>
      </c>
      <c r="C1909" t="s">
        <v>1162</v>
      </c>
      <c r="D1909" t="s">
        <v>26</v>
      </c>
      <c r="E1909" t="s">
        <v>31</v>
      </c>
      <c r="F1909">
        <v>1</v>
      </c>
      <c r="G1909" s="3" t="s">
        <v>32</v>
      </c>
      <c r="H1909" s="46" t="s">
        <v>15</v>
      </c>
      <c r="I1909" s="17">
        <v>300218.8</v>
      </c>
      <c r="J1909" s="17">
        <f>IF(Gastos[[#This Row],[Divisa]]="$", I1909*1, IF(Gastos[[#This Row],[Divisa]]="U$D", I1909*$N$1, IF(Gastos[[#This Row],[Divisa]]="EUR", I1909*$N$2, 0)))</f>
        <v>300218.8</v>
      </c>
      <c r="K1909" s="54">
        <f>Gastos[[#This Row],[Importe AR$]]/$N$1</f>
        <v>192.44794871794872</v>
      </c>
      <c r="M1909" s="69">
        <v>46033</v>
      </c>
      <c r="N1909" s="43">
        <f>IF(Gastos[[#This Row],[Fecha_Cheque]]&gt;0,WEEKNUM(Gastos[[#This Row],[Fecha_Cheque]]),MID(Gastos[[#This Row],[Semana]],6,2))</f>
        <v>3</v>
      </c>
      <c r="O1909" t="s">
        <v>1156</v>
      </c>
      <c r="P1909" t="s">
        <v>27</v>
      </c>
    </row>
    <row r="1910" spans="1:16" hidden="1" x14ac:dyDescent="0.25">
      <c r="A1910" s="3" t="s">
        <v>180</v>
      </c>
      <c r="B1910" t="s">
        <v>1152</v>
      </c>
      <c r="C1910" t="s">
        <v>1361</v>
      </c>
      <c r="D1910" t="s">
        <v>26</v>
      </c>
      <c r="E1910" t="s">
        <v>31</v>
      </c>
      <c r="F1910">
        <v>1</v>
      </c>
      <c r="G1910" s="3" t="s">
        <v>32</v>
      </c>
      <c r="H1910" s="46" t="s">
        <v>15</v>
      </c>
      <c r="I1910" s="17">
        <v>455019.8</v>
      </c>
      <c r="J1910" s="17">
        <f>IF(Gastos[[#This Row],[Divisa]]="$", I1910*1, IF(Gastos[[#This Row],[Divisa]]="U$D", I1910*$N$1, IF(Gastos[[#This Row],[Divisa]]="EUR", I1910*$N$2, 0)))</f>
        <v>455019.8</v>
      </c>
      <c r="K1910" s="54">
        <f>Gastos[[#This Row],[Importe AR$]]/$N$1</f>
        <v>291.67935897435899</v>
      </c>
      <c r="M1910" s="69">
        <v>46108</v>
      </c>
      <c r="N1910" s="43">
        <f>IF(Gastos[[#This Row],[Fecha_Cheque]]&gt;0,WEEKNUM(Gastos[[#This Row],[Fecha_Cheque]]),MID(Gastos[[#This Row],[Semana]],6,2))</f>
        <v>13</v>
      </c>
      <c r="O1910" t="s">
        <v>1362</v>
      </c>
      <c r="P1910" t="s">
        <v>27</v>
      </c>
    </row>
    <row r="1911" spans="1:16" hidden="1" x14ac:dyDescent="0.25">
      <c r="A1911" s="3" t="s">
        <v>397</v>
      </c>
      <c r="B1911" t="s">
        <v>1152</v>
      </c>
      <c r="C1911" t="s">
        <v>1153</v>
      </c>
      <c r="D1911" t="s">
        <v>26</v>
      </c>
      <c r="E1911" t="s">
        <v>31</v>
      </c>
      <c r="F1911">
        <v>1</v>
      </c>
      <c r="G1911" s="3" t="s">
        <v>32</v>
      </c>
      <c r="H1911" s="44" t="s">
        <v>15</v>
      </c>
      <c r="I1911" s="17">
        <v>180000</v>
      </c>
      <c r="J1911" s="17">
        <f>IF(Gastos[[#This Row],[Divisa]]="$", I1911*1, IF(Gastos[[#This Row],[Divisa]]="U$D", I1911*$N$1, IF(Gastos[[#This Row],[Divisa]]="EUR", I1911*$N$2, 0)))</f>
        <v>180000</v>
      </c>
      <c r="K1911" s="54">
        <f>Gastos[[#This Row],[Importe AR$]]/$N$1</f>
        <v>115.38461538461539</v>
      </c>
      <c r="M1911" s="69">
        <v>46122</v>
      </c>
      <c r="N1911" s="43">
        <f>IF(Gastos[[#This Row],[Fecha_Cheque]]&gt;0,WEEKNUM(Gastos[[#This Row],[Fecha_Cheque]]),MID(Gastos[[#This Row],[Semana]],6,2))</f>
        <v>15</v>
      </c>
      <c r="O1911" t="s">
        <v>1943</v>
      </c>
      <c r="P1911" t="s">
        <v>27</v>
      </c>
    </row>
    <row r="1912" spans="1:16" hidden="1" x14ac:dyDescent="0.25">
      <c r="A1912" s="3" t="s">
        <v>828</v>
      </c>
      <c r="B1912" t="s">
        <v>1152</v>
      </c>
      <c r="C1912" t="s">
        <v>2621</v>
      </c>
      <c r="D1912" t="s">
        <v>26</v>
      </c>
      <c r="E1912" t="s">
        <v>31</v>
      </c>
      <c r="F1912">
        <v>1</v>
      </c>
      <c r="G1912" s="3" t="s">
        <v>32</v>
      </c>
      <c r="H1912" s="44" t="s">
        <v>15</v>
      </c>
      <c r="I1912" s="17">
        <v>105149</v>
      </c>
      <c r="J1912" s="17">
        <f>IF(Gastos[[#This Row],[Divisa]]="$", I1912*1, IF(Gastos[[#This Row],[Divisa]]="U$D", I1912*$N$1, IF(Gastos[[#This Row],[Divisa]]="EUR", I1912*$N$2, 0)))</f>
        <v>105149</v>
      </c>
      <c r="K1912" s="54">
        <f>Gastos[[#This Row],[Importe AR$]]/$N$1</f>
        <v>67.40320512820513</v>
      </c>
      <c r="M1912" s="69"/>
      <c r="N1912" s="43" t="str">
        <f>IF(Gastos[[#This Row],[Fecha_Cheque]]&gt;0,WEEKNUM(Gastos[[#This Row],[Fecha_Cheque]]),MID(Gastos[[#This Row],[Semana]],6,2))</f>
        <v>13</v>
      </c>
      <c r="O1912" t="s">
        <v>2622</v>
      </c>
      <c r="P1912" t="s">
        <v>27</v>
      </c>
    </row>
    <row r="1913" spans="1:16" hidden="1" x14ac:dyDescent="0.25">
      <c r="A1913" s="3" t="s">
        <v>828</v>
      </c>
      <c r="B1913" t="s">
        <v>1152</v>
      </c>
      <c r="C1913" t="s">
        <v>2621</v>
      </c>
      <c r="D1913" t="s">
        <v>26</v>
      </c>
      <c r="E1913" t="s">
        <v>31</v>
      </c>
      <c r="F1913">
        <v>1</v>
      </c>
      <c r="G1913" s="3" t="s">
        <v>32</v>
      </c>
      <c r="H1913" s="44" t="s">
        <v>15</v>
      </c>
      <c r="I1913" s="17">
        <v>6352.5</v>
      </c>
      <c r="J1913" s="17">
        <f>IF(Gastos[[#This Row],[Divisa]]="$", I1913*1, IF(Gastos[[#This Row],[Divisa]]="U$D", I1913*$N$1, IF(Gastos[[#This Row],[Divisa]]="EUR", I1913*$N$2, 0)))</f>
        <v>6352.5</v>
      </c>
      <c r="K1913" s="54">
        <f>Gastos[[#This Row],[Importe AR$]]/$N$1</f>
        <v>4.072115384615385</v>
      </c>
      <c r="M1913" s="69"/>
      <c r="N1913" s="43" t="str">
        <f>IF(Gastos[[#This Row],[Fecha_Cheque]]&gt;0,WEEKNUM(Gastos[[#This Row],[Fecha_Cheque]]),MID(Gastos[[#This Row],[Semana]],6,2))</f>
        <v>13</v>
      </c>
      <c r="O1913" t="s">
        <v>2622</v>
      </c>
      <c r="P1913" t="s">
        <v>27</v>
      </c>
    </row>
    <row r="1914" spans="1:16" hidden="1" x14ac:dyDescent="0.25">
      <c r="A1914" s="3" t="s">
        <v>2731</v>
      </c>
      <c r="B1914" t="s">
        <v>1152</v>
      </c>
      <c r="C1914" t="s">
        <v>2984</v>
      </c>
      <c r="D1914" t="s">
        <v>26</v>
      </c>
      <c r="E1914" t="s">
        <v>31</v>
      </c>
      <c r="F1914">
        <v>1</v>
      </c>
      <c r="G1914" s="3" t="s">
        <v>32</v>
      </c>
      <c r="H1914" s="44" t="s">
        <v>15</v>
      </c>
      <c r="I1914" s="17">
        <v>232740.74</v>
      </c>
      <c r="J1914" s="17">
        <f>IF(Gastos[[#This Row],[Divisa]]="$", I1914*1, IF(Gastos[[#This Row],[Divisa]]="U$D", I1914*$N$1, IF(Gastos[[#This Row],[Divisa]]="EUR", I1914*$N$2, 0)))</f>
        <v>232740.74</v>
      </c>
      <c r="K1914" s="54">
        <f>Gastos[[#This Row],[Importe AR$]]/$N$1</f>
        <v>149.19278205128205</v>
      </c>
      <c r="M1914" s="69">
        <v>46162</v>
      </c>
      <c r="N1914" s="43">
        <f>IF(Gastos[[#This Row],[Fecha_Cheque]]&gt;0,WEEKNUM(Gastos[[#This Row],[Fecha_Cheque]]),MID(Gastos[[#This Row],[Semana]],6,2))</f>
        <v>21</v>
      </c>
      <c r="O1914" t="s">
        <v>2985</v>
      </c>
      <c r="P1914" t="s">
        <v>27</v>
      </c>
    </row>
    <row r="1915" spans="1:16" hidden="1" x14ac:dyDescent="0.25">
      <c r="A1915" s="3" t="s">
        <v>2731</v>
      </c>
      <c r="B1915" t="s">
        <v>1152</v>
      </c>
      <c r="C1915" t="s">
        <v>2984</v>
      </c>
      <c r="D1915" t="s">
        <v>26</v>
      </c>
      <c r="E1915" t="s">
        <v>31</v>
      </c>
      <c r="F1915">
        <v>1</v>
      </c>
      <c r="G1915" s="3" t="s">
        <v>32</v>
      </c>
      <c r="H1915" s="44" t="s">
        <v>15</v>
      </c>
      <c r="I1915" s="17">
        <v>218495.87</v>
      </c>
      <c r="J1915" s="17">
        <f>IF(Gastos[[#This Row],[Divisa]]="$", I1915*1, IF(Gastos[[#This Row],[Divisa]]="U$D", I1915*$N$1, IF(Gastos[[#This Row],[Divisa]]="EUR", I1915*$N$2, 0)))</f>
        <v>218495.87</v>
      </c>
      <c r="K1915" s="54">
        <f>Gastos[[#This Row],[Importe AR$]]/$N$1</f>
        <v>140.06145512820513</v>
      </c>
      <c r="M1915" s="69">
        <v>46163</v>
      </c>
      <c r="N1915" s="43">
        <f>IF(Gastos[[#This Row],[Fecha_Cheque]]&gt;0,WEEKNUM(Gastos[[#This Row],[Fecha_Cheque]]),MID(Gastos[[#This Row],[Semana]],6,2))</f>
        <v>21</v>
      </c>
      <c r="O1915" t="s">
        <v>2986</v>
      </c>
      <c r="P1915" t="s">
        <v>27</v>
      </c>
    </row>
    <row r="1916" spans="1:16" hidden="1" x14ac:dyDescent="0.25">
      <c r="A1916" s="3" t="s">
        <v>2731</v>
      </c>
      <c r="B1916" t="s">
        <v>1152</v>
      </c>
      <c r="C1916" t="s">
        <v>2984</v>
      </c>
      <c r="D1916" t="s">
        <v>26</v>
      </c>
      <c r="E1916" t="s">
        <v>31</v>
      </c>
      <c r="F1916">
        <v>1</v>
      </c>
      <c r="G1916" s="3" t="s">
        <v>32</v>
      </c>
      <c r="H1916" s="44" t="s">
        <v>15</v>
      </c>
      <c r="I1916" s="17">
        <v>3028.51</v>
      </c>
      <c r="J1916" s="17">
        <f>IF(Gastos[[#This Row],[Divisa]]="$", I1916*1, IF(Gastos[[#This Row],[Divisa]]="U$D", I1916*$N$1, IF(Gastos[[#This Row],[Divisa]]="EUR", I1916*$N$2, 0)))</f>
        <v>3028.51</v>
      </c>
      <c r="K1916" s="54">
        <f>Gastos[[#This Row],[Importe AR$]]/$N$1</f>
        <v>1.9413525641025642</v>
      </c>
      <c r="M1916" s="69"/>
      <c r="N1916" s="43" t="str">
        <f>IF(Gastos[[#This Row],[Fecha_Cheque]]&gt;0,WEEKNUM(Gastos[[#This Row],[Fecha_Cheque]]),MID(Gastos[[#This Row],[Semana]],6,2))</f>
        <v>17</v>
      </c>
      <c r="O1916" t="s">
        <v>2986</v>
      </c>
      <c r="P1916" t="s">
        <v>27</v>
      </c>
    </row>
    <row r="1917" spans="1:16" hidden="1" x14ac:dyDescent="0.25">
      <c r="A1917" s="3" t="s">
        <v>2751</v>
      </c>
      <c r="B1917" t="s">
        <v>1152</v>
      </c>
      <c r="C1917" t="s">
        <v>1157</v>
      </c>
      <c r="D1917" t="s">
        <v>26</v>
      </c>
      <c r="E1917" t="s">
        <v>31</v>
      </c>
      <c r="F1917">
        <v>1</v>
      </c>
      <c r="G1917" s="3" t="s">
        <v>32</v>
      </c>
      <c r="H1917" s="44" t="s">
        <v>15</v>
      </c>
      <c r="I1917" s="17">
        <v>840711.35</v>
      </c>
      <c r="J1917" s="17">
        <f>IF(Gastos[[#This Row],[Divisa]]="$", I1917*1, IF(Gastos[[#This Row],[Divisa]]="U$D", I1917*$N$1, IF(Gastos[[#This Row],[Divisa]]="EUR", I1917*$N$2, 0)))</f>
        <v>840711.35</v>
      </c>
      <c r="K1917" s="54">
        <f>Gastos[[#This Row],[Importe AR$]]/$N$1</f>
        <v>538.91753205128202</v>
      </c>
      <c r="M1917" s="69">
        <v>46173</v>
      </c>
      <c r="N1917" s="43">
        <f>IF(Gastos[[#This Row],[Fecha_Cheque]]&gt;0,WEEKNUM(Gastos[[#This Row],[Fecha_Cheque]]),MID(Gastos[[#This Row],[Semana]],6,2))</f>
        <v>23</v>
      </c>
      <c r="O1917" t="s">
        <v>3042</v>
      </c>
      <c r="P1917" t="s">
        <v>27</v>
      </c>
    </row>
    <row r="1918" spans="1:16" hidden="1" x14ac:dyDescent="0.25">
      <c r="A1918" s="3" t="s">
        <v>2751</v>
      </c>
      <c r="B1918" t="s">
        <v>1152</v>
      </c>
      <c r="C1918" t="s">
        <v>1157</v>
      </c>
      <c r="D1918" t="s">
        <v>26</v>
      </c>
      <c r="E1918" t="s">
        <v>31</v>
      </c>
      <c r="F1918">
        <v>1</v>
      </c>
      <c r="G1918" s="3" t="s">
        <v>32</v>
      </c>
      <c r="H1918" s="44" t="s">
        <v>15</v>
      </c>
      <c r="I1918" s="17">
        <v>14129.61</v>
      </c>
      <c r="J1918" s="17">
        <f>IF(Gastos[[#This Row],[Divisa]]="$", I1918*1, IF(Gastos[[#This Row],[Divisa]]="U$D", I1918*$N$1, IF(Gastos[[#This Row],[Divisa]]="EUR", I1918*$N$2, 0)))</f>
        <v>14129.61</v>
      </c>
      <c r="K1918" s="54">
        <f>Gastos[[#This Row],[Importe AR$]]/$N$1</f>
        <v>9.0574423076923072</v>
      </c>
      <c r="L1918" t="s">
        <v>340</v>
      </c>
      <c r="M1918" s="69"/>
      <c r="N1918" s="43" t="str">
        <f>IF(Gastos[[#This Row],[Fecha_Cheque]]&gt;0,WEEKNUM(Gastos[[#This Row],[Fecha_Cheque]]),MID(Gastos[[#This Row],[Semana]],6,2))</f>
        <v>18</v>
      </c>
      <c r="O1918" t="s">
        <v>3042</v>
      </c>
      <c r="P1918" t="s">
        <v>27</v>
      </c>
    </row>
    <row r="1919" spans="1:16" hidden="1" x14ac:dyDescent="0.25">
      <c r="A1919" s="3" t="s">
        <v>2841</v>
      </c>
      <c r="B1919" t="s">
        <v>1152</v>
      </c>
      <c r="C1919" t="s">
        <v>3182</v>
      </c>
      <c r="D1919" t="s">
        <v>26</v>
      </c>
      <c r="E1919" t="s">
        <v>31</v>
      </c>
      <c r="F1919">
        <v>1</v>
      </c>
      <c r="G1919" s="3" t="s">
        <v>32</v>
      </c>
      <c r="H1919" s="44" t="s">
        <v>15</v>
      </c>
      <c r="I1919" s="17">
        <v>214087.72</v>
      </c>
      <c r="J1919" s="17">
        <f>IF(Gastos[[#This Row],[Divisa]]="$", I1919*1, IF(Gastos[[#This Row],[Divisa]]="U$D", I1919*$N$1, IF(Gastos[[#This Row],[Divisa]]="EUR", I1919*$N$2, 0)))</f>
        <v>214087.72</v>
      </c>
      <c r="K1919" s="54">
        <f>Gastos[[#This Row],[Importe AR$]]/$N$1</f>
        <v>137.23571794871796</v>
      </c>
      <c r="M1919" s="69">
        <v>46199</v>
      </c>
      <c r="N1919" s="43">
        <f>IF(Gastos[[#This Row],[Fecha_Cheque]]&gt;0,WEEKNUM(Gastos[[#This Row],[Fecha_Cheque]]),MID(Gastos[[#This Row],[Semana]],6,2))</f>
        <v>26</v>
      </c>
      <c r="O1919" t="s">
        <v>3183</v>
      </c>
      <c r="P1919" t="s">
        <v>27</v>
      </c>
    </row>
    <row r="1920" spans="1:16" hidden="1" x14ac:dyDescent="0.25">
      <c r="A1920" s="3" t="s">
        <v>2763</v>
      </c>
      <c r="B1920" t="s">
        <v>1152</v>
      </c>
      <c r="C1920" t="s">
        <v>1157</v>
      </c>
      <c r="D1920" t="s">
        <v>26</v>
      </c>
      <c r="E1920" t="s">
        <v>31</v>
      </c>
      <c r="F1920">
        <v>1</v>
      </c>
      <c r="G1920" s="3" t="s">
        <v>32</v>
      </c>
      <c r="H1920" s="44" t="s">
        <v>15</v>
      </c>
      <c r="I1920" s="17">
        <v>93567.61</v>
      </c>
      <c r="J1920" s="17">
        <f>IF(Gastos[[#This Row],[Divisa]]="$", I1920*1, IF(Gastos[[#This Row],[Divisa]]="U$D", I1920*$N$1, IF(Gastos[[#This Row],[Divisa]]="EUR", I1920*$N$2, 0)))</f>
        <v>93567.61</v>
      </c>
      <c r="K1920" s="54">
        <f>Gastos[[#This Row],[Importe AR$]]/$N$1</f>
        <v>59.979237179487178</v>
      </c>
      <c r="M1920" s="69">
        <v>46208</v>
      </c>
      <c r="N1920" s="43">
        <f>IF(Gastos[[#This Row],[Fecha_Cheque]]&gt;0,WEEKNUM(Gastos[[#This Row],[Fecha_Cheque]]),MID(Gastos[[#This Row],[Semana]],6,2))</f>
        <v>28</v>
      </c>
      <c r="O1920" t="s">
        <v>3276</v>
      </c>
      <c r="P1920" t="s">
        <v>27</v>
      </c>
    </row>
    <row r="1921" spans="1:16" hidden="1" x14ac:dyDescent="0.25">
      <c r="A1921" s="3" t="s">
        <v>2726</v>
      </c>
      <c r="B1921" t="s">
        <v>1152</v>
      </c>
      <c r="C1921" t="s">
        <v>267</v>
      </c>
      <c r="D1921" t="s">
        <v>26</v>
      </c>
      <c r="E1921" t="s">
        <v>31</v>
      </c>
      <c r="F1921">
        <v>1</v>
      </c>
      <c r="G1921" s="3" t="s">
        <v>32</v>
      </c>
      <c r="H1921" s="44" t="s">
        <v>15</v>
      </c>
      <c r="I1921" s="17">
        <v>72096.639999999999</v>
      </c>
      <c r="J1921" s="17">
        <f>IF(Gastos[[#This Row],[Divisa]]="$", I1921*1, IF(Gastos[[#This Row],[Divisa]]="U$D", I1921*$N$1, IF(Gastos[[#This Row],[Divisa]]="EUR", I1921*$N$2, 0)))</f>
        <v>72096.639999999999</v>
      </c>
      <c r="K1921" s="54">
        <f>Gastos[[#This Row],[Importe AR$]]/$N$1</f>
        <v>46.21579487179487</v>
      </c>
      <c r="M1921" s="69">
        <v>46199</v>
      </c>
      <c r="N1921" s="43">
        <f>IF(Gastos[[#This Row],[Fecha_Cheque]]&gt;0,WEEKNUM(Gastos[[#This Row],[Fecha_Cheque]]),MID(Gastos[[#This Row],[Semana]],6,2))</f>
        <v>26</v>
      </c>
      <c r="O1921" t="s">
        <v>3312</v>
      </c>
      <c r="P1921" t="s">
        <v>27</v>
      </c>
    </row>
    <row r="1922" spans="1:16" hidden="1" x14ac:dyDescent="0.25">
      <c r="A1922" s="3" t="s">
        <v>3617</v>
      </c>
      <c r="B1922" t="s">
        <v>1152</v>
      </c>
      <c r="C1922" t="s">
        <v>3638</v>
      </c>
      <c r="D1922" t="s">
        <v>26</v>
      </c>
      <c r="E1922" t="s">
        <v>31</v>
      </c>
      <c r="F1922">
        <v>1</v>
      </c>
      <c r="G1922" s="3" t="s">
        <v>32</v>
      </c>
      <c r="H1922" s="44" t="s">
        <v>15</v>
      </c>
      <c r="I1922" s="17">
        <v>34857.29</v>
      </c>
      <c r="J1922" s="17">
        <f>IF(Gastos[[#This Row],[Divisa]]="$", I1922*1, IF(Gastos[[#This Row],[Divisa]]="U$D", I1922*$N$1, IF(Gastos[[#This Row],[Divisa]]="EUR", I1922*$N$2, 0)))</f>
        <v>34857.29</v>
      </c>
      <c r="K1922" s="54">
        <f>Gastos[[#This Row],[Importe AR$]]/$N$1</f>
        <v>22.344416666666667</v>
      </c>
      <c r="M1922" s="69">
        <v>46233</v>
      </c>
      <c r="N1922" s="43">
        <f>IF(Gastos[[#This Row],[Fecha_Cheque]]&gt;0,WEEKNUM(Gastos[[#This Row],[Fecha_Cheque]]),MID(Gastos[[#This Row],[Semana]],6,2))</f>
        <v>31</v>
      </c>
      <c r="O1922" t="s">
        <v>3639</v>
      </c>
      <c r="P1922" t="s">
        <v>27</v>
      </c>
    </row>
    <row r="1923" spans="1:16" hidden="1" x14ac:dyDescent="0.25">
      <c r="A1923" s="3" t="s">
        <v>3617</v>
      </c>
      <c r="B1923" t="s">
        <v>1152</v>
      </c>
      <c r="C1923" t="s">
        <v>3644</v>
      </c>
      <c r="D1923" t="s">
        <v>26</v>
      </c>
      <c r="E1923" t="s">
        <v>31</v>
      </c>
      <c r="F1923">
        <v>1</v>
      </c>
      <c r="G1923" s="3" t="s">
        <v>5</v>
      </c>
      <c r="H1923" s="44" t="s">
        <v>15</v>
      </c>
      <c r="I1923" s="17">
        <v>72096.639999999999</v>
      </c>
      <c r="J1923" s="17">
        <f>IF(Gastos[[#This Row],[Divisa]]="$", I1923*1, IF(Gastos[[#This Row],[Divisa]]="U$D", I1923*$N$1, IF(Gastos[[#This Row],[Divisa]]="EUR", I1923*$N$2, 0)))</f>
        <v>72096.639999999999</v>
      </c>
      <c r="K1923" s="54">
        <f>Gastos[[#This Row],[Importe AR$]]/$N$1</f>
        <v>46.21579487179487</v>
      </c>
      <c r="M1923" s="69"/>
      <c r="N1923" s="43" t="str">
        <f>IF(Gastos[[#This Row],[Fecha_Cheque]]&gt;0,WEEKNUM(Gastos[[#This Row],[Fecha_Cheque]]),MID(Gastos[[#This Row],[Semana]],6,2))</f>
        <v>27</v>
      </c>
      <c r="O1923" t="s">
        <v>3666</v>
      </c>
      <c r="P1923" t="s">
        <v>27</v>
      </c>
    </row>
    <row r="1924" spans="1:16" hidden="1" x14ac:dyDescent="0.25">
      <c r="A1924" s="3" t="s">
        <v>3439</v>
      </c>
      <c r="B1924" t="s">
        <v>1152</v>
      </c>
      <c r="C1924" t="s">
        <v>3551</v>
      </c>
      <c r="D1924" t="s">
        <v>26</v>
      </c>
      <c r="E1924" t="s">
        <v>31</v>
      </c>
      <c r="F1924">
        <v>1</v>
      </c>
      <c r="G1924" s="3" t="s">
        <v>32</v>
      </c>
      <c r="H1924" s="44" t="s">
        <v>15</v>
      </c>
      <c r="I1924" s="17">
        <v>309980.87</v>
      </c>
      <c r="J1924" s="17">
        <f>IF(Gastos[[#This Row],[Divisa]]="$", I1924*1, IF(Gastos[[#This Row],[Divisa]]="U$D", I1924*$N$1, IF(Gastos[[#This Row],[Divisa]]="EUR", I1924*$N$2, 0)))</f>
        <v>309980.87</v>
      </c>
      <c r="K1924" s="54">
        <f>Gastos[[#This Row],[Importe AR$]]/$N$1</f>
        <v>198.7056858974359</v>
      </c>
      <c r="M1924" s="69">
        <v>46192</v>
      </c>
      <c r="N1924" s="43">
        <f>IF(Gastos[[#This Row],[Fecha_Cheque]]&gt;0,WEEKNUM(Gastos[[#This Row],[Fecha_Cheque]]),MID(Gastos[[#This Row],[Semana]],6,2))</f>
        <v>25</v>
      </c>
      <c r="O1924" t="s">
        <v>3552</v>
      </c>
      <c r="P1924" t="s">
        <v>27</v>
      </c>
    </row>
    <row r="1925" spans="1:16" hidden="1" x14ac:dyDescent="0.25">
      <c r="A1925" s="3" t="s">
        <v>3439</v>
      </c>
      <c r="B1925" t="s">
        <v>1152</v>
      </c>
      <c r="C1925" t="s">
        <v>3551</v>
      </c>
      <c r="D1925" t="s">
        <v>26</v>
      </c>
      <c r="E1925" t="s">
        <v>31</v>
      </c>
      <c r="F1925">
        <v>1</v>
      </c>
      <c r="G1925" s="3" t="s">
        <v>32</v>
      </c>
      <c r="H1925" s="44" t="s">
        <v>15</v>
      </c>
      <c r="I1925" s="17">
        <v>3438.74</v>
      </c>
      <c r="J1925" s="17">
        <f>IF(Gastos[[#This Row],[Divisa]]="$", I1925*1, IF(Gastos[[#This Row],[Divisa]]="U$D", I1925*$N$1, IF(Gastos[[#This Row],[Divisa]]="EUR", I1925*$N$2, 0)))</f>
        <v>3438.74</v>
      </c>
      <c r="K1925" s="54">
        <f>Gastos[[#This Row],[Importe AR$]]/$N$1</f>
        <v>2.2043205128205128</v>
      </c>
      <c r="M1925" s="69"/>
      <c r="N1925" s="43" t="str">
        <f>IF(Gastos[[#This Row],[Fecha_Cheque]]&gt;0,WEEKNUM(Gastos[[#This Row],[Fecha_Cheque]]),MID(Gastos[[#This Row],[Semana]],6,2))</f>
        <v>25</v>
      </c>
      <c r="O1925" t="s">
        <v>3552</v>
      </c>
      <c r="P1925" t="s">
        <v>27</v>
      </c>
    </row>
    <row r="1926" spans="1:16" hidden="1" x14ac:dyDescent="0.25">
      <c r="A1926" s="3" t="s">
        <v>50</v>
      </c>
      <c r="B1926" t="s">
        <v>1166</v>
      </c>
      <c r="C1926" t="s">
        <v>1167</v>
      </c>
      <c r="D1926" t="s">
        <v>26</v>
      </c>
      <c r="E1926" t="s">
        <v>91</v>
      </c>
      <c r="F1926">
        <v>2</v>
      </c>
      <c r="G1926" s="3" t="s">
        <v>4</v>
      </c>
      <c r="H1926" s="46" t="s">
        <v>15</v>
      </c>
      <c r="I1926" s="17">
        <v>1000000</v>
      </c>
      <c r="J1926" s="17">
        <f>IF(Gastos[[#This Row],[Divisa]]="$", I1926*1, IF(Gastos[[#This Row],[Divisa]]="U$D", I1926*$N$1, IF(Gastos[[#This Row],[Divisa]]="EUR", I1926*$N$2, 0)))</f>
        <v>1000000</v>
      </c>
      <c r="K1926" s="54">
        <f>Gastos[[#This Row],[Importe AR$]]/$N$1</f>
        <v>641.02564102564099</v>
      </c>
      <c r="M1926" s="69"/>
      <c r="N1926" s="43" t="str">
        <f>IF(Gastos[[#This Row],[Fecha_Cheque]]&gt;0,WEEKNUM(Gastos[[#This Row],[Fecha_Cheque]]),MID(Gastos[[#This Row],[Semana]],6,2))</f>
        <v>25</v>
      </c>
      <c r="O1926" t="s">
        <v>1168</v>
      </c>
      <c r="P1926" t="s">
        <v>27</v>
      </c>
    </row>
    <row r="1927" spans="1:16" hidden="1" x14ac:dyDescent="0.25">
      <c r="A1927" s="3" t="s">
        <v>52</v>
      </c>
      <c r="B1927" t="s">
        <v>1166</v>
      </c>
      <c r="C1927" t="s">
        <v>1169</v>
      </c>
      <c r="D1927" t="s">
        <v>26</v>
      </c>
      <c r="E1927" t="s">
        <v>31</v>
      </c>
      <c r="F1927">
        <v>2</v>
      </c>
      <c r="G1927" s="3" t="s">
        <v>4</v>
      </c>
      <c r="H1927" s="46" t="s">
        <v>15</v>
      </c>
      <c r="I1927" s="19">
        <v>1000000</v>
      </c>
      <c r="J1927" s="17">
        <f>IF(Gastos[[#This Row],[Divisa]]="$", I1927*1, IF(Gastos[[#This Row],[Divisa]]="U$D", I1927*$N$1, IF(Gastos[[#This Row],[Divisa]]="EUR", I1927*$N$2, 0)))</f>
        <v>1000000</v>
      </c>
      <c r="K1927" s="55">
        <f>Gastos[[#This Row],[Importe AR$]]/$N$1</f>
        <v>641.02564102564099</v>
      </c>
      <c r="M1927" s="69"/>
      <c r="N1927" s="43" t="str">
        <f>IF(Gastos[[#This Row],[Fecha_Cheque]]&gt;0,WEEKNUM(Gastos[[#This Row],[Fecha_Cheque]]),MID(Gastos[[#This Row],[Semana]],6,2))</f>
        <v>12</v>
      </c>
      <c r="P1927" t="s">
        <v>27</v>
      </c>
    </row>
    <row r="1928" spans="1:16" hidden="1" x14ac:dyDescent="0.25">
      <c r="A1928" s="3" t="s">
        <v>538</v>
      </c>
      <c r="B1928" t="s">
        <v>1166</v>
      </c>
      <c r="C1928" t="s">
        <v>1169</v>
      </c>
      <c r="D1928" t="s">
        <v>26</v>
      </c>
      <c r="E1928" t="s">
        <v>31</v>
      </c>
      <c r="F1928">
        <v>2</v>
      </c>
      <c r="G1928" s="3" t="s">
        <v>4</v>
      </c>
      <c r="H1928" s="46" t="s">
        <v>15</v>
      </c>
      <c r="I1928" s="17">
        <v>1000000</v>
      </c>
      <c r="J1928" s="17">
        <f>IF(Gastos[[#This Row],[Divisa]]="$", I1928*1, IF(Gastos[[#This Row],[Divisa]]="U$D", I1928*$N$1, IF(Gastos[[#This Row],[Divisa]]="EUR", I1928*$N$2, 0)))</f>
        <v>1000000</v>
      </c>
      <c r="K1928" s="54">
        <f>Gastos[[#This Row],[Importe AR$]]/$N$1</f>
        <v>641.02564102564099</v>
      </c>
      <c r="M1928" s="69"/>
      <c r="N1928" s="43" t="str">
        <f>IF(Gastos[[#This Row],[Fecha_Cheque]]&gt;0,WEEKNUM(Gastos[[#This Row],[Fecha_Cheque]]),MID(Gastos[[#This Row],[Semana]],6,2))</f>
        <v>13</v>
      </c>
      <c r="P1928" t="s">
        <v>27</v>
      </c>
    </row>
    <row r="1929" spans="1:16" hidden="1" x14ac:dyDescent="0.25">
      <c r="A1929" s="3" t="s">
        <v>1018</v>
      </c>
      <c r="B1929" t="s">
        <v>1166</v>
      </c>
      <c r="C1929" t="s">
        <v>1169</v>
      </c>
      <c r="D1929" t="s">
        <v>26</v>
      </c>
      <c r="E1929" t="s">
        <v>31</v>
      </c>
      <c r="F1929">
        <v>2</v>
      </c>
      <c r="G1929" s="3" t="s">
        <v>4</v>
      </c>
      <c r="H1929" s="46" t="s">
        <v>15</v>
      </c>
      <c r="I1929" s="17">
        <v>1000000</v>
      </c>
      <c r="J1929" s="17">
        <f>IF(Gastos[[#This Row],[Divisa]]="$", I1929*1, IF(Gastos[[#This Row],[Divisa]]="U$D", I1929*$N$1, IF(Gastos[[#This Row],[Divisa]]="EUR", I1929*$N$2, 0)))</f>
        <v>1000000</v>
      </c>
      <c r="K1929" s="54">
        <f>Gastos[[#This Row],[Importe AR$]]/$N$1</f>
        <v>641.02564102564099</v>
      </c>
      <c r="M1929" s="69"/>
      <c r="N1929" s="43" t="str">
        <f>IF(Gastos[[#This Row],[Fecha_Cheque]]&gt;0,WEEKNUM(Gastos[[#This Row],[Fecha_Cheque]]),MID(Gastos[[#This Row],[Semana]],6,2))</f>
        <v>14</v>
      </c>
      <c r="P1929" t="s">
        <v>27</v>
      </c>
    </row>
    <row r="1930" spans="1:16" hidden="1" x14ac:dyDescent="0.25">
      <c r="A1930" s="3" t="s">
        <v>216</v>
      </c>
      <c r="B1930" t="s">
        <v>1166</v>
      </c>
      <c r="C1930" t="s">
        <v>1169</v>
      </c>
      <c r="D1930" t="s">
        <v>26</v>
      </c>
      <c r="E1930" t="s">
        <v>31</v>
      </c>
      <c r="F1930">
        <v>2</v>
      </c>
      <c r="G1930" s="3" t="s">
        <v>4</v>
      </c>
      <c r="H1930" s="46" t="s">
        <v>15</v>
      </c>
      <c r="I1930" s="17">
        <v>1000000</v>
      </c>
      <c r="J1930" s="17">
        <f>IF(Gastos[[#This Row],[Divisa]]="$", I1930*1, IF(Gastos[[#This Row],[Divisa]]="U$D", I1930*$N$1, IF(Gastos[[#This Row],[Divisa]]="EUR", I1930*$N$2, 0)))</f>
        <v>1000000</v>
      </c>
      <c r="K1930" s="54">
        <f>Gastos[[#This Row],[Importe AR$]]/$N$1</f>
        <v>641.02564102564099</v>
      </c>
      <c r="M1930" s="69"/>
      <c r="N1930" s="43" t="str">
        <f>IF(Gastos[[#This Row],[Fecha_Cheque]]&gt;0,WEEKNUM(Gastos[[#This Row],[Fecha_Cheque]]),MID(Gastos[[#This Row],[Semana]],6,2))</f>
        <v>15</v>
      </c>
      <c r="P1930" t="s">
        <v>27</v>
      </c>
    </row>
    <row r="1931" spans="1:16" hidden="1" x14ac:dyDescent="0.25">
      <c r="A1931" s="3" t="s">
        <v>144</v>
      </c>
      <c r="B1931" t="s">
        <v>1166</v>
      </c>
      <c r="C1931" t="s">
        <v>1169</v>
      </c>
      <c r="D1931" t="s">
        <v>26</v>
      </c>
      <c r="E1931" t="s">
        <v>31</v>
      </c>
      <c r="F1931">
        <v>2</v>
      </c>
      <c r="G1931" s="3" t="s">
        <v>4</v>
      </c>
      <c r="H1931" s="46" t="s">
        <v>15</v>
      </c>
      <c r="I1931" s="17">
        <v>1000000</v>
      </c>
      <c r="J1931" s="17">
        <f>IF(Gastos[[#This Row],[Divisa]]="$", I1931*1, IF(Gastos[[#This Row],[Divisa]]="U$D", I1931*$N$1, IF(Gastos[[#This Row],[Divisa]]="EUR", I1931*$N$2, 0)))</f>
        <v>1000000</v>
      </c>
      <c r="K1931" s="54">
        <f>Gastos[[#This Row],[Importe AR$]]/$N$1</f>
        <v>641.02564102564099</v>
      </c>
      <c r="M1931" s="69"/>
      <c r="N1931" s="43" t="str">
        <f>IF(Gastos[[#This Row],[Fecha_Cheque]]&gt;0,WEEKNUM(Gastos[[#This Row],[Fecha_Cheque]]),MID(Gastos[[#This Row],[Semana]],6,2))</f>
        <v>16</v>
      </c>
      <c r="O1931" t="s">
        <v>1170</v>
      </c>
      <c r="P1931" t="s">
        <v>27</v>
      </c>
    </row>
    <row r="1932" spans="1:16" hidden="1" x14ac:dyDescent="0.25">
      <c r="A1932" s="3" t="s">
        <v>147</v>
      </c>
      <c r="B1932" t="s">
        <v>1166</v>
      </c>
      <c r="C1932" t="s">
        <v>1169</v>
      </c>
      <c r="D1932" t="s">
        <v>26</v>
      </c>
      <c r="E1932" t="s">
        <v>31</v>
      </c>
      <c r="F1932">
        <v>2</v>
      </c>
      <c r="G1932" s="3" t="s">
        <v>4</v>
      </c>
      <c r="H1932" s="46" t="s">
        <v>15</v>
      </c>
      <c r="I1932" s="17">
        <v>1000000</v>
      </c>
      <c r="J1932" s="17">
        <f>IF(Gastos[[#This Row],[Divisa]]="$", I1932*1, IF(Gastos[[#This Row],[Divisa]]="U$D", I1932*$N$1, IF(Gastos[[#This Row],[Divisa]]="EUR", I1932*$N$2, 0)))</f>
        <v>1000000</v>
      </c>
      <c r="K1932" s="54">
        <f>Gastos[[#This Row],[Importe AR$]]/$N$1</f>
        <v>641.02564102564099</v>
      </c>
      <c r="M1932" s="69"/>
      <c r="N1932" s="43" t="str">
        <f>IF(Gastos[[#This Row],[Fecha_Cheque]]&gt;0,WEEKNUM(Gastos[[#This Row],[Fecha_Cheque]]),MID(Gastos[[#This Row],[Semana]],6,2))</f>
        <v>17</v>
      </c>
      <c r="P1932" t="s">
        <v>27</v>
      </c>
    </row>
    <row r="1933" spans="1:16" hidden="1" x14ac:dyDescent="0.25">
      <c r="A1933" s="3" t="s">
        <v>718</v>
      </c>
      <c r="B1933" t="s">
        <v>1166</v>
      </c>
      <c r="C1933" t="s">
        <v>1169</v>
      </c>
      <c r="D1933" t="s">
        <v>26</v>
      </c>
      <c r="E1933" t="s">
        <v>31</v>
      </c>
      <c r="F1933">
        <v>2</v>
      </c>
      <c r="G1933" s="3" t="s">
        <v>4</v>
      </c>
      <c r="H1933" s="46" t="s">
        <v>15</v>
      </c>
      <c r="I1933" s="17">
        <v>1000000</v>
      </c>
      <c r="J1933" s="17">
        <f>IF(Gastos[[#This Row],[Divisa]]="$", I1933*1, IF(Gastos[[#This Row],[Divisa]]="U$D", I1933*$N$1, IF(Gastos[[#This Row],[Divisa]]="EUR", I1933*$N$2, 0)))</f>
        <v>1000000</v>
      </c>
      <c r="K1933" s="54">
        <f>Gastos[[#This Row],[Importe AR$]]/$N$1</f>
        <v>641.02564102564099</v>
      </c>
      <c r="M1933" s="69"/>
      <c r="N1933" s="43" t="str">
        <f>IF(Gastos[[#This Row],[Fecha_Cheque]]&gt;0,WEEKNUM(Gastos[[#This Row],[Fecha_Cheque]]),MID(Gastos[[#This Row],[Semana]],6,2))</f>
        <v>18</v>
      </c>
      <c r="O1933" t="s">
        <v>1171</v>
      </c>
      <c r="P1933" t="s">
        <v>27</v>
      </c>
    </row>
    <row r="1934" spans="1:16" hidden="1" x14ac:dyDescent="0.25">
      <c r="A1934" s="3" t="s">
        <v>188</v>
      </c>
      <c r="B1934" t="s">
        <v>1166</v>
      </c>
      <c r="C1934" t="s">
        <v>1169</v>
      </c>
      <c r="D1934" t="s">
        <v>26</v>
      </c>
      <c r="E1934" t="s">
        <v>31</v>
      </c>
      <c r="F1934">
        <v>2</v>
      </c>
      <c r="G1934" s="3" t="s">
        <v>4</v>
      </c>
      <c r="H1934" s="46" t="s">
        <v>15</v>
      </c>
      <c r="I1934" s="17">
        <v>1000000</v>
      </c>
      <c r="J1934" s="17">
        <f>IF(Gastos[[#This Row],[Divisa]]="$", I1934*1, IF(Gastos[[#This Row],[Divisa]]="U$D", I1934*$N$1, IF(Gastos[[#This Row],[Divisa]]="EUR", I1934*$N$2, 0)))</f>
        <v>1000000</v>
      </c>
      <c r="K1934" s="54">
        <f>Gastos[[#This Row],[Importe AR$]]/$N$1</f>
        <v>641.02564102564099</v>
      </c>
      <c r="M1934" s="69"/>
      <c r="N1934" s="43" t="str">
        <f>IF(Gastos[[#This Row],[Fecha_Cheque]]&gt;0,WEEKNUM(Gastos[[#This Row],[Fecha_Cheque]]),MID(Gastos[[#This Row],[Semana]],6,2))</f>
        <v>19</v>
      </c>
      <c r="P1934" t="s">
        <v>27</v>
      </c>
    </row>
    <row r="1935" spans="1:16" hidden="1" x14ac:dyDescent="0.25">
      <c r="A1935" s="3" t="s">
        <v>23</v>
      </c>
      <c r="B1935" t="s">
        <v>1166</v>
      </c>
      <c r="C1935" t="s">
        <v>1167</v>
      </c>
      <c r="D1935" t="s">
        <v>61</v>
      </c>
      <c r="E1935" t="s">
        <v>62</v>
      </c>
      <c r="F1935">
        <v>2</v>
      </c>
      <c r="G1935" s="3" t="s">
        <v>32</v>
      </c>
      <c r="H1935" s="46" t="s">
        <v>15</v>
      </c>
      <c r="I1935" s="17">
        <v>1000000</v>
      </c>
      <c r="J1935" s="17">
        <f>IF(Gastos[[#This Row],[Divisa]]="$", I1935*1, IF(Gastos[[#This Row],[Divisa]]="U$D", I1935*$N$1, IF(Gastos[[#This Row],[Divisa]]="EUR", I1935*$N$2, 0)))</f>
        <v>1000000</v>
      </c>
      <c r="K1935" s="54">
        <f>Gastos[[#This Row],[Importe AR$]]/$N$1</f>
        <v>641.02564102564099</v>
      </c>
      <c r="L1935" t="s">
        <v>215</v>
      </c>
      <c r="M1935" s="69">
        <v>45841</v>
      </c>
      <c r="N1935" s="43">
        <f>IF(Gastos[[#This Row],[Fecha_Cheque]]&gt;0,WEEKNUM(Gastos[[#This Row],[Fecha_Cheque]]),MID(Gastos[[#This Row],[Semana]],6,2))</f>
        <v>27</v>
      </c>
      <c r="O1935" t="s">
        <v>1172</v>
      </c>
      <c r="P1935" t="s">
        <v>27</v>
      </c>
    </row>
    <row r="1936" spans="1:16" hidden="1" x14ac:dyDescent="0.25">
      <c r="A1936" s="3" t="s">
        <v>290</v>
      </c>
      <c r="B1936" t="s">
        <v>1166</v>
      </c>
      <c r="C1936" t="s">
        <v>1167</v>
      </c>
      <c r="D1936" t="s">
        <v>26</v>
      </c>
      <c r="E1936" t="s">
        <v>91</v>
      </c>
      <c r="F1936">
        <v>2</v>
      </c>
      <c r="G1936" s="3" t="s">
        <v>4</v>
      </c>
      <c r="H1936" s="46" t="s">
        <v>15</v>
      </c>
      <c r="I1936" s="17">
        <v>1000000</v>
      </c>
      <c r="J1936" s="17">
        <f>IF(Gastos[[#This Row],[Divisa]]="$", I1936*1, IF(Gastos[[#This Row],[Divisa]]="U$D", I1936*$N$1, IF(Gastos[[#This Row],[Divisa]]="EUR", I1936*$N$2, 0)))</f>
        <v>1000000</v>
      </c>
      <c r="K1936" s="54">
        <f>Gastos[[#This Row],[Importe AR$]]/$N$1</f>
        <v>641.02564102564099</v>
      </c>
      <c r="M1936" s="69"/>
      <c r="N1936" s="43" t="str">
        <f>IF(Gastos[[#This Row],[Fecha_Cheque]]&gt;0,WEEKNUM(Gastos[[#This Row],[Fecha_Cheque]]),MID(Gastos[[#This Row],[Semana]],6,2))</f>
        <v>23</v>
      </c>
      <c r="O1936" t="s">
        <v>1173</v>
      </c>
      <c r="P1936" t="s">
        <v>27</v>
      </c>
    </row>
    <row r="1937" spans="1:16" hidden="1" x14ac:dyDescent="0.25">
      <c r="A1937" s="3" t="s">
        <v>253</v>
      </c>
      <c r="B1937" t="s">
        <v>1166</v>
      </c>
      <c r="C1937" t="s">
        <v>1167</v>
      </c>
      <c r="D1937" t="s">
        <v>26</v>
      </c>
      <c r="E1937" t="s">
        <v>91</v>
      </c>
      <c r="F1937">
        <v>2</v>
      </c>
      <c r="G1937" s="3" t="s">
        <v>4</v>
      </c>
      <c r="H1937" s="46" t="s">
        <v>15</v>
      </c>
      <c r="I1937" s="17">
        <v>1000000</v>
      </c>
      <c r="J1937" s="17">
        <f>IF(Gastos[[#This Row],[Divisa]]="$", I1937*1, IF(Gastos[[#This Row],[Divisa]]="U$D", I1937*$N$1, IF(Gastos[[#This Row],[Divisa]]="EUR", I1937*$N$2, 0)))</f>
        <v>1000000</v>
      </c>
      <c r="K1937" s="54">
        <f>Gastos[[#This Row],[Importe AR$]]/$N$1</f>
        <v>641.02564102564099</v>
      </c>
      <c r="M1937" s="69"/>
      <c r="N1937" s="43" t="str">
        <f>IF(Gastos[[#This Row],[Fecha_Cheque]]&gt;0,WEEKNUM(Gastos[[#This Row],[Fecha_Cheque]]),MID(Gastos[[#This Row],[Semana]],6,2))</f>
        <v>24</v>
      </c>
      <c r="O1937" t="s">
        <v>1174</v>
      </c>
      <c r="P1937" t="s">
        <v>27</v>
      </c>
    </row>
    <row r="1938" spans="1:16" hidden="1" x14ac:dyDescent="0.25">
      <c r="A1938" s="3" t="s">
        <v>105</v>
      </c>
      <c r="B1938" t="s">
        <v>1166</v>
      </c>
      <c r="C1938" t="s">
        <v>1175</v>
      </c>
      <c r="D1938" t="s">
        <v>26</v>
      </c>
      <c r="E1938" t="s">
        <v>31</v>
      </c>
      <c r="F1938">
        <v>2</v>
      </c>
      <c r="G1938" s="3" t="s">
        <v>4</v>
      </c>
      <c r="H1938" s="46" t="s">
        <v>15</v>
      </c>
      <c r="I1938" s="17">
        <v>500000</v>
      </c>
      <c r="J1938" s="17">
        <f>IF(Gastos[[#This Row],[Divisa]]="$", I1938*1, IF(Gastos[[#This Row],[Divisa]]="U$D", I1938*$N$1, IF(Gastos[[#This Row],[Divisa]]="EUR", I1938*$N$2, 0)))</f>
        <v>500000</v>
      </c>
      <c r="K1938" s="54">
        <f>Gastos[[#This Row],[Importe AR$]]/$N$1</f>
        <v>320.5128205128205</v>
      </c>
      <c r="M1938" s="69"/>
      <c r="N1938" s="43" t="str">
        <f>IF(Gastos[[#This Row],[Fecha_Cheque]]&gt;0,WEEKNUM(Gastos[[#This Row],[Fecha_Cheque]]),MID(Gastos[[#This Row],[Semana]],6,2))</f>
        <v>27</v>
      </c>
      <c r="O1938" t="s">
        <v>1176</v>
      </c>
      <c r="P1938" t="s">
        <v>27</v>
      </c>
    </row>
    <row r="1939" spans="1:16" hidden="1" x14ac:dyDescent="0.25">
      <c r="A1939" s="3" t="s">
        <v>99</v>
      </c>
      <c r="B1939" t="s">
        <v>1166</v>
      </c>
      <c r="C1939" t="s">
        <v>1175</v>
      </c>
      <c r="D1939" t="s">
        <v>26</v>
      </c>
      <c r="E1939" t="s">
        <v>31</v>
      </c>
      <c r="F1939">
        <v>2</v>
      </c>
      <c r="G1939" s="3" t="s">
        <v>32</v>
      </c>
      <c r="H1939" s="46" t="s">
        <v>15</v>
      </c>
      <c r="I1939" s="17">
        <v>130000</v>
      </c>
      <c r="J1939" s="17">
        <f>IF(Gastos[[#This Row],[Divisa]]="$", I1939*1, IF(Gastos[[#This Row],[Divisa]]="U$D", I1939*$N$1, IF(Gastos[[#This Row],[Divisa]]="EUR", I1939*$N$2, 0)))</f>
        <v>130000</v>
      </c>
      <c r="K1939" s="54">
        <f>Gastos[[#This Row],[Importe AR$]]/$N$1</f>
        <v>83.333333333333329</v>
      </c>
      <c r="M1939" s="69">
        <v>45851</v>
      </c>
      <c r="N1939" s="43">
        <f>IF(Gastos[[#This Row],[Fecha_Cheque]]&gt;0,WEEKNUM(Gastos[[#This Row],[Fecha_Cheque]]),MID(Gastos[[#This Row],[Semana]],6,2))</f>
        <v>29</v>
      </c>
      <c r="O1939" t="s">
        <v>1177</v>
      </c>
      <c r="P1939" t="s">
        <v>27</v>
      </c>
    </row>
    <row r="1940" spans="1:16" hidden="1" x14ac:dyDescent="0.25">
      <c r="A1940" s="3" t="s">
        <v>99</v>
      </c>
      <c r="B1940" t="s">
        <v>1166</v>
      </c>
      <c r="C1940" t="s">
        <v>1175</v>
      </c>
      <c r="D1940" t="s">
        <v>26</v>
      </c>
      <c r="E1940" t="s">
        <v>31</v>
      </c>
      <c r="F1940">
        <v>2</v>
      </c>
      <c r="G1940" s="3" t="s">
        <v>32</v>
      </c>
      <c r="H1940" s="46" t="s">
        <v>15</v>
      </c>
      <c r="I1940" s="17">
        <v>130000</v>
      </c>
      <c r="J1940" s="17">
        <f>IF(Gastos[[#This Row],[Divisa]]="$", I1940*1, IF(Gastos[[#This Row],[Divisa]]="U$D", I1940*$N$1, IF(Gastos[[#This Row],[Divisa]]="EUR", I1940*$N$2, 0)))</f>
        <v>130000</v>
      </c>
      <c r="K1940" s="54">
        <f>Gastos[[#This Row],[Importe AR$]]/$N$1</f>
        <v>83.333333333333329</v>
      </c>
      <c r="M1940" s="69">
        <v>45861</v>
      </c>
      <c r="N1940" s="43">
        <f>IF(Gastos[[#This Row],[Fecha_Cheque]]&gt;0,WEEKNUM(Gastos[[#This Row],[Fecha_Cheque]]),MID(Gastos[[#This Row],[Semana]],6,2))</f>
        <v>30</v>
      </c>
      <c r="O1940" t="s">
        <v>1177</v>
      </c>
      <c r="P1940" t="s">
        <v>27</v>
      </c>
    </row>
    <row r="1941" spans="1:16" hidden="1" x14ac:dyDescent="0.25">
      <c r="A1941" s="3" t="s">
        <v>99</v>
      </c>
      <c r="B1941" t="s">
        <v>1166</v>
      </c>
      <c r="C1941" t="s">
        <v>1175</v>
      </c>
      <c r="D1941" t="s">
        <v>26</v>
      </c>
      <c r="E1941" t="s">
        <v>31</v>
      </c>
      <c r="F1941">
        <v>2</v>
      </c>
      <c r="G1941" s="3" t="s">
        <v>32</v>
      </c>
      <c r="H1941" s="46" t="s">
        <v>15</v>
      </c>
      <c r="I1941" s="17">
        <v>130000</v>
      </c>
      <c r="J1941" s="17">
        <f>IF(Gastos[[#This Row],[Divisa]]="$", I1941*1, IF(Gastos[[#This Row],[Divisa]]="U$D", I1941*$N$1, IF(Gastos[[#This Row],[Divisa]]="EUR", I1941*$N$2, 0)))</f>
        <v>130000</v>
      </c>
      <c r="K1941" s="54">
        <f>Gastos[[#This Row],[Importe AR$]]/$N$1</f>
        <v>83.333333333333329</v>
      </c>
      <c r="M1941" s="69">
        <v>45857</v>
      </c>
      <c r="N1941" s="43">
        <f>IF(Gastos[[#This Row],[Fecha_Cheque]]&gt;0,WEEKNUM(Gastos[[#This Row],[Fecha_Cheque]]),MID(Gastos[[#This Row],[Semana]],6,2))</f>
        <v>29</v>
      </c>
      <c r="O1941" t="s">
        <v>1177</v>
      </c>
      <c r="P1941" t="s">
        <v>27</v>
      </c>
    </row>
    <row r="1942" spans="1:16" hidden="1" x14ac:dyDescent="0.25">
      <c r="A1942" s="3" t="s">
        <v>99</v>
      </c>
      <c r="B1942" t="s">
        <v>1166</v>
      </c>
      <c r="C1942" t="s">
        <v>1175</v>
      </c>
      <c r="D1942" t="s">
        <v>26</v>
      </c>
      <c r="E1942" t="s">
        <v>31</v>
      </c>
      <c r="F1942">
        <v>2</v>
      </c>
      <c r="G1942" s="3" t="s">
        <v>32</v>
      </c>
      <c r="H1942" s="46" t="s">
        <v>15</v>
      </c>
      <c r="I1942" s="17">
        <v>500000</v>
      </c>
      <c r="J1942" s="17">
        <f>IF(Gastos[[#This Row],[Divisa]]="$", I1942*1, IF(Gastos[[#This Row],[Divisa]]="U$D", I1942*$N$1, IF(Gastos[[#This Row],[Divisa]]="EUR", I1942*$N$2, 0)))</f>
        <v>500000</v>
      </c>
      <c r="K1942" s="54">
        <f>Gastos[[#This Row],[Importe AR$]]/$N$1</f>
        <v>320.5128205128205</v>
      </c>
      <c r="M1942" s="69">
        <v>45838</v>
      </c>
      <c r="N1942" s="43">
        <f>IF(Gastos[[#This Row],[Fecha_Cheque]]&gt;0,WEEKNUM(Gastos[[#This Row],[Fecha_Cheque]]),MID(Gastos[[#This Row],[Semana]],6,2))</f>
        <v>27</v>
      </c>
      <c r="O1942" t="s">
        <v>1177</v>
      </c>
      <c r="P1942" t="s">
        <v>27</v>
      </c>
    </row>
    <row r="1943" spans="1:16" hidden="1" x14ac:dyDescent="0.25">
      <c r="A1943" s="3" t="s">
        <v>114</v>
      </c>
      <c r="B1943" t="s">
        <v>1166</v>
      </c>
      <c r="C1943" t="s">
        <v>1175</v>
      </c>
      <c r="D1943" t="s">
        <v>26</v>
      </c>
      <c r="E1943" t="s">
        <v>31</v>
      </c>
      <c r="F1943">
        <v>2</v>
      </c>
      <c r="G1943" s="3" t="s">
        <v>32</v>
      </c>
      <c r="H1943" s="46" t="s">
        <v>15</v>
      </c>
      <c r="I1943" s="17">
        <v>75000</v>
      </c>
      <c r="J1943" s="17">
        <f>IF(Gastos[[#This Row],[Divisa]]="$", I1943*1, IF(Gastos[[#This Row],[Divisa]]="U$D", I1943*$N$1, IF(Gastos[[#This Row],[Divisa]]="EUR", I1943*$N$2, 0)))</f>
        <v>75000</v>
      </c>
      <c r="K1943" s="54">
        <f>Gastos[[#This Row],[Importe AR$]]/$N$1</f>
        <v>48.07692307692308</v>
      </c>
      <c r="M1943" s="69">
        <v>45850</v>
      </c>
      <c r="N1943" s="43">
        <f>IF(Gastos[[#This Row],[Fecha_Cheque]]&gt;0,WEEKNUM(Gastos[[#This Row],[Fecha_Cheque]]),MID(Gastos[[#This Row],[Semana]],6,2))</f>
        <v>28</v>
      </c>
      <c r="O1943" t="s">
        <v>1178</v>
      </c>
      <c r="P1943" t="s">
        <v>27</v>
      </c>
    </row>
    <row r="1944" spans="1:16" hidden="1" x14ac:dyDescent="0.25">
      <c r="A1944" s="3" t="s">
        <v>114</v>
      </c>
      <c r="B1944" t="s">
        <v>1166</v>
      </c>
      <c r="C1944" t="s">
        <v>1175</v>
      </c>
      <c r="D1944" t="s">
        <v>26</v>
      </c>
      <c r="E1944" t="s">
        <v>31</v>
      </c>
      <c r="F1944">
        <v>2</v>
      </c>
      <c r="G1944" s="3" t="s">
        <v>32</v>
      </c>
      <c r="H1944" s="46" t="s">
        <v>15</v>
      </c>
      <c r="I1944" s="17">
        <v>75000</v>
      </c>
      <c r="J1944" s="17">
        <f>IF(Gastos[[#This Row],[Divisa]]="$", I1944*1, IF(Gastos[[#This Row],[Divisa]]="U$D", I1944*$N$1, IF(Gastos[[#This Row],[Divisa]]="EUR", I1944*$N$2, 0)))</f>
        <v>75000</v>
      </c>
      <c r="K1944" s="54">
        <f>Gastos[[#This Row],[Importe AR$]]/$N$1</f>
        <v>48.07692307692308</v>
      </c>
      <c r="M1944" s="69">
        <v>45853</v>
      </c>
      <c r="N1944" s="43">
        <f>IF(Gastos[[#This Row],[Fecha_Cheque]]&gt;0,WEEKNUM(Gastos[[#This Row],[Fecha_Cheque]]),MID(Gastos[[#This Row],[Semana]],6,2))</f>
        <v>29</v>
      </c>
      <c r="O1944" t="s">
        <v>1178</v>
      </c>
      <c r="P1944" t="s">
        <v>27</v>
      </c>
    </row>
    <row r="1945" spans="1:16" hidden="1" x14ac:dyDescent="0.25">
      <c r="A1945" s="3" t="s">
        <v>114</v>
      </c>
      <c r="B1945" t="s">
        <v>1166</v>
      </c>
      <c r="C1945" t="s">
        <v>1175</v>
      </c>
      <c r="D1945" t="s">
        <v>26</v>
      </c>
      <c r="E1945" t="s">
        <v>31</v>
      </c>
      <c r="F1945">
        <v>2</v>
      </c>
      <c r="G1945" s="3" t="s">
        <v>32</v>
      </c>
      <c r="H1945" s="46" t="s">
        <v>15</v>
      </c>
      <c r="I1945" s="17">
        <v>148112.04999999999</v>
      </c>
      <c r="J1945" s="17">
        <f>IF(Gastos[[#This Row],[Divisa]]="$", I1945*1, IF(Gastos[[#This Row],[Divisa]]="U$D", I1945*$N$1, IF(Gastos[[#This Row],[Divisa]]="EUR", I1945*$N$2, 0)))</f>
        <v>148112.04999999999</v>
      </c>
      <c r="K1945" s="54">
        <f>Gastos[[#This Row],[Importe AR$]]/$N$1</f>
        <v>94.943621794871788</v>
      </c>
      <c r="M1945" s="69">
        <v>45854</v>
      </c>
      <c r="N1945" s="43">
        <f>IF(Gastos[[#This Row],[Fecha_Cheque]]&gt;0,WEEKNUM(Gastos[[#This Row],[Fecha_Cheque]]),MID(Gastos[[#This Row],[Semana]],6,2))</f>
        <v>29</v>
      </c>
      <c r="O1945" t="s">
        <v>1178</v>
      </c>
      <c r="P1945" t="s">
        <v>27</v>
      </c>
    </row>
    <row r="1946" spans="1:16" hidden="1" x14ac:dyDescent="0.25">
      <c r="A1946" s="3" t="s">
        <v>114</v>
      </c>
      <c r="B1946" t="s">
        <v>1166</v>
      </c>
      <c r="C1946" t="s">
        <v>1175</v>
      </c>
      <c r="D1946" t="s">
        <v>26</v>
      </c>
      <c r="E1946" t="s">
        <v>31</v>
      </c>
      <c r="F1946">
        <v>2</v>
      </c>
      <c r="G1946" s="3" t="s">
        <v>4</v>
      </c>
      <c r="H1946" s="46" t="s">
        <v>15</v>
      </c>
      <c r="I1946" s="17">
        <v>10035.950000000001</v>
      </c>
      <c r="J1946" s="17">
        <f>IF(Gastos[[#This Row],[Divisa]]="$", I1946*1, IF(Gastos[[#This Row],[Divisa]]="U$D", I1946*$N$1, IF(Gastos[[#This Row],[Divisa]]="EUR", I1946*$N$2, 0)))</f>
        <v>10035.950000000001</v>
      </c>
      <c r="K1946" s="54">
        <f>Gastos[[#This Row],[Importe AR$]]/$N$1</f>
        <v>6.4333012820512829</v>
      </c>
      <c r="M1946" s="69"/>
      <c r="N1946" s="43" t="str">
        <f>IF(Gastos[[#This Row],[Fecha_Cheque]]&gt;0,WEEKNUM(Gastos[[#This Row],[Fecha_Cheque]]),MID(Gastos[[#This Row],[Semana]],6,2))</f>
        <v>29</v>
      </c>
      <c r="O1946" t="s">
        <v>1178</v>
      </c>
      <c r="P1946" t="s">
        <v>27</v>
      </c>
    </row>
    <row r="1947" spans="1:16" hidden="1" x14ac:dyDescent="0.25">
      <c r="A1947" s="3" t="s">
        <v>416</v>
      </c>
      <c r="B1947" t="s">
        <v>1166</v>
      </c>
      <c r="C1947" t="s">
        <v>1179</v>
      </c>
      <c r="D1947" t="s">
        <v>26</v>
      </c>
      <c r="E1947" t="s">
        <v>42</v>
      </c>
      <c r="F1947">
        <v>2</v>
      </c>
      <c r="G1947" s="3" t="s">
        <v>4</v>
      </c>
      <c r="H1947" s="46" t="s">
        <v>15</v>
      </c>
      <c r="I1947" s="17">
        <v>4690</v>
      </c>
      <c r="J1947" s="17">
        <f>IF(Gastos[[#This Row],[Divisa]]="$", I1947*1, IF(Gastos[[#This Row],[Divisa]]="U$D", I1947*$N$1, IF(Gastos[[#This Row],[Divisa]]="EUR", I1947*$N$2, 0)))</f>
        <v>4690</v>
      </c>
      <c r="K1947" s="54">
        <f>Gastos[[#This Row],[Importe AR$]]/$N$1</f>
        <v>3.0064102564102564</v>
      </c>
      <c r="M1947" s="69"/>
      <c r="N1947" s="43" t="str">
        <f>IF(Gastos[[#This Row],[Fecha_Cheque]]&gt;0,WEEKNUM(Gastos[[#This Row],[Fecha_Cheque]]),MID(Gastos[[#This Row],[Semana]],6,2))</f>
        <v>52</v>
      </c>
      <c r="O1947" t="s">
        <v>1180</v>
      </c>
      <c r="P1947" t="s">
        <v>27</v>
      </c>
    </row>
    <row r="1948" spans="1:16" hidden="1" x14ac:dyDescent="0.25">
      <c r="A1948" s="3" t="s">
        <v>416</v>
      </c>
      <c r="B1948" t="s">
        <v>1166</v>
      </c>
      <c r="C1948" t="s">
        <v>1179</v>
      </c>
      <c r="D1948" t="s">
        <v>26</v>
      </c>
      <c r="E1948" t="s">
        <v>31</v>
      </c>
      <c r="F1948">
        <v>2</v>
      </c>
      <c r="G1948" s="3" t="s">
        <v>32</v>
      </c>
      <c r="H1948" s="46" t="s">
        <v>15</v>
      </c>
      <c r="I1948" s="17">
        <v>565000</v>
      </c>
      <c r="J1948" s="17">
        <f>IF(Gastos[[#This Row],[Divisa]]="$", I1948*1, IF(Gastos[[#This Row],[Divisa]]="U$D", I1948*$N$1, IF(Gastos[[#This Row],[Divisa]]="EUR", I1948*$N$2, 0)))</f>
        <v>565000</v>
      </c>
      <c r="K1948" s="54">
        <f>Gastos[[#This Row],[Importe AR$]]/$N$1</f>
        <v>362.17948717948718</v>
      </c>
      <c r="M1948" s="69"/>
      <c r="N1948" s="43" t="str">
        <f>IF(Gastos[[#This Row],[Fecha_Cheque]]&gt;0,WEEKNUM(Gastos[[#This Row],[Fecha_Cheque]]),MID(Gastos[[#This Row],[Semana]],6,2))</f>
        <v>52</v>
      </c>
      <c r="O1948" t="s">
        <v>1180</v>
      </c>
      <c r="P1948" t="s">
        <v>27</v>
      </c>
    </row>
    <row r="1949" spans="1:16" hidden="1" x14ac:dyDescent="0.25">
      <c r="A1949" s="3" t="s">
        <v>416</v>
      </c>
      <c r="B1949" t="s">
        <v>1166</v>
      </c>
      <c r="C1949" t="s">
        <v>1179</v>
      </c>
      <c r="D1949" t="s">
        <v>26</v>
      </c>
      <c r="E1949" t="s">
        <v>31</v>
      </c>
      <c r="F1949">
        <v>2</v>
      </c>
      <c r="G1949" s="3" t="s">
        <v>32</v>
      </c>
      <c r="H1949" s="46" t="s">
        <v>15</v>
      </c>
      <c r="I1949" s="17">
        <v>1000000</v>
      </c>
      <c r="J1949" s="17">
        <f>IF(Gastos[[#This Row],[Divisa]]="$", I1949*1, IF(Gastos[[#This Row],[Divisa]]="U$D", I1949*$N$1, IF(Gastos[[#This Row],[Divisa]]="EUR", I1949*$N$2, 0)))</f>
        <v>1000000</v>
      </c>
      <c r="K1949" s="54">
        <f>Gastos[[#This Row],[Importe AR$]]/$N$1</f>
        <v>641.02564102564099</v>
      </c>
      <c r="M1949" s="69"/>
      <c r="N1949" s="43" t="str">
        <f>IF(Gastos[[#This Row],[Fecha_Cheque]]&gt;0,WEEKNUM(Gastos[[#This Row],[Fecha_Cheque]]),MID(Gastos[[#This Row],[Semana]],6,2))</f>
        <v>52</v>
      </c>
      <c r="O1949" t="s">
        <v>1180</v>
      </c>
      <c r="P1949" t="s">
        <v>27</v>
      </c>
    </row>
    <row r="1950" spans="1:16" hidden="1" x14ac:dyDescent="0.25">
      <c r="A1950" s="3" t="s">
        <v>89</v>
      </c>
      <c r="B1950" t="s">
        <v>1163</v>
      </c>
      <c r="C1950" t="s">
        <v>1164</v>
      </c>
      <c r="D1950" t="s">
        <v>26</v>
      </c>
      <c r="E1950" t="s">
        <v>31</v>
      </c>
      <c r="F1950">
        <v>1</v>
      </c>
      <c r="G1950" s="3" t="s">
        <v>32</v>
      </c>
      <c r="H1950" s="46" t="s">
        <v>15</v>
      </c>
      <c r="I1950" s="17">
        <v>2500000</v>
      </c>
      <c r="J1950" s="17">
        <f>IF(Gastos[[#This Row],[Divisa]]="$", I1950*1, IF(Gastos[[#This Row],[Divisa]]="U$D", I1950*$N$1, IF(Gastos[[#This Row],[Divisa]]="EUR", I1950*$N$2, 0)))</f>
        <v>2500000</v>
      </c>
      <c r="K1950" s="54">
        <f>Gastos[[#This Row],[Importe AR$]]/$N$1</f>
        <v>1602.5641025641025</v>
      </c>
      <c r="M1950" s="69">
        <v>45952</v>
      </c>
      <c r="N1950" s="43">
        <f>IF(Gastos[[#This Row],[Fecha_Cheque]]&gt;0,WEEKNUM(Gastos[[#This Row],[Fecha_Cheque]]),MID(Gastos[[#This Row],[Semana]],6,2))</f>
        <v>43</v>
      </c>
      <c r="O1950" t="s">
        <v>1165</v>
      </c>
      <c r="P1950" t="s">
        <v>27</v>
      </c>
    </row>
    <row r="1951" spans="1:16" hidden="1" x14ac:dyDescent="0.25">
      <c r="A1951" s="3" t="s">
        <v>89</v>
      </c>
      <c r="B1951" t="s">
        <v>1163</v>
      </c>
      <c r="C1951" t="s">
        <v>1164</v>
      </c>
      <c r="D1951" t="s">
        <v>26</v>
      </c>
      <c r="E1951" t="s">
        <v>31</v>
      </c>
      <c r="F1951">
        <v>1</v>
      </c>
      <c r="G1951" s="3" t="s">
        <v>32</v>
      </c>
      <c r="H1951" s="46" t="s">
        <v>15</v>
      </c>
      <c r="I1951" s="17">
        <v>2500000</v>
      </c>
      <c r="J1951" s="17">
        <f>IF(Gastos[[#This Row],[Divisa]]="$", I1951*1, IF(Gastos[[#This Row],[Divisa]]="U$D", I1951*$N$1, IF(Gastos[[#This Row],[Divisa]]="EUR", I1951*$N$2, 0)))</f>
        <v>2500000</v>
      </c>
      <c r="K1951" s="54">
        <f>Gastos[[#This Row],[Importe AR$]]/$N$1</f>
        <v>1602.5641025641025</v>
      </c>
      <c r="M1951" s="69">
        <v>45952</v>
      </c>
      <c r="N1951" s="43">
        <f>IF(Gastos[[#This Row],[Fecha_Cheque]]&gt;0,WEEKNUM(Gastos[[#This Row],[Fecha_Cheque]]),MID(Gastos[[#This Row],[Semana]],6,2))</f>
        <v>43</v>
      </c>
      <c r="O1951" t="s">
        <v>1165</v>
      </c>
      <c r="P1951" t="s">
        <v>27</v>
      </c>
    </row>
    <row r="1952" spans="1:16" hidden="1" x14ac:dyDescent="0.25">
      <c r="A1952" s="3" t="s">
        <v>89</v>
      </c>
      <c r="B1952" t="s">
        <v>1163</v>
      </c>
      <c r="C1952" t="s">
        <v>1164</v>
      </c>
      <c r="D1952" t="s">
        <v>26</v>
      </c>
      <c r="E1952" t="s">
        <v>31</v>
      </c>
      <c r="F1952">
        <v>1</v>
      </c>
      <c r="G1952" s="3" t="s">
        <v>32</v>
      </c>
      <c r="H1952" s="46" t="s">
        <v>15</v>
      </c>
      <c r="I1952" s="17">
        <v>2500000</v>
      </c>
      <c r="J1952" s="17">
        <f>IF(Gastos[[#This Row],[Divisa]]="$", I1952*1, IF(Gastos[[#This Row],[Divisa]]="U$D", I1952*$N$1, IF(Gastos[[#This Row],[Divisa]]="EUR", I1952*$N$2, 0)))</f>
        <v>2500000</v>
      </c>
      <c r="K1952" s="54">
        <f>Gastos[[#This Row],[Importe AR$]]/$N$1</f>
        <v>1602.5641025641025</v>
      </c>
      <c r="M1952" s="69">
        <v>45952</v>
      </c>
      <c r="N1952" s="43">
        <f>IF(Gastos[[#This Row],[Fecha_Cheque]]&gt;0,WEEKNUM(Gastos[[#This Row],[Fecha_Cheque]]),MID(Gastos[[#This Row],[Semana]],6,2))</f>
        <v>43</v>
      </c>
      <c r="O1952" t="s">
        <v>1165</v>
      </c>
      <c r="P1952" t="s">
        <v>27</v>
      </c>
    </row>
    <row r="1953" spans="1:16" hidden="1" x14ac:dyDescent="0.25">
      <c r="A1953" s="3" t="s">
        <v>89</v>
      </c>
      <c r="B1953" t="s">
        <v>1163</v>
      </c>
      <c r="C1953" t="s">
        <v>1164</v>
      </c>
      <c r="D1953" t="s">
        <v>26</v>
      </c>
      <c r="E1953" t="s">
        <v>31</v>
      </c>
      <c r="F1953">
        <v>1</v>
      </c>
      <c r="G1953" s="3" t="s">
        <v>32</v>
      </c>
      <c r="H1953" s="46" t="s">
        <v>15</v>
      </c>
      <c r="I1953" s="17">
        <v>2500000</v>
      </c>
      <c r="J1953" s="17">
        <f>IF(Gastos[[#This Row],[Divisa]]="$", I1953*1, IF(Gastos[[#This Row],[Divisa]]="U$D", I1953*$N$1, IF(Gastos[[#This Row],[Divisa]]="EUR", I1953*$N$2, 0)))</f>
        <v>2500000</v>
      </c>
      <c r="K1953" s="54">
        <f>Gastos[[#This Row],[Importe AR$]]/$N$1</f>
        <v>1602.5641025641025</v>
      </c>
      <c r="M1953" s="69">
        <v>45952</v>
      </c>
      <c r="N1953" s="43">
        <f>IF(Gastos[[#This Row],[Fecha_Cheque]]&gt;0,WEEKNUM(Gastos[[#This Row],[Fecha_Cheque]]),MID(Gastos[[#This Row],[Semana]],6,2))</f>
        <v>43</v>
      </c>
      <c r="O1953" t="s">
        <v>1165</v>
      </c>
      <c r="P1953" t="s">
        <v>27</v>
      </c>
    </row>
    <row r="1954" spans="1:16" hidden="1" x14ac:dyDescent="0.25">
      <c r="A1954" s="3" t="s">
        <v>122</v>
      </c>
      <c r="B1954" t="s">
        <v>1163</v>
      </c>
      <c r="C1954" t="s">
        <v>1164</v>
      </c>
      <c r="D1954" t="s">
        <v>26</v>
      </c>
      <c r="E1954" t="s">
        <v>31</v>
      </c>
      <c r="F1954">
        <v>2</v>
      </c>
      <c r="G1954" s="3" t="s">
        <v>32</v>
      </c>
      <c r="H1954" s="46" t="s">
        <v>15</v>
      </c>
      <c r="I1954" s="17">
        <v>1200000</v>
      </c>
      <c r="J1954" s="17">
        <f>IF(Gastos[[#This Row],[Divisa]]="$", I1954*1, IF(Gastos[[#This Row],[Divisa]]="U$D", I1954*$N$1, IF(Gastos[[#This Row],[Divisa]]="EUR", I1954*$N$2, 0)))</f>
        <v>1200000</v>
      </c>
      <c r="K1954" s="54">
        <f>Gastos[[#This Row],[Importe AR$]]/$N$1</f>
        <v>769.23076923076928</v>
      </c>
      <c r="M1954" s="69">
        <v>45981</v>
      </c>
      <c r="N1954" s="43">
        <f>IF(Gastos[[#This Row],[Fecha_Cheque]]&gt;0,WEEKNUM(Gastos[[#This Row],[Fecha_Cheque]]),MID(Gastos[[#This Row],[Semana]],6,2))</f>
        <v>47</v>
      </c>
      <c r="O1954" t="s">
        <v>1181</v>
      </c>
      <c r="P1954" t="s">
        <v>27</v>
      </c>
    </row>
    <row r="1955" spans="1:16" hidden="1" x14ac:dyDescent="0.25">
      <c r="A1955" s="3" t="s">
        <v>122</v>
      </c>
      <c r="B1955" t="s">
        <v>1163</v>
      </c>
      <c r="C1955" t="s">
        <v>1164</v>
      </c>
      <c r="D1955" t="s">
        <v>26</v>
      </c>
      <c r="E1955" t="s">
        <v>31</v>
      </c>
      <c r="F1955">
        <v>2</v>
      </c>
      <c r="G1955" s="3" t="s">
        <v>32</v>
      </c>
      <c r="H1955" s="46" t="s">
        <v>15</v>
      </c>
      <c r="I1955" s="17">
        <v>800000</v>
      </c>
      <c r="J1955" s="17">
        <f>IF(Gastos[[#This Row],[Divisa]]="$", I1955*1, IF(Gastos[[#This Row],[Divisa]]="U$D", I1955*$N$1, IF(Gastos[[#This Row],[Divisa]]="EUR", I1955*$N$2, 0)))</f>
        <v>800000</v>
      </c>
      <c r="K1955" s="54">
        <f>Gastos[[#This Row],[Importe AR$]]/$N$1</f>
        <v>512.82051282051282</v>
      </c>
      <c r="M1955" s="69">
        <v>45968</v>
      </c>
      <c r="N1955" s="43">
        <f>IF(Gastos[[#This Row],[Fecha_Cheque]]&gt;0,WEEKNUM(Gastos[[#This Row],[Fecha_Cheque]]),MID(Gastos[[#This Row],[Semana]],6,2))</f>
        <v>45</v>
      </c>
      <c r="O1955" t="s">
        <v>1181</v>
      </c>
      <c r="P1955" t="s">
        <v>27</v>
      </c>
    </row>
    <row r="1956" spans="1:16" hidden="1" x14ac:dyDescent="0.25">
      <c r="A1956" s="3" t="s">
        <v>122</v>
      </c>
      <c r="B1956" t="s">
        <v>1163</v>
      </c>
      <c r="C1956" t="s">
        <v>1164</v>
      </c>
      <c r="D1956" t="s">
        <v>26</v>
      </c>
      <c r="E1956" t="s">
        <v>31</v>
      </c>
      <c r="F1956">
        <v>2</v>
      </c>
      <c r="G1956" s="3" t="s">
        <v>32</v>
      </c>
      <c r="H1956" s="46" t="s">
        <v>15</v>
      </c>
      <c r="I1956" s="17">
        <v>1127500</v>
      </c>
      <c r="J1956" s="17">
        <f>IF(Gastos[[#This Row],[Divisa]]="$", I1956*1, IF(Gastos[[#This Row],[Divisa]]="U$D", I1956*$N$1, IF(Gastos[[#This Row],[Divisa]]="EUR", I1956*$N$2, 0)))</f>
        <v>1127500</v>
      </c>
      <c r="K1956" s="54">
        <f>Gastos[[#This Row],[Importe AR$]]/$N$1</f>
        <v>722.75641025641028</v>
      </c>
      <c r="M1956" s="69">
        <v>45969</v>
      </c>
      <c r="N1956" s="43">
        <f>IF(Gastos[[#This Row],[Fecha_Cheque]]&gt;0,WEEKNUM(Gastos[[#This Row],[Fecha_Cheque]]),MID(Gastos[[#This Row],[Semana]],6,2))</f>
        <v>45</v>
      </c>
      <c r="O1956" t="s">
        <v>1181</v>
      </c>
      <c r="P1956" t="s">
        <v>27</v>
      </c>
    </row>
    <row r="1957" spans="1:16" hidden="1" x14ac:dyDescent="0.25">
      <c r="A1957" s="3" t="s">
        <v>130</v>
      </c>
      <c r="B1957" t="s">
        <v>1163</v>
      </c>
      <c r="C1957" t="s">
        <v>1182</v>
      </c>
      <c r="D1957" t="s">
        <v>61</v>
      </c>
      <c r="E1957" t="s">
        <v>31</v>
      </c>
      <c r="F1957">
        <v>2</v>
      </c>
      <c r="G1957" s="3" t="s">
        <v>32</v>
      </c>
      <c r="H1957" s="46" t="s">
        <v>15</v>
      </c>
      <c r="I1957" s="17">
        <v>837120</v>
      </c>
      <c r="J1957" s="17">
        <f>IF(Gastos[[#This Row],[Divisa]]="$", I1957*1, IF(Gastos[[#This Row],[Divisa]]="U$D", I1957*$N$1, IF(Gastos[[#This Row],[Divisa]]="EUR", I1957*$N$2, 0)))</f>
        <v>837120</v>
      </c>
      <c r="K1957" s="54">
        <f>Gastos[[#This Row],[Importe AR$]]/$N$1</f>
        <v>536.61538461538464</v>
      </c>
      <c r="M1957" s="69">
        <v>45990</v>
      </c>
      <c r="N1957" s="43">
        <f>IF(Gastos[[#This Row],[Fecha_Cheque]]&gt;0,WEEKNUM(Gastos[[#This Row],[Fecha_Cheque]]),MID(Gastos[[#This Row],[Semana]],6,2))</f>
        <v>48</v>
      </c>
      <c r="O1957" t="s">
        <v>1183</v>
      </c>
      <c r="P1957" t="s">
        <v>27</v>
      </c>
    </row>
    <row r="1958" spans="1:16" hidden="1" x14ac:dyDescent="0.25">
      <c r="A1958" s="3" t="s">
        <v>130</v>
      </c>
      <c r="B1958" t="s">
        <v>1163</v>
      </c>
      <c r="C1958" t="s">
        <v>1182</v>
      </c>
      <c r="D1958" t="s">
        <v>61</v>
      </c>
      <c r="E1958" t="s">
        <v>31</v>
      </c>
      <c r="F1958">
        <v>2</v>
      </c>
      <c r="G1958" s="3" t="s">
        <v>32</v>
      </c>
      <c r="H1958" s="46" t="s">
        <v>15</v>
      </c>
      <c r="I1958" s="17">
        <v>1940840</v>
      </c>
      <c r="J1958" s="17">
        <f>IF(Gastos[[#This Row],[Divisa]]="$", I1958*1, IF(Gastos[[#This Row],[Divisa]]="U$D", I1958*$N$1, IF(Gastos[[#This Row],[Divisa]]="EUR", I1958*$N$2, 0)))</f>
        <v>1940840</v>
      </c>
      <c r="K1958" s="54">
        <f>Gastos[[#This Row],[Importe AR$]]/$N$1</f>
        <v>1244.1282051282051</v>
      </c>
      <c r="M1958" s="69">
        <v>46003</v>
      </c>
      <c r="N1958" s="43">
        <f>IF(Gastos[[#This Row],[Fecha_Cheque]]&gt;0,WEEKNUM(Gastos[[#This Row],[Fecha_Cheque]]),MID(Gastos[[#This Row],[Semana]],6,2))</f>
        <v>50</v>
      </c>
      <c r="O1958" t="s">
        <v>1183</v>
      </c>
      <c r="P1958" t="s">
        <v>27</v>
      </c>
    </row>
    <row r="1959" spans="1:16" hidden="1" x14ac:dyDescent="0.25">
      <c r="A1959" s="3" t="s">
        <v>130</v>
      </c>
      <c r="B1959" t="s">
        <v>1163</v>
      </c>
      <c r="C1959" t="s">
        <v>1182</v>
      </c>
      <c r="D1959" t="s">
        <v>61</v>
      </c>
      <c r="E1959" t="s">
        <v>31</v>
      </c>
      <c r="F1959">
        <v>2</v>
      </c>
      <c r="G1959" s="3" t="s">
        <v>32</v>
      </c>
      <c r="H1959" s="46" t="s">
        <v>15</v>
      </c>
      <c r="I1959" s="17">
        <v>7000000</v>
      </c>
      <c r="J1959" s="17">
        <f>IF(Gastos[[#This Row],[Divisa]]="$", I1959*1, IF(Gastos[[#This Row],[Divisa]]="U$D", I1959*$N$1, IF(Gastos[[#This Row],[Divisa]]="EUR", I1959*$N$2, 0)))</f>
        <v>7000000</v>
      </c>
      <c r="K1959" s="54">
        <f>Gastos[[#This Row],[Importe AR$]]/$N$1</f>
        <v>4487.1794871794873</v>
      </c>
      <c r="M1959" s="69">
        <v>45989</v>
      </c>
      <c r="N1959" s="43">
        <f>IF(Gastos[[#This Row],[Fecha_Cheque]]&gt;0,WEEKNUM(Gastos[[#This Row],[Fecha_Cheque]]),MID(Gastos[[#This Row],[Semana]],6,2))</f>
        <v>48</v>
      </c>
      <c r="O1959" t="s">
        <v>1183</v>
      </c>
      <c r="P1959" t="s">
        <v>27</v>
      </c>
    </row>
    <row r="1960" spans="1:16" hidden="1" x14ac:dyDescent="0.25">
      <c r="A1960" s="3" t="s">
        <v>72</v>
      </c>
      <c r="B1960" t="s">
        <v>1163</v>
      </c>
      <c r="C1960" t="s">
        <v>1164</v>
      </c>
      <c r="D1960" t="s">
        <v>26</v>
      </c>
      <c r="E1960" t="s">
        <v>62</v>
      </c>
      <c r="F1960">
        <v>2</v>
      </c>
      <c r="G1960" s="3" t="s">
        <v>32</v>
      </c>
      <c r="H1960" s="46" t="s">
        <v>15</v>
      </c>
      <c r="I1960" s="17">
        <v>820714</v>
      </c>
      <c r="J1960" s="17">
        <f>IF(Gastos[[#This Row],[Divisa]]="$", I1960*1, IF(Gastos[[#This Row],[Divisa]]="U$D", I1960*$N$1, IF(Gastos[[#This Row],[Divisa]]="EUR", I1960*$N$2, 0)))</f>
        <v>820714</v>
      </c>
      <c r="K1960" s="54">
        <f>Gastos[[#This Row],[Importe AR$]]/$N$1</f>
        <v>526.09871794871799</v>
      </c>
      <c r="M1960" s="69">
        <v>45962</v>
      </c>
      <c r="N1960" s="43">
        <f>IF(Gastos[[#This Row],[Fecha_Cheque]]&gt;0,WEEKNUM(Gastos[[#This Row],[Fecha_Cheque]]),MID(Gastos[[#This Row],[Semana]],6,2))</f>
        <v>44</v>
      </c>
      <c r="O1960" t="s">
        <v>1184</v>
      </c>
      <c r="P1960" t="s">
        <v>27</v>
      </c>
    </row>
    <row r="1961" spans="1:16" hidden="1" x14ac:dyDescent="0.25">
      <c r="A1961" s="3" t="s">
        <v>72</v>
      </c>
      <c r="B1961" t="s">
        <v>1163</v>
      </c>
      <c r="C1961" t="s">
        <v>1164</v>
      </c>
      <c r="D1961" t="s">
        <v>26</v>
      </c>
      <c r="E1961" t="s">
        <v>62</v>
      </c>
      <c r="F1961">
        <v>2</v>
      </c>
      <c r="G1961" s="3" t="s">
        <v>32</v>
      </c>
      <c r="H1961" s="46" t="s">
        <v>15</v>
      </c>
      <c r="I1961" s="17">
        <v>1496000</v>
      </c>
      <c r="J1961" s="17">
        <f>IF(Gastos[[#This Row],[Divisa]]="$", I1961*1, IF(Gastos[[#This Row],[Divisa]]="U$D", I1961*$N$1, IF(Gastos[[#This Row],[Divisa]]="EUR", I1961*$N$2, 0)))</f>
        <v>1496000</v>
      </c>
      <c r="K1961" s="54">
        <f>Gastos[[#This Row],[Importe AR$]]/$N$1</f>
        <v>958.97435897435901</v>
      </c>
      <c r="M1961" s="69">
        <v>46006</v>
      </c>
      <c r="N1961" s="43">
        <f>IF(Gastos[[#This Row],[Fecha_Cheque]]&gt;0,WEEKNUM(Gastos[[#This Row],[Fecha_Cheque]]),MID(Gastos[[#This Row],[Semana]],6,2))</f>
        <v>51</v>
      </c>
      <c r="O1961" t="s">
        <v>1184</v>
      </c>
      <c r="P1961" t="s">
        <v>27</v>
      </c>
    </row>
    <row r="1962" spans="1:16" hidden="1" x14ac:dyDescent="0.25">
      <c r="A1962" s="3" t="s">
        <v>72</v>
      </c>
      <c r="B1962" t="s">
        <v>1163</v>
      </c>
      <c r="C1962" t="s">
        <v>1164</v>
      </c>
      <c r="D1962" t="s">
        <v>26</v>
      </c>
      <c r="E1962" t="s">
        <v>62</v>
      </c>
      <c r="F1962">
        <v>2</v>
      </c>
      <c r="G1962" s="3" t="s">
        <v>32</v>
      </c>
      <c r="H1962" s="46" t="s">
        <v>15</v>
      </c>
      <c r="I1962" s="17">
        <v>3033000</v>
      </c>
      <c r="J1962" s="17">
        <f>IF(Gastos[[#This Row],[Divisa]]="$", I1962*1, IF(Gastos[[#This Row],[Divisa]]="U$D", I1962*$N$1, IF(Gastos[[#This Row],[Divisa]]="EUR", I1962*$N$2, 0)))</f>
        <v>3033000</v>
      </c>
      <c r="K1962" s="54">
        <f>Gastos[[#This Row],[Importe AR$]]/$N$1</f>
        <v>1944.2307692307693</v>
      </c>
      <c r="M1962" s="69">
        <v>45969</v>
      </c>
      <c r="N1962" s="43">
        <f>IF(Gastos[[#This Row],[Fecha_Cheque]]&gt;0,WEEKNUM(Gastos[[#This Row],[Fecha_Cheque]]),MID(Gastos[[#This Row],[Semana]],6,2))</f>
        <v>45</v>
      </c>
      <c r="O1962" t="s">
        <v>1184</v>
      </c>
      <c r="P1962" t="s">
        <v>27</v>
      </c>
    </row>
    <row r="1963" spans="1:16" hidden="1" x14ac:dyDescent="0.25">
      <c r="A1963" s="3" t="s">
        <v>72</v>
      </c>
      <c r="B1963" t="s">
        <v>1163</v>
      </c>
      <c r="C1963" t="s">
        <v>1164</v>
      </c>
      <c r="D1963" t="s">
        <v>26</v>
      </c>
      <c r="E1963" t="s">
        <v>62</v>
      </c>
      <c r="F1963">
        <v>2</v>
      </c>
      <c r="G1963" s="3" t="s">
        <v>4</v>
      </c>
      <c r="H1963" s="46" t="s">
        <v>15</v>
      </c>
      <c r="I1963" s="17">
        <v>67582</v>
      </c>
      <c r="J1963" s="17">
        <f>IF(Gastos[[#This Row],[Divisa]]="$", I1963*1, IF(Gastos[[#This Row],[Divisa]]="U$D", I1963*$N$1, IF(Gastos[[#This Row],[Divisa]]="EUR", I1963*$N$2, 0)))</f>
        <v>67582</v>
      </c>
      <c r="K1963" s="54">
        <f>Gastos[[#This Row],[Importe AR$]]/$N$1</f>
        <v>43.321794871794872</v>
      </c>
      <c r="M1963" s="69"/>
      <c r="N1963" s="43" t="str">
        <f>IF(Gastos[[#This Row],[Fecha_Cheque]]&gt;0,WEEKNUM(Gastos[[#This Row],[Fecha_Cheque]]),MID(Gastos[[#This Row],[Semana]],6,2))</f>
        <v>48</v>
      </c>
      <c r="O1963" t="s">
        <v>1184</v>
      </c>
      <c r="P1963" t="s">
        <v>27</v>
      </c>
    </row>
    <row r="1964" spans="1:16" hidden="1" x14ac:dyDescent="0.25">
      <c r="A1964" s="3" t="s">
        <v>180</v>
      </c>
      <c r="B1964" t="s">
        <v>1163</v>
      </c>
      <c r="C1964" t="s">
        <v>554</v>
      </c>
      <c r="D1964" t="s">
        <v>26</v>
      </c>
      <c r="E1964" t="s">
        <v>31</v>
      </c>
      <c r="F1964">
        <v>2</v>
      </c>
      <c r="G1964" s="3" t="s">
        <v>4</v>
      </c>
      <c r="H1964" s="46" t="s">
        <v>15</v>
      </c>
      <c r="I1964" s="17">
        <v>3050000</v>
      </c>
      <c r="J1964" s="17">
        <f>IF(Gastos[[#This Row],[Divisa]]="$", I1964*1, IF(Gastos[[#This Row],[Divisa]]="U$D", I1964*$N$1, IF(Gastos[[#This Row],[Divisa]]="EUR", I1964*$N$2, 0)))</f>
        <v>3050000</v>
      </c>
      <c r="K1964" s="54">
        <f>Gastos[[#This Row],[Importe AR$]]/$N$1</f>
        <v>1955.1282051282051</v>
      </c>
      <c r="M1964" s="69"/>
      <c r="N1964" s="43" t="str">
        <f>IF(Gastos[[#This Row],[Fecha_Cheque]]&gt;0,WEEKNUM(Gastos[[#This Row],[Fecha_Cheque]]),MID(Gastos[[#This Row],[Semana]],6,2))</f>
        <v>09</v>
      </c>
      <c r="O1964" t="s">
        <v>1374</v>
      </c>
      <c r="P1964" t="s">
        <v>27</v>
      </c>
    </row>
    <row r="1965" spans="1:16" hidden="1" x14ac:dyDescent="0.25">
      <c r="A1965" s="3" t="s">
        <v>39</v>
      </c>
      <c r="B1965" t="s">
        <v>1163</v>
      </c>
      <c r="C1965" t="s">
        <v>2630</v>
      </c>
      <c r="D1965" t="s">
        <v>26</v>
      </c>
      <c r="E1965" t="s">
        <v>42</v>
      </c>
      <c r="F1965">
        <v>2</v>
      </c>
      <c r="G1965" s="3" t="s">
        <v>4</v>
      </c>
      <c r="H1965" s="46" t="s">
        <v>15</v>
      </c>
      <c r="I1965" s="17">
        <v>2000000</v>
      </c>
      <c r="J1965" s="17">
        <f>IF(Gastos[[#This Row],[Divisa]]="$", I1965*1, IF(Gastos[[#This Row],[Divisa]]="U$D", I1965*$N$1, IF(Gastos[[#This Row],[Divisa]]="EUR", I1965*$N$2, 0)))</f>
        <v>2000000</v>
      </c>
      <c r="K1965" s="54">
        <f>Gastos[[#This Row],[Importe AR$]]/$N$1</f>
        <v>1282.051282051282</v>
      </c>
      <c r="M1965" s="69"/>
      <c r="N1965" s="43" t="str">
        <f>IF(Gastos[[#This Row],[Fecha_Cheque]]&gt;0,WEEKNUM(Gastos[[#This Row],[Fecha_Cheque]]),MID(Gastos[[#This Row],[Semana]],6,2))</f>
        <v>14</v>
      </c>
      <c r="O1965" t="s">
        <v>2631</v>
      </c>
      <c r="P1965" t="s">
        <v>27</v>
      </c>
    </row>
    <row r="1966" spans="1:16" x14ac:dyDescent="0.25">
      <c r="A1966" s="99" t="s">
        <v>4655</v>
      </c>
      <c r="B1966" s="100" t="s">
        <v>4692</v>
      </c>
      <c r="C1966" s="100" t="s">
        <v>4693</v>
      </c>
      <c r="D1966" s="100" t="s">
        <v>26</v>
      </c>
      <c r="E1966" s="100" t="s">
        <v>62</v>
      </c>
      <c r="F1966" s="100">
        <v>1</v>
      </c>
      <c r="G1966" s="99" t="s">
        <v>4</v>
      </c>
      <c r="H1966" s="44" t="s">
        <v>15</v>
      </c>
      <c r="I1966" s="17">
        <v>40000</v>
      </c>
      <c r="J1966" s="17">
        <f>IF(Gastos[[#This Row],[Divisa]]="$", I1966*1, IF(Gastos[[#This Row],[Divisa]]="U$D", I1966*$N$1, IF(Gastos[[#This Row],[Divisa]]="EUR", I1966*$N$2, 0)))</f>
        <v>40000</v>
      </c>
      <c r="K1966" s="54">
        <f>Gastos[[#This Row],[Importe AR$]]/$N$1</f>
        <v>25.641025641025642</v>
      </c>
      <c r="L1966" s="100"/>
      <c r="M1966" s="101"/>
      <c r="N1966" s="102" t="str">
        <f>IF(Gastos[[#This Row],[Fecha_Cheque]]&gt;0,WEEKNUM(Gastos[[#This Row],[Fecha_Cheque]]),MID(Gastos[[#This Row],[Semana]],6,2))</f>
        <v>44</v>
      </c>
      <c r="O1966" s="100" t="s">
        <v>4694</v>
      </c>
      <c r="P1966" s="100" t="s">
        <v>7</v>
      </c>
    </row>
    <row r="1967" spans="1:16" hidden="1" x14ac:dyDescent="0.25">
      <c r="A1967" s="3" t="s">
        <v>52</v>
      </c>
      <c r="B1967" t="s">
        <v>1188</v>
      </c>
      <c r="C1967" t="s">
        <v>1189</v>
      </c>
      <c r="D1967" t="s">
        <v>26</v>
      </c>
      <c r="E1967" t="s">
        <v>31</v>
      </c>
      <c r="F1967">
        <v>1</v>
      </c>
      <c r="G1967" s="3" t="s">
        <v>5</v>
      </c>
      <c r="H1967" s="46" t="s">
        <v>15</v>
      </c>
      <c r="I1967" s="19">
        <v>615000</v>
      </c>
      <c r="J1967" s="17">
        <f>IF(Gastos[[#This Row],[Divisa]]="$", I1967*1, IF(Gastos[[#This Row],[Divisa]]="U$D", I1967*$N$1, IF(Gastos[[#This Row],[Divisa]]="EUR", I1967*$N$2, 0)))</f>
        <v>615000</v>
      </c>
      <c r="K1967" s="55">
        <f>Gastos[[#This Row],[Importe AR$]]/$N$1</f>
        <v>394.23076923076923</v>
      </c>
      <c r="M1967" s="69"/>
      <c r="N1967" s="43" t="str">
        <f>IF(Gastos[[#This Row],[Fecha_Cheque]]&gt;0,WEEKNUM(Gastos[[#This Row],[Fecha_Cheque]]),MID(Gastos[[#This Row],[Semana]],6,2))</f>
        <v>12</v>
      </c>
      <c r="P1967" t="s">
        <v>27</v>
      </c>
    </row>
    <row r="1968" spans="1:16" hidden="1" x14ac:dyDescent="0.25">
      <c r="A1968" s="3" t="s">
        <v>2751</v>
      </c>
      <c r="B1968" t="s">
        <v>3048</v>
      </c>
      <c r="C1968" t="s">
        <v>155</v>
      </c>
      <c r="D1968" t="s">
        <v>26</v>
      </c>
      <c r="E1968" t="s">
        <v>42</v>
      </c>
      <c r="F1968">
        <v>1</v>
      </c>
      <c r="G1968" s="3" t="s">
        <v>4</v>
      </c>
      <c r="H1968" s="44" t="s">
        <v>15</v>
      </c>
      <c r="I1968" s="17">
        <v>70000</v>
      </c>
      <c r="J1968" s="17">
        <f>IF(Gastos[[#This Row],[Divisa]]="$", I1968*1, IF(Gastos[[#This Row],[Divisa]]="U$D", I1968*$N$1, IF(Gastos[[#This Row],[Divisa]]="EUR", I1968*$N$2, 0)))</f>
        <v>70000</v>
      </c>
      <c r="K1968" s="54">
        <f>Gastos[[#This Row],[Importe AR$]]/$N$1</f>
        <v>44.871794871794869</v>
      </c>
      <c r="L1968" t="s">
        <v>3049</v>
      </c>
      <c r="M1968" s="69"/>
      <c r="N1968" s="43" t="str">
        <f>IF(Gastos[[#This Row],[Fecha_Cheque]]&gt;0,WEEKNUM(Gastos[[#This Row],[Fecha_Cheque]]),MID(Gastos[[#This Row],[Semana]],6,2))</f>
        <v>18</v>
      </c>
      <c r="O1968" t="s">
        <v>3050</v>
      </c>
      <c r="P1968" t="s">
        <v>27</v>
      </c>
    </row>
    <row r="1969" spans="1:16" hidden="1" x14ac:dyDescent="0.25">
      <c r="A1969" s="3" t="s">
        <v>2773</v>
      </c>
      <c r="B1969" t="s">
        <v>3048</v>
      </c>
      <c r="C1969" t="s">
        <v>155</v>
      </c>
      <c r="D1969" t="s">
        <v>26</v>
      </c>
      <c r="E1969" t="s">
        <v>42</v>
      </c>
      <c r="F1969">
        <v>1</v>
      </c>
      <c r="G1969" s="3" t="s">
        <v>4</v>
      </c>
      <c r="H1969" s="44" t="s">
        <v>15</v>
      </c>
      <c r="I1969" s="17">
        <v>70000.09</v>
      </c>
      <c r="J1969" s="17">
        <f>IF(Gastos[[#This Row],[Divisa]]="$", I1969*1, IF(Gastos[[#This Row],[Divisa]]="U$D", I1969*$N$1, IF(Gastos[[#This Row],[Divisa]]="EUR", I1969*$N$2, 0)))</f>
        <v>70000.09</v>
      </c>
      <c r="K1969" s="54">
        <f>Gastos[[#This Row],[Importe AR$]]/$N$1</f>
        <v>44.871852564102561</v>
      </c>
      <c r="M1969" s="69"/>
      <c r="N1969" s="43" t="str">
        <f>IF(Gastos[[#This Row],[Fecha_Cheque]]&gt;0,WEEKNUM(Gastos[[#This Row],[Fecha_Cheque]]),MID(Gastos[[#This Row],[Semana]],6,2))</f>
        <v>20</v>
      </c>
      <c r="O1969" t="s">
        <v>3124</v>
      </c>
      <c r="P1969" t="s">
        <v>27</v>
      </c>
    </row>
    <row r="1970" spans="1:16" hidden="1" x14ac:dyDescent="0.25">
      <c r="A1970" s="3" t="s">
        <v>2763</v>
      </c>
      <c r="B1970" t="s">
        <v>3048</v>
      </c>
      <c r="C1970" t="s">
        <v>155</v>
      </c>
      <c r="D1970" t="s">
        <v>26</v>
      </c>
      <c r="E1970" t="s">
        <v>42</v>
      </c>
      <c r="F1970">
        <v>1</v>
      </c>
      <c r="G1970" s="3" t="s">
        <v>4</v>
      </c>
      <c r="H1970" s="44" t="s">
        <v>15</v>
      </c>
      <c r="I1970" s="17">
        <v>70000</v>
      </c>
      <c r="J1970" s="17">
        <f>IF(Gastos[[#This Row],[Divisa]]="$", I1970*1, IF(Gastos[[#This Row],[Divisa]]="U$D", I1970*$N$1, IF(Gastos[[#This Row],[Divisa]]="EUR", I1970*$N$2, 0)))</f>
        <v>70000</v>
      </c>
      <c r="K1970" s="54">
        <f>Gastos[[#This Row],[Importe AR$]]/$N$1</f>
        <v>44.871794871794869</v>
      </c>
      <c r="M1970" s="69"/>
      <c r="N1970" s="43" t="str">
        <f>IF(Gastos[[#This Row],[Fecha_Cheque]]&gt;0,WEEKNUM(Gastos[[#This Row],[Fecha_Cheque]]),MID(Gastos[[#This Row],[Semana]],6,2))</f>
        <v>23</v>
      </c>
      <c r="O1970" t="s">
        <v>3280</v>
      </c>
      <c r="P1970" t="s">
        <v>27</v>
      </c>
    </row>
    <row r="1971" spans="1:16" hidden="1" x14ac:dyDescent="0.25">
      <c r="A1971" s="3" t="s">
        <v>2726</v>
      </c>
      <c r="B1971" t="s">
        <v>3048</v>
      </c>
      <c r="C1971" t="s">
        <v>155</v>
      </c>
      <c r="D1971" t="s">
        <v>26</v>
      </c>
      <c r="E1971" t="s">
        <v>42</v>
      </c>
      <c r="F1971">
        <v>1</v>
      </c>
      <c r="G1971" s="3" t="s">
        <v>4</v>
      </c>
      <c r="H1971" s="44" t="s">
        <v>15</v>
      </c>
      <c r="I1971" s="17">
        <v>70000</v>
      </c>
      <c r="J1971" s="17">
        <f>IF(Gastos[[#This Row],[Divisa]]="$", I1971*1, IF(Gastos[[#This Row],[Divisa]]="U$D", I1971*$N$1, IF(Gastos[[#This Row],[Divisa]]="EUR", I1971*$N$2, 0)))</f>
        <v>70000</v>
      </c>
      <c r="K1971" s="54">
        <f>Gastos[[#This Row],[Importe AR$]]/$N$1</f>
        <v>44.871794871794869</v>
      </c>
      <c r="M1971" s="69"/>
      <c r="N1971" s="43" t="str">
        <f>IF(Gastos[[#This Row],[Fecha_Cheque]]&gt;0,WEEKNUM(Gastos[[#This Row],[Fecha_Cheque]]),MID(Gastos[[#This Row],[Semana]],6,2))</f>
        <v>24</v>
      </c>
      <c r="O1971" t="s">
        <v>3316</v>
      </c>
      <c r="P1971" t="s">
        <v>27</v>
      </c>
    </row>
    <row r="1972" spans="1:16" hidden="1" x14ac:dyDescent="0.25">
      <c r="A1972" s="3" t="s">
        <v>3693</v>
      </c>
      <c r="B1972" t="s">
        <v>3048</v>
      </c>
      <c r="C1972" t="s">
        <v>155</v>
      </c>
      <c r="D1972" t="s">
        <v>26</v>
      </c>
      <c r="E1972" t="s">
        <v>42</v>
      </c>
      <c r="F1972">
        <v>1</v>
      </c>
      <c r="G1972" s="3" t="s">
        <v>32</v>
      </c>
      <c r="H1972" s="44" t="s">
        <v>15</v>
      </c>
      <c r="I1972" s="17">
        <v>70000.03</v>
      </c>
      <c r="J1972" s="17">
        <f>IF(Gastos[[#This Row],[Divisa]]="$", I1972*1, IF(Gastos[[#This Row],[Divisa]]="U$D", I1972*$N$1, IF(Gastos[[#This Row],[Divisa]]="EUR", I1972*$N$2, 0)))</f>
        <v>70000.03</v>
      </c>
      <c r="K1972" s="54">
        <f>Gastos[[#This Row],[Importe AR$]]/$N$1</f>
        <v>44.871814102564102</v>
      </c>
      <c r="M1972" s="69"/>
      <c r="N1972" s="43" t="str">
        <f>IF(Gastos[[#This Row],[Fecha_Cheque]]&gt;0,WEEKNUM(Gastos[[#This Row],[Fecha_Cheque]]),MID(Gastos[[#This Row],[Semana]],6,2))</f>
        <v>28</v>
      </c>
      <c r="O1972" t="s">
        <v>3698</v>
      </c>
      <c r="P1972" t="s">
        <v>27</v>
      </c>
    </row>
    <row r="1973" spans="1:16" hidden="1" x14ac:dyDescent="0.25">
      <c r="A1973" s="3" t="s">
        <v>3817</v>
      </c>
      <c r="B1973" t="s">
        <v>3048</v>
      </c>
      <c r="C1973" t="s">
        <v>155</v>
      </c>
      <c r="D1973" t="s">
        <v>26</v>
      </c>
      <c r="E1973" t="s">
        <v>42</v>
      </c>
      <c r="F1973">
        <v>1</v>
      </c>
      <c r="G1973" s="3" t="s">
        <v>4</v>
      </c>
      <c r="H1973" s="44" t="s">
        <v>15</v>
      </c>
      <c r="I1973" s="17">
        <v>70000</v>
      </c>
      <c r="J1973" s="17">
        <f>IF(Gastos[[#This Row],[Divisa]]="$", I1973*1, IF(Gastos[[#This Row],[Divisa]]="U$D", I1973*$N$1, IF(Gastos[[#This Row],[Divisa]]="EUR", I1973*$N$2, 0)))</f>
        <v>70000</v>
      </c>
      <c r="K1973" s="54">
        <f>Gastos[[#This Row],[Importe AR$]]/$N$1</f>
        <v>44.871794871794869</v>
      </c>
      <c r="M1973" s="69"/>
      <c r="N1973" s="43" t="str">
        <f>IF(Gastos[[#This Row],[Fecha_Cheque]]&gt;0,WEEKNUM(Gastos[[#This Row],[Fecha_Cheque]]),MID(Gastos[[#This Row],[Semana]],6,2))</f>
        <v>30</v>
      </c>
      <c r="O1973" t="s">
        <v>3857</v>
      </c>
      <c r="P1973" t="s">
        <v>27</v>
      </c>
    </row>
    <row r="1974" spans="1:16" hidden="1" x14ac:dyDescent="0.25">
      <c r="A1974" s="3" t="s">
        <v>4409</v>
      </c>
      <c r="B1974" t="s">
        <v>3048</v>
      </c>
      <c r="C1974" t="s">
        <v>155</v>
      </c>
      <c r="D1974" t="s">
        <v>26</v>
      </c>
      <c r="E1974" t="s">
        <v>42</v>
      </c>
      <c r="F1974">
        <v>1</v>
      </c>
      <c r="G1974" s="3" t="s">
        <v>4</v>
      </c>
      <c r="H1974" s="46" t="s">
        <v>15</v>
      </c>
      <c r="I1974" s="17">
        <v>80000.06</v>
      </c>
      <c r="J1974" s="17">
        <f>IF(Gastos[[#This Row],[Divisa]]="$", I1974*1, IF(Gastos[[#This Row],[Divisa]]="U$D", I1974*$N$1, IF(Gastos[[#This Row],[Divisa]]="EUR", I1974*$N$2, 0)))</f>
        <v>80000.06</v>
      </c>
      <c r="K1974" s="54">
        <f>Gastos[[#This Row],[Importe AR$]]/$N$1</f>
        <v>51.282089743589744</v>
      </c>
      <c r="M1974" s="69"/>
      <c r="N1974" s="43" t="str">
        <f>IF(Gastos[[#This Row],[Fecha_Cheque]]&gt;0,WEEKNUM(Gastos[[#This Row],[Fecha_Cheque]]),MID(Gastos[[#This Row],[Semana]],6,2))</f>
        <v>40</v>
      </c>
      <c r="O1974" t="s">
        <v>4408</v>
      </c>
      <c r="P1974" t="s">
        <v>27</v>
      </c>
    </row>
    <row r="1975" spans="1:16" x14ac:dyDescent="0.25">
      <c r="A1975" s="3" t="s">
        <v>4655</v>
      </c>
      <c r="B1975" t="s">
        <v>1098</v>
      </c>
      <c r="C1975" t="s">
        <v>3301</v>
      </c>
      <c r="D1975" t="s">
        <v>26</v>
      </c>
      <c r="E1975" t="s">
        <v>62</v>
      </c>
      <c r="F1975">
        <v>1</v>
      </c>
      <c r="G1975" s="3" t="s">
        <v>32</v>
      </c>
      <c r="H1975" s="46" t="s">
        <v>15</v>
      </c>
      <c r="I1975" s="17">
        <v>1803762.21</v>
      </c>
      <c r="J1975" s="17">
        <f>IF(Gastos[[#This Row],[Divisa]]="$", I1975*1, IF(Gastos[[#This Row],[Divisa]]="U$D", I1975*$N$1, IF(Gastos[[#This Row],[Divisa]]="EUR", I1975*$N$2, 0)))</f>
        <v>1803762.21</v>
      </c>
      <c r="K1975" s="54">
        <f>Gastos[[#This Row],[Importe AR$]]/$N$1</f>
        <v>1156.2578269230769</v>
      </c>
      <c r="M1975" s="69"/>
      <c r="N1975" s="43" t="str">
        <f>IF(Gastos[[#This Row],[Fecha_Cheque]]&gt;0,WEEKNUM(Gastos[[#This Row],[Fecha_Cheque]]),MID(Gastos[[#This Row],[Semana]],6,2))</f>
        <v>44</v>
      </c>
    </row>
    <row r="1976" spans="1:16" hidden="1" x14ac:dyDescent="0.25">
      <c r="A1976" s="3" t="s">
        <v>44</v>
      </c>
      <c r="B1976" t="s">
        <v>1190</v>
      </c>
      <c r="C1976" t="s">
        <v>1191</v>
      </c>
      <c r="D1976" t="s">
        <v>26</v>
      </c>
      <c r="E1976" t="s">
        <v>31</v>
      </c>
      <c r="F1976">
        <v>1</v>
      </c>
      <c r="G1976" s="3" t="s">
        <v>32</v>
      </c>
      <c r="H1976" s="46" t="s">
        <v>15</v>
      </c>
      <c r="I1976" s="17">
        <v>2500000</v>
      </c>
      <c r="J1976" s="17">
        <f>IF(Gastos[[#This Row],[Divisa]]="$", I1976*1, IF(Gastos[[#This Row],[Divisa]]="U$D", I1976*$N$1, IF(Gastos[[#This Row],[Divisa]]="EUR", I1976*$N$2, 0)))</f>
        <v>2500000</v>
      </c>
      <c r="K1976" s="54">
        <f>Gastos[[#This Row],[Importe AR$]]/$N$1</f>
        <v>1602.5641025641025</v>
      </c>
      <c r="M1976" s="69">
        <v>46052</v>
      </c>
      <c r="N1976" s="43">
        <f>IF(Gastos[[#This Row],[Fecha_Cheque]]&gt;0,WEEKNUM(Gastos[[#This Row],[Fecha_Cheque]]),MID(Gastos[[#This Row],[Semana]],6,2))</f>
        <v>5</v>
      </c>
      <c r="O1976" t="s">
        <v>1192</v>
      </c>
      <c r="P1976" t="s">
        <v>27</v>
      </c>
    </row>
    <row r="1977" spans="1:16" hidden="1" x14ac:dyDescent="0.25">
      <c r="A1977" s="3" t="s">
        <v>44</v>
      </c>
      <c r="B1977" t="s">
        <v>1190</v>
      </c>
      <c r="C1977" t="s">
        <v>1191</v>
      </c>
      <c r="D1977" t="s">
        <v>26</v>
      </c>
      <c r="E1977" t="s">
        <v>31</v>
      </c>
      <c r="F1977">
        <v>1</v>
      </c>
      <c r="G1977" s="3" t="s">
        <v>32</v>
      </c>
      <c r="H1977" s="46" t="s">
        <v>15</v>
      </c>
      <c r="I1977" s="17">
        <v>2500000</v>
      </c>
      <c r="J1977" s="17">
        <f>IF(Gastos[[#This Row],[Divisa]]="$", I1977*1, IF(Gastos[[#This Row],[Divisa]]="U$D", I1977*$N$1, IF(Gastos[[#This Row],[Divisa]]="EUR", I1977*$N$2, 0)))</f>
        <v>2500000</v>
      </c>
      <c r="K1977" s="54">
        <f>Gastos[[#This Row],[Importe AR$]]/$N$1</f>
        <v>1602.5641025641025</v>
      </c>
      <c r="M1977" s="69">
        <v>46052</v>
      </c>
      <c r="N1977" s="43">
        <f>IF(Gastos[[#This Row],[Fecha_Cheque]]&gt;0,WEEKNUM(Gastos[[#This Row],[Fecha_Cheque]]),MID(Gastos[[#This Row],[Semana]],6,2))</f>
        <v>5</v>
      </c>
      <c r="O1977" t="s">
        <v>1192</v>
      </c>
      <c r="P1977" t="s">
        <v>27</v>
      </c>
    </row>
    <row r="1978" spans="1:16" hidden="1" x14ac:dyDescent="0.25">
      <c r="A1978" s="3" t="s">
        <v>44</v>
      </c>
      <c r="B1978" t="s">
        <v>1190</v>
      </c>
      <c r="C1978" t="s">
        <v>1191</v>
      </c>
      <c r="D1978" t="s">
        <v>26</v>
      </c>
      <c r="E1978" t="s">
        <v>31</v>
      </c>
      <c r="F1978">
        <v>1</v>
      </c>
      <c r="G1978" s="3" t="s">
        <v>32</v>
      </c>
      <c r="H1978" s="46" t="s">
        <v>15</v>
      </c>
      <c r="I1978" s="17">
        <v>2500000</v>
      </c>
      <c r="J1978" s="17">
        <f>IF(Gastos[[#This Row],[Divisa]]="$", I1978*1, IF(Gastos[[#This Row],[Divisa]]="U$D", I1978*$N$1, IF(Gastos[[#This Row],[Divisa]]="EUR", I1978*$N$2, 0)))</f>
        <v>2500000</v>
      </c>
      <c r="K1978" s="54">
        <f>Gastos[[#This Row],[Importe AR$]]/$N$1</f>
        <v>1602.5641025641025</v>
      </c>
      <c r="M1978" s="69">
        <v>46051</v>
      </c>
      <c r="N1978" s="43">
        <f>IF(Gastos[[#This Row],[Fecha_Cheque]]&gt;0,WEEKNUM(Gastos[[#This Row],[Fecha_Cheque]]),MID(Gastos[[#This Row],[Semana]],6,2))</f>
        <v>5</v>
      </c>
      <c r="O1978" t="s">
        <v>1192</v>
      </c>
      <c r="P1978" t="s">
        <v>27</v>
      </c>
    </row>
    <row r="1979" spans="1:16" hidden="1" x14ac:dyDescent="0.25">
      <c r="A1979" s="3" t="s">
        <v>44</v>
      </c>
      <c r="B1979" t="s">
        <v>1190</v>
      </c>
      <c r="C1979" t="s">
        <v>1191</v>
      </c>
      <c r="D1979" t="s">
        <v>26</v>
      </c>
      <c r="E1979" t="s">
        <v>31</v>
      </c>
      <c r="F1979">
        <v>1</v>
      </c>
      <c r="G1979" s="3" t="s">
        <v>32</v>
      </c>
      <c r="H1979" s="46" t="s">
        <v>15</v>
      </c>
      <c r="I1979" s="17">
        <v>2500000</v>
      </c>
      <c r="J1979" s="17">
        <f>IF(Gastos[[#This Row],[Divisa]]="$", I1979*1, IF(Gastos[[#This Row],[Divisa]]="U$D", I1979*$N$1, IF(Gastos[[#This Row],[Divisa]]="EUR", I1979*$N$2, 0)))</f>
        <v>2500000</v>
      </c>
      <c r="K1979" s="54">
        <f>Gastos[[#This Row],[Importe AR$]]/$N$1</f>
        <v>1602.5641025641025</v>
      </c>
      <c r="M1979" s="69">
        <v>46051</v>
      </c>
      <c r="N1979" s="43">
        <f>IF(Gastos[[#This Row],[Fecha_Cheque]]&gt;0,WEEKNUM(Gastos[[#This Row],[Fecha_Cheque]]),MID(Gastos[[#This Row],[Semana]],6,2))</f>
        <v>5</v>
      </c>
      <c r="O1979" t="s">
        <v>1192</v>
      </c>
      <c r="P1979" t="s">
        <v>27</v>
      </c>
    </row>
    <row r="1980" spans="1:16" hidden="1" x14ac:dyDescent="0.25">
      <c r="A1980" s="3" t="s">
        <v>44</v>
      </c>
      <c r="B1980" t="s">
        <v>1190</v>
      </c>
      <c r="C1980" t="s">
        <v>1191</v>
      </c>
      <c r="D1980" t="s">
        <v>26</v>
      </c>
      <c r="E1980" t="s">
        <v>31</v>
      </c>
      <c r="F1980">
        <v>1</v>
      </c>
      <c r="G1980" s="3" t="s">
        <v>32</v>
      </c>
      <c r="H1980" s="46" t="s">
        <v>15</v>
      </c>
      <c r="I1980" s="17">
        <v>2500000</v>
      </c>
      <c r="J1980" s="17">
        <f>IF(Gastos[[#This Row],[Divisa]]="$", I1980*1, IF(Gastos[[#This Row],[Divisa]]="U$D", I1980*$N$1, IF(Gastos[[#This Row],[Divisa]]="EUR", I1980*$N$2, 0)))</f>
        <v>2500000</v>
      </c>
      <c r="K1980" s="54">
        <f>Gastos[[#This Row],[Importe AR$]]/$N$1</f>
        <v>1602.5641025641025</v>
      </c>
      <c r="M1980" s="69">
        <v>46049</v>
      </c>
      <c r="N1980" s="43">
        <f>IF(Gastos[[#This Row],[Fecha_Cheque]]&gt;0,WEEKNUM(Gastos[[#This Row],[Fecha_Cheque]]),MID(Gastos[[#This Row],[Semana]],6,2))</f>
        <v>5</v>
      </c>
      <c r="O1980" t="s">
        <v>1192</v>
      </c>
      <c r="P1980" t="s">
        <v>27</v>
      </c>
    </row>
    <row r="1981" spans="1:16" hidden="1" x14ac:dyDescent="0.25">
      <c r="A1981" s="3" t="s">
        <v>1193</v>
      </c>
      <c r="B1981" t="s">
        <v>1190</v>
      </c>
      <c r="C1981" t="s">
        <v>1194</v>
      </c>
      <c r="D1981" t="s">
        <v>26</v>
      </c>
      <c r="E1981" t="s">
        <v>31</v>
      </c>
      <c r="F1981">
        <v>1</v>
      </c>
      <c r="G1981" s="3" t="s">
        <v>32</v>
      </c>
      <c r="H1981" s="46" t="s">
        <v>15</v>
      </c>
      <c r="I1981" s="17">
        <v>1213288.67</v>
      </c>
      <c r="J1981" s="17">
        <f>IF(Gastos[[#This Row],[Divisa]]="$", I1981*1, IF(Gastos[[#This Row],[Divisa]]="U$D", I1981*$N$1, IF(Gastos[[#This Row],[Divisa]]="EUR", I1981*$N$2, 0)))</f>
        <v>1213288.67</v>
      </c>
      <c r="K1981" s="54">
        <f>Gastos[[#This Row],[Importe AR$]]/$N$1</f>
        <v>777.74914743589738</v>
      </c>
      <c r="M1981" s="69"/>
      <c r="N1981" s="43" t="str">
        <f>IF(Gastos[[#This Row],[Fecha_Cheque]]&gt;0,WEEKNUM(Gastos[[#This Row],[Fecha_Cheque]]),MID(Gastos[[#This Row],[Semana]],6,2))</f>
        <v>05</v>
      </c>
      <c r="O1981" t="s">
        <v>1195</v>
      </c>
      <c r="P1981" t="s">
        <v>27</v>
      </c>
    </row>
    <row r="1982" spans="1:16" hidden="1" x14ac:dyDescent="0.25">
      <c r="A1982" s="3" t="s">
        <v>4074</v>
      </c>
      <c r="B1982" t="s">
        <v>3861</v>
      </c>
      <c r="C1982" t="s">
        <v>3862</v>
      </c>
      <c r="D1982" t="s">
        <v>26</v>
      </c>
      <c r="E1982" t="s">
        <v>31</v>
      </c>
      <c r="F1982">
        <v>1</v>
      </c>
      <c r="G1982" s="3" t="s">
        <v>32</v>
      </c>
      <c r="H1982" s="44" t="s">
        <v>15</v>
      </c>
      <c r="I1982" s="17">
        <v>398256.6</v>
      </c>
      <c r="J1982" s="17">
        <f>IF(Gastos[[#This Row],[Divisa]]="$", I1982*1, IF(Gastos[[#This Row],[Divisa]]="U$D", I1982*$N$1, IF(Gastos[[#This Row],[Divisa]]="EUR", I1982*$N$2, 0)))</f>
        <v>398256.6</v>
      </c>
      <c r="K1982" s="54">
        <f>Gastos[[#This Row],[Importe AR$]]/$N$1</f>
        <v>255.29269230769231</v>
      </c>
      <c r="L1982" t="s">
        <v>340</v>
      </c>
      <c r="M1982" s="69"/>
      <c r="N1982" s="43" t="str">
        <f>IF(Gastos[[#This Row],[Fecha_Cheque]]&gt;0,WEEKNUM(Gastos[[#This Row],[Fecha_Cheque]]),MID(Gastos[[#This Row],[Semana]],6,2))</f>
        <v>34</v>
      </c>
      <c r="O1982" t="s">
        <v>4115</v>
      </c>
      <c r="P1982" t="s">
        <v>27</v>
      </c>
    </row>
    <row r="1983" spans="1:16" hidden="1" x14ac:dyDescent="0.25">
      <c r="A1983" s="3" t="s">
        <v>4074</v>
      </c>
      <c r="B1983" t="s">
        <v>3861</v>
      </c>
      <c r="C1983" t="s">
        <v>3862</v>
      </c>
      <c r="D1983" t="s">
        <v>26</v>
      </c>
      <c r="E1983" t="s">
        <v>31</v>
      </c>
      <c r="F1983">
        <v>1</v>
      </c>
      <c r="G1983" s="3" t="s">
        <v>32</v>
      </c>
      <c r="H1983" s="44" t="s">
        <v>15</v>
      </c>
      <c r="I1983" s="17">
        <v>11888771.699999999</v>
      </c>
      <c r="J1983" s="17">
        <f>IF(Gastos[[#This Row],[Divisa]]="$", I1983*1, IF(Gastos[[#This Row],[Divisa]]="U$D", I1983*$N$1, IF(Gastos[[#This Row],[Divisa]]="EUR", I1983*$N$2, 0)))</f>
        <v>11888771.699999999</v>
      </c>
      <c r="K1983" s="54">
        <f>Gastos[[#This Row],[Importe AR$]]/$N$1</f>
        <v>7621.0074999999997</v>
      </c>
      <c r="M1983" s="69">
        <v>46318</v>
      </c>
      <c r="N1983" s="43">
        <f>IF(Gastos[[#This Row],[Fecha_Cheque]]&gt;0,WEEKNUM(Gastos[[#This Row],[Fecha_Cheque]]),MID(Gastos[[#This Row],[Semana]],6,2))</f>
        <v>43</v>
      </c>
      <c r="O1983" t="s">
        <v>4115</v>
      </c>
      <c r="P1983" t="s">
        <v>27</v>
      </c>
    </row>
    <row r="1984" spans="1:16" hidden="1" x14ac:dyDescent="0.25">
      <c r="A1984" s="3" t="s">
        <v>4074</v>
      </c>
      <c r="B1984" t="s">
        <v>3861</v>
      </c>
      <c r="C1984" t="s">
        <v>3862</v>
      </c>
      <c r="D1984" t="s">
        <v>26</v>
      </c>
      <c r="E1984" t="s">
        <v>31</v>
      </c>
      <c r="F1984">
        <v>1</v>
      </c>
      <c r="G1984" s="3" t="s">
        <v>32</v>
      </c>
      <c r="H1984" s="44" t="s">
        <v>15</v>
      </c>
      <c r="I1984" s="17">
        <v>11888771.699999999</v>
      </c>
      <c r="J1984" s="17">
        <f>IF(Gastos[[#This Row],[Divisa]]="$", I1984*1, IF(Gastos[[#This Row],[Divisa]]="U$D", I1984*$N$1, IF(Gastos[[#This Row],[Divisa]]="EUR", I1984*$N$2, 0)))</f>
        <v>11888771.699999999</v>
      </c>
      <c r="K1984" s="54">
        <f>Gastos[[#This Row],[Importe AR$]]/$N$1</f>
        <v>7621.0074999999997</v>
      </c>
      <c r="M1984" s="69">
        <v>46325</v>
      </c>
      <c r="N1984" s="43">
        <f>IF(Gastos[[#This Row],[Fecha_Cheque]]&gt;0,WEEKNUM(Gastos[[#This Row],[Fecha_Cheque]]),MID(Gastos[[#This Row],[Semana]],6,2))</f>
        <v>44</v>
      </c>
      <c r="O1984" t="s">
        <v>4115</v>
      </c>
      <c r="P1984" t="s">
        <v>27</v>
      </c>
    </row>
    <row r="1985" spans="1:16" hidden="1" x14ac:dyDescent="0.25">
      <c r="A1985" s="3" t="s">
        <v>3817</v>
      </c>
      <c r="B1985" t="s">
        <v>3836</v>
      </c>
      <c r="C1985" t="s">
        <v>3837</v>
      </c>
      <c r="D1985" t="s">
        <v>26</v>
      </c>
      <c r="E1985" t="s">
        <v>31</v>
      </c>
      <c r="F1985">
        <v>1</v>
      </c>
      <c r="G1985" s="3" t="s">
        <v>5</v>
      </c>
      <c r="H1985" s="44" t="s">
        <v>15</v>
      </c>
      <c r="I1985" s="17">
        <v>1165796.48</v>
      </c>
      <c r="J1985" s="17">
        <f>IF(Gastos[[#This Row],[Divisa]]="$", I1985*1, IF(Gastos[[#This Row],[Divisa]]="U$D", I1985*$N$1, IF(Gastos[[#This Row],[Divisa]]="EUR", I1985*$N$2, 0)))</f>
        <v>1165796.48</v>
      </c>
      <c r="K1985" s="54">
        <f>Gastos[[#This Row],[Importe AR$]]/$N$1</f>
        <v>747.30543589743593</v>
      </c>
      <c r="M1985" s="69"/>
      <c r="N1985" s="43" t="str">
        <f>IF(Gastos[[#This Row],[Fecha_Cheque]]&gt;0,WEEKNUM(Gastos[[#This Row],[Fecha_Cheque]]),MID(Gastos[[#This Row],[Semana]],6,2))</f>
        <v>30</v>
      </c>
      <c r="O1985" t="s">
        <v>3838</v>
      </c>
      <c r="P1985" t="s">
        <v>27</v>
      </c>
    </row>
    <row r="1986" spans="1:16" hidden="1" x14ac:dyDescent="0.25">
      <c r="A1986" s="3" t="s">
        <v>3817</v>
      </c>
      <c r="B1986" t="s">
        <v>3836</v>
      </c>
      <c r="C1986" t="s">
        <v>3837</v>
      </c>
      <c r="D1986" t="s">
        <v>26</v>
      </c>
      <c r="E1986" t="s">
        <v>31</v>
      </c>
      <c r="F1986">
        <v>1</v>
      </c>
      <c r="G1986" s="3" t="s">
        <v>5</v>
      </c>
      <c r="H1986" s="44" t="s">
        <v>15</v>
      </c>
      <c r="I1986" s="17">
        <v>15037.92</v>
      </c>
      <c r="J1986" s="17">
        <f>IF(Gastos[[#This Row],[Divisa]]="$", I1986*1, IF(Gastos[[#This Row],[Divisa]]="U$D", I1986*$N$1, IF(Gastos[[#This Row],[Divisa]]="EUR", I1986*$N$2, 0)))</f>
        <v>15037.92</v>
      </c>
      <c r="K1986" s="54">
        <f>Gastos[[#This Row],[Importe AR$]]/$N$1</f>
        <v>9.6396923076923073</v>
      </c>
      <c r="L1986" t="s">
        <v>340</v>
      </c>
      <c r="M1986" s="69"/>
      <c r="N1986" s="43" t="str">
        <f>IF(Gastos[[#This Row],[Fecha_Cheque]]&gt;0,WEEKNUM(Gastos[[#This Row],[Fecha_Cheque]]),MID(Gastos[[#This Row],[Semana]],6,2))</f>
        <v>30</v>
      </c>
      <c r="O1986" t="s">
        <v>3838</v>
      </c>
      <c r="P1986" t="s">
        <v>27</v>
      </c>
    </row>
    <row r="1987" spans="1:16" x14ac:dyDescent="0.25">
      <c r="A1987" s="3" t="s">
        <v>4655</v>
      </c>
      <c r="B1987" t="s">
        <v>1110</v>
      </c>
      <c r="C1987" t="s">
        <v>1115</v>
      </c>
      <c r="D1987" t="s">
        <v>26</v>
      </c>
      <c r="E1987" t="s">
        <v>62</v>
      </c>
      <c r="F1987">
        <v>1</v>
      </c>
      <c r="G1987" s="3" t="s">
        <v>32</v>
      </c>
      <c r="H1987" s="46" t="s">
        <v>15</v>
      </c>
      <c r="I1987" s="17">
        <v>512979.5</v>
      </c>
      <c r="J1987" s="17">
        <f>IF(Gastos[[#This Row],[Divisa]]="$", I1987*1, IF(Gastos[[#This Row],[Divisa]]="U$D", I1987*$N$1, IF(Gastos[[#This Row],[Divisa]]="EUR", I1987*$N$2, 0)))</f>
        <v>512979.5</v>
      </c>
      <c r="K1987" s="54">
        <f>Gastos[[#This Row],[Importe AR$]]/$N$1</f>
        <v>328.83301282051281</v>
      </c>
      <c r="M1987" s="69"/>
      <c r="N1987" s="43" t="str">
        <f>IF(Gastos[[#This Row],[Fecha_Cheque]]&gt;0,WEEKNUM(Gastos[[#This Row],[Fecha_Cheque]]),MID(Gastos[[#This Row],[Semana]],6,2))</f>
        <v>44</v>
      </c>
    </row>
    <row r="1988" spans="1:16" hidden="1" x14ac:dyDescent="0.25">
      <c r="A1988" s="3" t="s">
        <v>50</v>
      </c>
      <c r="B1988" t="s">
        <v>1196</v>
      </c>
      <c r="C1988" t="s">
        <v>1197</v>
      </c>
      <c r="D1988" t="s">
        <v>26</v>
      </c>
      <c r="E1988" t="s">
        <v>31</v>
      </c>
      <c r="F1988">
        <v>1</v>
      </c>
      <c r="G1988" s="3" t="s">
        <v>32</v>
      </c>
      <c r="H1988" s="46" t="s">
        <v>15</v>
      </c>
      <c r="I1988" s="17">
        <f>682357.47/2</f>
        <v>341178.73499999999</v>
      </c>
      <c r="J1988" s="17">
        <f>IF(Gastos[[#This Row],[Divisa]]="$", I1988*1, IF(Gastos[[#This Row],[Divisa]]="U$D", I1988*$N$1, IF(Gastos[[#This Row],[Divisa]]="EUR", I1988*$N$2, 0)))</f>
        <v>341178.73499999999</v>
      </c>
      <c r="K1988" s="54">
        <f>Gastos[[#This Row],[Importe AR$]]/$N$1</f>
        <v>218.70431730769229</v>
      </c>
      <c r="L1988" t="s">
        <v>215</v>
      </c>
      <c r="M1988" s="69">
        <v>45850</v>
      </c>
      <c r="N1988" s="43">
        <f>IF(Gastos[[#This Row],[Fecha_Cheque]]&gt;0,WEEKNUM(Gastos[[#This Row],[Fecha_Cheque]]),MID(Gastos[[#This Row],[Semana]],6,2))</f>
        <v>28</v>
      </c>
      <c r="O1988" t="s">
        <v>1198</v>
      </c>
      <c r="P1988" t="s">
        <v>27</v>
      </c>
    </row>
    <row r="1989" spans="1:16" hidden="1" x14ac:dyDescent="0.25">
      <c r="A1989" s="3" t="s">
        <v>50</v>
      </c>
      <c r="B1989" t="s">
        <v>1196</v>
      </c>
      <c r="C1989" t="s">
        <v>1197</v>
      </c>
      <c r="D1989" t="s">
        <v>26</v>
      </c>
      <c r="E1989" t="s">
        <v>31</v>
      </c>
      <c r="F1989">
        <v>1</v>
      </c>
      <c r="G1989" s="3" t="s">
        <v>32</v>
      </c>
      <c r="H1989" s="46" t="s">
        <v>15</v>
      </c>
      <c r="I1989" s="17">
        <f>682357.47/2</f>
        <v>341178.73499999999</v>
      </c>
      <c r="J1989" s="17">
        <f>IF(Gastos[[#This Row],[Divisa]]="$", I1989*1, IF(Gastos[[#This Row],[Divisa]]="U$D", I1989*$N$1, IF(Gastos[[#This Row],[Divisa]]="EUR", I1989*$N$2, 0)))</f>
        <v>341178.73499999999</v>
      </c>
      <c r="K1989" s="54">
        <f>Gastos[[#This Row],[Importe AR$]]/$N$1</f>
        <v>218.70431730769229</v>
      </c>
      <c r="L1989" t="s">
        <v>1199</v>
      </c>
      <c r="M1989" s="69">
        <v>45881</v>
      </c>
      <c r="N1989" s="43">
        <f>IF(Gastos[[#This Row],[Fecha_Cheque]]&gt;0,WEEKNUM(Gastos[[#This Row],[Fecha_Cheque]]),MID(Gastos[[#This Row],[Semana]],6,2))</f>
        <v>33</v>
      </c>
      <c r="O1989" t="s">
        <v>1198</v>
      </c>
      <c r="P1989" t="s">
        <v>27</v>
      </c>
    </row>
    <row r="1990" spans="1:16" hidden="1" x14ac:dyDescent="0.25">
      <c r="A1990" s="3" t="s">
        <v>114</v>
      </c>
      <c r="B1990" t="s">
        <v>1196</v>
      </c>
      <c r="C1990" t="s">
        <v>1200</v>
      </c>
      <c r="D1990" t="s">
        <v>26</v>
      </c>
      <c r="E1990" t="s">
        <v>31</v>
      </c>
      <c r="F1990">
        <v>1</v>
      </c>
      <c r="G1990" s="3" t="s">
        <v>32</v>
      </c>
      <c r="H1990" s="46" t="s">
        <v>15</v>
      </c>
      <c r="I1990" s="17">
        <v>642749.36</v>
      </c>
      <c r="J1990" s="17">
        <f>IF(Gastos[[#This Row],[Divisa]]="$", I1990*1, IF(Gastos[[#This Row],[Divisa]]="U$D", I1990*$N$1, IF(Gastos[[#This Row],[Divisa]]="EUR", I1990*$N$2, 0)))</f>
        <v>642749.36</v>
      </c>
      <c r="K1990" s="54">
        <f>Gastos[[#This Row],[Importe AR$]]/$N$1</f>
        <v>412.01882051282053</v>
      </c>
      <c r="L1990" t="s">
        <v>215</v>
      </c>
      <c r="M1990" s="69">
        <v>45884</v>
      </c>
      <c r="N1990" s="43">
        <f>IF(Gastos[[#This Row],[Fecha_Cheque]]&gt;0,WEEKNUM(Gastos[[#This Row],[Fecha_Cheque]]),MID(Gastos[[#This Row],[Semana]],6,2))</f>
        <v>33</v>
      </c>
      <c r="O1990" t="s">
        <v>1201</v>
      </c>
      <c r="P1990" t="s">
        <v>27</v>
      </c>
    </row>
    <row r="1991" spans="1:16" hidden="1" x14ac:dyDescent="0.25">
      <c r="A1991" s="3" t="s">
        <v>114</v>
      </c>
      <c r="B1991" t="s">
        <v>1196</v>
      </c>
      <c r="C1991" t="s">
        <v>1200</v>
      </c>
      <c r="D1991" t="s">
        <v>26</v>
      </c>
      <c r="E1991" t="s">
        <v>31</v>
      </c>
      <c r="F1991">
        <v>1</v>
      </c>
      <c r="G1991" s="3" t="s">
        <v>32</v>
      </c>
      <c r="H1991" s="46" t="s">
        <v>15</v>
      </c>
      <c r="I1991" s="17">
        <v>642749.36</v>
      </c>
      <c r="J1991" s="17">
        <f>IF(Gastos[[#This Row],[Divisa]]="$", I1991*1, IF(Gastos[[#This Row],[Divisa]]="U$D", I1991*$N$1, IF(Gastos[[#This Row],[Divisa]]="EUR", I1991*$N$2, 0)))</f>
        <v>642749.36</v>
      </c>
      <c r="K1991" s="54">
        <f>Gastos[[#This Row],[Importe AR$]]/$N$1</f>
        <v>412.01882051282053</v>
      </c>
      <c r="L1991" t="s">
        <v>1199</v>
      </c>
      <c r="M1991" s="69">
        <v>45915</v>
      </c>
      <c r="N1991" s="43">
        <f>IF(Gastos[[#This Row],[Fecha_Cheque]]&gt;0,WEEKNUM(Gastos[[#This Row],[Fecha_Cheque]]),MID(Gastos[[#This Row],[Semana]],6,2))</f>
        <v>38</v>
      </c>
      <c r="O1991" t="s">
        <v>1201</v>
      </c>
      <c r="P1991" t="s">
        <v>27</v>
      </c>
    </row>
    <row r="1992" spans="1:16" hidden="1" x14ac:dyDescent="0.25">
      <c r="A1992" s="3" t="s">
        <v>305</v>
      </c>
      <c r="B1992" t="s">
        <v>1196</v>
      </c>
      <c r="C1992" t="s">
        <v>1202</v>
      </c>
      <c r="D1992" t="s">
        <v>26</v>
      </c>
      <c r="E1992" t="s">
        <v>31</v>
      </c>
      <c r="F1992">
        <v>1</v>
      </c>
      <c r="G1992" s="3" t="s">
        <v>32</v>
      </c>
      <c r="H1992" s="46" t="s">
        <v>15</v>
      </c>
      <c r="I1992" s="17">
        <v>77494.05</v>
      </c>
      <c r="J1992" s="17">
        <f>IF(Gastos[[#This Row],[Divisa]]="$", I1992*1, IF(Gastos[[#This Row],[Divisa]]="U$D", I1992*$N$1, IF(Gastos[[#This Row],[Divisa]]="EUR", I1992*$N$2, 0)))</f>
        <v>77494.05</v>
      </c>
      <c r="K1992" s="54">
        <f>Gastos[[#This Row],[Importe AR$]]/$N$1</f>
        <v>49.675673076923076</v>
      </c>
      <c r="M1992" s="69">
        <v>45900</v>
      </c>
      <c r="N1992" s="43">
        <f>IF(Gastos[[#This Row],[Fecha_Cheque]]&gt;0,WEEKNUM(Gastos[[#This Row],[Fecha_Cheque]]),MID(Gastos[[#This Row],[Semana]],6,2))</f>
        <v>36</v>
      </c>
      <c r="O1992" t="s">
        <v>1203</v>
      </c>
      <c r="P1992" t="s">
        <v>27</v>
      </c>
    </row>
    <row r="1993" spans="1:16" hidden="1" x14ac:dyDescent="0.25">
      <c r="A1993" s="3" t="s">
        <v>305</v>
      </c>
      <c r="B1993" t="s">
        <v>1196</v>
      </c>
      <c r="C1993" t="s">
        <v>1202</v>
      </c>
      <c r="D1993" t="s">
        <v>26</v>
      </c>
      <c r="E1993" t="s">
        <v>31</v>
      </c>
      <c r="F1993">
        <v>1</v>
      </c>
      <c r="G1993" s="3" t="s">
        <v>32</v>
      </c>
      <c r="H1993" s="46" t="s">
        <v>15</v>
      </c>
      <c r="I1993" s="17">
        <v>77494.039999999994</v>
      </c>
      <c r="J1993" s="17">
        <f>IF(Gastos[[#This Row],[Divisa]]="$", I1993*1, IF(Gastos[[#This Row],[Divisa]]="U$D", I1993*$N$1, IF(Gastos[[#This Row],[Divisa]]="EUR", I1993*$N$2, 0)))</f>
        <v>77494.039999999994</v>
      </c>
      <c r="K1993" s="54">
        <f>Gastos[[#This Row],[Importe AR$]]/$N$1</f>
        <v>49.675666666666665</v>
      </c>
      <c r="M1993" s="69">
        <v>45930</v>
      </c>
      <c r="N1993" s="43">
        <f>IF(Gastos[[#This Row],[Fecha_Cheque]]&gt;0,WEEKNUM(Gastos[[#This Row],[Fecha_Cheque]]),MID(Gastos[[#This Row],[Semana]],6,2))</f>
        <v>40</v>
      </c>
      <c r="O1993" t="s">
        <v>1203</v>
      </c>
      <c r="P1993" t="s">
        <v>27</v>
      </c>
    </row>
    <row r="1994" spans="1:16" hidden="1" x14ac:dyDescent="0.25">
      <c r="A1994" s="3" t="s">
        <v>171</v>
      </c>
      <c r="B1994" t="s">
        <v>1196</v>
      </c>
      <c r="C1994" t="s">
        <v>1204</v>
      </c>
      <c r="D1994" t="s">
        <v>26</v>
      </c>
      <c r="E1994" t="s">
        <v>31</v>
      </c>
      <c r="F1994">
        <v>1</v>
      </c>
      <c r="G1994" s="3" t="s">
        <v>32</v>
      </c>
      <c r="H1994" s="46" t="s">
        <v>15</v>
      </c>
      <c r="I1994" s="17">
        <v>747428.03</v>
      </c>
      <c r="J1994" s="17">
        <f>IF(Gastos[[#This Row],[Divisa]]="$", I1994*1, IF(Gastos[[#This Row],[Divisa]]="U$D", I1994*$N$1, IF(Gastos[[#This Row],[Divisa]]="EUR", I1994*$N$2, 0)))</f>
        <v>747428.03</v>
      </c>
      <c r="K1994" s="54">
        <f>Gastos[[#This Row],[Importe AR$]]/$N$1</f>
        <v>479.12053205128205</v>
      </c>
      <c r="M1994" s="69">
        <v>45946</v>
      </c>
      <c r="N1994" s="43">
        <f>IF(Gastos[[#This Row],[Fecha_Cheque]]&gt;0,WEEKNUM(Gastos[[#This Row],[Fecha_Cheque]]),MID(Gastos[[#This Row],[Semana]],6,2))</f>
        <v>42</v>
      </c>
      <c r="O1994" t="s">
        <v>1205</v>
      </c>
      <c r="P1994" t="s">
        <v>27</v>
      </c>
    </row>
    <row r="1995" spans="1:16" hidden="1" x14ac:dyDescent="0.25">
      <c r="A1995" s="3" t="s">
        <v>171</v>
      </c>
      <c r="B1995" t="s">
        <v>1196</v>
      </c>
      <c r="C1995" t="s">
        <v>1204</v>
      </c>
      <c r="D1995" t="s">
        <v>26</v>
      </c>
      <c r="E1995" t="s">
        <v>31</v>
      </c>
      <c r="F1995">
        <v>1</v>
      </c>
      <c r="G1995" s="3" t="s">
        <v>32</v>
      </c>
      <c r="H1995" s="46" t="s">
        <v>15</v>
      </c>
      <c r="I1995" s="17">
        <v>747428.03</v>
      </c>
      <c r="J1995" s="17">
        <f>IF(Gastos[[#This Row],[Divisa]]="$", I1995*1, IF(Gastos[[#This Row],[Divisa]]="U$D", I1995*$N$1, IF(Gastos[[#This Row],[Divisa]]="EUR", I1995*$N$2, 0)))</f>
        <v>747428.03</v>
      </c>
      <c r="K1995" s="54">
        <f>Gastos[[#This Row],[Importe AR$]]/$N$1</f>
        <v>479.12053205128205</v>
      </c>
      <c r="M1995" s="69">
        <v>45977</v>
      </c>
      <c r="N1995" s="43">
        <f>IF(Gastos[[#This Row],[Fecha_Cheque]]&gt;0,WEEKNUM(Gastos[[#This Row],[Fecha_Cheque]]),MID(Gastos[[#This Row],[Semana]],6,2))</f>
        <v>47</v>
      </c>
      <c r="O1995" t="s">
        <v>1205</v>
      </c>
      <c r="P1995" t="s">
        <v>27</v>
      </c>
    </row>
    <row r="1996" spans="1:16" hidden="1" x14ac:dyDescent="0.25">
      <c r="A1996" s="3" t="s">
        <v>416</v>
      </c>
      <c r="B1996" t="s">
        <v>1196</v>
      </c>
      <c r="C1996" t="s">
        <v>1206</v>
      </c>
      <c r="D1996" t="s">
        <v>26</v>
      </c>
      <c r="E1996" t="s">
        <v>31</v>
      </c>
      <c r="F1996">
        <v>1</v>
      </c>
      <c r="G1996" s="3" t="s">
        <v>32</v>
      </c>
      <c r="H1996" s="46" t="s">
        <v>15</v>
      </c>
      <c r="I1996" s="17">
        <v>207000</v>
      </c>
      <c r="J1996" s="17">
        <f>IF(Gastos[[#This Row],[Divisa]]="$", I1996*1, IF(Gastos[[#This Row],[Divisa]]="U$D", I1996*$N$1, IF(Gastos[[#This Row],[Divisa]]="EUR", I1996*$N$2, 0)))</f>
        <v>207000</v>
      </c>
      <c r="K1996" s="54">
        <f>Gastos[[#This Row],[Importe AR$]]/$N$1</f>
        <v>132.69230769230768</v>
      </c>
      <c r="M1996" s="69"/>
      <c r="N1996" s="43" t="str">
        <f>IF(Gastos[[#This Row],[Fecha_Cheque]]&gt;0,WEEKNUM(Gastos[[#This Row],[Fecha_Cheque]]),MID(Gastos[[#This Row],[Semana]],6,2))</f>
        <v>52</v>
      </c>
      <c r="O1996" t="s">
        <v>1207</v>
      </c>
      <c r="P1996" t="s">
        <v>27</v>
      </c>
    </row>
    <row r="1997" spans="1:16" hidden="1" x14ac:dyDescent="0.25">
      <c r="A1997" s="3" t="s">
        <v>206</v>
      </c>
      <c r="B1997" t="s">
        <v>1196</v>
      </c>
      <c r="C1997" t="s">
        <v>1208</v>
      </c>
      <c r="D1997" t="s">
        <v>26</v>
      </c>
      <c r="E1997" t="s">
        <v>31</v>
      </c>
      <c r="F1997">
        <v>1</v>
      </c>
      <c r="G1997" s="3" t="s">
        <v>32</v>
      </c>
      <c r="H1997" s="46" t="s">
        <v>15</v>
      </c>
      <c r="I1997" s="17">
        <f>95227.45+328365.76</f>
        <v>423593.21</v>
      </c>
      <c r="J1997" s="17">
        <f>IF(Gastos[[#This Row],[Divisa]]="$", I1997*1, IF(Gastos[[#This Row],[Divisa]]="U$D", I1997*$N$1, IF(Gastos[[#This Row],[Divisa]]="EUR", I1997*$N$2, 0)))</f>
        <v>423593.21</v>
      </c>
      <c r="K1997" s="54">
        <f>Gastos[[#This Row],[Importe AR$]]/$N$1</f>
        <v>271.53410897435901</v>
      </c>
      <c r="L1997" t="s">
        <v>277</v>
      </c>
      <c r="M1997" s="69">
        <v>46088</v>
      </c>
      <c r="N1997" s="43">
        <f>IF(Gastos[[#This Row],[Fecha_Cheque]]&gt;0,WEEKNUM(Gastos[[#This Row],[Fecha_Cheque]]),MID(Gastos[[#This Row],[Semana]],6,2))</f>
        <v>10</v>
      </c>
      <c r="O1997" t="s">
        <v>1209</v>
      </c>
      <c r="P1997" t="s">
        <v>27</v>
      </c>
    </row>
    <row r="1998" spans="1:16" hidden="1" x14ac:dyDescent="0.25">
      <c r="A1998" s="3" t="s">
        <v>188</v>
      </c>
      <c r="B1998" t="s">
        <v>1210</v>
      </c>
      <c r="C1998" t="s">
        <v>1211</v>
      </c>
      <c r="D1998" t="s">
        <v>26</v>
      </c>
      <c r="E1998" t="s">
        <v>31</v>
      </c>
      <c r="F1998">
        <v>1</v>
      </c>
      <c r="G1998" s="3" t="s">
        <v>5</v>
      </c>
      <c r="H1998" s="46" t="s">
        <v>15</v>
      </c>
      <c r="I1998" s="17">
        <v>145056.29</v>
      </c>
      <c r="J1998" s="17">
        <f>IF(Gastos[[#This Row],[Divisa]]="$", I1998*1, IF(Gastos[[#This Row],[Divisa]]="U$D", I1998*$N$1, IF(Gastos[[#This Row],[Divisa]]="EUR", I1998*$N$2, 0)))</f>
        <v>145056.29</v>
      </c>
      <c r="K1998" s="54">
        <f>Gastos[[#This Row],[Importe AR$]]/$N$1</f>
        <v>92.984801282051293</v>
      </c>
      <c r="M1998" s="69"/>
      <c r="N1998" s="43" t="str">
        <f>IF(Gastos[[#This Row],[Fecha_Cheque]]&gt;0,WEEKNUM(Gastos[[#This Row],[Fecha_Cheque]]),MID(Gastos[[#This Row],[Semana]],6,2))</f>
        <v>19</v>
      </c>
      <c r="O1998" t="s">
        <v>1212</v>
      </c>
      <c r="P1998" t="s">
        <v>27</v>
      </c>
    </row>
    <row r="1999" spans="1:16" hidden="1" x14ac:dyDescent="0.25">
      <c r="A1999" s="3" t="s">
        <v>305</v>
      </c>
      <c r="B1999" t="s">
        <v>1210</v>
      </c>
      <c r="C1999" t="s">
        <v>1213</v>
      </c>
      <c r="D1999" t="s">
        <v>26</v>
      </c>
      <c r="E1999" t="s">
        <v>42</v>
      </c>
      <c r="F1999">
        <v>1</v>
      </c>
      <c r="G1999" s="3" t="s">
        <v>4</v>
      </c>
      <c r="H1999" s="46" t="s">
        <v>15</v>
      </c>
      <c r="I1999" s="17">
        <v>24600</v>
      </c>
      <c r="J1999" s="17">
        <f>IF(Gastos[[#This Row],[Divisa]]="$", I1999*1, IF(Gastos[[#This Row],[Divisa]]="U$D", I1999*$N$1, IF(Gastos[[#This Row],[Divisa]]="EUR", I1999*$N$2, 0)))</f>
        <v>24600</v>
      </c>
      <c r="K1999" s="54">
        <f>Gastos[[#This Row],[Importe AR$]]/$N$1</f>
        <v>15.76923076923077</v>
      </c>
      <c r="M1999" s="69"/>
      <c r="N1999" s="43" t="str">
        <f>IF(Gastos[[#This Row],[Fecha_Cheque]]&gt;0,WEEKNUM(Gastos[[#This Row],[Fecha_Cheque]]),MID(Gastos[[#This Row],[Semana]],6,2))</f>
        <v>31</v>
      </c>
      <c r="O1999" t="s">
        <v>1214</v>
      </c>
      <c r="P1999" t="s">
        <v>27</v>
      </c>
    </row>
    <row r="2000" spans="1:16" hidden="1" x14ac:dyDescent="0.25">
      <c r="A2000" s="3" t="s">
        <v>2740</v>
      </c>
      <c r="B2000" t="s">
        <v>2930</v>
      </c>
      <c r="C2000" t="s">
        <v>1948</v>
      </c>
      <c r="D2000" t="s">
        <v>26</v>
      </c>
      <c r="E2000" t="s">
        <v>42</v>
      </c>
      <c r="F2000">
        <v>1</v>
      </c>
      <c r="G2000" s="3" t="s">
        <v>4</v>
      </c>
      <c r="H2000" s="44" t="s">
        <v>15</v>
      </c>
      <c r="I2000" s="17">
        <v>54037.46</v>
      </c>
      <c r="J2000" s="17">
        <f>IF(Gastos[[#This Row],[Divisa]]="$", I2000*1, IF(Gastos[[#This Row],[Divisa]]="U$D", I2000*$N$1, IF(Gastos[[#This Row],[Divisa]]="EUR", I2000*$N$2, 0)))</f>
        <v>54037.46</v>
      </c>
      <c r="K2000" s="54">
        <f>Gastos[[#This Row],[Importe AR$]]/$N$1</f>
        <v>34.639397435897436</v>
      </c>
      <c r="M2000" s="69"/>
      <c r="N2000" s="43" t="str">
        <f>IF(Gastos[[#This Row],[Fecha_Cheque]]&gt;0,WEEKNUM(Gastos[[#This Row],[Fecha_Cheque]]),MID(Gastos[[#This Row],[Semana]],6,2))</f>
        <v>16</v>
      </c>
      <c r="O2000" t="s">
        <v>2931</v>
      </c>
      <c r="P2000" t="s">
        <v>27</v>
      </c>
    </row>
    <row r="2001" spans="1:16" hidden="1" x14ac:dyDescent="0.25">
      <c r="A2001" s="3" t="s">
        <v>2731</v>
      </c>
      <c r="B2001" t="s">
        <v>2930</v>
      </c>
      <c r="C2001" t="s">
        <v>1948</v>
      </c>
      <c r="D2001" t="s">
        <v>26</v>
      </c>
      <c r="E2001" t="s">
        <v>42</v>
      </c>
      <c r="F2001">
        <v>1</v>
      </c>
      <c r="G2001" s="3" t="s">
        <v>4</v>
      </c>
      <c r="H2001" s="44" t="s">
        <v>15</v>
      </c>
      <c r="I2001" s="17">
        <v>4599.9799999999996</v>
      </c>
      <c r="J2001" s="17">
        <f>IF(Gastos[[#This Row],[Divisa]]="$", I2001*1, IF(Gastos[[#This Row],[Divisa]]="U$D", I2001*$N$1, IF(Gastos[[#This Row],[Divisa]]="EUR", I2001*$N$2, 0)))</f>
        <v>4599.9799999999996</v>
      </c>
      <c r="K2001" s="54">
        <f>Gastos[[#This Row],[Importe AR$]]/$N$1</f>
        <v>2.9487051282051278</v>
      </c>
      <c r="M2001" s="69"/>
      <c r="N2001" s="43" t="str">
        <f>IF(Gastos[[#This Row],[Fecha_Cheque]]&gt;0,WEEKNUM(Gastos[[#This Row],[Fecha_Cheque]]),MID(Gastos[[#This Row],[Semana]],6,2))</f>
        <v>17</v>
      </c>
      <c r="O2001" t="s">
        <v>2989</v>
      </c>
      <c r="P2001" t="s">
        <v>27</v>
      </c>
    </row>
    <row r="2002" spans="1:16" hidden="1" x14ac:dyDescent="0.25">
      <c r="A2002" s="3" t="s">
        <v>2763</v>
      </c>
      <c r="B2002" t="s">
        <v>2930</v>
      </c>
      <c r="C2002" t="s">
        <v>3281</v>
      </c>
      <c r="D2002" t="s">
        <v>26</v>
      </c>
      <c r="E2002" t="s">
        <v>42</v>
      </c>
      <c r="F2002">
        <v>1</v>
      </c>
      <c r="G2002" s="3" t="s">
        <v>4</v>
      </c>
      <c r="H2002" s="44" t="s">
        <v>15</v>
      </c>
      <c r="I2002" s="17">
        <v>15200.06</v>
      </c>
      <c r="J2002" s="17">
        <f>IF(Gastos[[#This Row],[Divisa]]="$", I2002*1, IF(Gastos[[#This Row],[Divisa]]="U$D", I2002*$N$1, IF(Gastos[[#This Row],[Divisa]]="EUR", I2002*$N$2, 0)))</f>
        <v>15200.06</v>
      </c>
      <c r="K2002" s="54">
        <f>Gastos[[#This Row],[Importe AR$]]/$N$1</f>
        <v>9.7436282051282053</v>
      </c>
      <c r="M2002" s="69"/>
      <c r="N2002" s="43" t="str">
        <f>IF(Gastos[[#This Row],[Fecha_Cheque]]&gt;0,WEEKNUM(Gastos[[#This Row],[Fecha_Cheque]]),MID(Gastos[[#This Row],[Semana]],6,2))</f>
        <v>23</v>
      </c>
      <c r="O2002" t="s">
        <v>3282</v>
      </c>
      <c r="P2002" t="s">
        <v>27</v>
      </c>
    </row>
    <row r="2003" spans="1:16" hidden="1" x14ac:dyDescent="0.25">
      <c r="A2003" s="3" t="s">
        <v>2763</v>
      </c>
      <c r="B2003" t="s">
        <v>2930</v>
      </c>
      <c r="C2003" t="s">
        <v>3283</v>
      </c>
      <c r="D2003" t="s">
        <v>26</v>
      </c>
      <c r="E2003" t="s">
        <v>42</v>
      </c>
      <c r="F2003">
        <v>1</v>
      </c>
      <c r="G2003" s="3" t="s">
        <v>4</v>
      </c>
      <c r="H2003" s="44" t="s">
        <v>15</v>
      </c>
      <c r="I2003" s="17">
        <v>17599.96</v>
      </c>
      <c r="J2003" s="17">
        <f>IF(Gastos[[#This Row],[Divisa]]="$", I2003*1, IF(Gastos[[#This Row],[Divisa]]="U$D", I2003*$N$1, IF(Gastos[[#This Row],[Divisa]]="EUR", I2003*$N$2, 0)))</f>
        <v>17599.96</v>
      </c>
      <c r="K2003" s="54">
        <f>Gastos[[#This Row],[Importe AR$]]/$N$1</f>
        <v>11.282025641025641</v>
      </c>
      <c r="M2003" s="69"/>
      <c r="N2003" s="43" t="str">
        <f>IF(Gastos[[#This Row],[Fecha_Cheque]]&gt;0,WEEKNUM(Gastos[[#This Row],[Fecha_Cheque]]),MID(Gastos[[#This Row],[Semana]],6,2))</f>
        <v>23</v>
      </c>
      <c r="O2003" t="s">
        <v>3284</v>
      </c>
      <c r="P2003" t="s">
        <v>27</v>
      </c>
    </row>
    <row r="2004" spans="1:16" hidden="1" x14ac:dyDescent="0.25">
      <c r="A2004" s="3" t="s">
        <v>2726</v>
      </c>
      <c r="B2004" t="s">
        <v>2930</v>
      </c>
      <c r="C2004" t="s">
        <v>1948</v>
      </c>
      <c r="D2004" t="s">
        <v>26</v>
      </c>
      <c r="E2004" t="s">
        <v>42</v>
      </c>
      <c r="F2004">
        <v>1</v>
      </c>
      <c r="G2004" s="3" t="s">
        <v>4</v>
      </c>
      <c r="H2004" s="44" t="s">
        <v>15</v>
      </c>
      <c r="I2004" s="17">
        <v>38965.39</v>
      </c>
      <c r="J2004" s="17">
        <f>IF(Gastos[[#This Row],[Divisa]]="$", I2004*1, IF(Gastos[[#This Row],[Divisa]]="U$D", I2004*$N$1, IF(Gastos[[#This Row],[Divisa]]="EUR", I2004*$N$2, 0)))</f>
        <v>38965.39</v>
      </c>
      <c r="K2004" s="54">
        <f>Gastos[[#This Row],[Importe AR$]]/$N$1</f>
        <v>24.977814102564103</v>
      </c>
      <c r="M2004" s="69"/>
      <c r="N2004" s="43" t="str">
        <f>IF(Gastos[[#This Row],[Fecha_Cheque]]&gt;0,WEEKNUM(Gastos[[#This Row],[Fecha_Cheque]]),MID(Gastos[[#This Row],[Semana]],6,2))</f>
        <v>24</v>
      </c>
      <c r="O2004" t="s">
        <v>3320</v>
      </c>
      <c r="P2004" t="s">
        <v>27</v>
      </c>
    </row>
    <row r="2005" spans="1:16" hidden="1" x14ac:dyDescent="0.25">
      <c r="A2005" s="3" t="s">
        <v>3439</v>
      </c>
      <c r="B2005" t="s">
        <v>2930</v>
      </c>
      <c r="C2005" t="s">
        <v>1948</v>
      </c>
      <c r="D2005" t="s">
        <v>26</v>
      </c>
      <c r="E2005" t="s">
        <v>42</v>
      </c>
      <c r="F2005">
        <v>1</v>
      </c>
      <c r="G2005" s="3" t="s">
        <v>4</v>
      </c>
      <c r="H2005" s="44" t="s">
        <v>15</v>
      </c>
      <c r="I2005" s="17">
        <v>9736.5</v>
      </c>
      <c r="J2005" s="17">
        <f>IF(Gastos[[#This Row],[Divisa]]="$", I2005*1, IF(Gastos[[#This Row],[Divisa]]="U$D", I2005*$N$1, IF(Gastos[[#This Row],[Divisa]]="EUR", I2005*$N$2, 0)))</f>
        <v>9736.5</v>
      </c>
      <c r="K2005" s="54">
        <f>Gastos[[#This Row],[Importe AR$]]/$N$1</f>
        <v>6.2413461538461537</v>
      </c>
      <c r="M2005" s="69"/>
      <c r="N2005" s="43" t="str">
        <f>IF(Gastos[[#This Row],[Fecha_Cheque]]&gt;0,WEEKNUM(Gastos[[#This Row],[Fecha_Cheque]]),MID(Gastos[[#This Row],[Semana]],6,2))</f>
        <v>25</v>
      </c>
      <c r="O2005" t="s">
        <v>3525</v>
      </c>
      <c r="P2005" t="s">
        <v>27</v>
      </c>
    </row>
    <row r="2006" spans="1:16" hidden="1" x14ac:dyDescent="0.25">
      <c r="A2006" s="3" t="s">
        <v>3567</v>
      </c>
      <c r="B2006" t="s">
        <v>2930</v>
      </c>
      <c r="C2006" t="s">
        <v>1948</v>
      </c>
      <c r="D2006" t="s">
        <v>26</v>
      </c>
      <c r="E2006" t="s">
        <v>42</v>
      </c>
      <c r="F2006">
        <v>1</v>
      </c>
      <c r="G2006" s="3" t="s">
        <v>4</v>
      </c>
      <c r="H2006" s="44" t="s">
        <v>15</v>
      </c>
      <c r="I2006" s="17">
        <v>6927.47</v>
      </c>
      <c r="J2006" s="17">
        <f>IF(Gastos[[#This Row],[Divisa]]="$", I2006*1, IF(Gastos[[#This Row],[Divisa]]="U$D", I2006*$N$1, IF(Gastos[[#This Row],[Divisa]]="EUR", I2006*$N$2, 0)))</f>
        <v>6927.47</v>
      </c>
      <c r="K2006" s="54">
        <f>Gastos[[#This Row],[Importe AR$]]/$N$1</f>
        <v>4.4406858974358974</v>
      </c>
      <c r="M2006" s="69"/>
      <c r="N2006" s="43" t="str">
        <f>IF(Gastos[[#This Row],[Fecha_Cheque]]&gt;0,WEEKNUM(Gastos[[#This Row],[Fecha_Cheque]]),MID(Gastos[[#This Row],[Semana]],6,2))</f>
        <v>26</v>
      </c>
      <c r="O2006" t="s">
        <v>3572</v>
      </c>
      <c r="P2006" t="s">
        <v>27</v>
      </c>
    </row>
    <row r="2007" spans="1:16" hidden="1" x14ac:dyDescent="0.25">
      <c r="A2007" s="3" t="s">
        <v>3617</v>
      </c>
      <c r="B2007" t="s">
        <v>2930</v>
      </c>
      <c r="C2007" t="s">
        <v>3626</v>
      </c>
      <c r="D2007" t="s">
        <v>26</v>
      </c>
      <c r="E2007" t="s">
        <v>42</v>
      </c>
      <c r="F2007">
        <v>1</v>
      </c>
      <c r="G2007" s="3" t="s">
        <v>4</v>
      </c>
      <c r="H2007" s="44" t="s">
        <v>15</v>
      </c>
      <c r="I2007" s="17">
        <v>12060.5</v>
      </c>
      <c r="J2007" s="17">
        <f>IF(Gastos[[#This Row],[Divisa]]="$", I2007*1, IF(Gastos[[#This Row],[Divisa]]="U$D", I2007*$N$1, IF(Gastos[[#This Row],[Divisa]]="EUR", I2007*$N$2, 0)))</f>
        <v>12060.5</v>
      </c>
      <c r="K2007" s="54">
        <f>Gastos[[#This Row],[Importe AR$]]/$N$1</f>
        <v>7.7310897435897434</v>
      </c>
      <c r="M2007" s="69"/>
      <c r="N2007" s="43" t="str">
        <f>IF(Gastos[[#This Row],[Fecha_Cheque]]&gt;0,WEEKNUM(Gastos[[#This Row],[Fecha_Cheque]]),MID(Gastos[[#This Row],[Semana]],6,2))</f>
        <v>27</v>
      </c>
      <c r="O2007" t="s">
        <v>3627</v>
      </c>
      <c r="P2007" t="s">
        <v>27</v>
      </c>
    </row>
    <row r="2008" spans="1:16" hidden="1" x14ac:dyDescent="0.25">
      <c r="A2008" s="3" t="s">
        <v>3693</v>
      </c>
      <c r="B2008" t="s">
        <v>2930</v>
      </c>
      <c r="C2008" t="s">
        <v>1948</v>
      </c>
      <c r="D2008" t="s">
        <v>26</v>
      </c>
      <c r="E2008" t="s">
        <v>42</v>
      </c>
      <c r="F2008">
        <v>1</v>
      </c>
      <c r="G2008" s="3" t="s">
        <v>4</v>
      </c>
      <c r="H2008" s="44" t="s">
        <v>15</v>
      </c>
      <c r="I2008" s="17">
        <v>18999.91</v>
      </c>
      <c r="J2008" s="17">
        <f>IF(Gastos[[#This Row],[Divisa]]="$", I2008*1, IF(Gastos[[#This Row],[Divisa]]="U$D", I2008*$N$1, IF(Gastos[[#This Row],[Divisa]]="EUR", I2008*$N$2, 0)))</f>
        <v>18999.91</v>
      </c>
      <c r="K2008" s="54">
        <f>Gastos[[#This Row],[Importe AR$]]/$N$1</f>
        <v>12.179429487179487</v>
      </c>
      <c r="M2008" s="69"/>
      <c r="N2008" s="43" t="str">
        <f>IF(Gastos[[#This Row],[Fecha_Cheque]]&gt;0,WEEKNUM(Gastos[[#This Row],[Fecha_Cheque]]),MID(Gastos[[#This Row],[Semana]],6,2))</f>
        <v>28</v>
      </c>
      <c r="O2008" t="s">
        <v>3727</v>
      </c>
      <c r="P2008" t="s">
        <v>27</v>
      </c>
    </row>
    <row r="2009" spans="1:16" hidden="1" x14ac:dyDescent="0.25">
      <c r="A2009" s="3" t="s">
        <v>4211</v>
      </c>
      <c r="B2009" t="s">
        <v>2930</v>
      </c>
      <c r="C2009" t="s">
        <v>4236</v>
      </c>
      <c r="D2009" t="s">
        <v>26</v>
      </c>
      <c r="E2009" t="s">
        <v>42</v>
      </c>
      <c r="F2009">
        <v>1</v>
      </c>
      <c r="G2009" s="3" t="s">
        <v>4</v>
      </c>
      <c r="H2009" s="44" t="s">
        <v>15</v>
      </c>
      <c r="I2009" s="17">
        <v>3999.95</v>
      </c>
      <c r="J2009" s="17">
        <f>IF(Gastos[[#This Row],[Divisa]]="$", I2009*1, IF(Gastos[[#This Row],[Divisa]]="U$D", I2009*$N$1, IF(Gastos[[#This Row],[Divisa]]="EUR", I2009*$N$2, 0)))</f>
        <v>3999.95</v>
      </c>
      <c r="K2009" s="54">
        <f>Gastos[[#This Row],[Importe AR$]]/$N$1</f>
        <v>2.5640705128205128</v>
      </c>
      <c r="M2009" s="69"/>
      <c r="N2009" s="43" t="str">
        <f>IF(Gastos[[#This Row],[Fecha_Cheque]]&gt;0,WEEKNUM(Gastos[[#This Row],[Fecha_Cheque]]),MID(Gastos[[#This Row],[Semana]],6,2))</f>
        <v>37</v>
      </c>
      <c r="O2009" t="s">
        <v>4237</v>
      </c>
      <c r="P2009" t="s">
        <v>27</v>
      </c>
    </row>
    <row r="2010" spans="1:16" hidden="1" x14ac:dyDescent="0.25">
      <c r="A2010" s="3" t="s">
        <v>4374</v>
      </c>
      <c r="B2010" t="s">
        <v>2930</v>
      </c>
      <c r="C2010" t="s">
        <v>1948</v>
      </c>
      <c r="D2010" t="s">
        <v>26</v>
      </c>
      <c r="E2010" t="s">
        <v>42</v>
      </c>
      <c r="F2010">
        <v>1</v>
      </c>
      <c r="G2010" s="3" t="s">
        <v>4</v>
      </c>
      <c r="H2010" s="44" t="s">
        <v>15</v>
      </c>
      <c r="I2010" s="17">
        <v>27699.91</v>
      </c>
      <c r="J2010" s="17">
        <f>IF(Gastos[[#This Row],[Divisa]]="$", I2010*1, IF(Gastos[[#This Row],[Divisa]]="U$D", I2010*$N$1, IF(Gastos[[#This Row],[Divisa]]="EUR", I2010*$N$2, 0)))</f>
        <v>27699.91</v>
      </c>
      <c r="K2010" s="54">
        <f>Gastos[[#This Row],[Importe AR$]]/$N$1</f>
        <v>17.756352564102563</v>
      </c>
      <c r="M2010" s="69"/>
      <c r="N2010" s="43" t="str">
        <f>IF(Gastos[[#This Row],[Fecha_Cheque]]&gt;0,WEEKNUM(Gastos[[#This Row],[Fecha_Cheque]]),MID(Gastos[[#This Row],[Semana]],6,2))</f>
        <v>39</v>
      </c>
      <c r="O2010" t="s">
        <v>4387</v>
      </c>
      <c r="P2010" t="s">
        <v>27</v>
      </c>
    </row>
    <row r="2011" spans="1:16" hidden="1" x14ac:dyDescent="0.25">
      <c r="A2011" s="3" t="s">
        <v>122</v>
      </c>
      <c r="B2011" t="s">
        <v>1215</v>
      </c>
      <c r="D2011" t="s">
        <v>26</v>
      </c>
      <c r="E2011" t="s">
        <v>31</v>
      </c>
      <c r="F2011">
        <v>2</v>
      </c>
      <c r="G2011" s="3" t="s">
        <v>32</v>
      </c>
      <c r="H2011" s="46" t="s">
        <v>15</v>
      </c>
      <c r="I2011" s="17">
        <v>1000000</v>
      </c>
      <c r="J2011" s="17">
        <f>IF(Gastos[[#This Row],[Divisa]]="$", I2011*1, IF(Gastos[[#This Row],[Divisa]]="U$D", I2011*$N$1, IF(Gastos[[#This Row],[Divisa]]="EUR", I2011*$N$2, 0)))</f>
        <v>1000000</v>
      </c>
      <c r="K2011" s="54">
        <f>Gastos[[#This Row],[Importe AR$]]/$N$1</f>
        <v>641.02564102564099</v>
      </c>
      <c r="M2011" s="69">
        <v>45941</v>
      </c>
      <c r="N2011" s="43">
        <f>IF(Gastos[[#This Row],[Fecha_Cheque]]&gt;0,WEEKNUM(Gastos[[#This Row],[Fecha_Cheque]]),MID(Gastos[[#This Row],[Semana]],6,2))</f>
        <v>41</v>
      </c>
      <c r="O2011" t="s">
        <v>1216</v>
      </c>
      <c r="P2011" t="s">
        <v>27</v>
      </c>
    </row>
    <row r="2012" spans="1:16" hidden="1" x14ac:dyDescent="0.25">
      <c r="A2012" s="3" t="s">
        <v>130</v>
      </c>
      <c r="B2012" t="s">
        <v>1215</v>
      </c>
      <c r="C2012" t="s">
        <v>1217</v>
      </c>
      <c r="D2012" t="s">
        <v>61</v>
      </c>
      <c r="E2012" t="s">
        <v>31</v>
      </c>
      <c r="F2012">
        <v>2</v>
      </c>
      <c r="G2012" s="3" t="s">
        <v>32</v>
      </c>
      <c r="H2012" s="46" t="s">
        <v>15</v>
      </c>
      <c r="I2012" s="17">
        <v>169340</v>
      </c>
      <c r="J2012" s="17">
        <f>IF(Gastos[[#This Row],[Divisa]]="$", I2012*1, IF(Gastos[[#This Row],[Divisa]]="U$D", I2012*$N$1, IF(Gastos[[#This Row],[Divisa]]="EUR", I2012*$N$2, 0)))</f>
        <v>169340</v>
      </c>
      <c r="K2012" s="54">
        <f>Gastos[[#This Row],[Importe AR$]]/$N$1</f>
        <v>108.55128205128206</v>
      </c>
      <c r="M2012" s="69">
        <v>45979</v>
      </c>
      <c r="N2012" s="43">
        <f>IF(Gastos[[#This Row],[Fecha_Cheque]]&gt;0,WEEKNUM(Gastos[[#This Row],[Fecha_Cheque]]),MID(Gastos[[#This Row],[Semana]],6,2))</f>
        <v>47</v>
      </c>
      <c r="O2012" t="s">
        <v>1218</v>
      </c>
      <c r="P2012" t="s">
        <v>27</v>
      </c>
    </row>
    <row r="2013" spans="1:16" hidden="1" x14ac:dyDescent="0.25">
      <c r="A2013" s="3" t="s">
        <v>130</v>
      </c>
      <c r="B2013" t="s">
        <v>1215</v>
      </c>
      <c r="C2013" t="s">
        <v>1217</v>
      </c>
      <c r="D2013" t="s">
        <v>61</v>
      </c>
      <c r="E2013" t="s">
        <v>31</v>
      </c>
      <c r="F2013">
        <v>2</v>
      </c>
      <c r="G2013" s="3" t="s">
        <v>32</v>
      </c>
      <c r="H2013" s="46" t="s">
        <v>15</v>
      </c>
      <c r="I2013" s="17">
        <v>389459.78</v>
      </c>
      <c r="J2013" s="17">
        <f>IF(Gastos[[#This Row],[Divisa]]="$", I2013*1, IF(Gastos[[#This Row],[Divisa]]="U$D", I2013*$N$1, IF(Gastos[[#This Row],[Divisa]]="EUR", I2013*$N$2, 0)))</f>
        <v>389459.78</v>
      </c>
      <c r="K2013" s="54">
        <f>Gastos[[#This Row],[Importe AR$]]/$N$1</f>
        <v>249.65370512820513</v>
      </c>
      <c r="M2013" s="69">
        <v>45954</v>
      </c>
      <c r="N2013" s="43">
        <f>IF(Gastos[[#This Row],[Fecha_Cheque]]&gt;0,WEEKNUM(Gastos[[#This Row],[Fecha_Cheque]]),MID(Gastos[[#This Row],[Semana]],6,2))</f>
        <v>43</v>
      </c>
      <c r="O2013" t="s">
        <v>1218</v>
      </c>
      <c r="P2013" t="s">
        <v>27</v>
      </c>
    </row>
    <row r="2014" spans="1:16" hidden="1" x14ac:dyDescent="0.25">
      <c r="A2014" s="3" t="s">
        <v>130</v>
      </c>
      <c r="B2014" t="s">
        <v>1215</v>
      </c>
      <c r="C2014" t="s">
        <v>1217</v>
      </c>
      <c r="D2014" t="s">
        <v>61</v>
      </c>
      <c r="E2014" t="s">
        <v>31</v>
      </c>
      <c r="F2014">
        <v>2</v>
      </c>
      <c r="G2014" s="3" t="s">
        <v>32</v>
      </c>
      <c r="H2014" s="46" t="s">
        <v>15</v>
      </c>
      <c r="I2014" s="17">
        <v>449200</v>
      </c>
      <c r="J2014" s="17">
        <f>IF(Gastos[[#This Row],[Divisa]]="$", I2014*1, IF(Gastos[[#This Row],[Divisa]]="U$D", I2014*$N$1, IF(Gastos[[#This Row],[Divisa]]="EUR", I2014*$N$2, 0)))</f>
        <v>449200</v>
      </c>
      <c r="K2014" s="54">
        <f>Gastos[[#This Row],[Importe AR$]]/$N$1</f>
        <v>287.94871794871796</v>
      </c>
      <c r="M2014" s="69">
        <v>46006</v>
      </c>
      <c r="N2014" s="43">
        <f>IF(Gastos[[#This Row],[Fecha_Cheque]]&gt;0,WEEKNUM(Gastos[[#This Row],[Fecha_Cheque]]),MID(Gastos[[#This Row],[Semana]],6,2))</f>
        <v>51</v>
      </c>
      <c r="O2014" t="s">
        <v>1218</v>
      </c>
      <c r="P2014" t="s">
        <v>27</v>
      </c>
    </row>
    <row r="2015" spans="1:16" hidden="1" x14ac:dyDescent="0.25">
      <c r="A2015" s="3" t="s">
        <v>130</v>
      </c>
      <c r="B2015" t="s">
        <v>1215</v>
      </c>
      <c r="C2015" t="s">
        <v>1217</v>
      </c>
      <c r="D2015" t="s">
        <v>61</v>
      </c>
      <c r="E2015" t="s">
        <v>31</v>
      </c>
      <c r="F2015">
        <v>2</v>
      </c>
      <c r="G2015" s="3" t="s">
        <v>4</v>
      </c>
      <c r="H2015" s="46" t="s">
        <v>15</v>
      </c>
      <c r="I2015" s="17">
        <v>246.07</v>
      </c>
      <c r="J2015" s="17">
        <f>IF(Gastos[[#This Row],[Divisa]]="$", I2015*1, IF(Gastos[[#This Row],[Divisa]]="U$D", I2015*$N$1, IF(Gastos[[#This Row],[Divisa]]="EUR", I2015*$N$2, 0)))</f>
        <v>246.07</v>
      </c>
      <c r="K2015" s="54">
        <f>Gastos[[#This Row],[Importe AR$]]/$N$1</f>
        <v>0.1577371794871795</v>
      </c>
      <c r="M2015" s="69"/>
      <c r="N2015" s="43" t="str">
        <f>IF(Gastos[[#This Row],[Fecha_Cheque]]&gt;0,WEEKNUM(Gastos[[#This Row],[Fecha_Cheque]]),MID(Gastos[[#This Row],[Semana]],6,2))</f>
        <v>45</v>
      </c>
      <c r="O2015" t="s">
        <v>1218</v>
      </c>
      <c r="P2015" t="s">
        <v>27</v>
      </c>
    </row>
    <row r="2016" spans="1:16" hidden="1" x14ac:dyDescent="0.25">
      <c r="A2016" s="3" t="s">
        <v>81</v>
      </c>
      <c r="B2016" t="s">
        <v>1215</v>
      </c>
      <c r="C2016" t="s">
        <v>1219</v>
      </c>
      <c r="D2016" t="s">
        <v>26</v>
      </c>
      <c r="E2016" t="s">
        <v>31</v>
      </c>
      <c r="F2016">
        <v>2</v>
      </c>
      <c r="G2016" s="3" t="s">
        <v>32</v>
      </c>
      <c r="H2016" s="46" t="s">
        <v>15</v>
      </c>
      <c r="I2016" s="17">
        <v>227958</v>
      </c>
      <c r="J2016" s="17">
        <f>IF(Gastos[[#This Row],[Divisa]]="$", I2016*1, IF(Gastos[[#This Row],[Divisa]]="U$D", I2016*$N$1, IF(Gastos[[#This Row],[Divisa]]="EUR", I2016*$N$2, 0)))</f>
        <v>227958</v>
      </c>
      <c r="K2016" s="54">
        <f>Gastos[[#This Row],[Importe AR$]]/$N$1</f>
        <v>146.12692307692308</v>
      </c>
      <c r="M2016" s="69">
        <v>45996</v>
      </c>
      <c r="N2016" s="43">
        <f>IF(Gastos[[#This Row],[Fecha_Cheque]]&gt;0,WEEKNUM(Gastos[[#This Row],[Fecha_Cheque]]),MID(Gastos[[#This Row],[Semana]],6,2))</f>
        <v>49</v>
      </c>
      <c r="O2016" t="s">
        <v>1220</v>
      </c>
      <c r="P2016" t="s">
        <v>27</v>
      </c>
    </row>
    <row r="2017" spans="1:16" hidden="1" x14ac:dyDescent="0.25">
      <c r="A2017" s="3" t="s">
        <v>81</v>
      </c>
      <c r="B2017" t="s">
        <v>1215</v>
      </c>
      <c r="C2017" t="s">
        <v>1219</v>
      </c>
      <c r="D2017" t="s">
        <v>26</v>
      </c>
      <c r="E2017" t="s">
        <v>31</v>
      </c>
      <c r="F2017">
        <v>2</v>
      </c>
      <c r="G2017" s="3" t="s">
        <v>32</v>
      </c>
      <c r="H2017" s="46" t="s">
        <v>15</v>
      </c>
      <c r="I2017" s="17">
        <v>480000</v>
      </c>
      <c r="J2017" s="17">
        <f>IF(Gastos[[#This Row],[Divisa]]="$", I2017*1, IF(Gastos[[#This Row],[Divisa]]="U$D", I2017*$N$1, IF(Gastos[[#This Row],[Divisa]]="EUR", I2017*$N$2, 0)))</f>
        <v>480000</v>
      </c>
      <c r="K2017" s="54">
        <f>Gastos[[#This Row],[Importe AR$]]/$N$1</f>
        <v>307.69230769230768</v>
      </c>
      <c r="M2017" s="69">
        <v>45985</v>
      </c>
      <c r="N2017" s="43">
        <f>IF(Gastos[[#This Row],[Fecha_Cheque]]&gt;0,WEEKNUM(Gastos[[#This Row],[Fecha_Cheque]]),MID(Gastos[[#This Row],[Semana]],6,2))</f>
        <v>48</v>
      </c>
      <c r="O2017" t="s">
        <v>1220</v>
      </c>
      <c r="P2017" t="s">
        <v>27</v>
      </c>
    </row>
    <row r="2018" spans="1:16" hidden="1" x14ac:dyDescent="0.25">
      <c r="A2018" s="3" t="s">
        <v>81</v>
      </c>
      <c r="B2018" t="s">
        <v>1215</v>
      </c>
      <c r="C2018" t="s">
        <v>1219</v>
      </c>
      <c r="D2018" t="s">
        <v>26</v>
      </c>
      <c r="E2018" t="s">
        <v>31</v>
      </c>
      <c r="F2018">
        <v>2</v>
      </c>
      <c r="G2018" s="3" t="s">
        <v>32</v>
      </c>
      <c r="H2018" s="46" t="s">
        <v>15</v>
      </c>
      <c r="I2018" s="17">
        <v>750000</v>
      </c>
      <c r="J2018" s="17">
        <f>IF(Gastos[[#This Row],[Divisa]]="$", I2018*1, IF(Gastos[[#This Row],[Divisa]]="U$D", I2018*$N$1, IF(Gastos[[#This Row],[Divisa]]="EUR", I2018*$N$2, 0)))</f>
        <v>750000</v>
      </c>
      <c r="K2018" s="54">
        <f>Gastos[[#This Row],[Importe AR$]]/$N$1</f>
        <v>480.76923076923077</v>
      </c>
      <c r="M2018" s="69">
        <v>45989</v>
      </c>
      <c r="N2018" s="43">
        <f>IF(Gastos[[#This Row],[Fecha_Cheque]]&gt;0,WEEKNUM(Gastos[[#This Row],[Fecha_Cheque]]),MID(Gastos[[#This Row],[Semana]],6,2))</f>
        <v>48</v>
      </c>
      <c r="O2018" t="s">
        <v>1220</v>
      </c>
      <c r="P2018" t="s">
        <v>27</v>
      </c>
    </row>
    <row r="2019" spans="1:16" hidden="1" x14ac:dyDescent="0.25">
      <c r="A2019" s="3" t="s">
        <v>416</v>
      </c>
      <c r="B2019" t="s">
        <v>1215</v>
      </c>
      <c r="C2019" t="s">
        <v>1221</v>
      </c>
      <c r="D2019" t="s">
        <v>26</v>
      </c>
      <c r="E2019" t="s">
        <v>62</v>
      </c>
      <c r="F2019">
        <v>2</v>
      </c>
      <c r="G2019" s="3" t="s">
        <v>32</v>
      </c>
      <c r="H2019" s="46" t="s">
        <v>15</v>
      </c>
      <c r="I2019" s="17">
        <v>1180000</v>
      </c>
      <c r="J2019" s="17">
        <f>IF(Gastos[[#This Row],[Divisa]]="$", I2019*1, IF(Gastos[[#This Row],[Divisa]]="U$D", I2019*$N$1, IF(Gastos[[#This Row],[Divisa]]="EUR", I2019*$N$2, 0)))</f>
        <v>1180000</v>
      </c>
      <c r="K2019" s="54">
        <f>Gastos[[#This Row],[Importe AR$]]/$N$1</f>
        <v>756.41025641025647</v>
      </c>
      <c r="M2019" s="69">
        <v>46008</v>
      </c>
      <c r="N2019" s="43">
        <f>IF(Gastos[[#This Row],[Fecha_Cheque]]&gt;0,WEEKNUM(Gastos[[#This Row],[Fecha_Cheque]]),MID(Gastos[[#This Row],[Semana]],6,2))</f>
        <v>51</v>
      </c>
      <c r="O2019" t="s">
        <v>1222</v>
      </c>
      <c r="P2019" t="s">
        <v>27</v>
      </c>
    </row>
    <row r="2020" spans="1:16" hidden="1" x14ac:dyDescent="0.25">
      <c r="A2020" s="3" t="s">
        <v>152</v>
      </c>
      <c r="B2020" t="s">
        <v>1215</v>
      </c>
      <c r="C2020" t="s">
        <v>1223</v>
      </c>
      <c r="D2020" t="s">
        <v>26</v>
      </c>
      <c r="E2020" t="s">
        <v>62</v>
      </c>
      <c r="F2020">
        <v>2</v>
      </c>
      <c r="G2020" s="3" t="s">
        <v>32</v>
      </c>
      <c r="H2020" s="46" t="s">
        <v>15</v>
      </c>
      <c r="I2020" s="17">
        <v>500000</v>
      </c>
      <c r="J2020" s="17">
        <f>IF(Gastos[[#This Row],[Divisa]]="$", I2020*1, IF(Gastos[[#This Row],[Divisa]]="U$D", I2020*$N$1, IF(Gastos[[#This Row],[Divisa]]="EUR", I2020*$N$2, 0)))</f>
        <v>500000</v>
      </c>
      <c r="K2020" s="54">
        <f>Gastos[[#This Row],[Importe AR$]]/$N$1</f>
        <v>320.5128205128205</v>
      </c>
      <c r="M2020" s="69">
        <v>46057</v>
      </c>
      <c r="N2020" s="43">
        <f>IF(Gastos[[#This Row],[Fecha_Cheque]]&gt;0,WEEKNUM(Gastos[[#This Row],[Fecha_Cheque]]),MID(Gastos[[#This Row],[Semana]],6,2))</f>
        <v>6</v>
      </c>
      <c r="O2020" t="s">
        <v>1224</v>
      </c>
      <c r="P2020" t="s">
        <v>27</v>
      </c>
    </row>
    <row r="2021" spans="1:16" hidden="1" x14ac:dyDescent="0.25">
      <c r="A2021" s="3" t="s">
        <v>152</v>
      </c>
      <c r="B2021" t="s">
        <v>1215</v>
      </c>
      <c r="C2021" t="s">
        <v>1223</v>
      </c>
      <c r="D2021" t="s">
        <v>26</v>
      </c>
      <c r="E2021" t="s">
        <v>62</v>
      </c>
      <c r="F2021">
        <v>2</v>
      </c>
      <c r="G2021" s="3" t="s">
        <v>32</v>
      </c>
      <c r="H2021" s="46" t="s">
        <v>15</v>
      </c>
      <c r="I2021" s="17">
        <v>300000</v>
      </c>
      <c r="J2021" s="17">
        <f>IF(Gastos[[#This Row],[Divisa]]="$", I2021*1, IF(Gastos[[#This Row],[Divisa]]="U$D", I2021*$N$1, IF(Gastos[[#This Row],[Divisa]]="EUR", I2021*$N$2, 0)))</f>
        <v>300000</v>
      </c>
      <c r="K2021" s="54">
        <f>Gastos[[#This Row],[Importe AR$]]/$N$1</f>
        <v>192.30769230769232</v>
      </c>
      <c r="M2021" s="69">
        <v>46052</v>
      </c>
      <c r="N2021" s="43">
        <f>IF(Gastos[[#This Row],[Fecha_Cheque]]&gt;0,WEEKNUM(Gastos[[#This Row],[Fecha_Cheque]]),MID(Gastos[[#This Row],[Semana]],6,2))</f>
        <v>5</v>
      </c>
      <c r="O2021" t="s">
        <v>1224</v>
      </c>
      <c r="P2021" t="s">
        <v>27</v>
      </c>
    </row>
    <row r="2022" spans="1:16" hidden="1" x14ac:dyDescent="0.25">
      <c r="A2022" s="3" t="s">
        <v>619</v>
      </c>
      <c r="B2022" t="s">
        <v>1215</v>
      </c>
      <c r="C2022" t="s">
        <v>1223</v>
      </c>
      <c r="D2022" t="s">
        <v>26</v>
      </c>
      <c r="E2022" t="s">
        <v>62</v>
      </c>
      <c r="F2022">
        <v>2</v>
      </c>
      <c r="G2022" s="3" t="s">
        <v>4</v>
      </c>
      <c r="H2022" s="46" t="s">
        <v>15</v>
      </c>
      <c r="I2022" s="17">
        <v>200000</v>
      </c>
      <c r="J2022" s="17">
        <f>IF(Gastos[[#This Row],[Divisa]]="$", I2022*1, IF(Gastos[[#This Row],[Divisa]]="U$D", I2022*$N$1, IF(Gastos[[#This Row],[Divisa]]="EUR", I2022*$N$2, 0)))</f>
        <v>200000</v>
      </c>
      <c r="K2022" s="54">
        <f>Gastos[[#This Row],[Importe AR$]]/$N$1</f>
        <v>128.2051282051282</v>
      </c>
      <c r="M2022" s="69"/>
      <c r="N2022" s="43" t="str">
        <f>IF(Gastos[[#This Row],[Fecha_Cheque]]&gt;0,WEEKNUM(Gastos[[#This Row],[Fecha_Cheque]]),MID(Gastos[[#This Row],[Semana]],6,2))</f>
        <v>10</v>
      </c>
      <c r="O2022" t="s">
        <v>1920</v>
      </c>
      <c r="P2022" t="s">
        <v>27</v>
      </c>
    </row>
    <row r="2023" spans="1:16" hidden="1" x14ac:dyDescent="0.25">
      <c r="A2023" s="3" t="s">
        <v>2711</v>
      </c>
      <c r="B2023" t="s">
        <v>1215</v>
      </c>
      <c r="C2023" t="s">
        <v>2880</v>
      </c>
      <c r="D2023" t="s">
        <v>26</v>
      </c>
      <c r="E2023" t="s">
        <v>42</v>
      </c>
      <c r="F2023">
        <v>2</v>
      </c>
      <c r="G2023" s="3" t="s">
        <v>4</v>
      </c>
      <c r="H2023" s="44" t="s">
        <v>15</v>
      </c>
      <c r="I2023" s="17">
        <v>200000</v>
      </c>
      <c r="J2023" s="17">
        <f>IF(Gastos[[#This Row],[Divisa]]="$", I2023*1, IF(Gastos[[#This Row],[Divisa]]="U$D", I2023*$N$1, IF(Gastos[[#This Row],[Divisa]]="EUR", I2023*$N$2, 0)))</f>
        <v>200000</v>
      </c>
      <c r="K2023" s="54">
        <f>Gastos[[#This Row],[Importe AR$]]/$N$1</f>
        <v>128.2051282051282</v>
      </c>
      <c r="M2023" s="69"/>
      <c r="N2023" s="43" t="str">
        <f>IF(Gastos[[#This Row],[Fecha_Cheque]]&gt;0,WEEKNUM(Gastos[[#This Row],[Fecha_Cheque]]),MID(Gastos[[#This Row],[Semana]],6,2))</f>
        <v>15</v>
      </c>
      <c r="O2023" t="s">
        <v>2881</v>
      </c>
      <c r="P2023" t="s">
        <v>27</v>
      </c>
    </row>
    <row r="2024" spans="1:16" hidden="1" x14ac:dyDescent="0.25">
      <c r="A2024" s="3" t="s">
        <v>2740</v>
      </c>
      <c r="B2024" t="s">
        <v>1215</v>
      </c>
      <c r="C2024" t="s">
        <v>2932</v>
      </c>
      <c r="D2024" t="s">
        <v>26</v>
      </c>
      <c r="E2024" t="s">
        <v>42</v>
      </c>
      <c r="F2024">
        <v>2</v>
      </c>
      <c r="G2024" s="3" t="s">
        <v>4</v>
      </c>
      <c r="H2024" s="44" t="s">
        <v>15</v>
      </c>
      <c r="I2024" s="17">
        <v>200000</v>
      </c>
      <c r="J2024" s="17">
        <f>IF(Gastos[[#This Row],[Divisa]]="$", I2024*1, IF(Gastos[[#This Row],[Divisa]]="U$D", I2024*$N$1, IF(Gastos[[#This Row],[Divisa]]="EUR", I2024*$N$2, 0)))</f>
        <v>200000</v>
      </c>
      <c r="K2024" s="54">
        <f>Gastos[[#This Row],[Importe AR$]]/$N$1</f>
        <v>128.2051282051282</v>
      </c>
      <c r="M2024" s="69"/>
      <c r="N2024" s="43" t="str">
        <f>IF(Gastos[[#This Row],[Fecha_Cheque]]&gt;0,WEEKNUM(Gastos[[#This Row],[Fecha_Cheque]]),MID(Gastos[[#This Row],[Semana]],6,2))</f>
        <v>16</v>
      </c>
      <c r="O2024" t="s">
        <v>2933</v>
      </c>
      <c r="P2024" t="s">
        <v>27</v>
      </c>
    </row>
    <row r="2025" spans="1:16" hidden="1" x14ac:dyDescent="0.25">
      <c r="A2025" s="3" t="s">
        <v>3882</v>
      </c>
      <c r="B2025" t="s">
        <v>1215</v>
      </c>
      <c r="D2025" t="s">
        <v>26</v>
      </c>
      <c r="E2025" t="s">
        <v>42</v>
      </c>
      <c r="F2025">
        <v>2</v>
      </c>
      <c r="G2025" s="3" t="s">
        <v>4</v>
      </c>
      <c r="H2025" s="44" t="s">
        <v>15</v>
      </c>
      <c r="I2025" s="17">
        <v>250000</v>
      </c>
      <c r="J2025" s="17">
        <f>IF(Gastos[[#This Row],[Divisa]]="$", I2025*1, IF(Gastos[[#This Row],[Divisa]]="U$D", I2025*$N$1, IF(Gastos[[#This Row],[Divisa]]="EUR", I2025*$N$2, 0)))</f>
        <v>250000</v>
      </c>
      <c r="K2025" s="54">
        <f>Gastos[[#This Row],[Importe AR$]]/$N$1</f>
        <v>160.25641025641025</v>
      </c>
      <c r="M2025" s="69"/>
      <c r="N2025" s="43" t="str">
        <f>IF(Gastos[[#This Row],[Fecha_Cheque]]&gt;0,WEEKNUM(Gastos[[#This Row],[Fecha_Cheque]]),MID(Gastos[[#This Row],[Semana]],6,2))</f>
        <v>31</v>
      </c>
      <c r="O2025" t="s">
        <v>3940</v>
      </c>
      <c r="P2025" t="s">
        <v>27</v>
      </c>
    </row>
    <row r="2026" spans="1:16" hidden="1" x14ac:dyDescent="0.25">
      <c r="A2026" s="3" t="s">
        <v>4157</v>
      </c>
      <c r="B2026" t="s">
        <v>1215</v>
      </c>
      <c r="C2026" t="s">
        <v>1688</v>
      </c>
      <c r="D2026" t="s">
        <v>26</v>
      </c>
      <c r="E2026" t="s">
        <v>42</v>
      </c>
      <c r="F2026">
        <v>2</v>
      </c>
      <c r="G2026" s="3" t="s">
        <v>4</v>
      </c>
      <c r="H2026" s="44" t="s">
        <v>15</v>
      </c>
      <c r="I2026" s="17">
        <v>200000</v>
      </c>
      <c r="J2026" s="17">
        <f>IF(Gastos[[#This Row],[Divisa]]="$", I2026*1, IF(Gastos[[#This Row],[Divisa]]="U$D", I2026*$N$1, IF(Gastos[[#This Row],[Divisa]]="EUR", I2026*$N$2, 0)))</f>
        <v>200000</v>
      </c>
      <c r="K2026" s="54">
        <f>Gastos[[#This Row],[Importe AR$]]/$N$1</f>
        <v>128.2051282051282</v>
      </c>
      <c r="M2026" s="69"/>
      <c r="N2026" s="43" t="str">
        <f>IF(Gastos[[#This Row],[Fecha_Cheque]]&gt;0,WEEKNUM(Gastos[[#This Row],[Fecha_Cheque]]),MID(Gastos[[#This Row],[Semana]],6,2))</f>
        <v>36</v>
      </c>
      <c r="O2026" t="s">
        <v>4210</v>
      </c>
      <c r="P2026" t="s">
        <v>27</v>
      </c>
    </row>
    <row r="2027" spans="1:16" x14ac:dyDescent="0.25">
      <c r="A2027" s="3" t="s">
        <v>4655</v>
      </c>
      <c r="B2027" t="s">
        <v>1110</v>
      </c>
      <c r="C2027" t="s">
        <v>4233</v>
      </c>
      <c r="D2027" t="s">
        <v>26</v>
      </c>
      <c r="E2027" t="s">
        <v>62</v>
      </c>
      <c r="F2027">
        <v>1</v>
      </c>
      <c r="G2027" s="3" t="s">
        <v>5</v>
      </c>
      <c r="H2027" s="44" t="s">
        <v>15</v>
      </c>
      <c r="I2027" s="17">
        <v>126088.05</v>
      </c>
      <c r="J2027" s="17">
        <f>IF(Gastos[[#This Row],[Divisa]]="$", I2027*1, IF(Gastos[[#This Row],[Divisa]]="U$D", I2027*$N$1, IF(Gastos[[#This Row],[Divisa]]="EUR", I2027*$N$2, 0)))</f>
        <v>126088.05</v>
      </c>
      <c r="K2027" s="54">
        <f>Gastos[[#This Row],[Importe AR$]]/$N$1</f>
        <v>80.825673076923081</v>
      </c>
      <c r="M2027" s="69"/>
      <c r="N2027" s="43" t="str">
        <f>IF(Gastos[[#This Row],[Fecha_Cheque]]&gt;0,WEEKNUM(Gastos[[#This Row],[Fecha_Cheque]]),MID(Gastos[[#This Row],[Semana]],6,2))</f>
        <v>44</v>
      </c>
      <c r="P2027" t="s">
        <v>7</v>
      </c>
    </row>
    <row r="2028" spans="1:16" hidden="1" x14ac:dyDescent="0.25">
      <c r="A2028" s="3" t="s">
        <v>171</v>
      </c>
      <c r="B2028" t="s">
        <v>1229</v>
      </c>
      <c r="C2028" t="s">
        <v>1230</v>
      </c>
      <c r="D2028" t="s">
        <v>26</v>
      </c>
      <c r="E2028" t="s">
        <v>31</v>
      </c>
      <c r="F2028">
        <v>1</v>
      </c>
      <c r="G2028" s="3" t="s">
        <v>5</v>
      </c>
      <c r="H2028" s="46" t="s">
        <v>15</v>
      </c>
      <c r="I2028" s="17">
        <v>689315.66</v>
      </c>
      <c r="J2028" s="17">
        <f>IF(Gastos[[#This Row],[Divisa]]="$", I2028*1, IF(Gastos[[#This Row],[Divisa]]="U$D", I2028*$N$1, IF(Gastos[[#This Row],[Divisa]]="EUR", I2028*$N$2, 0)))</f>
        <v>689315.66</v>
      </c>
      <c r="K2028" s="54">
        <f>Gastos[[#This Row],[Importe AR$]]/$N$1</f>
        <v>441.86901282051286</v>
      </c>
      <c r="M2028" s="69"/>
      <c r="N2028" s="43" t="str">
        <f>IF(Gastos[[#This Row],[Fecha_Cheque]]&gt;0,WEEKNUM(Gastos[[#This Row],[Fecha_Cheque]]),MID(Gastos[[#This Row],[Semana]],6,2))</f>
        <v>38</v>
      </c>
      <c r="O2028" t="s">
        <v>1231</v>
      </c>
      <c r="P2028" t="s">
        <v>27</v>
      </c>
    </row>
    <row r="2029" spans="1:16" hidden="1" x14ac:dyDescent="0.25">
      <c r="A2029" s="3" t="s">
        <v>89</v>
      </c>
      <c r="B2029" t="s">
        <v>1229</v>
      </c>
      <c r="C2029" t="s">
        <v>1230</v>
      </c>
      <c r="D2029" t="s">
        <v>26</v>
      </c>
      <c r="E2029" t="s">
        <v>31</v>
      </c>
      <c r="F2029">
        <v>1</v>
      </c>
      <c r="G2029" s="3" t="s">
        <v>32</v>
      </c>
      <c r="H2029" s="46" t="s">
        <v>15</v>
      </c>
      <c r="I2029" s="17">
        <v>689315.66</v>
      </c>
      <c r="J2029" s="17">
        <f>IF(Gastos[[#This Row],[Divisa]]="$", I2029*1, IF(Gastos[[#This Row],[Divisa]]="U$D", I2029*$N$1, IF(Gastos[[#This Row],[Divisa]]="EUR", I2029*$N$2, 0)))</f>
        <v>689315.66</v>
      </c>
      <c r="K2029" s="54">
        <f>Gastos[[#This Row],[Importe AR$]]/$N$1</f>
        <v>441.86901282051286</v>
      </c>
      <c r="M2029" s="69"/>
      <c r="N2029" s="43" t="str">
        <f>IF(Gastos[[#This Row],[Fecha_Cheque]]&gt;0,WEEKNUM(Gastos[[#This Row],[Fecha_Cheque]]),MID(Gastos[[#This Row],[Semana]],6,2))</f>
        <v>39</v>
      </c>
      <c r="O2029" t="s">
        <v>1232</v>
      </c>
      <c r="P2029" t="s">
        <v>27</v>
      </c>
    </row>
    <row r="2030" spans="1:16" hidden="1" x14ac:dyDescent="0.25">
      <c r="A2030" s="3" t="s">
        <v>124</v>
      </c>
      <c r="B2030" t="s">
        <v>1229</v>
      </c>
      <c r="C2030" t="s">
        <v>1233</v>
      </c>
      <c r="D2030" t="s">
        <v>26</v>
      </c>
      <c r="E2030" t="s">
        <v>42</v>
      </c>
      <c r="F2030">
        <v>1</v>
      </c>
      <c r="G2030" s="3" t="s">
        <v>5</v>
      </c>
      <c r="H2030" s="46" t="s">
        <v>15</v>
      </c>
      <c r="I2030" s="17">
        <v>290000</v>
      </c>
      <c r="J2030" s="17">
        <f>IF(Gastos[[#This Row],[Divisa]]="$", I2030*1, IF(Gastos[[#This Row],[Divisa]]="U$D", I2030*$N$1, IF(Gastos[[#This Row],[Divisa]]="EUR", I2030*$N$2, 0)))</f>
        <v>290000</v>
      </c>
      <c r="K2030" s="54">
        <f>Gastos[[#This Row],[Importe AR$]]/$N$1</f>
        <v>185.89743589743588</v>
      </c>
      <c r="M2030" s="69"/>
      <c r="N2030" s="43" t="str">
        <f>IF(Gastos[[#This Row],[Fecha_Cheque]]&gt;0,WEEKNUM(Gastos[[#This Row],[Fecha_Cheque]]),MID(Gastos[[#This Row],[Semana]],6,2))</f>
        <v>42</v>
      </c>
      <c r="O2030" t="s">
        <v>1234</v>
      </c>
      <c r="P2030" t="s">
        <v>27</v>
      </c>
    </row>
    <row r="2031" spans="1:16" hidden="1" x14ac:dyDescent="0.25">
      <c r="A2031" s="3" t="s">
        <v>93</v>
      </c>
      <c r="B2031" t="s">
        <v>1235</v>
      </c>
      <c r="C2031" t="s">
        <v>1236</v>
      </c>
      <c r="D2031" t="s">
        <v>26</v>
      </c>
      <c r="E2031" t="s">
        <v>31</v>
      </c>
      <c r="F2031">
        <v>1</v>
      </c>
      <c r="G2031" s="3" t="s">
        <v>5</v>
      </c>
      <c r="H2031" s="46" t="s">
        <v>15</v>
      </c>
      <c r="I2031" s="17">
        <v>1700000</v>
      </c>
      <c r="J2031" s="17">
        <f>IF(Gastos[[#This Row],[Divisa]]="$", I2031*1, IF(Gastos[[#This Row],[Divisa]]="U$D", I2031*$N$1, IF(Gastos[[#This Row],[Divisa]]="EUR", I2031*$N$2, 0)))</f>
        <v>1700000</v>
      </c>
      <c r="K2031" s="54">
        <f>Gastos[[#This Row],[Importe AR$]]/$N$1</f>
        <v>1089.7435897435898</v>
      </c>
      <c r="M2031" s="69"/>
      <c r="N2031" s="43" t="str">
        <f>IF(Gastos[[#This Row],[Fecha_Cheque]]&gt;0,WEEKNUM(Gastos[[#This Row],[Fecha_Cheque]]),MID(Gastos[[#This Row],[Semana]],6,2))</f>
        <v>50</v>
      </c>
      <c r="O2031" t="s">
        <v>1237</v>
      </c>
      <c r="P2031" t="s">
        <v>27</v>
      </c>
    </row>
    <row r="2032" spans="1:16" hidden="1" x14ac:dyDescent="0.25">
      <c r="A2032" s="3" t="s">
        <v>53</v>
      </c>
      <c r="B2032" t="s">
        <v>1238</v>
      </c>
      <c r="C2032" t="s">
        <v>1239</v>
      </c>
      <c r="D2032" t="s">
        <v>26</v>
      </c>
      <c r="E2032" t="s">
        <v>31</v>
      </c>
      <c r="F2032">
        <v>1</v>
      </c>
      <c r="G2032" s="3" t="s">
        <v>5</v>
      </c>
      <c r="H2032" s="46" t="s">
        <v>15</v>
      </c>
      <c r="I2032" s="17">
        <v>45000</v>
      </c>
      <c r="J2032" s="17">
        <f>IF(Gastos[[#This Row],[Divisa]]="$", I2032*1, IF(Gastos[[#This Row],[Divisa]]="U$D", I2032*$N$1, IF(Gastos[[#This Row],[Divisa]]="EUR", I2032*$N$2, 0)))</f>
        <v>45000</v>
      </c>
      <c r="K2032" s="54">
        <f>Gastos[[#This Row],[Importe AR$]]/$N$1</f>
        <v>28.846153846153847</v>
      </c>
      <c r="M2032" s="69"/>
      <c r="N2032" s="43" t="str">
        <f>IF(Gastos[[#This Row],[Fecha_Cheque]]&gt;0,WEEKNUM(Gastos[[#This Row],[Fecha_Cheque]]),MID(Gastos[[#This Row],[Semana]],6,2))</f>
        <v>34</v>
      </c>
      <c r="P2032" t="s">
        <v>27</v>
      </c>
    </row>
    <row r="2033" spans="1:16" hidden="1" x14ac:dyDescent="0.25">
      <c r="A2033" s="3" t="s">
        <v>50</v>
      </c>
      <c r="B2033" t="s">
        <v>1240</v>
      </c>
      <c r="C2033" t="s">
        <v>1241</v>
      </c>
      <c r="D2033" t="s">
        <v>26</v>
      </c>
      <c r="E2033" t="s">
        <v>31</v>
      </c>
      <c r="F2033">
        <v>1</v>
      </c>
      <c r="G2033" s="3" t="s">
        <v>5</v>
      </c>
      <c r="H2033" s="46" t="s">
        <v>15</v>
      </c>
      <c r="I2033" s="17">
        <v>639000</v>
      </c>
      <c r="J2033" s="17">
        <f>IF(Gastos[[#This Row],[Divisa]]="$", I2033*1, IF(Gastos[[#This Row],[Divisa]]="U$D", I2033*$N$1, IF(Gastos[[#This Row],[Divisa]]="EUR", I2033*$N$2, 0)))</f>
        <v>639000</v>
      </c>
      <c r="K2033" s="54">
        <f>Gastos[[#This Row],[Importe AR$]]/$N$1</f>
        <v>409.61538461538464</v>
      </c>
      <c r="L2033" t="s">
        <v>850</v>
      </c>
      <c r="M2033" s="69"/>
      <c r="N2033" s="43" t="str">
        <f>IF(Gastos[[#This Row],[Fecha_Cheque]]&gt;0,WEEKNUM(Gastos[[#This Row],[Fecha_Cheque]]),MID(Gastos[[#This Row],[Semana]],6,2))</f>
        <v>25</v>
      </c>
      <c r="O2033" t="s">
        <v>1242</v>
      </c>
      <c r="P2033" t="s">
        <v>27</v>
      </c>
    </row>
    <row r="2034" spans="1:16" hidden="1" x14ac:dyDescent="0.25">
      <c r="A2034" s="3" t="s">
        <v>147</v>
      </c>
      <c r="B2034" t="s">
        <v>1243</v>
      </c>
      <c r="C2034" s="17" t="s">
        <v>186</v>
      </c>
      <c r="D2034" t="s">
        <v>26</v>
      </c>
      <c r="E2034" t="s">
        <v>31</v>
      </c>
      <c r="F2034">
        <v>1</v>
      </c>
      <c r="G2034" s="3" t="s">
        <v>32</v>
      </c>
      <c r="H2034" s="46" t="s">
        <v>15</v>
      </c>
      <c r="I2034" s="17">
        <v>2292732.2000000002</v>
      </c>
      <c r="J2034" s="17">
        <f>IF(Gastos[[#This Row],[Divisa]]="$", I2034*1, IF(Gastos[[#This Row],[Divisa]]="U$D", I2034*$N$1, IF(Gastos[[#This Row],[Divisa]]="EUR", I2034*$N$2, 0)))</f>
        <v>2292732.2000000002</v>
      </c>
      <c r="K2034" s="54">
        <f>Gastos[[#This Row],[Importe AR$]]/$N$1</f>
        <v>1469.7001282051283</v>
      </c>
      <c r="L2034" t="s">
        <v>1244</v>
      </c>
      <c r="M2034" s="69"/>
      <c r="N2034" s="43" t="str">
        <f>IF(Gastos[[#This Row],[Fecha_Cheque]]&gt;0,WEEKNUM(Gastos[[#This Row],[Fecha_Cheque]]),MID(Gastos[[#This Row],[Semana]],6,2))</f>
        <v>17</v>
      </c>
      <c r="O2034" t="s">
        <v>1245</v>
      </c>
      <c r="P2034" t="s">
        <v>27</v>
      </c>
    </row>
    <row r="2035" spans="1:16" hidden="1" x14ac:dyDescent="0.25">
      <c r="A2035" s="3" t="s">
        <v>117</v>
      </c>
      <c r="B2035" t="s">
        <v>1246</v>
      </c>
      <c r="C2035" t="s">
        <v>1247</v>
      </c>
      <c r="D2035" t="s">
        <v>26</v>
      </c>
      <c r="E2035" t="s">
        <v>31</v>
      </c>
      <c r="F2035">
        <v>2</v>
      </c>
      <c r="G2035" s="3" t="s">
        <v>32</v>
      </c>
      <c r="H2035" s="46" t="s">
        <v>15</v>
      </c>
      <c r="I2035" s="17">
        <v>430163</v>
      </c>
      <c r="J2035" s="17">
        <f>IF(Gastos[[#This Row],[Divisa]]="$", I2035*1, IF(Gastos[[#This Row],[Divisa]]="U$D", I2035*$N$1, IF(Gastos[[#This Row],[Divisa]]="EUR", I2035*$N$2, 0)))</f>
        <v>430163</v>
      </c>
      <c r="K2035" s="54">
        <f>Gastos[[#This Row],[Importe AR$]]/$N$1</f>
        <v>275.74551282051283</v>
      </c>
      <c r="M2035" s="69">
        <v>45899</v>
      </c>
      <c r="N2035" s="43">
        <f>IF(Gastos[[#This Row],[Fecha_Cheque]]&gt;0,WEEKNUM(Gastos[[#This Row],[Fecha_Cheque]]),MID(Gastos[[#This Row],[Semana]],6,2))</f>
        <v>35</v>
      </c>
      <c r="O2035" t="s">
        <v>123</v>
      </c>
      <c r="P2035" t="s">
        <v>27</v>
      </c>
    </row>
    <row r="2036" spans="1:16" hidden="1" x14ac:dyDescent="0.25">
      <c r="A2036" s="3" t="s">
        <v>117</v>
      </c>
      <c r="B2036" t="s">
        <v>1246</v>
      </c>
      <c r="C2036" t="s">
        <v>1247</v>
      </c>
      <c r="D2036" t="s">
        <v>26</v>
      </c>
      <c r="E2036" t="s">
        <v>31</v>
      </c>
      <c r="F2036">
        <v>2</v>
      </c>
      <c r="G2036" s="3" t="s">
        <v>32</v>
      </c>
      <c r="H2036" s="46" t="s">
        <v>15</v>
      </c>
      <c r="I2036" s="17">
        <v>447000</v>
      </c>
      <c r="J2036" s="17">
        <f>IF(Gastos[[#This Row],[Divisa]]="$", I2036*1, IF(Gastos[[#This Row],[Divisa]]="U$D", I2036*$N$1, IF(Gastos[[#This Row],[Divisa]]="EUR", I2036*$N$2, 0)))</f>
        <v>447000</v>
      </c>
      <c r="K2036" s="54">
        <f>Gastos[[#This Row],[Importe AR$]]/$N$1</f>
        <v>286.53846153846155</v>
      </c>
      <c r="M2036" s="69">
        <v>45897</v>
      </c>
      <c r="N2036" s="43">
        <f>IF(Gastos[[#This Row],[Fecha_Cheque]]&gt;0,WEEKNUM(Gastos[[#This Row],[Fecha_Cheque]]),MID(Gastos[[#This Row],[Semana]],6,2))</f>
        <v>35</v>
      </c>
      <c r="O2036" t="s">
        <v>123</v>
      </c>
      <c r="P2036" t="s">
        <v>27</v>
      </c>
    </row>
    <row r="2037" spans="1:16" hidden="1" x14ac:dyDescent="0.25">
      <c r="A2037" s="3" t="s">
        <v>117</v>
      </c>
      <c r="B2037" t="s">
        <v>1246</v>
      </c>
      <c r="C2037" t="s">
        <v>1247</v>
      </c>
      <c r="D2037" t="s">
        <v>26</v>
      </c>
      <c r="E2037" t="s">
        <v>31</v>
      </c>
      <c r="F2037">
        <v>2</v>
      </c>
      <c r="G2037" s="3" t="s">
        <v>32</v>
      </c>
      <c r="H2037" s="46" t="s">
        <v>15</v>
      </c>
      <c r="I2037" s="17">
        <v>450000</v>
      </c>
      <c r="J2037" s="17">
        <f>IF(Gastos[[#This Row],[Divisa]]="$", I2037*1, IF(Gastos[[#This Row],[Divisa]]="U$D", I2037*$N$1, IF(Gastos[[#This Row],[Divisa]]="EUR", I2037*$N$2, 0)))</f>
        <v>450000</v>
      </c>
      <c r="K2037" s="54">
        <f>Gastos[[#This Row],[Importe AR$]]/$N$1</f>
        <v>288.46153846153845</v>
      </c>
      <c r="M2037" s="69">
        <v>45906</v>
      </c>
      <c r="N2037" s="43">
        <f>IF(Gastos[[#This Row],[Fecha_Cheque]]&gt;0,WEEKNUM(Gastos[[#This Row],[Fecha_Cheque]]),MID(Gastos[[#This Row],[Semana]],6,2))</f>
        <v>36</v>
      </c>
      <c r="O2037" t="s">
        <v>123</v>
      </c>
      <c r="P2037" t="s">
        <v>27</v>
      </c>
    </row>
    <row r="2038" spans="1:16" hidden="1" x14ac:dyDescent="0.25">
      <c r="A2038" s="3" t="s">
        <v>117</v>
      </c>
      <c r="B2038" t="s">
        <v>1246</v>
      </c>
      <c r="C2038" t="s">
        <v>1247</v>
      </c>
      <c r="D2038" t="s">
        <v>26</v>
      </c>
      <c r="E2038" t="s">
        <v>31</v>
      </c>
      <c r="F2038">
        <v>2</v>
      </c>
      <c r="G2038" s="3" t="s">
        <v>32</v>
      </c>
      <c r="H2038" s="46" t="s">
        <v>15</v>
      </c>
      <c r="I2038" s="17">
        <v>500000</v>
      </c>
      <c r="J2038" s="17">
        <f>IF(Gastos[[#This Row],[Divisa]]="$", I2038*1, IF(Gastos[[#This Row],[Divisa]]="U$D", I2038*$N$1, IF(Gastos[[#This Row],[Divisa]]="EUR", I2038*$N$2, 0)))</f>
        <v>500000</v>
      </c>
      <c r="K2038" s="54">
        <f>Gastos[[#This Row],[Importe AR$]]/$N$1</f>
        <v>320.5128205128205</v>
      </c>
      <c r="M2038" s="69">
        <v>45898</v>
      </c>
      <c r="N2038" s="43">
        <f>IF(Gastos[[#This Row],[Fecha_Cheque]]&gt;0,WEEKNUM(Gastos[[#This Row],[Fecha_Cheque]]),MID(Gastos[[#This Row],[Semana]],6,2))</f>
        <v>35</v>
      </c>
      <c r="O2038" t="s">
        <v>123</v>
      </c>
      <c r="P2038" t="s">
        <v>27</v>
      </c>
    </row>
    <row r="2039" spans="1:16" hidden="1" x14ac:dyDescent="0.25">
      <c r="A2039" s="3" t="s">
        <v>117</v>
      </c>
      <c r="B2039" t="s">
        <v>1246</v>
      </c>
      <c r="C2039" t="s">
        <v>1247</v>
      </c>
      <c r="D2039" t="s">
        <v>26</v>
      </c>
      <c r="E2039" t="s">
        <v>31</v>
      </c>
      <c r="F2039">
        <v>2</v>
      </c>
      <c r="G2039" s="3" t="s">
        <v>32</v>
      </c>
      <c r="H2039" s="46" t="s">
        <v>15</v>
      </c>
      <c r="I2039" s="17">
        <v>500000</v>
      </c>
      <c r="J2039" s="17">
        <f>IF(Gastos[[#This Row],[Divisa]]="$", I2039*1, IF(Gastos[[#This Row],[Divisa]]="U$D", I2039*$N$1, IF(Gastos[[#This Row],[Divisa]]="EUR", I2039*$N$2, 0)))</f>
        <v>500000</v>
      </c>
      <c r="K2039" s="54">
        <f>Gastos[[#This Row],[Importe AR$]]/$N$1</f>
        <v>320.5128205128205</v>
      </c>
      <c r="M2039" s="69">
        <v>45901</v>
      </c>
      <c r="N2039" s="43">
        <f>IF(Gastos[[#This Row],[Fecha_Cheque]]&gt;0,WEEKNUM(Gastos[[#This Row],[Fecha_Cheque]]),MID(Gastos[[#This Row],[Semana]],6,2))</f>
        <v>36</v>
      </c>
      <c r="O2039" t="s">
        <v>123</v>
      </c>
      <c r="P2039" t="s">
        <v>27</v>
      </c>
    </row>
    <row r="2040" spans="1:16" hidden="1" x14ac:dyDescent="0.25">
      <c r="A2040" s="3" t="s">
        <v>117</v>
      </c>
      <c r="B2040" t="s">
        <v>1246</v>
      </c>
      <c r="C2040" t="s">
        <v>1247</v>
      </c>
      <c r="D2040" t="s">
        <v>26</v>
      </c>
      <c r="E2040" t="s">
        <v>31</v>
      </c>
      <c r="F2040">
        <v>2</v>
      </c>
      <c r="G2040" s="3" t="s">
        <v>32</v>
      </c>
      <c r="H2040" s="46" t="s">
        <v>15</v>
      </c>
      <c r="I2040" s="17">
        <v>500000</v>
      </c>
      <c r="J2040" s="17">
        <f>IF(Gastos[[#This Row],[Divisa]]="$", I2040*1, IF(Gastos[[#This Row],[Divisa]]="U$D", I2040*$N$1, IF(Gastos[[#This Row],[Divisa]]="EUR", I2040*$N$2, 0)))</f>
        <v>500000</v>
      </c>
      <c r="K2040" s="54">
        <f>Gastos[[#This Row],[Importe AR$]]/$N$1</f>
        <v>320.5128205128205</v>
      </c>
      <c r="M2040" s="69">
        <v>45906</v>
      </c>
      <c r="N2040" s="43">
        <f>IF(Gastos[[#This Row],[Fecha_Cheque]]&gt;0,WEEKNUM(Gastos[[#This Row],[Fecha_Cheque]]),MID(Gastos[[#This Row],[Semana]],6,2))</f>
        <v>36</v>
      </c>
      <c r="O2040" t="s">
        <v>123</v>
      </c>
      <c r="P2040" t="s">
        <v>27</v>
      </c>
    </row>
    <row r="2041" spans="1:16" hidden="1" x14ac:dyDescent="0.25">
      <c r="A2041" s="3" t="s">
        <v>117</v>
      </c>
      <c r="B2041" t="s">
        <v>1246</v>
      </c>
      <c r="C2041" t="s">
        <v>1247</v>
      </c>
      <c r="D2041" t="s">
        <v>26</v>
      </c>
      <c r="E2041" t="s">
        <v>31</v>
      </c>
      <c r="F2041">
        <v>2</v>
      </c>
      <c r="G2041" s="3" t="s">
        <v>32</v>
      </c>
      <c r="H2041" s="46" t="s">
        <v>15</v>
      </c>
      <c r="I2041" s="17">
        <v>510000</v>
      </c>
      <c r="J2041" s="17">
        <f>IF(Gastos[[#This Row],[Divisa]]="$", I2041*1, IF(Gastos[[#This Row],[Divisa]]="U$D", I2041*$N$1, IF(Gastos[[#This Row],[Divisa]]="EUR", I2041*$N$2, 0)))</f>
        <v>510000</v>
      </c>
      <c r="K2041" s="54">
        <f>Gastos[[#This Row],[Importe AR$]]/$N$1</f>
        <v>326.92307692307691</v>
      </c>
      <c r="M2041" s="69">
        <v>45898</v>
      </c>
      <c r="N2041" s="43">
        <f>IF(Gastos[[#This Row],[Fecha_Cheque]]&gt;0,WEEKNUM(Gastos[[#This Row],[Fecha_Cheque]]),MID(Gastos[[#This Row],[Semana]],6,2))</f>
        <v>35</v>
      </c>
      <c r="O2041" t="s">
        <v>123</v>
      </c>
      <c r="P2041" t="s">
        <v>27</v>
      </c>
    </row>
    <row r="2042" spans="1:16" hidden="1" x14ac:dyDescent="0.25">
      <c r="A2042" s="3" t="s">
        <v>117</v>
      </c>
      <c r="B2042" t="s">
        <v>1246</v>
      </c>
      <c r="C2042" t="s">
        <v>1247</v>
      </c>
      <c r="D2042" t="s">
        <v>26</v>
      </c>
      <c r="E2042" t="s">
        <v>31</v>
      </c>
      <c r="F2042">
        <v>2</v>
      </c>
      <c r="G2042" s="3" t="s">
        <v>32</v>
      </c>
      <c r="H2042" s="46" t="s">
        <v>15</v>
      </c>
      <c r="I2042" s="17">
        <v>550000</v>
      </c>
      <c r="J2042" s="17">
        <f>IF(Gastos[[#This Row],[Divisa]]="$", I2042*1, IF(Gastos[[#This Row],[Divisa]]="U$D", I2042*$N$1, IF(Gastos[[#This Row],[Divisa]]="EUR", I2042*$N$2, 0)))</f>
        <v>550000</v>
      </c>
      <c r="K2042" s="54">
        <f>Gastos[[#This Row],[Importe AR$]]/$N$1</f>
        <v>352.56410256410254</v>
      </c>
      <c r="M2042" s="69">
        <v>45899</v>
      </c>
      <c r="N2042" s="43">
        <f>IF(Gastos[[#This Row],[Fecha_Cheque]]&gt;0,WEEKNUM(Gastos[[#This Row],[Fecha_Cheque]]),MID(Gastos[[#This Row],[Semana]],6,2))</f>
        <v>35</v>
      </c>
      <c r="O2042" t="s">
        <v>123</v>
      </c>
      <c r="P2042" t="s">
        <v>27</v>
      </c>
    </row>
    <row r="2043" spans="1:16" hidden="1" x14ac:dyDescent="0.25">
      <c r="A2043" s="3" t="s">
        <v>117</v>
      </c>
      <c r="B2043" t="s">
        <v>1246</v>
      </c>
      <c r="C2043" t="s">
        <v>1247</v>
      </c>
      <c r="D2043" t="s">
        <v>26</v>
      </c>
      <c r="E2043" t="s">
        <v>31</v>
      </c>
      <c r="F2043">
        <v>2</v>
      </c>
      <c r="G2043" s="3" t="s">
        <v>32</v>
      </c>
      <c r="H2043" s="46" t="s">
        <v>15</v>
      </c>
      <c r="I2043" s="17">
        <v>550000</v>
      </c>
      <c r="J2043" s="17">
        <f>IF(Gastos[[#This Row],[Divisa]]="$", I2043*1, IF(Gastos[[#This Row],[Divisa]]="U$D", I2043*$N$1, IF(Gastos[[#This Row],[Divisa]]="EUR", I2043*$N$2, 0)))</f>
        <v>550000</v>
      </c>
      <c r="K2043" s="54">
        <f>Gastos[[#This Row],[Importe AR$]]/$N$1</f>
        <v>352.56410256410254</v>
      </c>
      <c r="M2043" s="69">
        <v>45899</v>
      </c>
      <c r="N2043" s="43">
        <f>IF(Gastos[[#This Row],[Fecha_Cheque]]&gt;0,WEEKNUM(Gastos[[#This Row],[Fecha_Cheque]]),MID(Gastos[[#This Row],[Semana]],6,2))</f>
        <v>35</v>
      </c>
      <c r="O2043" t="s">
        <v>123</v>
      </c>
      <c r="P2043" t="s">
        <v>27</v>
      </c>
    </row>
    <row r="2044" spans="1:16" hidden="1" x14ac:dyDescent="0.25">
      <c r="A2044" s="3" t="s">
        <v>117</v>
      </c>
      <c r="B2044" t="s">
        <v>1246</v>
      </c>
      <c r="C2044" t="s">
        <v>1247</v>
      </c>
      <c r="D2044" t="s">
        <v>26</v>
      </c>
      <c r="E2044" t="s">
        <v>31</v>
      </c>
      <c r="F2044">
        <v>2</v>
      </c>
      <c r="G2044" s="3" t="s">
        <v>32</v>
      </c>
      <c r="H2044" s="46" t="s">
        <v>15</v>
      </c>
      <c r="I2044" s="17">
        <v>550000</v>
      </c>
      <c r="J2044" s="17">
        <f>IF(Gastos[[#This Row],[Divisa]]="$", I2044*1, IF(Gastos[[#This Row],[Divisa]]="U$D", I2044*$N$1, IF(Gastos[[#This Row],[Divisa]]="EUR", I2044*$N$2, 0)))</f>
        <v>550000</v>
      </c>
      <c r="K2044" s="54">
        <f>Gastos[[#This Row],[Importe AR$]]/$N$1</f>
        <v>352.56410256410254</v>
      </c>
      <c r="M2044" s="69">
        <v>45899</v>
      </c>
      <c r="N2044" s="43">
        <f>IF(Gastos[[#This Row],[Fecha_Cheque]]&gt;0,WEEKNUM(Gastos[[#This Row],[Fecha_Cheque]]),MID(Gastos[[#This Row],[Semana]],6,2))</f>
        <v>35</v>
      </c>
      <c r="O2044" t="s">
        <v>123</v>
      </c>
      <c r="P2044" t="s">
        <v>27</v>
      </c>
    </row>
    <row r="2045" spans="1:16" hidden="1" x14ac:dyDescent="0.25">
      <c r="A2045" s="3" t="s">
        <v>117</v>
      </c>
      <c r="B2045" t="s">
        <v>1246</v>
      </c>
      <c r="C2045" t="s">
        <v>1247</v>
      </c>
      <c r="D2045" t="s">
        <v>26</v>
      </c>
      <c r="E2045" t="s">
        <v>31</v>
      </c>
      <c r="F2045">
        <v>2</v>
      </c>
      <c r="G2045" s="3" t="s">
        <v>32</v>
      </c>
      <c r="H2045" s="46" t="s">
        <v>15</v>
      </c>
      <c r="I2045" s="17">
        <v>568238</v>
      </c>
      <c r="J2045" s="17">
        <f>IF(Gastos[[#This Row],[Divisa]]="$", I2045*1, IF(Gastos[[#This Row],[Divisa]]="U$D", I2045*$N$1, IF(Gastos[[#This Row],[Divisa]]="EUR", I2045*$N$2, 0)))</f>
        <v>568238</v>
      </c>
      <c r="K2045" s="54">
        <f>Gastos[[#This Row],[Importe AR$]]/$N$1</f>
        <v>364.25512820512819</v>
      </c>
      <c r="M2045" s="69">
        <v>45899</v>
      </c>
      <c r="N2045" s="43">
        <f>IF(Gastos[[#This Row],[Fecha_Cheque]]&gt;0,WEEKNUM(Gastos[[#This Row],[Fecha_Cheque]]),MID(Gastos[[#This Row],[Semana]],6,2))</f>
        <v>35</v>
      </c>
      <c r="O2045" t="s">
        <v>123</v>
      </c>
      <c r="P2045" t="s">
        <v>27</v>
      </c>
    </row>
    <row r="2046" spans="1:16" hidden="1" x14ac:dyDescent="0.25">
      <c r="A2046" s="3" t="s">
        <v>117</v>
      </c>
      <c r="B2046" t="s">
        <v>1246</v>
      </c>
      <c r="C2046" t="s">
        <v>1247</v>
      </c>
      <c r="D2046" t="s">
        <v>26</v>
      </c>
      <c r="E2046" t="s">
        <v>31</v>
      </c>
      <c r="F2046">
        <v>2</v>
      </c>
      <c r="G2046" s="3" t="s">
        <v>32</v>
      </c>
      <c r="H2046" s="46" t="s">
        <v>15</v>
      </c>
      <c r="I2046" s="17">
        <v>600000</v>
      </c>
      <c r="J2046" s="17">
        <f>IF(Gastos[[#This Row],[Divisa]]="$", I2046*1, IF(Gastos[[#This Row],[Divisa]]="U$D", I2046*$N$1, IF(Gastos[[#This Row],[Divisa]]="EUR", I2046*$N$2, 0)))</f>
        <v>600000</v>
      </c>
      <c r="K2046" s="54">
        <f>Gastos[[#This Row],[Importe AR$]]/$N$1</f>
        <v>384.61538461538464</v>
      </c>
      <c r="M2046" s="69">
        <v>45900</v>
      </c>
      <c r="N2046" s="43">
        <f>IF(Gastos[[#This Row],[Fecha_Cheque]]&gt;0,WEEKNUM(Gastos[[#This Row],[Fecha_Cheque]]),MID(Gastos[[#This Row],[Semana]],6,2))</f>
        <v>36</v>
      </c>
      <c r="O2046" t="s">
        <v>123</v>
      </c>
      <c r="P2046" t="s">
        <v>27</v>
      </c>
    </row>
    <row r="2047" spans="1:16" hidden="1" x14ac:dyDescent="0.25">
      <c r="A2047" s="3" t="s">
        <v>117</v>
      </c>
      <c r="B2047" t="s">
        <v>1246</v>
      </c>
      <c r="C2047" t="s">
        <v>1247</v>
      </c>
      <c r="D2047" t="s">
        <v>26</v>
      </c>
      <c r="E2047" t="s">
        <v>31</v>
      </c>
      <c r="F2047">
        <v>2</v>
      </c>
      <c r="G2047" s="3" t="s">
        <v>32</v>
      </c>
      <c r="H2047" s="46" t="s">
        <v>15</v>
      </c>
      <c r="I2047" s="17">
        <v>613620</v>
      </c>
      <c r="J2047" s="17">
        <f>IF(Gastos[[#This Row],[Divisa]]="$", I2047*1, IF(Gastos[[#This Row],[Divisa]]="U$D", I2047*$N$1, IF(Gastos[[#This Row],[Divisa]]="EUR", I2047*$N$2, 0)))</f>
        <v>613620</v>
      </c>
      <c r="K2047" s="54">
        <f>Gastos[[#This Row],[Importe AR$]]/$N$1</f>
        <v>393.34615384615387</v>
      </c>
      <c r="M2047" s="69">
        <v>45893</v>
      </c>
      <c r="N2047" s="43">
        <f>IF(Gastos[[#This Row],[Fecha_Cheque]]&gt;0,WEEKNUM(Gastos[[#This Row],[Fecha_Cheque]]),MID(Gastos[[#This Row],[Semana]],6,2))</f>
        <v>35</v>
      </c>
      <c r="O2047" t="s">
        <v>123</v>
      </c>
      <c r="P2047" t="s">
        <v>27</v>
      </c>
    </row>
    <row r="2048" spans="1:16" hidden="1" x14ac:dyDescent="0.25">
      <c r="A2048" s="3" t="s">
        <v>117</v>
      </c>
      <c r="B2048" t="s">
        <v>1246</v>
      </c>
      <c r="C2048" t="s">
        <v>1247</v>
      </c>
      <c r="D2048" t="s">
        <v>26</v>
      </c>
      <c r="E2048" t="s">
        <v>31</v>
      </c>
      <c r="F2048">
        <v>2</v>
      </c>
      <c r="G2048" s="3" t="s">
        <v>32</v>
      </c>
      <c r="H2048" s="46" t="s">
        <v>15</v>
      </c>
      <c r="I2048" s="17">
        <v>647520</v>
      </c>
      <c r="J2048" s="17">
        <f>IF(Gastos[[#This Row],[Divisa]]="$", I2048*1, IF(Gastos[[#This Row],[Divisa]]="U$D", I2048*$N$1, IF(Gastos[[#This Row],[Divisa]]="EUR", I2048*$N$2, 0)))</f>
        <v>647520</v>
      </c>
      <c r="K2048" s="54">
        <f>Gastos[[#This Row],[Importe AR$]]/$N$1</f>
        <v>415.07692307692309</v>
      </c>
      <c r="M2048" s="69">
        <v>45897</v>
      </c>
      <c r="N2048" s="43">
        <f>IF(Gastos[[#This Row],[Fecha_Cheque]]&gt;0,WEEKNUM(Gastos[[#This Row],[Fecha_Cheque]]),MID(Gastos[[#This Row],[Semana]],6,2))</f>
        <v>35</v>
      </c>
      <c r="O2048" t="s">
        <v>123</v>
      </c>
      <c r="P2048" t="s">
        <v>27</v>
      </c>
    </row>
    <row r="2049" spans="1:16" hidden="1" x14ac:dyDescent="0.25">
      <c r="A2049" s="3" t="s">
        <v>117</v>
      </c>
      <c r="B2049" t="s">
        <v>1246</v>
      </c>
      <c r="C2049" t="s">
        <v>1247</v>
      </c>
      <c r="D2049" t="s">
        <v>26</v>
      </c>
      <c r="E2049" t="s">
        <v>31</v>
      </c>
      <c r="F2049">
        <v>2</v>
      </c>
      <c r="G2049" s="3" t="s">
        <v>32</v>
      </c>
      <c r="H2049" s="46" t="s">
        <v>15</v>
      </c>
      <c r="I2049" s="17">
        <v>670000</v>
      </c>
      <c r="J2049" s="17">
        <f>IF(Gastos[[#This Row],[Divisa]]="$", I2049*1, IF(Gastos[[#This Row],[Divisa]]="U$D", I2049*$N$1, IF(Gastos[[#This Row],[Divisa]]="EUR", I2049*$N$2, 0)))</f>
        <v>670000</v>
      </c>
      <c r="K2049" s="54">
        <f>Gastos[[#This Row],[Importe AR$]]/$N$1</f>
        <v>429.4871794871795</v>
      </c>
      <c r="M2049" s="69">
        <v>45913</v>
      </c>
      <c r="N2049" s="43">
        <f>IF(Gastos[[#This Row],[Fecha_Cheque]]&gt;0,WEEKNUM(Gastos[[#This Row],[Fecha_Cheque]]),MID(Gastos[[#This Row],[Semana]],6,2))</f>
        <v>37</v>
      </c>
      <c r="O2049" t="s">
        <v>123</v>
      </c>
      <c r="P2049" t="s">
        <v>27</v>
      </c>
    </row>
    <row r="2050" spans="1:16" hidden="1" x14ac:dyDescent="0.25">
      <c r="A2050" s="3" t="s">
        <v>117</v>
      </c>
      <c r="B2050" t="s">
        <v>1246</v>
      </c>
      <c r="C2050" t="s">
        <v>1247</v>
      </c>
      <c r="D2050" t="s">
        <v>26</v>
      </c>
      <c r="E2050" t="s">
        <v>31</v>
      </c>
      <c r="F2050">
        <v>2</v>
      </c>
      <c r="G2050" s="3" t="s">
        <v>32</v>
      </c>
      <c r="H2050" s="46" t="s">
        <v>15</v>
      </c>
      <c r="I2050" s="17">
        <v>700000</v>
      </c>
      <c r="J2050" s="17">
        <f>IF(Gastos[[#This Row],[Divisa]]="$", I2050*1, IF(Gastos[[#This Row],[Divisa]]="U$D", I2050*$N$1, IF(Gastos[[#This Row],[Divisa]]="EUR", I2050*$N$2, 0)))</f>
        <v>700000</v>
      </c>
      <c r="K2050" s="54">
        <f>Gastos[[#This Row],[Importe AR$]]/$N$1</f>
        <v>448.71794871794873</v>
      </c>
      <c r="M2050" s="69">
        <v>45906</v>
      </c>
      <c r="N2050" s="43">
        <f>IF(Gastos[[#This Row],[Fecha_Cheque]]&gt;0,WEEKNUM(Gastos[[#This Row],[Fecha_Cheque]]),MID(Gastos[[#This Row],[Semana]],6,2))</f>
        <v>36</v>
      </c>
      <c r="O2050" t="s">
        <v>123</v>
      </c>
      <c r="P2050" t="s">
        <v>27</v>
      </c>
    </row>
    <row r="2051" spans="1:16" hidden="1" x14ac:dyDescent="0.25">
      <c r="A2051" s="3" t="s">
        <v>117</v>
      </c>
      <c r="B2051" t="s">
        <v>1246</v>
      </c>
      <c r="C2051" t="s">
        <v>1247</v>
      </c>
      <c r="D2051" t="s">
        <v>26</v>
      </c>
      <c r="E2051" t="s">
        <v>31</v>
      </c>
      <c r="F2051">
        <v>2</v>
      </c>
      <c r="G2051" s="3" t="s">
        <v>32</v>
      </c>
      <c r="H2051" s="46" t="s">
        <v>15</v>
      </c>
      <c r="I2051" s="17">
        <v>800000</v>
      </c>
      <c r="J2051" s="17">
        <f>IF(Gastos[[#This Row],[Divisa]]="$", I2051*1, IF(Gastos[[#This Row],[Divisa]]="U$D", I2051*$N$1, IF(Gastos[[#This Row],[Divisa]]="EUR", I2051*$N$2, 0)))</f>
        <v>800000</v>
      </c>
      <c r="K2051" s="54">
        <f>Gastos[[#This Row],[Importe AR$]]/$N$1</f>
        <v>512.82051282051282</v>
      </c>
      <c r="M2051" s="69">
        <v>45913</v>
      </c>
      <c r="N2051" s="43">
        <f>IF(Gastos[[#This Row],[Fecha_Cheque]]&gt;0,WEEKNUM(Gastos[[#This Row],[Fecha_Cheque]]),MID(Gastos[[#This Row],[Semana]],6,2))</f>
        <v>37</v>
      </c>
      <c r="O2051" t="s">
        <v>123</v>
      </c>
      <c r="P2051" t="s">
        <v>27</v>
      </c>
    </row>
    <row r="2052" spans="1:16" hidden="1" x14ac:dyDescent="0.25">
      <c r="A2052" s="3" t="s">
        <v>117</v>
      </c>
      <c r="B2052" t="s">
        <v>1246</v>
      </c>
      <c r="C2052" t="s">
        <v>1247</v>
      </c>
      <c r="D2052" t="s">
        <v>26</v>
      </c>
      <c r="E2052" t="s">
        <v>31</v>
      </c>
      <c r="F2052">
        <v>2</v>
      </c>
      <c r="G2052" s="3" t="s">
        <v>32</v>
      </c>
      <c r="H2052" s="46" t="s">
        <v>15</v>
      </c>
      <c r="I2052" s="17">
        <v>900000</v>
      </c>
      <c r="J2052" s="17">
        <f>IF(Gastos[[#This Row],[Divisa]]="$", I2052*1, IF(Gastos[[#This Row],[Divisa]]="U$D", I2052*$N$1, IF(Gastos[[#This Row],[Divisa]]="EUR", I2052*$N$2, 0)))</f>
        <v>900000</v>
      </c>
      <c r="K2052" s="54">
        <f>Gastos[[#This Row],[Importe AR$]]/$N$1</f>
        <v>576.92307692307691</v>
      </c>
      <c r="M2052" s="69">
        <v>45899</v>
      </c>
      <c r="N2052" s="43">
        <f>IF(Gastos[[#This Row],[Fecha_Cheque]]&gt;0,WEEKNUM(Gastos[[#This Row],[Fecha_Cheque]]),MID(Gastos[[#This Row],[Semana]],6,2))</f>
        <v>35</v>
      </c>
      <c r="O2052" t="s">
        <v>123</v>
      </c>
      <c r="P2052" t="s">
        <v>27</v>
      </c>
    </row>
    <row r="2053" spans="1:16" hidden="1" x14ac:dyDescent="0.25">
      <c r="A2053" s="3" t="s">
        <v>117</v>
      </c>
      <c r="B2053" t="s">
        <v>1246</v>
      </c>
      <c r="C2053" t="s">
        <v>1247</v>
      </c>
      <c r="D2053" t="s">
        <v>26</v>
      </c>
      <c r="E2053" t="s">
        <v>31</v>
      </c>
      <c r="F2053">
        <v>2</v>
      </c>
      <c r="G2053" s="3" t="s">
        <v>4</v>
      </c>
      <c r="H2053" s="46" t="s">
        <v>15</v>
      </c>
      <c r="I2053" s="17">
        <v>44409</v>
      </c>
      <c r="J2053" s="17">
        <f>IF(Gastos[[#This Row],[Divisa]]="$", I2053*1, IF(Gastos[[#This Row],[Divisa]]="U$D", I2053*$N$1, IF(Gastos[[#This Row],[Divisa]]="EUR", I2053*$N$2, 0)))</f>
        <v>44409</v>
      </c>
      <c r="K2053" s="54">
        <f>Gastos[[#This Row],[Importe AR$]]/$N$1</f>
        <v>28.467307692307692</v>
      </c>
      <c r="M2053" s="69">
        <v>45898</v>
      </c>
      <c r="N2053" s="43">
        <f>IF(Gastos[[#This Row],[Fecha_Cheque]]&gt;0,WEEKNUM(Gastos[[#This Row],[Fecha_Cheque]]),MID(Gastos[[#This Row],[Semana]],6,2))</f>
        <v>35</v>
      </c>
      <c r="O2053" t="s">
        <v>123</v>
      </c>
      <c r="P2053" t="s">
        <v>27</v>
      </c>
    </row>
    <row r="2054" spans="1:16" hidden="1" x14ac:dyDescent="0.25">
      <c r="A2054" s="3" t="s">
        <v>50</v>
      </c>
      <c r="B2054" t="s">
        <v>1248</v>
      </c>
      <c r="C2054" t="s">
        <v>1249</v>
      </c>
      <c r="D2054" t="s">
        <v>26</v>
      </c>
      <c r="E2054" t="s">
        <v>31</v>
      </c>
      <c r="F2054">
        <v>1</v>
      </c>
      <c r="G2054" s="3" t="s">
        <v>5</v>
      </c>
      <c r="H2054" s="46" t="s">
        <v>15</v>
      </c>
      <c r="I2054" s="17">
        <v>37500</v>
      </c>
      <c r="J2054" s="17">
        <f>IF(Gastos[[#This Row],[Divisa]]="$", I2054*1, IF(Gastos[[#This Row],[Divisa]]="U$D", I2054*$N$1, IF(Gastos[[#This Row],[Divisa]]="EUR", I2054*$N$2, 0)))</f>
        <v>37500</v>
      </c>
      <c r="K2054" s="54">
        <f>Gastos[[#This Row],[Importe AR$]]/$N$1</f>
        <v>24.03846153846154</v>
      </c>
      <c r="M2054" s="69">
        <v>45856</v>
      </c>
      <c r="N2054" s="43">
        <f>IF(Gastos[[#This Row],[Fecha_Cheque]]&gt;0,WEEKNUM(Gastos[[#This Row],[Fecha_Cheque]]),MID(Gastos[[#This Row],[Semana]],6,2))</f>
        <v>29</v>
      </c>
      <c r="P2054" t="s">
        <v>27</v>
      </c>
    </row>
    <row r="2055" spans="1:16" hidden="1" x14ac:dyDescent="0.25">
      <c r="A2055" s="3" t="s">
        <v>2804</v>
      </c>
      <c r="B2055" t="s">
        <v>3093</v>
      </c>
      <c r="C2055" t="s">
        <v>3094</v>
      </c>
      <c r="D2055" t="s">
        <v>26</v>
      </c>
      <c r="E2055" t="s">
        <v>31</v>
      </c>
      <c r="F2055">
        <v>1</v>
      </c>
      <c r="G2055" s="3" t="s">
        <v>32</v>
      </c>
      <c r="H2055" s="44" t="s">
        <v>15</v>
      </c>
      <c r="I2055" s="17">
        <v>1267399.52</v>
      </c>
      <c r="J2055" s="17">
        <f>IF(Gastos[[#This Row],[Divisa]]="$", I2055*1, IF(Gastos[[#This Row],[Divisa]]="U$D", I2055*$N$1, IF(Gastos[[#This Row],[Divisa]]="EUR", I2055*$N$2, 0)))</f>
        <v>1267399.52</v>
      </c>
      <c r="K2055" s="54">
        <f>Gastos[[#This Row],[Importe AR$]]/$N$1</f>
        <v>812.43558974358973</v>
      </c>
      <c r="M2055" s="69">
        <v>46186</v>
      </c>
      <c r="N2055" s="43">
        <f>IF(Gastos[[#This Row],[Fecha_Cheque]]&gt;0,WEEKNUM(Gastos[[#This Row],[Fecha_Cheque]]),MID(Gastos[[#This Row],[Semana]],6,2))</f>
        <v>24</v>
      </c>
      <c r="O2055" t="s">
        <v>3095</v>
      </c>
      <c r="P2055" t="s">
        <v>27</v>
      </c>
    </row>
    <row r="2056" spans="1:16" hidden="1" x14ac:dyDescent="0.25">
      <c r="A2056" s="3" t="s">
        <v>2804</v>
      </c>
      <c r="B2056" t="s">
        <v>3093</v>
      </c>
      <c r="C2056" t="s">
        <v>3094</v>
      </c>
      <c r="D2056" t="s">
        <v>26</v>
      </c>
      <c r="E2056" t="s">
        <v>31</v>
      </c>
      <c r="F2056">
        <v>1</v>
      </c>
      <c r="G2056" s="3" t="s">
        <v>32</v>
      </c>
      <c r="H2056" s="44" t="s">
        <v>15</v>
      </c>
      <c r="I2056" s="17">
        <v>5000000</v>
      </c>
      <c r="J2056" s="17">
        <f>IF(Gastos[[#This Row],[Divisa]]="$", I2056*1, IF(Gastos[[#This Row],[Divisa]]="U$D", I2056*$N$1, IF(Gastos[[#This Row],[Divisa]]="EUR", I2056*$N$2, 0)))</f>
        <v>5000000</v>
      </c>
      <c r="K2056" s="54">
        <f>Gastos[[#This Row],[Importe AR$]]/$N$1</f>
        <v>3205.1282051282051</v>
      </c>
      <c r="M2056" s="69">
        <v>46193</v>
      </c>
      <c r="N2056" s="43">
        <f>IF(Gastos[[#This Row],[Fecha_Cheque]]&gt;0,WEEKNUM(Gastos[[#This Row],[Fecha_Cheque]]),MID(Gastos[[#This Row],[Semana]],6,2))</f>
        <v>25</v>
      </c>
      <c r="O2056" t="s">
        <v>3095</v>
      </c>
      <c r="P2056" t="s">
        <v>27</v>
      </c>
    </row>
    <row r="2057" spans="1:16" hidden="1" x14ac:dyDescent="0.25">
      <c r="A2057" s="3" t="s">
        <v>2804</v>
      </c>
      <c r="B2057" t="s">
        <v>3093</v>
      </c>
      <c r="C2057" t="s">
        <v>3094</v>
      </c>
      <c r="D2057" t="s">
        <v>26</v>
      </c>
      <c r="E2057" t="s">
        <v>31</v>
      </c>
      <c r="F2057">
        <v>1</v>
      </c>
      <c r="G2057" s="3" t="s">
        <v>32</v>
      </c>
      <c r="H2057" s="44" t="s">
        <v>15</v>
      </c>
      <c r="I2057" s="17">
        <v>5012987.83</v>
      </c>
      <c r="J2057" s="17">
        <f>IF(Gastos[[#This Row],[Divisa]]="$", I2057*1, IF(Gastos[[#This Row],[Divisa]]="U$D", I2057*$N$1, IF(Gastos[[#This Row],[Divisa]]="EUR", I2057*$N$2, 0)))</f>
        <v>5012987.83</v>
      </c>
      <c r="K2057" s="54">
        <f>Gastos[[#This Row],[Importe AR$]]/$N$1</f>
        <v>3213.4537371794872</v>
      </c>
      <c r="M2057" s="69">
        <v>46197</v>
      </c>
      <c r="N2057" s="43">
        <f>IF(Gastos[[#This Row],[Fecha_Cheque]]&gt;0,WEEKNUM(Gastos[[#This Row],[Fecha_Cheque]]),MID(Gastos[[#This Row],[Semana]],6,2))</f>
        <v>26</v>
      </c>
      <c r="O2057" t="s">
        <v>3095</v>
      </c>
      <c r="P2057" t="s">
        <v>27</v>
      </c>
    </row>
    <row r="2058" spans="1:16" hidden="1" x14ac:dyDescent="0.25">
      <c r="A2058" s="3" t="s">
        <v>2804</v>
      </c>
      <c r="B2058" t="s">
        <v>3093</v>
      </c>
      <c r="C2058" t="s">
        <v>3094</v>
      </c>
      <c r="D2058" t="s">
        <v>26</v>
      </c>
      <c r="E2058" t="s">
        <v>31</v>
      </c>
      <c r="F2058">
        <v>1</v>
      </c>
      <c r="G2058" s="3" t="s">
        <v>32</v>
      </c>
      <c r="H2058" s="44" t="s">
        <v>15</v>
      </c>
      <c r="I2058" s="17">
        <v>4816306.6500000004</v>
      </c>
      <c r="J2058" s="17">
        <f>IF(Gastos[[#This Row],[Divisa]]="$", I2058*1, IF(Gastos[[#This Row],[Divisa]]="U$D", I2058*$N$1, IF(Gastos[[#This Row],[Divisa]]="EUR", I2058*$N$2, 0)))</f>
        <v>4816306.6500000004</v>
      </c>
      <c r="K2058" s="54">
        <f>Gastos[[#This Row],[Importe AR$]]/$N$1</f>
        <v>3087.3760576923078</v>
      </c>
      <c r="M2058" s="69">
        <v>46191</v>
      </c>
      <c r="N2058" s="43">
        <f>IF(Gastos[[#This Row],[Fecha_Cheque]]&gt;0,WEEKNUM(Gastos[[#This Row],[Fecha_Cheque]]),MID(Gastos[[#This Row],[Semana]],6,2))</f>
        <v>25</v>
      </c>
      <c r="O2058" t="s">
        <v>3095</v>
      </c>
      <c r="P2058" t="s">
        <v>27</v>
      </c>
    </row>
    <row r="2059" spans="1:16" hidden="1" x14ac:dyDescent="0.25">
      <c r="A2059" s="3" t="s">
        <v>2804</v>
      </c>
      <c r="B2059" t="s">
        <v>3093</v>
      </c>
      <c r="C2059" t="s">
        <v>3094</v>
      </c>
      <c r="D2059" t="s">
        <v>26</v>
      </c>
      <c r="E2059" t="s">
        <v>31</v>
      </c>
      <c r="F2059">
        <v>1</v>
      </c>
      <c r="G2059" s="3" t="s">
        <v>32</v>
      </c>
      <c r="H2059" s="44" t="s">
        <v>15</v>
      </c>
      <c r="I2059" s="17">
        <v>7164157.6200000001</v>
      </c>
      <c r="J2059" s="17">
        <f>IF(Gastos[[#This Row],[Divisa]]="$", I2059*1, IF(Gastos[[#This Row],[Divisa]]="U$D", I2059*$N$1, IF(Gastos[[#This Row],[Divisa]]="EUR", I2059*$N$2, 0)))</f>
        <v>7164157.6200000001</v>
      </c>
      <c r="K2059" s="54">
        <f>Gastos[[#This Row],[Importe AR$]]/$N$1</f>
        <v>4592.4087307692307</v>
      </c>
      <c r="M2059" s="69">
        <v>46210</v>
      </c>
      <c r="N2059" s="43">
        <f>IF(Gastos[[#This Row],[Fecha_Cheque]]&gt;0,WEEKNUM(Gastos[[#This Row],[Fecha_Cheque]]),MID(Gastos[[#This Row],[Semana]],6,2))</f>
        <v>28</v>
      </c>
      <c r="O2059" t="s">
        <v>3095</v>
      </c>
      <c r="P2059" t="s">
        <v>27</v>
      </c>
    </row>
    <row r="2060" spans="1:16" hidden="1" x14ac:dyDescent="0.25">
      <c r="A2060" s="3" t="s">
        <v>2804</v>
      </c>
      <c r="B2060" t="s">
        <v>3093</v>
      </c>
      <c r="C2060" t="s">
        <v>3094</v>
      </c>
      <c r="D2060" t="s">
        <v>26</v>
      </c>
      <c r="E2060" t="s">
        <v>31</v>
      </c>
      <c r="F2060">
        <v>1</v>
      </c>
      <c r="G2060" s="3" t="s">
        <v>32</v>
      </c>
      <c r="H2060" s="44" t="s">
        <v>15</v>
      </c>
      <c r="I2060" s="17">
        <v>424208.88</v>
      </c>
      <c r="J2060" s="17">
        <f>IF(Gastos[[#This Row],[Divisa]]="$", I2060*1, IF(Gastos[[#This Row],[Divisa]]="U$D", I2060*$N$1, IF(Gastos[[#This Row],[Divisa]]="EUR", I2060*$N$2, 0)))</f>
        <v>424208.88</v>
      </c>
      <c r="K2060" s="54">
        <f>Gastos[[#This Row],[Importe AR$]]/$N$1</f>
        <v>271.92876923076921</v>
      </c>
      <c r="L2060" t="s">
        <v>340</v>
      </c>
      <c r="M2060" s="69"/>
      <c r="N2060" s="43" t="str">
        <f>IF(Gastos[[#This Row],[Fecha_Cheque]]&gt;0,WEEKNUM(Gastos[[#This Row],[Fecha_Cheque]]),MID(Gastos[[#This Row],[Semana]],6,2))</f>
        <v>19</v>
      </c>
      <c r="O2060" t="s">
        <v>3095</v>
      </c>
      <c r="P2060" t="s">
        <v>27</v>
      </c>
    </row>
    <row r="2061" spans="1:16" hidden="1" x14ac:dyDescent="0.25">
      <c r="A2061" s="3" t="s">
        <v>4157</v>
      </c>
      <c r="B2061" t="s">
        <v>4169</v>
      </c>
      <c r="C2061" t="s">
        <v>1307</v>
      </c>
      <c r="D2061" t="s">
        <v>26</v>
      </c>
      <c r="E2061" t="s">
        <v>31</v>
      </c>
      <c r="F2061">
        <v>1</v>
      </c>
      <c r="G2061" s="3" t="s">
        <v>32</v>
      </c>
      <c r="H2061" s="44" t="s">
        <v>15</v>
      </c>
      <c r="I2061" s="17">
        <v>500000</v>
      </c>
      <c r="J2061" s="17">
        <f>IF(Gastos[[#This Row],[Divisa]]="$", I2061*1, IF(Gastos[[#This Row],[Divisa]]="U$D", I2061*$N$1, IF(Gastos[[#This Row],[Divisa]]="EUR", I2061*$N$2, 0)))</f>
        <v>500000</v>
      </c>
      <c r="K2061" s="54">
        <f>Gastos[[#This Row],[Importe AR$]]/$N$1</f>
        <v>320.5128205128205</v>
      </c>
      <c r="M2061" s="69">
        <v>46282</v>
      </c>
      <c r="N2061" s="43">
        <f>IF(Gastos[[#This Row],[Fecha_Cheque]]&gt;0,WEEKNUM(Gastos[[#This Row],[Fecha_Cheque]]),MID(Gastos[[#This Row],[Semana]],6,2))</f>
        <v>38</v>
      </c>
      <c r="O2061" t="s">
        <v>4170</v>
      </c>
      <c r="P2061" t="s">
        <v>27</v>
      </c>
    </row>
    <row r="2062" spans="1:16" hidden="1" x14ac:dyDescent="0.25">
      <c r="A2062" s="3" t="s">
        <v>4157</v>
      </c>
      <c r="B2062" t="s">
        <v>4169</v>
      </c>
      <c r="C2062" t="s">
        <v>1307</v>
      </c>
      <c r="D2062" t="s">
        <v>26</v>
      </c>
      <c r="E2062" t="s">
        <v>31</v>
      </c>
      <c r="F2062">
        <v>1</v>
      </c>
      <c r="G2062" s="3" t="s">
        <v>32</v>
      </c>
      <c r="H2062" s="44" t="s">
        <v>15</v>
      </c>
      <c r="I2062" s="17">
        <v>788591.55</v>
      </c>
      <c r="J2062" s="17">
        <f>IF(Gastos[[#This Row],[Divisa]]="$", I2062*1, IF(Gastos[[#This Row],[Divisa]]="U$D", I2062*$N$1, IF(Gastos[[#This Row],[Divisa]]="EUR", I2062*$N$2, 0)))</f>
        <v>788591.55</v>
      </c>
      <c r="K2062" s="54">
        <f>Gastos[[#This Row],[Importe AR$]]/$N$1</f>
        <v>505.50740384615386</v>
      </c>
      <c r="M2062" s="69">
        <v>46304</v>
      </c>
      <c r="N2062" s="43">
        <f>IF(Gastos[[#This Row],[Fecha_Cheque]]&gt;0,WEEKNUM(Gastos[[#This Row],[Fecha_Cheque]]),MID(Gastos[[#This Row],[Semana]],6,2))</f>
        <v>41</v>
      </c>
      <c r="O2062" t="s">
        <v>4170</v>
      </c>
      <c r="P2062" t="s">
        <v>27</v>
      </c>
    </row>
    <row r="2063" spans="1:16" hidden="1" x14ac:dyDescent="0.25">
      <c r="A2063" s="3" t="s">
        <v>4157</v>
      </c>
      <c r="B2063" t="s">
        <v>4169</v>
      </c>
      <c r="C2063" t="s">
        <v>1307</v>
      </c>
      <c r="D2063" t="s">
        <v>26</v>
      </c>
      <c r="E2063" t="s">
        <v>31</v>
      </c>
      <c r="F2063">
        <v>1</v>
      </c>
      <c r="G2063" s="3" t="s">
        <v>32</v>
      </c>
      <c r="H2063" s="44" t="s">
        <v>15</v>
      </c>
      <c r="I2063" s="17">
        <v>830950.75</v>
      </c>
      <c r="J2063" s="17">
        <f>IF(Gastos[[#This Row],[Divisa]]="$", I2063*1, IF(Gastos[[#This Row],[Divisa]]="U$D", I2063*$N$1, IF(Gastos[[#This Row],[Divisa]]="EUR", I2063*$N$2, 0)))</f>
        <v>830950.75</v>
      </c>
      <c r="K2063" s="54">
        <f>Gastos[[#This Row],[Importe AR$]]/$N$1</f>
        <v>532.66073717948723</v>
      </c>
      <c r="M2063" s="69">
        <v>46311</v>
      </c>
      <c r="N2063" s="43">
        <f>IF(Gastos[[#This Row],[Fecha_Cheque]]&gt;0,WEEKNUM(Gastos[[#This Row],[Fecha_Cheque]]),MID(Gastos[[#This Row],[Semana]],6,2))</f>
        <v>42</v>
      </c>
      <c r="O2063" t="s">
        <v>4170</v>
      </c>
      <c r="P2063" t="s">
        <v>27</v>
      </c>
    </row>
    <row r="2064" spans="1:16" hidden="1" x14ac:dyDescent="0.25">
      <c r="A2064" s="3" t="s">
        <v>206</v>
      </c>
      <c r="B2064" t="s">
        <v>1250</v>
      </c>
      <c r="C2064" t="s">
        <v>1251</v>
      </c>
      <c r="D2064" t="s">
        <v>26</v>
      </c>
      <c r="E2064" t="s">
        <v>31</v>
      </c>
      <c r="F2064">
        <v>1</v>
      </c>
      <c r="G2064" s="3" t="s">
        <v>32</v>
      </c>
      <c r="H2064" s="46" t="s">
        <v>15</v>
      </c>
      <c r="I2064" s="17">
        <v>949375.7</v>
      </c>
      <c r="J2064" s="17">
        <f>IF(Gastos[[#This Row],[Divisa]]="$", I2064*1, IF(Gastos[[#This Row],[Divisa]]="U$D", I2064*$N$1, IF(Gastos[[#This Row],[Divisa]]="EUR", I2064*$N$2, 0)))</f>
        <v>949375.7</v>
      </c>
      <c r="K2064" s="54">
        <f>Gastos[[#This Row],[Importe AR$]]/$N$1</f>
        <v>608.57416666666666</v>
      </c>
      <c r="M2064" s="69">
        <v>46080</v>
      </c>
      <c r="N2064" s="43">
        <f>IF(Gastos[[#This Row],[Fecha_Cheque]]&gt;0,WEEKNUM(Gastos[[#This Row],[Fecha_Cheque]]),MID(Gastos[[#This Row],[Semana]],6,2))</f>
        <v>9</v>
      </c>
      <c r="O2064" t="s">
        <v>1252</v>
      </c>
      <c r="P2064" t="s">
        <v>27</v>
      </c>
    </row>
    <row r="2065" spans="1:16" hidden="1" x14ac:dyDescent="0.25">
      <c r="A2065" s="3" t="s">
        <v>75</v>
      </c>
      <c r="B2065" t="s">
        <v>1250</v>
      </c>
      <c r="C2065" t="s">
        <v>1253</v>
      </c>
      <c r="D2065" t="s">
        <v>26</v>
      </c>
      <c r="E2065" t="s">
        <v>31</v>
      </c>
      <c r="F2065">
        <v>1</v>
      </c>
      <c r="G2065" s="3" t="s">
        <v>32</v>
      </c>
      <c r="H2065" s="46" t="s">
        <v>15</v>
      </c>
      <c r="I2065" s="17">
        <v>1000000</v>
      </c>
      <c r="J2065" s="17">
        <f>IF(Gastos[[#This Row],[Divisa]]="$", I2065*1, IF(Gastos[[#This Row],[Divisa]]="U$D", I2065*$N$1, IF(Gastos[[#This Row],[Divisa]]="EUR", I2065*$N$2, 0)))</f>
        <v>1000000</v>
      </c>
      <c r="K2065" s="54">
        <f>Gastos[[#This Row],[Importe AR$]]/$N$1</f>
        <v>641.02564102564099</v>
      </c>
      <c r="M2065" s="69">
        <v>46095</v>
      </c>
      <c r="N2065" s="43">
        <f>IF(Gastos[[#This Row],[Fecha_Cheque]]&gt;0,WEEKNUM(Gastos[[#This Row],[Fecha_Cheque]]),MID(Gastos[[#This Row],[Semana]],6,2))</f>
        <v>11</v>
      </c>
      <c r="O2065" t="s">
        <v>1254</v>
      </c>
      <c r="P2065" t="s">
        <v>27</v>
      </c>
    </row>
    <row r="2066" spans="1:16" hidden="1" x14ac:dyDescent="0.25">
      <c r="A2066" s="3" t="s">
        <v>75</v>
      </c>
      <c r="B2066" t="s">
        <v>1250</v>
      </c>
      <c r="C2066" t="s">
        <v>1253</v>
      </c>
      <c r="D2066" t="s">
        <v>26</v>
      </c>
      <c r="E2066" t="s">
        <v>31</v>
      </c>
      <c r="F2066">
        <v>1</v>
      </c>
      <c r="G2066" s="3" t="s">
        <v>32</v>
      </c>
      <c r="H2066" s="46" t="s">
        <v>15</v>
      </c>
      <c r="I2066" s="17">
        <v>2263400</v>
      </c>
      <c r="J2066" s="17">
        <f>IF(Gastos[[#This Row],[Divisa]]="$", I2066*1, IF(Gastos[[#This Row],[Divisa]]="U$D", I2066*$N$1, IF(Gastos[[#This Row],[Divisa]]="EUR", I2066*$N$2, 0)))</f>
        <v>2263400</v>
      </c>
      <c r="K2066" s="54">
        <f>Gastos[[#This Row],[Importe AR$]]/$N$1</f>
        <v>1450.8974358974358</v>
      </c>
      <c r="M2066" s="69">
        <v>46081</v>
      </c>
      <c r="N2066" s="43">
        <f>IF(Gastos[[#This Row],[Fecha_Cheque]]&gt;0,WEEKNUM(Gastos[[#This Row],[Fecha_Cheque]]),MID(Gastos[[#This Row],[Semana]],6,2))</f>
        <v>9</v>
      </c>
      <c r="O2066" t="s">
        <v>1254</v>
      </c>
      <c r="P2066" t="s">
        <v>27</v>
      </c>
    </row>
    <row r="2067" spans="1:16" hidden="1" x14ac:dyDescent="0.25">
      <c r="A2067" s="3" t="s">
        <v>75</v>
      </c>
      <c r="B2067" t="s">
        <v>1250</v>
      </c>
      <c r="C2067" t="s">
        <v>1253</v>
      </c>
      <c r="D2067" t="s">
        <v>26</v>
      </c>
      <c r="E2067" t="s">
        <v>31</v>
      </c>
      <c r="F2067">
        <v>1</v>
      </c>
      <c r="G2067" s="3" t="s">
        <v>32</v>
      </c>
      <c r="H2067" s="46" t="s">
        <v>15</v>
      </c>
      <c r="I2067" s="17">
        <v>2272500</v>
      </c>
      <c r="J2067" s="17">
        <f>IF(Gastos[[#This Row],[Divisa]]="$", I2067*1, IF(Gastos[[#This Row],[Divisa]]="U$D", I2067*$N$1, IF(Gastos[[#This Row],[Divisa]]="EUR", I2067*$N$2, 0)))</f>
        <v>2272500</v>
      </c>
      <c r="K2067" s="54">
        <f>Gastos[[#This Row],[Importe AR$]]/$N$1</f>
        <v>1456.7307692307693</v>
      </c>
      <c r="M2067" s="69">
        <v>46140</v>
      </c>
      <c r="N2067" s="43">
        <f>IF(Gastos[[#This Row],[Fecha_Cheque]]&gt;0,WEEKNUM(Gastos[[#This Row],[Fecha_Cheque]]),MID(Gastos[[#This Row],[Semana]],6,2))</f>
        <v>18</v>
      </c>
      <c r="O2067" t="s">
        <v>1254</v>
      </c>
      <c r="P2067" t="s">
        <v>27</v>
      </c>
    </row>
    <row r="2068" spans="1:16" hidden="1" x14ac:dyDescent="0.25">
      <c r="A2068" s="3" t="s">
        <v>75</v>
      </c>
      <c r="B2068" t="s">
        <v>1250</v>
      </c>
      <c r="C2068" t="s">
        <v>1253</v>
      </c>
      <c r="D2068" t="s">
        <v>26</v>
      </c>
      <c r="E2068" t="s">
        <v>31</v>
      </c>
      <c r="F2068">
        <v>1</v>
      </c>
      <c r="G2068" s="3" t="s">
        <v>32</v>
      </c>
      <c r="H2068" s="46" t="s">
        <v>15</v>
      </c>
      <c r="I2068" s="17">
        <v>2500000</v>
      </c>
      <c r="J2068" s="17">
        <f>IF(Gastos[[#This Row],[Divisa]]="$", I2068*1, IF(Gastos[[#This Row],[Divisa]]="U$D", I2068*$N$1, IF(Gastos[[#This Row],[Divisa]]="EUR", I2068*$N$2, 0)))</f>
        <v>2500000</v>
      </c>
      <c r="K2068" s="54">
        <f>Gastos[[#This Row],[Importe AR$]]/$N$1</f>
        <v>1602.5641025641025</v>
      </c>
      <c r="M2068" s="69">
        <v>46095</v>
      </c>
      <c r="N2068" s="43">
        <f>IF(Gastos[[#This Row],[Fecha_Cheque]]&gt;0,WEEKNUM(Gastos[[#This Row],[Fecha_Cheque]]),MID(Gastos[[#This Row],[Semana]],6,2))</f>
        <v>11</v>
      </c>
      <c r="O2068" t="s">
        <v>1254</v>
      </c>
      <c r="P2068" t="s">
        <v>27</v>
      </c>
    </row>
    <row r="2069" spans="1:16" hidden="1" x14ac:dyDescent="0.25">
      <c r="A2069" s="3" t="s">
        <v>75</v>
      </c>
      <c r="B2069" t="s">
        <v>1250</v>
      </c>
      <c r="C2069" t="s">
        <v>1253</v>
      </c>
      <c r="D2069" t="s">
        <v>26</v>
      </c>
      <c r="E2069" t="s">
        <v>31</v>
      </c>
      <c r="F2069">
        <v>1</v>
      </c>
      <c r="G2069" s="3" t="s">
        <v>32</v>
      </c>
      <c r="H2069" s="46" t="s">
        <v>15</v>
      </c>
      <c r="I2069" s="17">
        <v>2800000</v>
      </c>
      <c r="J2069" s="17">
        <f>IF(Gastos[[#This Row],[Divisa]]="$", I2069*1, IF(Gastos[[#This Row],[Divisa]]="U$D", I2069*$N$1, IF(Gastos[[#This Row],[Divisa]]="EUR", I2069*$N$2, 0)))</f>
        <v>2800000</v>
      </c>
      <c r="K2069" s="54">
        <f>Gastos[[#This Row],[Importe AR$]]/$N$1</f>
        <v>1794.8717948717949</v>
      </c>
      <c r="M2069" s="69">
        <v>46132</v>
      </c>
      <c r="N2069" s="43">
        <f>IF(Gastos[[#This Row],[Fecha_Cheque]]&gt;0,WEEKNUM(Gastos[[#This Row],[Fecha_Cheque]]),MID(Gastos[[#This Row],[Semana]],6,2))</f>
        <v>17</v>
      </c>
      <c r="O2069" t="s">
        <v>1254</v>
      </c>
      <c r="P2069" t="s">
        <v>27</v>
      </c>
    </row>
    <row r="2070" spans="1:16" hidden="1" x14ac:dyDescent="0.25">
      <c r="A2070" s="3" t="s">
        <v>75</v>
      </c>
      <c r="B2070" t="s">
        <v>1250</v>
      </c>
      <c r="C2070" t="s">
        <v>1253</v>
      </c>
      <c r="D2070" t="s">
        <v>26</v>
      </c>
      <c r="E2070" t="s">
        <v>31</v>
      </c>
      <c r="F2070">
        <v>1</v>
      </c>
      <c r="G2070" s="3" t="s">
        <v>32</v>
      </c>
      <c r="H2070" s="46" t="s">
        <v>15</v>
      </c>
      <c r="I2070" s="17">
        <v>3000000</v>
      </c>
      <c r="J2070" s="17">
        <f>IF(Gastos[[#This Row],[Divisa]]="$", I2070*1, IF(Gastos[[#This Row],[Divisa]]="U$D", I2070*$N$1, IF(Gastos[[#This Row],[Divisa]]="EUR", I2070*$N$2, 0)))</f>
        <v>3000000</v>
      </c>
      <c r="K2070" s="54">
        <f>Gastos[[#This Row],[Importe AR$]]/$N$1</f>
        <v>1923.0769230769231</v>
      </c>
      <c r="M2070" s="69">
        <v>46136</v>
      </c>
      <c r="N2070" s="43">
        <f>IF(Gastos[[#This Row],[Fecha_Cheque]]&gt;0,WEEKNUM(Gastos[[#This Row],[Fecha_Cheque]]),MID(Gastos[[#This Row],[Semana]],6,2))</f>
        <v>17</v>
      </c>
      <c r="O2070" t="s">
        <v>1254</v>
      </c>
      <c r="P2070" t="s">
        <v>27</v>
      </c>
    </row>
    <row r="2071" spans="1:16" hidden="1" x14ac:dyDescent="0.25">
      <c r="A2071" s="3" t="s">
        <v>75</v>
      </c>
      <c r="B2071" t="s">
        <v>1250</v>
      </c>
      <c r="C2071" t="s">
        <v>1253</v>
      </c>
      <c r="D2071" t="s">
        <v>26</v>
      </c>
      <c r="E2071" t="s">
        <v>31</v>
      </c>
      <c r="F2071">
        <v>1</v>
      </c>
      <c r="G2071" s="3" t="s">
        <v>32</v>
      </c>
      <c r="H2071" s="46" t="s">
        <v>15</v>
      </c>
      <c r="I2071" s="17">
        <v>3000000</v>
      </c>
      <c r="J2071" s="17">
        <f>IF(Gastos[[#This Row],[Divisa]]="$", I2071*1, IF(Gastos[[#This Row],[Divisa]]="U$D", I2071*$N$1, IF(Gastos[[#This Row],[Divisa]]="EUR", I2071*$N$2, 0)))</f>
        <v>3000000</v>
      </c>
      <c r="K2071" s="54">
        <f>Gastos[[#This Row],[Importe AR$]]/$N$1</f>
        <v>1923.0769230769231</v>
      </c>
      <c r="M2071" s="69">
        <v>46125</v>
      </c>
      <c r="N2071" s="43">
        <f>IF(Gastos[[#This Row],[Fecha_Cheque]]&gt;0,WEEKNUM(Gastos[[#This Row],[Fecha_Cheque]]),MID(Gastos[[#This Row],[Semana]],6,2))</f>
        <v>16</v>
      </c>
      <c r="O2071" t="s">
        <v>1254</v>
      </c>
      <c r="P2071" t="s">
        <v>27</v>
      </c>
    </row>
    <row r="2072" spans="1:16" hidden="1" x14ac:dyDescent="0.25">
      <c r="A2072" s="3" t="s">
        <v>75</v>
      </c>
      <c r="B2072" t="s">
        <v>1250</v>
      </c>
      <c r="C2072" t="s">
        <v>1253</v>
      </c>
      <c r="D2072" t="s">
        <v>26</v>
      </c>
      <c r="E2072" t="s">
        <v>31</v>
      </c>
      <c r="F2072">
        <v>1</v>
      </c>
      <c r="G2072" s="3" t="s">
        <v>32</v>
      </c>
      <c r="H2072" s="46" t="s">
        <v>15</v>
      </c>
      <c r="I2072" s="17">
        <v>3000000</v>
      </c>
      <c r="J2072" s="17">
        <f>IF(Gastos[[#This Row],[Divisa]]="$", I2072*1, IF(Gastos[[#This Row],[Divisa]]="U$D", I2072*$N$1, IF(Gastos[[#This Row],[Divisa]]="EUR", I2072*$N$2, 0)))</f>
        <v>3000000</v>
      </c>
      <c r="K2072" s="54">
        <f>Gastos[[#This Row],[Importe AR$]]/$N$1</f>
        <v>1923.0769230769231</v>
      </c>
      <c r="M2072" s="69">
        <v>46095</v>
      </c>
      <c r="N2072" s="43">
        <f>IF(Gastos[[#This Row],[Fecha_Cheque]]&gt;0,WEEKNUM(Gastos[[#This Row],[Fecha_Cheque]]),MID(Gastos[[#This Row],[Semana]],6,2))</f>
        <v>11</v>
      </c>
      <c r="O2072" t="s">
        <v>1254</v>
      </c>
      <c r="P2072" t="s">
        <v>27</v>
      </c>
    </row>
    <row r="2073" spans="1:16" hidden="1" x14ac:dyDescent="0.25">
      <c r="A2073" s="3" t="s">
        <v>75</v>
      </c>
      <c r="B2073" t="s">
        <v>1250</v>
      </c>
      <c r="C2073" t="s">
        <v>1253</v>
      </c>
      <c r="D2073" t="s">
        <v>26</v>
      </c>
      <c r="E2073" t="s">
        <v>31</v>
      </c>
      <c r="F2073">
        <v>1</v>
      </c>
      <c r="G2073" s="3" t="s">
        <v>32</v>
      </c>
      <c r="H2073" s="46" t="s">
        <v>15</v>
      </c>
      <c r="I2073" s="17">
        <v>3600000</v>
      </c>
      <c r="J2073" s="17">
        <f>IF(Gastos[[#This Row],[Divisa]]="$", I2073*1, IF(Gastos[[#This Row],[Divisa]]="U$D", I2073*$N$1, IF(Gastos[[#This Row],[Divisa]]="EUR", I2073*$N$2, 0)))</f>
        <v>3600000</v>
      </c>
      <c r="K2073" s="54">
        <f>Gastos[[#This Row],[Importe AR$]]/$N$1</f>
        <v>2307.6923076923076</v>
      </c>
      <c r="M2073" s="69">
        <v>46121</v>
      </c>
      <c r="N2073" s="43">
        <f>IF(Gastos[[#This Row],[Fecha_Cheque]]&gt;0,WEEKNUM(Gastos[[#This Row],[Fecha_Cheque]]),MID(Gastos[[#This Row],[Semana]],6,2))</f>
        <v>15</v>
      </c>
      <c r="O2073" t="s">
        <v>1254</v>
      </c>
      <c r="P2073" t="s">
        <v>27</v>
      </c>
    </row>
    <row r="2074" spans="1:16" hidden="1" x14ac:dyDescent="0.25">
      <c r="A2074" s="3" t="s">
        <v>75</v>
      </c>
      <c r="B2074" t="s">
        <v>1250</v>
      </c>
      <c r="C2074" t="s">
        <v>1253</v>
      </c>
      <c r="D2074" t="s">
        <v>26</v>
      </c>
      <c r="E2074" t="s">
        <v>31</v>
      </c>
      <c r="F2074">
        <v>1</v>
      </c>
      <c r="G2074" s="3" t="s">
        <v>32</v>
      </c>
      <c r="H2074" s="46" t="s">
        <v>15</v>
      </c>
      <c r="I2074" s="17">
        <v>3900000</v>
      </c>
      <c r="J2074" s="17">
        <f>IF(Gastos[[#This Row],[Divisa]]="$", I2074*1, IF(Gastos[[#This Row],[Divisa]]="U$D", I2074*$N$1, IF(Gastos[[#This Row],[Divisa]]="EUR", I2074*$N$2, 0)))</f>
        <v>3900000</v>
      </c>
      <c r="K2074" s="54">
        <f>Gastos[[#This Row],[Importe AR$]]/$N$1</f>
        <v>2500</v>
      </c>
      <c r="M2074" s="69">
        <v>46095</v>
      </c>
      <c r="N2074" s="43">
        <f>IF(Gastos[[#This Row],[Fecha_Cheque]]&gt;0,WEEKNUM(Gastos[[#This Row],[Fecha_Cheque]]),MID(Gastos[[#This Row],[Semana]],6,2))</f>
        <v>11</v>
      </c>
      <c r="O2074" t="s">
        <v>1254</v>
      </c>
      <c r="P2074" t="s">
        <v>27</v>
      </c>
    </row>
    <row r="2075" spans="1:16" hidden="1" x14ac:dyDescent="0.25">
      <c r="A2075" s="3" t="s">
        <v>139</v>
      </c>
      <c r="B2075" t="s">
        <v>1250</v>
      </c>
      <c r="C2075" t="s">
        <v>1255</v>
      </c>
      <c r="D2075" t="s">
        <v>26</v>
      </c>
      <c r="E2075" t="s">
        <v>31</v>
      </c>
      <c r="F2075">
        <v>1</v>
      </c>
      <c r="G2075" s="3" t="s">
        <v>32</v>
      </c>
      <c r="H2075" s="46" t="s">
        <v>15</v>
      </c>
      <c r="I2075" s="17">
        <v>175114</v>
      </c>
      <c r="J2075" s="17">
        <f>IF(Gastos[[#This Row],[Divisa]]="$", I2075*1, IF(Gastos[[#This Row],[Divisa]]="U$D", I2075*$N$1, IF(Gastos[[#This Row],[Divisa]]="EUR", I2075*$N$2, 0)))</f>
        <v>175114</v>
      </c>
      <c r="K2075" s="54">
        <f>Gastos[[#This Row],[Importe AR$]]/$N$1</f>
        <v>112.25256410256411</v>
      </c>
      <c r="M2075" s="69"/>
      <c r="N2075" s="43" t="str">
        <f>IF(Gastos[[#This Row],[Fecha_Cheque]]&gt;0,WEEKNUM(Gastos[[#This Row],[Fecha_Cheque]]),MID(Gastos[[#This Row],[Semana]],6,2))</f>
        <v>08</v>
      </c>
      <c r="O2075" t="s">
        <v>1256</v>
      </c>
      <c r="P2075" t="s">
        <v>27</v>
      </c>
    </row>
    <row r="2076" spans="1:16" hidden="1" x14ac:dyDescent="0.25">
      <c r="A2076" s="3" t="s">
        <v>79</v>
      </c>
      <c r="B2076" t="s">
        <v>1257</v>
      </c>
      <c r="C2076" t="s">
        <v>1258</v>
      </c>
      <c r="D2076" t="s">
        <v>26</v>
      </c>
      <c r="E2076" t="s">
        <v>31</v>
      </c>
      <c r="F2076">
        <v>1</v>
      </c>
      <c r="G2076" s="3" t="s">
        <v>32</v>
      </c>
      <c r="H2076" s="46" t="s">
        <v>15</v>
      </c>
      <c r="I2076" s="17">
        <v>1950000</v>
      </c>
      <c r="J2076" s="17">
        <f>IF(Gastos[[#This Row],[Divisa]]="$", I2076*1, IF(Gastos[[#This Row],[Divisa]]="U$D", I2076*$N$1, IF(Gastos[[#This Row],[Divisa]]="EUR", I2076*$N$2, 0)))</f>
        <v>1950000</v>
      </c>
      <c r="K2076" s="54">
        <f>Gastos[[#This Row],[Importe AR$]]/$N$1</f>
        <v>1250</v>
      </c>
      <c r="M2076" s="69">
        <v>46009</v>
      </c>
      <c r="N2076" s="43">
        <f>IF(Gastos[[#This Row],[Fecha_Cheque]]&gt;0,WEEKNUM(Gastos[[#This Row],[Fecha_Cheque]]),MID(Gastos[[#This Row],[Semana]],6,2))</f>
        <v>51</v>
      </c>
      <c r="O2076" t="s">
        <v>1259</v>
      </c>
      <c r="P2076" t="s">
        <v>27</v>
      </c>
    </row>
    <row r="2077" spans="1:16" hidden="1" x14ac:dyDescent="0.25">
      <c r="A2077" s="3" t="s">
        <v>79</v>
      </c>
      <c r="B2077" t="s">
        <v>1257</v>
      </c>
      <c r="C2077" t="s">
        <v>1258</v>
      </c>
      <c r="D2077" t="s">
        <v>26</v>
      </c>
      <c r="E2077" t="s">
        <v>31</v>
      </c>
      <c r="F2077">
        <v>1</v>
      </c>
      <c r="G2077" s="3" t="s">
        <v>32</v>
      </c>
      <c r="H2077" s="46" t="s">
        <v>15</v>
      </c>
      <c r="I2077" s="17">
        <v>1950000</v>
      </c>
      <c r="J2077" s="17">
        <f>IF(Gastos[[#This Row],[Divisa]]="$", I2077*1, IF(Gastos[[#This Row],[Divisa]]="U$D", I2077*$N$1, IF(Gastos[[#This Row],[Divisa]]="EUR", I2077*$N$2, 0)))</f>
        <v>1950000</v>
      </c>
      <c r="K2077" s="54">
        <f>Gastos[[#This Row],[Importe AR$]]/$N$1</f>
        <v>1250</v>
      </c>
      <c r="M2077" s="69">
        <v>45978</v>
      </c>
      <c r="N2077" s="43">
        <f>IF(Gastos[[#This Row],[Fecha_Cheque]]&gt;0,WEEKNUM(Gastos[[#This Row],[Fecha_Cheque]]),MID(Gastos[[#This Row],[Semana]],6,2))</f>
        <v>47</v>
      </c>
      <c r="O2077" t="s">
        <v>1259</v>
      </c>
      <c r="P2077" t="s">
        <v>27</v>
      </c>
    </row>
    <row r="2078" spans="1:16" hidden="1" x14ac:dyDescent="0.25">
      <c r="A2078" s="3" t="s">
        <v>79</v>
      </c>
      <c r="B2078" t="s">
        <v>1257</v>
      </c>
      <c r="C2078" t="s">
        <v>1258</v>
      </c>
      <c r="D2078" t="s">
        <v>26</v>
      </c>
      <c r="E2078" t="s">
        <v>31</v>
      </c>
      <c r="F2078">
        <v>1</v>
      </c>
      <c r="G2078" s="3" t="s">
        <v>32</v>
      </c>
      <c r="H2078" s="46" t="s">
        <v>15</v>
      </c>
      <c r="I2078" s="17">
        <v>825658.64</v>
      </c>
      <c r="J2078" s="17">
        <f>IF(Gastos[[#This Row],[Divisa]]="$", I2078*1, IF(Gastos[[#This Row],[Divisa]]="U$D", I2078*$N$1, IF(Gastos[[#This Row],[Divisa]]="EUR", I2078*$N$2, 0)))</f>
        <v>825658.64</v>
      </c>
      <c r="K2078" s="54">
        <f>Gastos[[#This Row],[Importe AR$]]/$N$1</f>
        <v>529.26835897435899</v>
      </c>
      <c r="M2078" s="69">
        <v>46010</v>
      </c>
      <c r="N2078" s="43">
        <f>IF(Gastos[[#This Row],[Fecha_Cheque]]&gt;0,WEEKNUM(Gastos[[#This Row],[Fecha_Cheque]]),MID(Gastos[[#This Row],[Semana]],6,2))</f>
        <v>51</v>
      </c>
      <c r="O2078" t="s">
        <v>1259</v>
      </c>
      <c r="P2078" t="s">
        <v>27</v>
      </c>
    </row>
    <row r="2079" spans="1:16" hidden="1" x14ac:dyDescent="0.25">
      <c r="A2079" s="3" t="s">
        <v>3882</v>
      </c>
      <c r="B2079" t="s">
        <v>3905</v>
      </c>
      <c r="C2079" t="s">
        <v>3906</v>
      </c>
      <c r="D2079" t="s">
        <v>26</v>
      </c>
      <c r="E2079" t="s">
        <v>31</v>
      </c>
      <c r="F2079">
        <v>1</v>
      </c>
      <c r="G2079" s="3" t="s">
        <v>32</v>
      </c>
      <c r="H2079" s="44" t="s">
        <v>15</v>
      </c>
      <c r="I2079" s="17">
        <v>647508.4</v>
      </c>
      <c r="J2079" s="17">
        <f>IF(Gastos[[#This Row],[Divisa]]="$", I2079*1, IF(Gastos[[#This Row],[Divisa]]="U$D", I2079*$N$1, IF(Gastos[[#This Row],[Divisa]]="EUR", I2079*$N$2, 0)))</f>
        <v>647508.4</v>
      </c>
      <c r="K2079" s="54">
        <f>Gastos[[#This Row],[Importe AR$]]/$N$1</f>
        <v>415.06948717948717</v>
      </c>
      <c r="M2079" s="69">
        <v>46246</v>
      </c>
      <c r="N2079" s="43">
        <f>IF(Gastos[[#This Row],[Fecha_Cheque]]&gt;0,WEEKNUM(Gastos[[#This Row],[Fecha_Cheque]]),MID(Gastos[[#This Row],[Semana]],6,2))</f>
        <v>33</v>
      </c>
      <c r="O2079" t="s">
        <v>3907</v>
      </c>
      <c r="P2079" t="s">
        <v>27</v>
      </c>
    </row>
    <row r="2080" spans="1:16" hidden="1" x14ac:dyDescent="0.25">
      <c r="A2080" s="3" t="s">
        <v>3882</v>
      </c>
      <c r="B2080" t="s">
        <v>3905</v>
      </c>
      <c r="C2080" t="s">
        <v>3906</v>
      </c>
      <c r="D2080" t="s">
        <v>26</v>
      </c>
      <c r="E2080" t="s">
        <v>31</v>
      </c>
      <c r="F2080">
        <v>1</v>
      </c>
      <c r="G2080" s="3" t="s">
        <v>32</v>
      </c>
      <c r="H2080" s="44" t="s">
        <v>15</v>
      </c>
      <c r="I2080" s="17">
        <v>6327.3</v>
      </c>
      <c r="J2080" s="17">
        <f>IF(Gastos[[#This Row],[Divisa]]="$", I2080*1, IF(Gastos[[#This Row],[Divisa]]="U$D", I2080*$N$1, IF(Gastos[[#This Row],[Divisa]]="EUR", I2080*$N$2, 0)))</f>
        <v>6327.3</v>
      </c>
      <c r="K2080" s="54">
        <f>Gastos[[#This Row],[Importe AR$]]/$N$1</f>
        <v>4.0559615384615384</v>
      </c>
      <c r="L2080" t="s">
        <v>340</v>
      </c>
      <c r="M2080" s="69"/>
      <c r="N2080" s="43" t="str">
        <f>IF(Gastos[[#This Row],[Fecha_Cheque]]&gt;0,WEEKNUM(Gastos[[#This Row],[Fecha_Cheque]]),MID(Gastos[[#This Row],[Semana]],6,2))</f>
        <v>31</v>
      </c>
      <c r="O2080" t="s">
        <v>3907</v>
      </c>
      <c r="P2080" t="s">
        <v>27</v>
      </c>
    </row>
    <row r="2081" spans="1:16" hidden="1" x14ac:dyDescent="0.25">
      <c r="A2081" s="3" t="s">
        <v>4119</v>
      </c>
      <c r="B2081" t="s">
        <v>3905</v>
      </c>
      <c r="C2081" t="s">
        <v>4148</v>
      </c>
      <c r="D2081" t="s">
        <v>26</v>
      </c>
      <c r="E2081" t="s">
        <v>31</v>
      </c>
      <c r="F2081">
        <v>1</v>
      </c>
      <c r="G2081" s="3" t="s">
        <v>32</v>
      </c>
      <c r="H2081" s="44" t="s">
        <v>15</v>
      </c>
      <c r="I2081" s="17">
        <v>41370.449999999997</v>
      </c>
      <c r="J2081" s="17">
        <f>IF(Gastos[[#This Row],[Divisa]]="$", I2081*1, IF(Gastos[[#This Row],[Divisa]]="U$D", I2081*$N$1, IF(Gastos[[#This Row],[Divisa]]="EUR", I2081*$N$2, 0)))</f>
        <v>41370.449999999997</v>
      </c>
      <c r="K2081" s="54">
        <f>Gastos[[#This Row],[Importe AR$]]/$N$1</f>
        <v>26.51951923076923</v>
      </c>
      <c r="L2081" t="s">
        <v>340</v>
      </c>
      <c r="M2081" s="69"/>
      <c r="N2081" s="43" t="str">
        <f>IF(Gastos[[#This Row],[Fecha_Cheque]]&gt;0,WEEKNUM(Gastos[[#This Row],[Fecha_Cheque]]),MID(Gastos[[#This Row],[Semana]],6,2))</f>
        <v>35</v>
      </c>
      <c r="O2081" t="s">
        <v>4149</v>
      </c>
      <c r="P2081" t="s">
        <v>27</v>
      </c>
    </row>
    <row r="2082" spans="1:16" hidden="1" x14ac:dyDescent="0.25">
      <c r="A2082" s="3" t="s">
        <v>4119</v>
      </c>
      <c r="B2082" t="s">
        <v>3905</v>
      </c>
      <c r="C2082" t="s">
        <v>4148</v>
      </c>
      <c r="D2082" t="s">
        <v>26</v>
      </c>
      <c r="E2082" t="s">
        <v>31</v>
      </c>
      <c r="F2082">
        <v>1</v>
      </c>
      <c r="G2082" s="3" t="s">
        <v>32</v>
      </c>
      <c r="H2082" s="44" t="s">
        <v>15</v>
      </c>
      <c r="I2082" s="17">
        <v>2732581.78</v>
      </c>
      <c r="J2082" s="17">
        <f>IF(Gastos[[#This Row],[Divisa]]="$", I2082*1, IF(Gastos[[#This Row],[Divisa]]="U$D", I2082*$N$1, IF(Gastos[[#This Row],[Divisa]]="EUR", I2082*$N$2, 0)))</f>
        <v>2732581.78</v>
      </c>
      <c r="K2082" s="54">
        <f>Gastos[[#This Row],[Importe AR$]]/$N$1</f>
        <v>1751.6549871794871</v>
      </c>
      <c r="M2082" s="69">
        <v>46323</v>
      </c>
      <c r="N2082" s="43">
        <f>IF(Gastos[[#This Row],[Fecha_Cheque]]&gt;0,WEEKNUM(Gastos[[#This Row],[Fecha_Cheque]]),MID(Gastos[[#This Row],[Semana]],6,2))</f>
        <v>44</v>
      </c>
      <c r="O2082" t="s">
        <v>4149</v>
      </c>
      <c r="P2082" t="s">
        <v>27</v>
      </c>
    </row>
    <row r="2083" spans="1:16" hidden="1" x14ac:dyDescent="0.25">
      <c r="A2083" s="3" t="s">
        <v>144</v>
      </c>
      <c r="B2083" t="s">
        <v>1260</v>
      </c>
      <c r="C2083" t="s">
        <v>1261</v>
      </c>
      <c r="D2083" t="s">
        <v>26</v>
      </c>
      <c r="E2083" t="s">
        <v>31</v>
      </c>
      <c r="F2083">
        <v>1</v>
      </c>
      <c r="G2083" s="3" t="s">
        <v>5</v>
      </c>
      <c r="H2083" s="46" t="s">
        <v>15</v>
      </c>
      <c r="I2083" s="17">
        <v>2188850.6800000002</v>
      </c>
      <c r="J2083" s="17">
        <f>IF(Gastos[[#This Row],[Divisa]]="$", I2083*1, IF(Gastos[[#This Row],[Divisa]]="U$D", I2083*$N$1, IF(Gastos[[#This Row],[Divisa]]="EUR", I2083*$N$2, 0)))</f>
        <v>2188850.6800000002</v>
      </c>
      <c r="K2083" s="54">
        <f>Gastos[[#This Row],[Importe AR$]]/$N$1</f>
        <v>1403.1094102564105</v>
      </c>
      <c r="L2083" t="s">
        <v>1262</v>
      </c>
      <c r="M2083" s="69"/>
      <c r="N2083" s="43" t="str">
        <f>IF(Gastos[[#This Row],[Fecha_Cheque]]&gt;0,WEEKNUM(Gastos[[#This Row],[Fecha_Cheque]]),MID(Gastos[[#This Row],[Semana]],6,2))</f>
        <v>16</v>
      </c>
      <c r="O2083" t="s">
        <v>1263</v>
      </c>
      <c r="P2083" t="s">
        <v>27</v>
      </c>
    </row>
    <row r="2084" spans="1:16" hidden="1" x14ac:dyDescent="0.25">
      <c r="A2084" s="3" t="s">
        <v>23</v>
      </c>
      <c r="B2084" t="s">
        <v>1260</v>
      </c>
      <c r="C2084" t="s">
        <v>1264</v>
      </c>
      <c r="D2084" t="s">
        <v>26</v>
      </c>
      <c r="E2084" t="s">
        <v>31</v>
      </c>
      <c r="F2084">
        <v>1</v>
      </c>
      <c r="G2084" s="3" t="s">
        <v>32</v>
      </c>
      <c r="H2084" s="46" t="s">
        <v>15</v>
      </c>
      <c r="I2084" s="17">
        <v>2249692.5</v>
      </c>
      <c r="J2084" s="17">
        <f>IF(Gastos[[#This Row],[Divisa]]="$", I2084*1, IF(Gastos[[#This Row],[Divisa]]="U$D", I2084*$N$1, IF(Gastos[[#This Row],[Divisa]]="EUR", I2084*$N$2, 0)))</f>
        <v>2249692.5</v>
      </c>
      <c r="K2084" s="54">
        <f>Gastos[[#This Row],[Importe AR$]]/$N$1</f>
        <v>1442.1105769230769</v>
      </c>
      <c r="L2084" t="s">
        <v>1265</v>
      </c>
      <c r="M2084" s="69">
        <v>45831</v>
      </c>
      <c r="N2084" s="43">
        <f>IF(Gastos[[#This Row],[Fecha_Cheque]]&gt;0,WEEKNUM(Gastos[[#This Row],[Fecha_Cheque]]),MID(Gastos[[#This Row],[Semana]],6,2))</f>
        <v>26</v>
      </c>
      <c r="P2084" t="s">
        <v>27</v>
      </c>
    </row>
    <row r="2085" spans="1:16" hidden="1" x14ac:dyDescent="0.25">
      <c r="A2085" s="3" t="s">
        <v>39</v>
      </c>
      <c r="B2085" t="s">
        <v>2632</v>
      </c>
      <c r="C2085" t="s">
        <v>2633</v>
      </c>
      <c r="D2085" t="s">
        <v>26</v>
      </c>
      <c r="E2085" t="s">
        <v>31</v>
      </c>
      <c r="F2085">
        <v>1</v>
      </c>
      <c r="G2085" s="3" t="s">
        <v>32</v>
      </c>
      <c r="H2085" s="44" t="s">
        <v>15</v>
      </c>
      <c r="I2085" s="17">
        <v>353745.5</v>
      </c>
      <c r="J2085" s="17">
        <f>IF(Gastos[[#This Row],[Divisa]]="$", I2085*1, IF(Gastos[[#This Row],[Divisa]]="U$D", I2085*$N$1, IF(Gastos[[#This Row],[Divisa]]="EUR", I2085*$N$2, 0)))</f>
        <v>353745.5</v>
      </c>
      <c r="K2085" s="54">
        <f>Gastos[[#This Row],[Importe AR$]]/$N$1</f>
        <v>226.75993589743589</v>
      </c>
      <c r="M2085" s="69">
        <v>46142</v>
      </c>
      <c r="N2085" s="43">
        <f>IF(Gastos[[#This Row],[Fecha_Cheque]]&gt;0,WEEKNUM(Gastos[[#This Row],[Fecha_Cheque]]),MID(Gastos[[#This Row],[Semana]],6,2))</f>
        <v>18</v>
      </c>
      <c r="O2085" t="s">
        <v>2634</v>
      </c>
      <c r="P2085" t="s">
        <v>27</v>
      </c>
    </row>
    <row r="2086" spans="1:16" hidden="1" x14ac:dyDescent="0.25">
      <c r="A2086" s="3" t="s">
        <v>39</v>
      </c>
      <c r="B2086" t="s">
        <v>2632</v>
      </c>
      <c r="C2086" t="s">
        <v>2633</v>
      </c>
      <c r="D2086" t="s">
        <v>26</v>
      </c>
      <c r="E2086" t="s">
        <v>31</v>
      </c>
      <c r="F2086">
        <v>1</v>
      </c>
      <c r="G2086" s="3" t="s">
        <v>32</v>
      </c>
      <c r="H2086" s="44" t="s">
        <v>15</v>
      </c>
      <c r="I2086" s="17">
        <v>1390.1</v>
      </c>
      <c r="J2086" s="17">
        <f>IF(Gastos[[#This Row],[Divisa]]="$", I2086*1, IF(Gastos[[#This Row],[Divisa]]="U$D", I2086*$N$1, IF(Gastos[[#This Row],[Divisa]]="EUR", I2086*$N$2, 0)))</f>
        <v>1390.1</v>
      </c>
      <c r="K2086" s="54">
        <f>Gastos[[#This Row],[Importe AR$]]/$N$1</f>
        <v>0.89108974358974358</v>
      </c>
      <c r="L2086" t="s">
        <v>340</v>
      </c>
      <c r="M2086" s="69"/>
      <c r="N2086" s="43" t="str">
        <f>IF(Gastos[[#This Row],[Fecha_Cheque]]&gt;0,WEEKNUM(Gastos[[#This Row],[Fecha_Cheque]]),MID(Gastos[[#This Row],[Semana]],6,2))</f>
        <v>14</v>
      </c>
      <c r="O2086" t="s">
        <v>2634</v>
      </c>
      <c r="P2086" t="s">
        <v>27</v>
      </c>
    </row>
    <row r="2087" spans="1:16" hidden="1" x14ac:dyDescent="0.25">
      <c r="A2087" s="3" t="s">
        <v>152</v>
      </c>
      <c r="B2087" t="s">
        <v>1266</v>
      </c>
      <c r="C2087" t="s">
        <v>1267</v>
      </c>
      <c r="D2087" t="s">
        <v>26</v>
      </c>
      <c r="E2087" t="s">
        <v>31</v>
      </c>
      <c r="F2087">
        <v>1</v>
      </c>
      <c r="G2087" s="3" t="s">
        <v>32</v>
      </c>
      <c r="H2087" s="46" t="s">
        <v>15</v>
      </c>
      <c r="I2087" s="17">
        <v>325780</v>
      </c>
      <c r="J2087" s="17">
        <f>IF(Gastos[[#This Row],[Divisa]]="$", I2087*1, IF(Gastos[[#This Row],[Divisa]]="U$D", I2087*$N$1, IF(Gastos[[#This Row],[Divisa]]="EUR", I2087*$N$2, 0)))</f>
        <v>325780</v>
      </c>
      <c r="K2087" s="54">
        <f>Gastos[[#This Row],[Importe AR$]]/$N$1</f>
        <v>208.83333333333334</v>
      </c>
      <c r="M2087" s="69">
        <v>46058</v>
      </c>
      <c r="N2087" s="43">
        <f>IF(Gastos[[#This Row],[Fecha_Cheque]]&gt;0,WEEKNUM(Gastos[[#This Row],[Fecha_Cheque]]),MID(Gastos[[#This Row],[Semana]],6,2))</f>
        <v>6</v>
      </c>
      <c r="O2087" t="s">
        <v>1268</v>
      </c>
      <c r="P2087" t="s">
        <v>27</v>
      </c>
    </row>
    <row r="2088" spans="1:16" hidden="1" x14ac:dyDescent="0.25">
      <c r="A2088" s="3" t="s">
        <v>2804</v>
      </c>
      <c r="B2088" t="s">
        <v>3099</v>
      </c>
      <c r="C2088" t="s">
        <v>3100</v>
      </c>
      <c r="D2088" t="s">
        <v>26</v>
      </c>
      <c r="E2088" t="s">
        <v>31</v>
      </c>
      <c r="F2088">
        <v>1</v>
      </c>
      <c r="G2088" s="3" t="s">
        <v>32</v>
      </c>
      <c r="H2088" s="44" t="s">
        <v>15</v>
      </c>
      <c r="I2088" s="17">
        <v>1004080</v>
      </c>
      <c r="J2088" s="17">
        <f>IF(Gastos[[#This Row],[Divisa]]="$", I2088*1, IF(Gastos[[#This Row],[Divisa]]="U$D", I2088*$N$1, IF(Gastos[[#This Row],[Divisa]]="EUR", I2088*$N$2, 0)))</f>
        <v>1004080</v>
      </c>
      <c r="K2088" s="54">
        <f>Gastos[[#This Row],[Importe AR$]]/$N$1</f>
        <v>643.64102564102564</v>
      </c>
      <c r="M2088" s="69">
        <v>46178</v>
      </c>
      <c r="N2088" s="43">
        <f>IF(Gastos[[#This Row],[Fecha_Cheque]]&gt;0,WEEKNUM(Gastos[[#This Row],[Fecha_Cheque]]),MID(Gastos[[#This Row],[Semana]],6,2))</f>
        <v>23</v>
      </c>
      <c r="O2088" t="s">
        <v>3101</v>
      </c>
      <c r="P2088" t="s">
        <v>27</v>
      </c>
    </row>
    <row r="2089" spans="1:16" hidden="1" x14ac:dyDescent="0.25">
      <c r="A2089" s="3" t="s">
        <v>2804</v>
      </c>
      <c r="B2089" t="s">
        <v>3099</v>
      </c>
      <c r="C2089" t="s">
        <v>3100</v>
      </c>
      <c r="D2089" t="s">
        <v>26</v>
      </c>
      <c r="E2089" t="s">
        <v>31</v>
      </c>
      <c r="F2089">
        <v>1</v>
      </c>
      <c r="G2089" s="3" t="s">
        <v>32</v>
      </c>
      <c r="H2089" s="44" t="s">
        <v>15</v>
      </c>
      <c r="I2089" s="17">
        <v>12320</v>
      </c>
      <c r="J2089" s="17">
        <f>IF(Gastos[[#This Row],[Divisa]]="$", I2089*1, IF(Gastos[[#This Row],[Divisa]]="U$D", I2089*$N$1, IF(Gastos[[#This Row],[Divisa]]="EUR", I2089*$N$2, 0)))</f>
        <v>12320</v>
      </c>
      <c r="K2089" s="54">
        <f>Gastos[[#This Row],[Importe AR$]]/$N$1</f>
        <v>7.8974358974358978</v>
      </c>
      <c r="L2089" t="s">
        <v>340</v>
      </c>
      <c r="M2089" s="69"/>
      <c r="N2089" s="43" t="str">
        <f>IF(Gastos[[#This Row],[Fecha_Cheque]]&gt;0,WEEKNUM(Gastos[[#This Row],[Fecha_Cheque]]),MID(Gastos[[#This Row],[Semana]],6,2))</f>
        <v>19</v>
      </c>
      <c r="O2089" t="s">
        <v>3101</v>
      </c>
      <c r="P2089" t="s">
        <v>27</v>
      </c>
    </row>
    <row r="2090" spans="1:16" hidden="1" x14ac:dyDescent="0.25">
      <c r="A2090" s="3" t="s">
        <v>3439</v>
      </c>
      <c r="B2090" t="s">
        <v>3099</v>
      </c>
      <c r="C2090" t="s">
        <v>3549</v>
      </c>
      <c r="D2090" t="s">
        <v>26</v>
      </c>
      <c r="E2090" t="s">
        <v>31</v>
      </c>
      <c r="F2090">
        <v>1</v>
      </c>
      <c r="G2090" s="3" t="s">
        <v>32</v>
      </c>
      <c r="H2090" s="44" t="s">
        <v>15</v>
      </c>
      <c r="I2090" s="17">
        <v>575680</v>
      </c>
      <c r="J2090" s="17">
        <f>IF(Gastos[[#This Row],[Divisa]]="$", I2090*1, IF(Gastos[[#This Row],[Divisa]]="U$D", I2090*$N$1, IF(Gastos[[#This Row],[Divisa]]="EUR", I2090*$N$2, 0)))</f>
        <v>575680</v>
      </c>
      <c r="K2090" s="54">
        <f>Gastos[[#This Row],[Importe AR$]]/$N$1</f>
        <v>369.02564102564105</v>
      </c>
      <c r="M2090" s="69">
        <v>46221</v>
      </c>
      <c r="N2090" s="43">
        <f>IF(Gastos[[#This Row],[Fecha_Cheque]]&gt;0,WEEKNUM(Gastos[[#This Row],[Fecha_Cheque]]),MID(Gastos[[#This Row],[Semana]],6,2))</f>
        <v>29</v>
      </c>
      <c r="O2090" t="s">
        <v>3550</v>
      </c>
      <c r="P2090" t="s">
        <v>27</v>
      </c>
    </row>
    <row r="2091" spans="1:16" hidden="1" x14ac:dyDescent="0.25">
      <c r="A2091" s="3" t="s">
        <v>3439</v>
      </c>
      <c r="B2091" t="s">
        <v>3099</v>
      </c>
      <c r="C2091" t="s">
        <v>3549</v>
      </c>
      <c r="D2091" t="s">
        <v>26</v>
      </c>
      <c r="E2091" t="s">
        <v>31</v>
      </c>
      <c r="F2091">
        <v>1</v>
      </c>
      <c r="G2091" s="3" t="s">
        <v>32</v>
      </c>
      <c r="H2091" s="44" t="s">
        <v>15</v>
      </c>
      <c r="I2091" s="17">
        <v>5120</v>
      </c>
      <c r="J2091" s="17">
        <f>IF(Gastos[[#This Row],[Divisa]]="$", I2091*1, IF(Gastos[[#This Row],[Divisa]]="U$D", I2091*$N$1, IF(Gastos[[#This Row],[Divisa]]="EUR", I2091*$N$2, 0)))</f>
        <v>5120</v>
      </c>
      <c r="K2091" s="54">
        <f>Gastos[[#This Row],[Importe AR$]]/$N$1</f>
        <v>3.2820512820512819</v>
      </c>
      <c r="L2091" t="s">
        <v>340</v>
      </c>
      <c r="M2091" s="69"/>
      <c r="N2091" s="43" t="str">
        <f>IF(Gastos[[#This Row],[Fecha_Cheque]]&gt;0,WEEKNUM(Gastos[[#This Row],[Fecha_Cheque]]),MID(Gastos[[#This Row],[Semana]],6,2))</f>
        <v>25</v>
      </c>
      <c r="O2091" t="s">
        <v>3550</v>
      </c>
      <c r="P2091" t="s">
        <v>27</v>
      </c>
    </row>
    <row r="2092" spans="1:16" hidden="1" x14ac:dyDescent="0.25">
      <c r="A2092" s="3" t="s">
        <v>128</v>
      </c>
      <c r="B2092" t="s">
        <v>1269</v>
      </c>
      <c r="D2092" t="s">
        <v>26</v>
      </c>
      <c r="E2092" t="s">
        <v>132</v>
      </c>
      <c r="F2092">
        <v>2</v>
      </c>
      <c r="G2092" s="3" t="s">
        <v>32</v>
      </c>
      <c r="H2092" s="46" t="s">
        <v>15</v>
      </c>
      <c r="I2092" s="17">
        <v>500000</v>
      </c>
      <c r="J2092" s="17">
        <f>IF(Gastos[[#This Row],[Divisa]]="$", I2092*1, IF(Gastos[[#This Row],[Divisa]]="U$D", I2092*$N$1, IF(Gastos[[#This Row],[Divisa]]="EUR", I2092*$N$2, 0)))</f>
        <v>500000</v>
      </c>
      <c r="K2092" s="54">
        <f>Gastos[[#This Row],[Importe AR$]]/$N$1</f>
        <v>320.5128205128205</v>
      </c>
      <c r="M2092" s="69">
        <v>45940</v>
      </c>
      <c r="N2092" s="43">
        <f>IF(Gastos[[#This Row],[Fecha_Cheque]]&gt;0,WEEKNUM(Gastos[[#This Row],[Fecha_Cheque]]),MID(Gastos[[#This Row],[Semana]],6,2))</f>
        <v>41</v>
      </c>
      <c r="O2092" t="s">
        <v>1270</v>
      </c>
      <c r="P2092" t="s">
        <v>27</v>
      </c>
    </row>
    <row r="2093" spans="1:16" hidden="1" x14ac:dyDescent="0.25">
      <c r="A2093" s="3" t="s">
        <v>128</v>
      </c>
      <c r="B2093" t="s">
        <v>1269</v>
      </c>
      <c r="D2093" t="s">
        <v>26</v>
      </c>
      <c r="E2093" t="s">
        <v>132</v>
      </c>
      <c r="F2093">
        <v>2</v>
      </c>
      <c r="G2093" s="3" t="s">
        <v>32</v>
      </c>
      <c r="H2093" s="46" t="s">
        <v>15</v>
      </c>
      <c r="I2093" s="17">
        <v>855750</v>
      </c>
      <c r="J2093" s="17">
        <f>IF(Gastos[[#This Row],[Divisa]]="$", I2093*1, IF(Gastos[[#This Row],[Divisa]]="U$D", I2093*$N$1, IF(Gastos[[#This Row],[Divisa]]="EUR", I2093*$N$2, 0)))</f>
        <v>855750</v>
      </c>
      <c r="K2093" s="54">
        <f>Gastos[[#This Row],[Importe AR$]]/$N$1</f>
        <v>548.55769230769226</v>
      </c>
      <c r="M2093" s="69">
        <v>45976</v>
      </c>
      <c r="N2093" s="43">
        <f>IF(Gastos[[#This Row],[Fecha_Cheque]]&gt;0,WEEKNUM(Gastos[[#This Row],[Fecha_Cheque]]),MID(Gastos[[#This Row],[Semana]],6,2))</f>
        <v>46</v>
      </c>
      <c r="O2093" t="s">
        <v>1270</v>
      </c>
      <c r="P2093" t="s">
        <v>27</v>
      </c>
    </row>
    <row r="2094" spans="1:16" hidden="1" x14ac:dyDescent="0.25">
      <c r="A2094" s="3" t="s">
        <v>124</v>
      </c>
      <c r="B2094" t="s">
        <v>1269</v>
      </c>
      <c r="C2094" t="s">
        <v>118</v>
      </c>
      <c r="D2094" t="s">
        <v>26</v>
      </c>
      <c r="E2094" t="s">
        <v>31</v>
      </c>
      <c r="F2094">
        <v>1</v>
      </c>
      <c r="G2094" s="3" t="s">
        <v>32</v>
      </c>
      <c r="H2094" s="46" t="s">
        <v>15</v>
      </c>
      <c r="I2094" s="17">
        <v>1643970.72</v>
      </c>
      <c r="J2094" s="17">
        <f>IF(Gastos[[#This Row],[Divisa]]="$", I2094*1, IF(Gastos[[#This Row],[Divisa]]="U$D", I2094*$N$1, IF(Gastos[[#This Row],[Divisa]]="EUR", I2094*$N$2, 0)))</f>
        <v>1643970.72</v>
      </c>
      <c r="K2094" s="54">
        <f>Gastos[[#This Row],[Importe AR$]]/$N$1</f>
        <v>1053.8273846153845</v>
      </c>
      <c r="M2094" s="69"/>
      <c r="N2094" s="43" t="str">
        <f>IF(Gastos[[#This Row],[Fecha_Cheque]]&gt;0,WEEKNUM(Gastos[[#This Row],[Fecha_Cheque]]),MID(Gastos[[#This Row],[Semana]],6,2))</f>
        <v>42</v>
      </c>
      <c r="O2094" t="s">
        <v>1271</v>
      </c>
      <c r="P2094" t="s">
        <v>27</v>
      </c>
    </row>
    <row r="2095" spans="1:16" hidden="1" x14ac:dyDescent="0.25">
      <c r="A2095" s="3" t="s">
        <v>93</v>
      </c>
      <c r="B2095" t="s">
        <v>1269</v>
      </c>
      <c r="C2095" t="s">
        <v>118</v>
      </c>
      <c r="D2095" t="s">
        <v>26</v>
      </c>
      <c r="E2095" t="s">
        <v>132</v>
      </c>
      <c r="F2095">
        <v>1</v>
      </c>
      <c r="G2095" s="3" t="s">
        <v>4</v>
      </c>
      <c r="H2095" s="46" t="s">
        <v>15</v>
      </c>
      <c r="I2095" s="17">
        <v>984480</v>
      </c>
      <c r="J2095" s="17">
        <f>IF(Gastos[[#This Row],[Divisa]]="$", I2095*1, IF(Gastos[[#This Row],[Divisa]]="U$D", I2095*$N$1, IF(Gastos[[#This Row],[Divisa]]="EUR", I2095*$N$2, 0)))</f>
        <v>984480</v>
      </c>
      <c r="K2095" s="54">
        <f>Gastos[[#This Row],[Importe AR$]]/$N$1</f>
        <v>631.07692307692309</v>
      </c>
      <c r="M2095" s="69"/>
      <c r="N2095" s="43" t="str">
        <f>IF(Gastos[[#This Row],[Fecha_Cheque]]&gt;0,WEEKNUM(Gastos[[#This Row],[Fecha_Cheque]]),MID(Gastos[[#This Row],[Semana]],6,2))</f>
        <v>50</v>
      </c>
      <c r="O2095" t="s">
        <v>1272</v>
      </c>
      <c r="P2095" t="s">
        <v>27</v>
      </c>
    </row>
    <row r="2096" spans="1:16" hidden="1" x14ac:dyDescent="0.25">
      <c r="A2096" s="3" t="s">
        <v>378</v>
      </c>
      <c r="B2096" t="s">
        <v>1269</v>
      </c>
      <c r="C2096" t="s">
        <v>118</v>
      </c>
      <c r="D2096" t="s">
        <v>26</v>
      </c>
      <c r="E2096" t="s">
        <v>132</v>
      </c>
      <c r="F2096">
        <v>1</v>
      </c>
      <c r="G2096" s="3" t="s">
        <v>32</v>
      </c>
      <c r="H2096" s="46" t="s">
        <v>15</v>
      </c>
      <c r="I2096" s="17">
        <v>750000</v>
      </c>
      <c r="J2096" s="17">
        <f>IF(Gastos[[#This Row],[Divisa]]="$", I2096*1, IF(Gastos[[#This Row],[Divisa]]="U$D", I2096*$N$1, IF(Gastos[[#This Row],[Divisa]]="EUR", I2096*$N$2, 0)))</f>
        <v>750000</v>
      </c>
      <c r="K2096" s="54">
        <f>Gastos[[#This Row],[Importe AR$]]/$N$1</f>
        <v>480.76923076923077</v>
      </c>
      <c r="M2096" s="69">
        <v>46010</v>
      </c>
      <c r="N2096" s="43">
        <f>IF(Gastos[[#This Row],[Fecha_Cheque]]&gt;0,WEEKNUM(Gastos[[#This Row],[Fecha_Cheque]]),MID(Gastos[[#This Row],[Semana]],6,2))</f>
        <v>51</v>
      </c>
      <c r="O2096" t="s">
        <v>1273</v>
      </c>
      <c r="P2096" t="s">
        <v>27</v>
      </c>
    </row>
    <row r="2097" spans="1:16" hidden="1" x14ac:dyDescent="0.25">
      <c r="A2097" s="3" t="s">
        <v>378</v>
      </c>
      <c r="B2097" t="s">
        <v>1269</v>
      </c>
      <c r="C2097" t="s">
        <v>118</v>
      </c>
      <c r="D2097" t="s">
        <v>26</v>
      </c>
      <c r="E2097" t="s">
        <v>132</v>
      </c>
      <c r="F2097">
        <v>1</v>
      </c>
      <c r="G2097" s="3" t="s">
        <v>32</v>
      </c>
      <c r="H2097" s="46" t="s">
        <v>15</v>
      </c>
      <c r="I2097" s="17">
        <v>1100000</v>
      </c>
      <c r="J2097" s="17">
        <f>IF(Gastos[[#This Row],[Divisa]]="$", I2097*1, IF(Gastos[[#This Row],[Divisa]]="U$D", I2097*$N$1, IF(Gastos[[#This Row],[Divisa]]="EUR", I2097*$N$2, 0)))</f>
        <v>1100000</v>
      </c>
      <c r="K2097" s="54">
        <f>Gastos[[#This Row],[Importe AR$]]/$N$1</f>
        <v>705.12820512820508</v>
      </c>
      <c r="M2097" s="69">
        <v>46065</v>
      </c>
      <c r="N2097" s="43">
        <f>IF(Gastos[[#This Row],[Fecha_Cheque]]&gt;0,WEEKNUM(Gastos[[#This Row],[Fecha_Cheque]]),MID(Gastos[[#This Row],[Semana]],6,2))</f>
        <v>7</v>
      </c>
      <c r="O2097" t="s">
        <v>1273</v>
      </c>
      <c r="P2097" t="s">
        <v>27</v>
      </c>
    </row>
    <row r="2098" spans="1:16" hidden="1" x14ac:dyDescent="0.25">
      <c r="A2098" s="3" t="s">
        <v>378</v>
      </c>
      <c r="B2098" t="s">
        <v>1269</v>
      </c>
      <c r="C2098" t="s">
        <v>118</v>
      </c>
      <c r="D2098" t="s">
        <v>26</v>
      </c>
      <c r="E2098" t="s">
        <v>132</v>
      </c>
      <c r="F2098">
        <v>1</v>
      </c>
      <c r="G2098" s="3" t="s">
        <v>32</v>
      </c>
      <c r="H2098" s="46" t="s">
        <v>15</v>
      </c>
      <c r="I2098" s="17">
        <v>1100000</v>
      </c>
      <c r="J2098" s="17">
        <f>IF(Gastos[[#This Row],[Divisa]]="$", I2098*1, IF(Gastos[[#This Row],[Divisa]]="U$D", I2098*$N$1, IF(Gastos[[#This Row],[Divisa]]="EUR", I2098*$N$2, 0)))</f>
        <v>1100000</v>
      </c>
      <c r="K2098" s="54">
        <f>Gastos[[#This Row],[Importe AR$]]/$N$1</f>
        <v>705.12820512820508</v>
      </c>
      <c r="M2098" s="69">
        <v>46070</v>
      </c>
      <c r="N2098" s="43">
        <f>IF(Gastos[[#This Row],[Fecha_Cheque]]&gt;0,WEEKNUM(Gastos[[#This Row],[Fecha_Cheque]]),MID(Gastos[[#This Row],[Semana]],6,2))</f>
        <v>8</v>
      </c>
      <c r="O2098" t="s">
        <v>1273</v>
      </c>
      <c r="P2098" t="s">
        <v>27</v>
      </c>
    </row>
    <row r="2099" spans="1:16" hidden="1" x14ac:dyDescent="0.25">
      <c r="A2099" s="3" t="s">
        <v>378</v>
      </c>
      <c r="B2099" t="s">
        <v>1269</v>
      </c>
      <c r="C2099" t="s">
        <v>118</v>
      </c>
      <c r="D2099" t="s">
        <v>26</v>
      </c>
      <c r="E2099" t="s">
        <v>132</v>
      </c>
      <c r="F2099">
        <v>1</v>
      </c>
      <c r="G2099" s="3" t="s">
        <v>32</v>
      </c>
      <c r="H2099" s="46" t="s">
        <v>15</v>
      </c>
      <c r="I2099" s="17">
        <v>1144000</v>
      </c>
      <c r="J2099" s="17">
        <f>IF(Gastos[[#This Row],[Divisa]]="$", I2099*1, IF(Gastos[[#This Row],[Divisa]]="U$D", I2099*$N$1, IF(Gastos[[#This Row],[Divisa]]="EUR", I2099*$N$2, 0)))</f>
        <v>1144000</v>
      </c>
      <c r="K2099" s="54">
        <f>Gastos[[#This Row],[Importe AR$]]/$N$1</f>
        <v>733.33333333333337</v>
      </c>
      <c r="M2099" s="69">
        <v>46058</v>
      </c>
      <c r="N2099" s="43">
        <f>IF(Gastos[[#This Row],[Fecha_Cheque]]&gt;0,WEEKNUM(Gastos[[#This Row],[Fecha_Cheque]]),MID(Gastos[[#This Row],[Semana]],6,2))</f>
        <v>6</v>
      </c>
      <c r="O2099" t="s">
        <v>1273</v>
      </c>
      <c r="P2099" t="s">
        <v>27</v>
      </c>
    </row>
    <row r="2100" spans="1:16" hidden="1" x14ac:dyDescent="0.25">
      <c r="A2100" s="3" t="s">
        <v>1193</v>
      </c>
      <c r="B2100" t="s">
        <v>1269</v>
      </c>
      <c r="C2100" t="s">
        <v>118</v>
      </c>
      <c r="D2100" t="s">
        <v>26</v>
      </c>
      <c r="E2100" t="s">
        <v>42</v>
      </c>
      <c r="F2100">
        <v>1</v>
      </c>
      <c r="G2100" s="3" t="s">
        <v>4</v>
      </c>
      <c r="H2100" s="46" t="s">
        <v>15</v>
      </c>
      <c r="I2100" s="17">
        <v>2000000</v>
      </c>
      <c r="J2100" s="17">
        <f>IF(Gastos[[#This Row],[Divisa]]="$", I2100*1, IF(Gastos[[#This Row],[Divisa]]="U$D", I2100*$N$1, IF(Gastos[[#This Row],[Divisa]]="EUR", I2100*$N$2, 0)))</f>
        <v>2000000</v>
      </c>
      <c r="K2100" s="54">
        <f>Gastos[[#This Row],[Importe AR$]]/$N$1</f>
        <v>1282.051282051282</v>
      </c>
      <c r="M2100" s="69"/>
      <c r="N2100" s="43" t="str">
        <f>IF(Gastos[[#This Row],[Fecha_Cheque]]&gt;0,WEEKNUM(Gastos[[#This Row],[Fecha_Cheque]]),MID(Gastos[[#This Row],[Semana]],6,2))</f>
        <v>05</v>
      </c>
      <c r="O2100" t="s">
        <v>1274</v>
      </c>
      <c r="P2100" t="s">
        <v>27</v>
      </c>
    </row>
    <row r="2101" spans="1:16" hidden="1" x14ac:dyDescent="0.25">
      <c r="A2101" s="3" t="s">
        <v>397</v>
      </c>
      <c r="B2101" t="s">
        <v>1269</v>
      </c>
      <c r="C2101" t="s">
        <v>118</v>
      </c>
      <c r="D2101" t="s">
        <v>26</v>
      </c>
      <c r="E2101" t="s">
        <v>132</v>
      </c>
      <c r="F2101">
        <v>1</v>
      </c>
      <c r="G2101" s="3" t="s">
        <v>4</v>
      </c>
      <c r="H2101" s="46" t="s">
        <v>15</v>
      </c>
      <c r="I2101" s="17">
        <v>500000</v>
      </c>
      <c r="J2101" s="17">
        <f>IF(Gastos[[#This Row],[Divisa]]="$", I2101*1, IF(Gastos[[#This Row],[Divisa]]="U$D", I2101*$N$1, IF(Gastos[[#This Row],[Divisa]]="EUR", I2101*$N$2, 0)))</f>
        <v>500000</v>
      </c>
      <c r="K2101" s="54">
        <f>Gastos[[#This Row],[Importe AR$]]/$N$1</f>
        <v>320.5128205128205</v>
      </c>
      <c r="M2101" s="69"/>
      <c r="N2101" s="43" t="str">
        <f>IF(Gastos[[#This Row],[Fecha_Cheque]]&gt;0,WEEKNUM(Gastos[[#This Row],[Fecha_Cheque]]),MID(Gastos[[#This Row],[Semana]],6,2))</f>
        <v>11</v>
      </c>
      <c r="O2101" t="s">
        <v>1950</v>
      </c>
      <c r="P2101" t="s">
        <v>27</v>
      </c>
    </row>
    <row r="2102" spans="1:16" hidden="1" x14ac:dyDescent="0.25">
      <c r="A2102" s="3" t="s">
        <v>2711</v>
      </c>
      <c r="B2102" t="s">
        <v>1269</v>
      </c>
      <c r="C2102" t="s">
        <v>118</v>
      </c>
      <c r="D2102" t="s">
        <v>26</v>
      </c>
      <c r="E2102" t="s">
        <v>42</v>
      </c>
      <c r="F2102">
        <v>1</v>
      </c>
      <c r="G2102" s="3" t="s">
        <v>4</v>
      </c>
      <c r="H2102" s="44" t="s">
        <v>15</v>
      </c>
      <c r="I2102" s="17">
        <v>500000</v>
      </c>
      <c r="J2102" s="17">
        <f>IF(Gastos[[#This Row],[Divisa]]="$", I2102*1, IF(Gastos[[#This Row],[Divisa]]="U$D", I2102*$N$1, IF(Gastos[[#This Row],[Divisa]]="EUR", I2102*$N$2, 0)))</f>
        <v>500000</v>
      </c>
      <c r="K2102" s="54">
        <f>Gastos[[#This Row],[Importe AR$]]/$N$1</f>
        <v>320.5128205128205</v>
      </c>
      <c r="M2102" s="69"/>
      <c r="N2102" s="43" t="str">
        <f>IF(Gastos[[#This Row],[Fecha_Cheque]]&gt;0,WEEKNUM(Gastos[[#This Row],[Fecha_Cheque]]),MID(Gastos[[#This Row],[Semana]],6,2))</f>
        <v>15</v>
      </c>
      <c r="O2102" t="s">
        <v>2882</v>
      </c>
      <c r="P2102" t="s">
        <v>27</v>
      </c>
    </row>
    <row r="2103" spans="1:16" hidden="1" x14ac:dyDescent="0.25">
      <c r="A2103" s="3" t="s">
        <v>2711</v>
      </c>
      <c r="B2103" t="s">
        <v>1269</v>
      </c>
      <c r="C2103" t="s">
        <v>118</v>
      </c>
      <c r="D2103" t="s">
        <v>26</v>
      </c>
      <c r="E2103" t="s">
        <v>42</v>
      </c>
      <c r="F2103">
        <v>1</v>
      </c>
      <c r="G2103" s="3" t="s">
        <v>4</v>
      </c>
      <c r="H2103" s="44" t="s">
        <v>15</v>
      </c>
      <c r="I2103" s="17">
        <v>5520</v>
      </c>
      <c r="J2103" s="17">
        <f>IF(Gastos[[#This Row],[Divisa]]="$", I2103*1, IF(Gastos[[#This Row],[Divisa]]="U$D", I2103*$N$1, IF(Gastos[[#This Row],[Divisa]]="EUR", I2103*$N$2, 0)))</f>
        <v>5520</v>
      </c>
      <c r="K2103" s="54">
        <f>Gastos[[#This Row],[Importe AR$]]/$N$1</f>
        <v>3.5384615384615383</v>
      </c>
      <c r="L2103" t="s">
        <v>340</v>
      </c>
      <c r="M2103" s="69"/>
      <c r="N2103" s="43" t="str">
        <f>IF(Gastos[[#This Row],[Fecha_Cheque]]&gt;0,WEEKNUM(Gastos[[#This Row],[Fecha_Cheque]]),MID(Gastos[[#This Row],[Semana]],6,2))</f>
        <v>15</v>
      </c>
      <c r="O2103" t="s">
        <v>2882</v>
      </c>
      <c r="P2103" t="s">
        <v>27</v>
      </c>
    </row>
    <row r="2104" spans="1:16" x14ac:dyDescent="0.25">
      <c r="A2104" s="3" t="s">
        <v>4655</v>
      </c>
      <c r="B2104" t="s">
        <v>1110</v>
      </c>
      <c r="C2104" t="s">
        <v>4472</v>
      </c>
      <c r="D2104" t="s">
        <v>26</v>
      </c>
      <c r="E2104" t="s">
        <v>31</v>
      </c>
      <c r="F2104">
        <v>1</v>
      </c>
      <c r="G2104" s="3" t="s">
        <v>5</v>
      </c>
      <c r="H2104" s="44" t="s">
        <v>15</v>
      </c>
      <c r="I2104" s="17">
        <v>94545.77</v>
      </c>
      <c r="J2104" s="17">
        <f>IF(Gastos[[#This Row],[Divisa]]="$", I2104*1, IF(Gastos[[#This Row],[Divisa]]="U$D", I2104*$N$1, IF(Gastos[[#This Row],[Divisa]]="EUR", I2104*$N$2, 0)))</f>
        <v>94545.77</v>
      </c>
      <c r="K2104" s="54">
        <f>Gastos[[#This Row],[Importe AR$]]/$N$1</f>
        <v>60.606262820512825</v>
      </c>
      <c r="M2104" s="69"/>
      <c r="N2104" s="43" t="str">
        <f>IF(Gastos[[#This Row],[Fecha_Cheque]]&gt;0,WEEKNUM(Gastos[[#This Row],[Fecha_Cheque]]),MID(Gastos[[#This Row],[Semana]],6,2))</f>
        <v>44</v>
      </c>
    </row>
    <row r="2105" spans="1:16" hidden="1" x14ac:dyDescent="0.25">
      <c r="A2105" s="3" t="s">
        <v>188</v>
      </c>
      <c r="B2105" t="s">
        <v>1276</v>
      </c>
      <c r="C2105" t="s">
        <v>1277</v>
      </c>
      <c r="D2105" t="s">
        <v>26</v>
      </c>
      <c r="E2105" t="s">
        <v>31</v>
      </c>
      <c r="F2105">
        <v>1</v>
      </c>
      <c r="G2105" s="3" t="s">
        <v>5</v>
      </c>
      <c r="H2105" s="46" t="s">
        <v>15</v>
      </c>
      <c r="I2105" s="17">
        <v>2875613.4</v>
      </c>
      <c r="J2105" s="17">
        <f>IF(Gastos[[#This Row],[Divisa]]="$", I2105*1, IF(Gastos[[#This Row],[Divisa]]="U$D", I2105*$N$1, IF(Gastos[[#This Row],[Divisa]]="EUR", I2105*$N$2, 0)))</f>
        <v>2875613.4</v>
      </c>
      <c r="K2105" s="54">
        <f>Gastos[[#This Row],[Importe AR$]]/$N$1</f>
        <v>1843.341923076923</v>
      </c>
      <c r="M2105" s="69"/>
      <c r="N2105" s="43" t="str">
        <f>IF(Gastos[[#This Row],[Fecha_Cheque]]&gt;0,WEEKNUM(Gastos[[#This Row],[Fecha_Cheque]]),MID(Gastos[[#This Row],[Semana]],6,2))</f>
        <v>19</v>
      </c>
      <c r="O2105" t="s">
        <v>27</v>
      </c>
      <c r="P2105" t="s">
        <v>27</v>
      </c>
    </row>
    <row r="2106" spans="1:16" hidden="1" x14ac:dyDescent="0.25">
      <c r="A2106" s="3" t="s">
        <v>232</v>
      </c>
      <c r="B2106" t="s">
        <v>1278</v>
      </c>
      <c r="C2106" t="s">
        <v>1279</v>
      </c>
      <c r="D2106" t="s">
        <v>26</v>
      </c>
      <c r="E2106" t="s">
        <v>31</v>
      </c>
      <c r="F2106">
        <v>1</v>
      </c>
      <c r="G2106" s="3" t="s">
        <v>32</v>
      </c>
      <c r="H2106" s="46" t="s">
        <v>15</v>
      </c>
      <c r="I2106" s="17">
        <v>884234.33</v>
      </c>
      <c r="J2106" s="17">
        <f>IF(Gastos[[#This Row],[Divisa]]="$", I2106*1, IF(Gastos[[#This Row],[Divisa]]="U$D", I2106*$N$1, IF(Gastos[[#This Row],[Divisa]]="EUR", I2106*$N$2, 0)))</f>
        <v>884234.33</v>
      </c>
      <c r="K2106" s="54">
        <f>Gastos[[#This Row],[Importe AR$]]/$N$1</f>
        <v>566.81687820512821</v>
      </c>
      <c r="M2106" s="69">
        <v>45996</v>
      </c>
      <c r="N2106" s="43">
        <f>IF(Gastos[[#This Row],[Fecha_Cheque]]&gt;0,WEEKNUM(Gastos[[#This Row],[Fecha_Cheque]]),MID(Gastos[[#This Row],[Semana]],6,2))</f>
        <v>49</v>
      </c>
      <c r="O2106" t="s">
        <v>1280</v>
      </c>
      <c r="P2106" t="s">
        <v>27</v>
      </c>
    </row>
    <row r="2107" spans="1:16" hidden="1" x14ac:dyDescent="0.25">
      <c r="A2107" s="3" t="s">
        <v>232</v>
      </c>
      <c r="B2107" t="s">
        <v>1278</v>
      </c>
      <c r="C2107" t="s">
        <v>1279</v>
      </c>
      <c r="D2107" t="s">
        <v>26</v>
      </c>
      <c r="E2107" t="s">
        <v>31</v>
      </c>
      <c r="F2107">
        <v>1</v>
      </c>
      <c r="G2107" s="3" t="s">
        <v>32</v>
      </c>
      <c r="H2107" s="46" t="s">
        <v>15</v>
      </c>
      <c r="I2107" s="17">
        <v>581163.32999999996</v>
      </c>
      <c r="J2107" s="17">
        <f>IF(Gastos[[#This Row],[Divisa]]="$", I2107*1, IF(Gastos[[#This Row],[Divisa]]="U$D", I2107*$N$1, IF(Gastos[[#This Row],[Divisa]]="EUR", I2107*$N$2, 0)))</f>
        <v>581163.32999999996</v>
      </c>
      <c r="K2107" s="54">
        <f>Gastos[[#This Row],[Importe AR$]]/$N$1</f>
        <v>372.54059615384614</v>
      </c>
      <c r="M2107" s="69">
        <v>45996</v>
      </c>
      <c r="N2107" s="43">
        <f>IF(Gastos[[#This Row],[Fecha_Cheque]]&gt;0,WEEKNUM(Gastos[[#This Row],[Fecha_Cheque]]),MID(Gastos[[#This Row],[Semana]],6,2))</f>
        <v>49</v>
      </c>
      <c r="O2107" t="s">
        <v>1280</v>
      </c>
      <c r="P2107" t="s">
        <v>27</v>
      </c>
    </row>
    <row r="2108" spans="1:16" hidden="1" x14ac:dyDescent="0.25">
      <c r="A2108" s="3" t="s">
        <v>232</v>
      </c>
      <c r="B2108" t="s">
        <v>1278</v>
      </c>
      <c r="C2108" t="s">
        <v>1279</v>
      </c>
      <c r="D2108" t="s">
        <v>26</v>
      </c>
      <c r="E2108" t="s">
        <v>31</v>
      </c>
      <c r="F2108">
        <v>1</v>
      </c>
      <c r="G2108" s="3" t="s">
        <v>5</v>
      </c>
      <c r="H2108" s="46" t="s">
        <v>15</v>
      </c>
      <c r="I2108" s="17">
        <v>35459.870000000003</v>
      </c>
      <c r="J2108" s="17">
        <f>IF(Gastos[[#This Row],[Divisa]]="$", I2108*1, IF(Gastos[[#This Row],[Divisa]]="U$D", I2108*$N$1, IF(Gastos[[#This Row],[Divisa]]="EUR", I2108*$N$2, 0)))</f>
        <v>35459.870000000003</v>
      </c>
      <c r="K2108" s="54">
        <f>Gastos[[#This Row],[Importe AR$]]/$N$1</f>
        <v>22.730685897435897</v>
      </c>
      <c r="M2108" s="69"/>
      <c r="N2108" s="43" t="str">
        <f>IF(Gastos[[#This Row],[Fecha_Cheque]]&gt;0,WEEKNUM(Gastos[[#This Row],[Fecha_Cheque]]),MID(Gastos[[#This Row],[Semana]],6,2))</f>
        <v>44</v>
      </c>
      <c r="O2108" t="s">
        <v>1280</v>
      </c>
      <c r="P2108" t="s">
        <v>27</v>
      </c>
    </row>
    <row r="2109" spans="1:16" hidden="1" x14ac:dyDescent="0.25">
      <c r="A2109" s="3" t="s">
        <v>60</v>
      </c>
      <c r="B2109" t="s">
        <v>1278</v>
      </c>
      <c r="C2109" t="s">
        <v>1281</v>
      </c>
      <c r="D2109" t="s">
        <v>26</v>
      </c>
      <c r="E2109" t="s">
        <v>31</v>
      </c>
      <c r="F2109">
        <v>1</v>
      </c>
      <c r="G2109" s="45" t="s">
        <v>32</v>
      </c>
      <c r="H2109" s="46" t="s">
        <v>15</v>
      </c>
      <c r="I2109" s="17">
        <v>1757601.15</v>
      </c>
      <c r="J2109" s="17">
        <f>IF(Gastos[[#This Row],[Divisa]]="$", I2109*1, IF(Gastos[[#This Row],[Divisa]]="U$D", I2109*$N$1, IF(Gastos[[#This Row],[Divisa]]="EUR", I2109*$N$2, 0)))</f>
        <v>1757601.15</v>
      </c>
      <c r="K2109" s="54">
        <f>Gastos[[#This Row],[Importe AR$]]/$N$1</f>
        <v>1126.6674038461538</v>
      </c>
      <c r="M2109" s="69"/>
      <c r="N2109" s="43" t="str">
        <f>IF(Gastos[[#This Row],[Fecha_Cheque]]&gt;0,WEEKNUM(Gastos[[#This Row],[Fecha_Cheque]]),MID(Gastos[[#This Row],[Semana]],6,2))</f>
        <v>46</v>
      </c>
      <c r="O2109" t="s">
        <v>1282</v>
      </c>
      <c r="P2109" t="s">
        <v>27</v>
      </c>
    </row>
    <row r="2110" spans="1:16" hidden="1" x14ac:dyDescent="0.25">
      <c r="A2110" s="3" t="s">
        <v>93</v>
      </c>
      <c r="B2110" t="s">
        <v>1278</v>
      </c>
      <c r="C2110" t="s">
        <v>1283</v>
      </c>
      <c r="D2110" t="s">
        <v>26</v>
      </c>
      <c r="E2110" t="s">
        <v>31</v>
      </c>
      <c r="F2110">
        <v>1</v>
      </c>
      <c r="G2110" s="3" t="s">
        <v>32</v>
      </c>
      <c r="H2110" s="46" t="s">
        <v>15</v>
      </c>
      <c r="I2110" s="17">
        <v>450768.96</v>
      </c>
      <c r="J2110" s="17">
        <f>IF(Gastos[[#This Row],[Divisa]]="$", I2110*1, IF(Gastos[[#This Row],[Divisa]]="U$D", I2110*$N$1, IF(Gastos[[#This Row],[Divisa]]="EUR", I2110*$N$2, 0)))</f>
        <v>450768.96</v>
      </c>
      <c r="K2110" s="54">
        <f>Gastos[[#This Row],[Importe AR$]]/$N$1</f>
        <v>288.95446153846154</v>
      </c>
      <c r="M2110" s="69">
        <v>46012</v>
      </c>
      <c r="N2110" s="43">
        <f>IF(Gastos[[#This Row],[Fecha_Cheque]]&gt;0,WEEKNUM(Gastos[[#This Row],[Fecha_Cheque]]),MID(Gastos[[#This Row],[Semana]],6,2))</f>
        <v>52</v>
      </c>
      <c r="O2110" t="s">
        <v>1284</v>
      </c>
      <c r="P2110" t="s">
        <v>27</v>
      </c>
    </row>
    <row r="2111" spans="1:16" hidden="1" x14ac:dyDescent="0.25">
      <c r="A2111" s="3" t="s">
        <v>93</v>
      </c>
      <c r="B2111" t="s">
        <v>1278</v>
      </c>
      <c r="C2111" t="s">
        <v>1285</v>
      </c>
      <c r="D2111" t="s">
        <v>26</v>
      </c>
      <c r="E2111" t="s">
        <v>31</v>
      </c>
      <c r="F2111">
        <v>1</v>
      </c>
      <c r="G2111" s="3" t="s">
        <v>32</v>
      </c>
      <c r="H2111" s="46" t="s">
        <v>15</v>
      </c>
      <c r="I2111" s="17">
        <v>2500000</v>
      </c>
      <c r="J2111" s="17">
        <f>IF(Gastos[[#This Row],[Divisa]]="$", I2111*1, IF(Gastos[[#This Row],[Divisa]]="U$D", I2111*$N$1, IF(Gastos[[#This Row],[Divisa]]="EUR", I2111*$N$2, 0)))</f>
        <v>2500000</v>
      </c>
      <c r="K2111" s="54">
        <f>Gastos[[#This Row],[Importe AR$]]/$N$1</f>
        <v>1602.5641025641025</v>
      </c>
      <c r="M2111" s="69">
        <v>46043</v>
      </c>
      <c r="N2111" s="43">
        <f>IF(Gastos[[#This Row],[Fecha_Cheque]]&gt;0,WEEKNUM(Gastos[[#This Row],[Fecha_Cheque]]),MID(Gastos[[#This Row],[Semana]],6,2))</f>
        <v>4</v>
      </c>
      <c r="O2111" t="s">
        <v>1284</v>
      </c>
      <c r="P2111" t="s">
        <v>27</v>
      </c>
    </row>
    <row r="2112" spans="1:16" hidden="1" x14ac:dyDescent="0.25">
      <c r="A2112" s="3" t="s">
        <v>93</v>
      </c>
      <c r="B2112" t="s">
        <v>1278</v>
      </c>
      <c r="C2112" t="s">
        <v>1285</v>
      </c>
      <c r="D2112" t="s">
        <v>26</v>
      </c>
      <c r="E2112" t="s">
        <v>31</v>
      </c>
      <c r="F2112">
        <v>1</v>
      </c>
      <c r="G2112" s="3" t="s">
        <v>32</v>
      </c>
      <c r="H2112" s="46" t="s">
        <v>15</v>
      </c>
      <c r="I2112" s="17">
        <v>263943.77</v>
      </c>
      <c r="J2112" s="17">
        <f>IF(Gastos[[#This Row],[Divisa]]="$", I2112*1, IF(Gastos[[#This Row],[Divisa]]="U$D", I2112*$N$1, IF(Gastos[[#This Row],[Divisa]]="EUR", I2112*$N$2, 0)))</f>
        <v>263943.77</v>
      </c>
      <c r="K2112" s="54">
        <f>Gastos[[#This Row],[Importe AR$]]/$N$1</f>
        <v>169.19472435897438</v>
      </c>
      <c r="M2112" s="69">
        <v>46034</v>
      </c>
      <c r="N2112" s="43">
        <f>IF(Gastos[[#This Row],[Fecha_Cheque]]&gt;0,WEEKNUM(Gastos[[#This Row],[Fecha_Cheque]]),MID(Gastos[[#This Row],[Semana]],6,2))</f>
        <v>3</v>
      </c>
      <c r="O2112" t="s">
        <v>1284</v>
      </c>
      <c r="P2112" t="s">
        <v>27</v>
      </c>
    </row>
    <row r="2113" spans="1:16" hidden="1" x14ac:dyDescent="0.25">
      <c r="A2113" s="3" t="s">
        <v>139</v>
      </c>
      <c r="B2113" t="s">
        <v>1278</v>
      </c>
      <c r="C2113" t="s">
        <v>1286</v>
      </c>
      <c r="D2113" t="s">
        <v>26</v>
      </c>
      <c r="E2113" t="s">
        <v>31</v>
      </c>
      <c r="F2113">
        <v>1</v>
      </c>
      <c r="G2113" s="3" t="s">
        <v>32</v>
      </c>
      <c r="H2113" s="46" t="s">
        <v>15</v>
      </c>
      <c r="I2113" s="17">
        <v>802876.75</v>
      </c>
      <c r="J2113" s="17">
        <f>IF(Gastos[[#This Row],[Divisa]]="$", I2113*1, IF(Gastos[[#This Row],[Divisa]]="U$D", I2113*$N$1, IF(Gastos[[#This Row],[Divisa]]="EUR", I2113*$N$2, 0)))</f>
        <v>802876.75</v>
      </c>
      <c r="K2113" s="54">
        <f>Gastos[[#This Row],[Importe AR$]]/$N$1</f>
        <v>514.66458333333333</v>
      </c>
      <c r="M2113" s="69">
        <v>46096</v>
      </c>
      <c r="N2113" s="43">
        <f>IF(Gastos[[#This Row],[Fecha_Cheque]]&gt;0,WEEKNUM(Gastos[[#This Row],[Fecha_Cheque]]),MID(Gastos[[#This Row],[Semana]],6,2))</f>
        <v>12</v>
      </c>
      <c r="O2113" t="s">
        <v>1287</v>
      </c>
      <c r="P2113" t="s">
        <v>27</v>
      </c>
    </row>
    <row r="2114" spans="1:16" hidden="1" x14ac:dyDescent="0.25">
      <c r="A2114" s="3" t="s">
        <v>139</v>
      </c>
      <c r="B2114" t="s">
        <v>1278</v>
      </c>
      <c r="C2114" t="s">
        <v>1286</v>
      </c>
      <c r="D2114" t="s">
        <v>26</v>
      </c>
      <c r="E2114" t="s">
        <v>31</v>
      </c>
      <c r="F2114">
        <v>1</v>
      </c>
      <c r="G2114" s="3" t="s">
        <v>32</v>
      </c>
      <c r="H2114" s="46" t="s">
        <v>15</v>
      </c>
      <c r="I2114" s="17">
        <v>802876.75</v>
      </c>
      <c r="J2114" s="17">
        <f>IF(Gastos[[#This Row],[Divisa]]="$", I2114*1, IF(Gastos[[#This Row],[Divisa]]="U$D", I2114*$N$1, IF(Gastos[[#This Row],[Divisa]]="EUR", I2114*$N$2, 0)))</f>
        <v>802876.75</v>
      </c>
      <c r="K2114" s="54">
        <f>Gastos[[#This Row],[Importe AR$]]/$N$1</f>
        <v>514.66458333333333</v>
      </c>
      <c r="M2114" s="69">
        <v>46111</v>
      </c>
      <c r="N2114" s="43">
        <f>IF(Gastos[[#This Row],[Fecha_Cheque]]&gt;0,WEEKNUM(Gastos[[#This Row],[Fecha_Cheque]]),MID(Gastos[[#This Row],[Semana]],6,2))</f>
        <v>14</v>
      </c>
      <c r="O2114" t="s">
        <v>1287</v>
      </c>
      <c r="P2114" t="s">
        <v>27</v>
      </c>
    </row>
    <row r="2115" spans="1:16" hidden="1" x14ac:dyDescent="0.25">
      <c r="A2115" s="3" t="s">
        <v>139</v>
      </c>
      <c r="B2115" t="s">
        <v>1278</v>
      </c>
      <c r="C2115" t="s">
        <v>1286</v>
      </c>
      <c r="D2115" t="s">
        <v>26</v>
      </c>
      <c r="E2115" t="s">
        <v>31</v>
      </c>
      <c r="F2115">
        <v>1</v>
      </c>
      <c r="G2115" s="3" t="s">
        <v>32</v>
      </c>
      <c r="H2115" s="46" t="s">
        <v>15</v>
      </c>
      <c r="I2115" s="17">
        <v>802876.75</v>
      </c>
      <c r="J2115" s="17">
        <f>IF(Gastos[[#This Row],[Divisa]]="$", I2115*1, IF(Gastos[[#This Row],[Divisa]]="U$D", I2115*$N$1, IF(Gastos[[#This Row],[Divisa]]="EUR", I2115*$N$2, 0)))</f>
        <v>802876.75</v>
      </c>
      <c r="K2115" s="54">
        <f>Gastos[[#This Row],[Importe AR$]]/$N$1</f>
        <v>514.66458333333333</v>
      </c>
      <c r="M2115" s="69">
        <v>46081</v>
      </c>
      <c r="N2115" s="43">
        <f>IF(Gastos[[#This Row],[Fecha_Cheque]]&gt;0,WEEKNUM(Gastos[[#This Row],[Fecha_Cheque]]),MID(Gastos[[#This Row],[Semana]],6,2))</f>
        <v>9</v>
      </c>
      <c r="O2115" t="s">
        <v>1287</v>
      </c>
      <c r="P2115" t="s">
        <v>27</v>
      </c>
    </row>
    <row r="2116" spans="1:16" hidden="1" x14ac:dyDescent="0.25">
      <c r="A2116" s="3" t="s">
        <v>180</v>
      </c>
      <c r="B2116" t="s">
        <v>1278</v>
      </c>
      <c r="C2116" t="s">
        <v>1597</v>
      </c>
      <c r="D2116" t="s">
        <v>26</v>
      </c>
      <c r="E2116" t="s">
        <v>31</v>
      </c>
      <c r="F2116">
        <v>1</v>
      </c>
      <c r="G2116" s="3" t="s">
        <v>32</v>
      </c>
      <c r="H2116" s="46" t="s">
        <v>15</v>
      </c>
      <c r="I2116" s="17">
        <v>331785.01</v>
      </c>
      <c r="J2116" s="17">
        <f>IF(Gastos[[#This Row],[Divisa]]="$", I2116*1, IF(Gastos[[#This Row],[Divisa]]="U$D", I2116*$N$1, IF(Gastos[[#This Row],[Divisa]]="EUR", I2116*$N$2, 0)))</f>
        <v>331785.01</v>
      </c>
      <c r="K2116" s="54">
        <f>Gastos[[#This Row],[Importe AR$]]/$N$1</f>
        <v>212.68269871794871</v>
      </c>
      <c r="M2116" s="69">
        <v>46095</v>
      </c>
      <c r="N2116" s="43">
        <f>IF(Gastos[[#This Row],[Fecha_Cheque]]&gt;0,WEEKNUM(Gastos[[#This Row],[Fecha_Cheque]]),MID(Gastos[[#This Row],[Semana]],6,2))</f>
        <v>11</v>
      </c>
      <c r="O2116" t="s">
        <v>1598</v>
      </c>
      <c r="P2116" t="s">
        <v>27</v>
      </c>
    </row>
    <row r="2117" spans="1:16" hidden="1" x14ac:dyDescent="0.25">
      <c r="A2117" s="3" t="s">
        <v>397</v>
      </c>
      <c r="B2117" t="s">
        <v>1278</v>
      </c>
      <c r="C2117" t="s">
        <v>1957</v>
      </c>
      <c r="D2117" t="s">
        <v>26</v>
      </c>
      <c r="E2117" t="s">
        <v>31</v>
      </c>
      <c r="F2117">
        <v>1</v>
      </c>
      <c r="G2117" s="3" t="s">
        <v>32</v>
      </c>
      <c r="H2117" s="46" t="s">
        <v>15</v>
      </c>
      <c r="I2117" s="17">
        <v>1205176.83</v>
      </c>
      <c r="J2117" s="17">
        <f>IF(Gastos[[#This Row],[Divisa]]="$", I2117*1, IF(Gastos[[#This Row],[Divisa]]="U$D", I2117*$N$1, IF(Gastos[[#This Row],[Divisa]]="EUR", I2117*$N$2, 0)))</f>
        <v>1205176.83</v>
      </c>
      <c r="K2117" s="54">
        <f>Gastos[[#This Row],[Importe AR$]]/$N$1</f>
        <v>772.54925000000003</v>
      </c>
      <c r="M2117" s="69">
        <v>46124</v>
      </c>
      <c r="N2117" s="43">
        <f>IF(Gastos[[#This Row],[Fecha_Cheque]]&gt;0,WEEKNUM(Gastos[[#This Row],[Fecha_Cheque]]),MID(Gastos[[#This Row],[Semana]],6,2))</f>
        <v>16</v>
      </c>
      <c r="O2117" t="s">
        <v>1958</v>
      </c>
      <c r="P2117" t="s">
        <v>27</v>
      </c>
    </row>
    <row r="2118" spans="1:16" hidden="1" x14ac:dyDescent="0.25">
      <c r="A2118" s="3" t="s">
        <v>397</v>
      </c>
      <c r="B2118" t="s">
        <v>1278</v>
      </c>
      <c r="C2118" t="s">
        <v>1957</v>
      </c>
      <c r="D2118" t="s">
        <v>26</v>
      </c>
      <c r="E2118" t="s">
        <v>31</v>
      </c>
      <c r="F2118">
        <v>1</v>
      </c>
      <c r="G2118" s="3" t="s">
        <v>32</v>
      </c>
      <c r="H2118" s="46" t="s">
        <v>15</v>
      </c>
      <c r="I2118" s="17">
        <v>1205176.83</v>
      </c>
      <c r="J2118" s="17">
        <f>IF(Gastos[[#This Row],[Divisa]]="$", I2118*1, IF(Gastos[[#This Row],[Divisa]]="U$D", I2118*$N$1, IF(Gastos[[#This Row],[Divisa]]="EUR", I2118*$N$2, 0)))</f>
        <v>1205176.83</v>
      </c>
      <c r="K2118" s="54">
        <f>Gastos[[#This Row],[Importe AR$]]/$N$1</f>
        <v>772.54925000000003</v>
      </c>
      <c r="M2118" s="69">
        <v>46138</v>
      </c>
      <c r="N2118" s="43">
        <f>IF(Gastos[[#This Row],[Fecha_Cheque]]&gt;0,WEEKNUM(Gastos[[#This Row],[Fecha_Cheque]]),MID(Gastos[[#This Row],[Semana]],6,2))</f>
        <v>18</v>
      </c>
      <c r="O2118" t="s">
        <v>1958</v>
      </c>
      <c r="P2118" t="s">
        <v>27</v>
      </c>
    </row>
    <row r="2119" spans="1:16" hidden="1" x14ac:dyDescent="0.25">
      <c r="A2119" s="3" t="s">
        <v>397</v>
      </c>
      <c r="B2119" t="s">
        <v>1278</v>
      </c>
      <c r="C2119" t="s">
        <v>1957</v>
      </c>
      <c r="D2119" t="s">
        <v>26</v>
      </c>
      <c r="E2119" t="s">
        <v>31</v>
      </c>
      <c r="F2119">
        <v>1</v>
      </c>
      <c r="G2119" s="3" t="s">
        <v>32</v>
      </c>
      <c r="H2119" s="46" t="s">
        <v>15</v>
      </c>
      <c r="I2119" s="17">
        <v>1205176.83</v>
      </c>
      <c r="J2119" s="17">
        <v>35954.86</v>
      </c>
      <c r="K2119" s="54">
        <f>Gastos[[#This Row],[Importe AR$]]/$N$1</f>
        <v>23.04798717948718</v>
      </c>
      <c r="M2119" s="69"/>
      <c r="N2119" s="43" t="str">
        <f>IF(Gastos[[#This Row],[Fecha_Cheque]]&gt;0,WEEKNUM(Gastos[[#This Row],[Fecha_Cheque]]),MID(Gastos[[#This Row],[Semana]],6,2))</f>
        <v>11</v>
      </c>
      <c r="O2119" t="s">
        <v>1958</v>
      </c>
      <c r="P2119" t="s">
        <v>27</v>
      </c>
    </row>
    <row r="2120" spans="1:16" hidden="1" x14ac:dyDescent="0.25">
      <c r="A2120" s="3" t="s">
        <v>3963</v>
      </c>
      <c r="B2120" t="s">
        <v>1278</v>
      </c>
      <c r="C2120" t="s">
        <v>4000</v>
      </c>
      <c r="D2120" t="s">
        <v>26</v>
      </c>
      <c r="E2120" t="s">
        <v>31</v>
      </c>
      <c r="F2120">
        <v>1</v>
      </c>
      <c r="G2120" s="3" t="s">
        <v>32</v>
      </c>
      <c r="H2120" s="44" t="s">
        <v>15</v>
      </c>
      <c r="I2120" s="17">
        <v>3006276.13</v>
      </c>
      <c r="J2120" s="17">
        <f>IF(Gastos[[#This Row],[Divisa]]="$", I2120*1, IF(Gastos[[#This Row],[Divisa]]="U$D", I2120*$N$1, IF(Gastos[[#This Row],[Divisa]]="EUR", I2120*$N$2, 0)))</f>
        <v>3006276.13</v>
      </c>
      <c r="K2120" s="54">
        <f>Gastos[[#This Row],[Importe AR$]]/$N$1</f>
        <v>1927.1000833333333</v>
      </c>
      <c r="M2120" s="69">
        <v>46302</v>
      </c>
      <c r="N2120" s="43">
        <f>IF(Gastos[[#This Row],[Fecha_Cheque]]&gt;0,WEEKNUM(Gastos[[#This Row],[Fecha_Cheque]]),MID(Gastos[[#This Row],[Semana]],6,2))</f>
        <v>41</v>
      </c>
      <c r="O2120" t="s">
        <v>4001</v>
      </c>
      <c r="P2120" t="s">
        <v>27</v>
      </c>
    </row>
    <row r="2121" spans="1:16" hidden="1" x14ac:dyDescent="0.25">
      <c r="A2121" s="3" t="s">
        <v>3963</v>
      </c>
      <c r="B2121" t="s">
        <v>1278</v>
      </c>
      <c r="C2121" t="s">
        <v>4000</v>
      </c>
      <c r="D2121" t="s">
        <v>26</v>
      </c>
      <c r="E2121" t="s">
        <v>31</v>
      </c>
      <c r="F2121">
        <v>1</v>
      </c>
      <c r="G2121" s="3" t="s">
        <v>32</v>
      </c>
      <c r="H2121" s="44" t="s">
        <v>15</v>
      </c>
      <c r="I2121" s="17">
        <v>45970.31</v>
      </c>
      <c r="J2121" s="17">
        <f>IF(Gastos[[#This Row],[Divisa]]="$", I2121*1, IF(Gastos[[#This Row],[Divisa]]="U$D", I2121*$N$1, IF(Gastos[[#This Row],[Divisa]]="EUR", I2121*$N$2, 0)))</f>
        <v>45970.31</v>
      </c>
      <c r="K2121" s="54">
        <f>Gastos[[#This Row],[Importe AR$]]/$N$1</f>
        <v>29.468147435897436</v>
      </c>
      <c r="L2121" t="s">
        <v>340</v>
      </c>
      <c r="M2121" s="69"/>
      <c r="N2121" s="43" t="str">
        <f>IF(Gastos[[#This Row],[Fecha_Cheque]]&gt;0,WEEKNUM(Gastos[[#This Row],[Fecha_Cheque]]),MID(Gastos[[#This Row],[Semana]],6,2))</f>
        <v>32</v>
      </c>
      <c r="O2121" t="s">
        <v>4001</v>
      </c>
      <c r="P2121" t="s">
        <v>27</v>
      </c>
    </row>
    <row r="2122" spans="1:16" hidden="1" x14ac:dyDescent="0.25">
      <c r="A2122" s="3" t="s">
        <v>2751</v>
      </c>
      <c r="B2122" t="s">
        <v>3055</v>
      </c>
      <c r="C2122" t="s">
        <v>3056</v>
      </c>
      <c r="D2122" t="s">
        <v>26</v>
      </c>
      <c r="E2122" t="s">
        <v>31</v>
      </c>
      <c r="F2122">
        <v>1</v>
      </c>
      <c r="G2122" s="3" t="s">
        <v>5</v>
      </c>
      <c r="H2122" s="44" t="s">
        <v>15</v>
      </c>
      <c r="I2122" s="17">
        <v>100000</v>
      </c>
      <c r="J2122" s="17">
        <f>IF(Gastos[[#This Row],[Divisa]]="$", I2122*1, IF(Gastos[[#This Row],[Divisa]]="U$D", I2122*$N$1, IF(Gastos[[#This Row],[Divisa]]="EUR", I2122*$N$2, 0)))</f>
        <v>100000</v>
      </c>
      <c r="K2122" s="54">
        <f>Gastos[[#This Row],[Importe AR$]]/$N$1</f>
        <v>64.102564102564102</v>
      </c>
      <c r="M2122" s="69"/>
      <c r="N2122" s="43" t="str">
        <f>IF(Gastos[[#This Row],[Fecha_Cheque]]&gt;0,WEEKNUM(Gastos[[#This Row],[Fecha_Cheque]]),MID(Gastos[[#This Row],[Semana]],6,2))</f>
        <v>18</v>
      </c>
      <c r="O2122" t="s">
        <v>3057</v>
      </c>
      <c r="P2122" t="s">
        <v>27</v>
      </c>
    </row>
    <row r="2123" spans="1:16" hidden="1" x14ac:dyDescent="0.25">
      <c r="A2123" s="3" t="s">
        <v>206</v>
      </c>
      <c r="B2123" t="s">
        <v>1288</v>
      </c>
      <c r="C2123" t="s">
        <v>1289</v>
      </c>
      <c r="D2123" t="s">
        <v>26</v>
      </c>
      <c r="E2123" t="s">
        <v>31</v>
      </c>
      <c r="F2123">
        <v>1</v>
      </c>
      <c r="G2123" s="3" t="s">
        <v>32</v>
      </c>
      <c r="H2123" s="46" t="s">
        <v>15</v>
      </c>
      <c r="I2123" s="17">
        <v>1021266.15</v>
      </c>
      <c r="J2123" s="17">
        <f>IF(Gastos[[#This Row],[Divisa]]="$", I2123*1, IF(Gastos[[#This Row],[Divisa]]="U$D", I2123*$N$1, IF(Gastos[[#This Row],[Divisa]]="EUR", I2123*$N$2, 0)))</f>
        <v>1021266.15</v>
      </c>
      <c r="K2123" s="54">
        <f>Gastos[[#This Row],[Importe AR$]]/$N$1</f>
        <v>654.65778846153853</v>
      </c>
      <c r="M2123" s="69">
        <v>46088</v>
      </c>
      <c r="N2123" s="43">
        <f>IF(Gastos[[#This Row],[Fecha_Cheque]]&gt;0,WEEKNUM(Gastos[[#This Row],[Fecha_Cheque]]),MID(Gastos[[#This Row],[Semana]],6,2))</f>
        <v>10</v>
      </c>
      <c r="O2123" t="s">
        <v>1290</v>
      </c>
      <c r="P2123" t="s">
        <v>27</v>
      </c>
    </row>
    <row r="2124" spans="1:16" hidden="1" x14ac:dyDescent="0.25">
      <c r="A2124" s="3" t="s">
        <v>206</v>
      </c>
      <c r="B2124" t="s">
        <v>1288</v>
      </c>
      <c r="C2124" t="s">
        <v>1291</v>
      </c>
      <c r="D2124" t="s">
        <v>26</v>
      </c>
      <c r="E2124" t="s">
        <v>31</v>
      </c>
      <c r="F2124">
        <v>1</v>
      </c>
      <c r="G2124" s="3" t="s">
        <v>32</v>
      </c>
      <c r="H2124" s="46" t="s">
        <v>15</v>
      </c>
      <c r="I2124" s="17">
        <v>2470173.2999999998</v>
      </c>
      <c r="J2124" s="17">
        <f>IF(Gastos[[#This Row],[Divisa]]="$", I2124*1, IF(Gastos[[#This Row],[Divisa]]="U$D", I2124*$N$1, IF(Gastos[[#This Row],[Divisa]]="EUR", I2124*$N$2, 0)))</f>
        <v>2470173.2999999998</v>
      </c>
      <c r="K2124" s="54">
        <f>Gastos[[#This Row],[Importe AR$]]/$N$1</f>
        <v>1583.4444230769229</v>
      </c>
      <c r="M2124" s="69">
        <v>46088</v>
      </c>
      <c r="N2124" s="43">
        <f>IF(Gastos[[#This Row],[Fecha_Cheque]]&gt;0,WEEKNUM(Gastos[[#This Row],[Fecha_Cheque]]),MID(Gastos[[#This Row],[Semana]],6,2))</f>
        <v>10</v>
      </c>
      <c r="O2124" t="s">
        <v>1292</v>
      </c>
      <c r="P2124" t="s">
        <v>27</v>
      </c>
    </row>
    <row r="2125" spans="1:16" hidden="1" x14ac:dyDescent="0.25">
      <c r="A2125" s="3" t="s">
        <v>210</v>
      </c>
      <c r="B2125" t="s">
        <v>1293</v>
      </c>
      <c r="C2125" t="s">
        <v>1294</v>
      </c>
      <c r="D2125" t="s">
        <v>26</v>
      </c>
      <c r="E2125" t="s">
        <v>31</v>
      </c>
      <c r="F2125">
        <v>1</v>
      </c>
      <c r="G2125" s="3" t="s">
        <v>32</v>
      </c>
      <c r="H2125" s="46" t="s">
        <v>15</v>
      </c>
      <c r="I2125" s="17">
        <f>1145500*1.105</f>
        <v>1265777.5</v>
      </c>
      <c r="J2125" s="17">
        <f>IF(Gastos[[#This Row],[Divisa]]="$", I2125*1, IF(Gastos[[#This Row],[Divisa]]="U$D", I2125*$N$1, IF(Gastos[[#This Row],[Divisa]]="EUR", I2125*$N$2, 0)))</f>
        <v>1265777.5</v>
      </c>
      <c r="K2125" s="54">
        <f>Gastos[[#This Row],[Importe AR$]]/$N$1</f>
        <v>811.39583333333337</v>
      </c>
      <c r="L2125" t="s">
        <v>215</v>
      </c>
      <c r="M2125" s="69">
        <v>45940</v>
      </c>
      <c r="N2125" s="43">
        <f>IF(Gastos[[#This Row],[Fecha_Cheque]]&gt;0,WEEKNUM(Gastos[[#This Row],[Fecha_Cheque]]),MID(Gastos[[#This Row],[Semana]],6,2))</f>
        <v>41</v>
      </c>
      <c r="O2125" t="s">
        <v>1295</v>
      </c>
      <c r="P2125" t="s">
        <v>27</v>
      </c>
    </row>
    <row r="2126" spans="1:16" hidden="1" x14ac:dyDescent="0.25">
      <c r="A2126" s="3" t="s">
        <v>232</v>
      </c>
      <c r="B2126" t="s">
        <v>1296</v>
      </c>
      <c r="C2126" t="s">
        <v>1297</v>
      </c>
      <c r="D2126" t="s">
        <v>26</v>
      </c>
      <c r="E2126" t="s">
        <v>31</v>
      </c>
      <c r="F2126">
        <v>1</v>
      </c>
      <c r="G2126" s="3" t="s">
        <v>5</v>
      </c>
      <c r="H2126" s="46" t="s">
        <v>15</v>
      </c>
      <c r="I2126" s="17">
        <v>42002.15</v>
      </c>
      <c r="J2126" s="17">
        <f>IF(Gastos[[#This Row],[Divisa]]="$", I2126*1, IF(Gastos[[#This Row],[Divisa]]="U$D", I2126*$N$1, IF(Gastos[[#This Row],[Divisa]]="EUR", I2126*$N$2, 0)))</f>
        <v>42002.15</v>
      </c>
      <c r="K2126" s="54">
        <f>Gastos[[#This Row],[Importe AR$]]/$N$1</f>
        <v>26.924455128205128</v>
      </c>
      <c r="M2126" s="69"/>
      <c r="N2126" s="43" t="str">
        <f>IF(Gastos[[#This Row],[Fecha_Cheque]]&gt;0,WEEKNUM(Gastos[[#This Row],[Fecha_Cheque]]),MID(Gastos[[#This Row],[Semana]],6,2))</f>
        <v>44</v>
      </c>
      <c r="P2126" t="s">
        <v>27</v>
      </c>
    </row>
    <row r="2127" spans="1:16" hidden="1" x14ac:dyDescent="0.25">
      <c r="A2127" s="3" t="s">
        <v>130</v>
      </c>
      <c r="B2127" t="s">
        <v>1298</v>
      </c>
      <c r="C2127" t="s">
        <v>1299</v>
      </c>
      <c r="D2127" t="s">
        <v>26</v>
      </c>
      <c r="E2127" t="s">
        <v>31</v>
      </c>
      <c r="F2127">
        <v>1</v>
      </c>
      <c r="G2127" s="3" t="s">
        <v>32</v>
      </c>
      <c r="H2127" s="46" t="s">
        <v>15</v>
      </c>
      <c r="I2127" s="17">
        <v>750000</v>
      </c>
      <c r="J2127" s="17">
        <f>IF(Gastos[[#This Row],[Divisa]]="$", I2127*1, IF(Gastos[[#This Row],[Divisa]]="U$D", I2127*$N$1, IF(Gastos[[#This Row],[Divisa]]="EUR", I2127*$N$2, 0)))</f>
        <v>750000</v>
      </c>
      <c r="K2127" s="54">
        <f>Gastos[[#This Row],[Importe AR$]]/$N$1</f>
        <v>480.76923076923077</v>
      </c>
      <c r="M2127" s="69">
        <v>45983</v>
      </c>
      <c r="N2127" s="43">
        <f>IF(Gastos[[#This Row],[Fecha_Cheque]]&gt;0,WEEKNUM(Gastos[[#This Row],[Fecha_Cheque]]),MID(Gastos[[#This Row],[Semana]],6,2))</f>
        <v>47</v>
      </c>
      <c r="O2127" t="s">
        <v>1300</v>
      </c>
      <c r="P2127" t="s">
        <v>27</v>
      </c>
    </row>
    <row r="2128" spans="1:16" hidden="1" x14ac:dyDescent="0.25">
      <c r="A2128" s="3" t="s">
        <v>130</v>
      </c>
      <c r="B2128" t="s">
        <v>1298</v>
      </c>
      <c r="C2128" t="s">
        <v>1299</v>
      </c>
      <c r="D2128" t="s">
        <v>26</v>
      </c>
      <c r="E2128" t="s">
        <v>31</v>
      </c>
      <c r="F2128">
        <v>1</v>
      </c>
      <c r="G2128" s="3" t="s">
        <v>32</v>
      </c>
      <c r="H2128" s="46" t="s">
        <v>15</v>
      </c>
      <c r="I2128" s="17">
        <v>912465</v>
      </c>
      <c r="J2128" s="17">
        <f>IF(Gastos[[#This Row],[Divisa]]="$", I2128*1, IF(Gastos[[#This Row],[Divisa]]="U$D", I2128*$N$1, IF(Gastos[[#This Row],[Divisa]]="EUR", I2128*$N$2, 0)))</f>
        <v>912465</v>
      </c>
      <c r="K2128" s="54">
        <f>Gastos[[#This Row],[Importe AR$]]/$N$1</f>
        <v>584.91346153846155</v>
      </c>
      <c r="M2128" s="69">
        <v>45990</v>
      </c>
      <c r="N2128" s="43">
        <f>IF(Gastos[[#This Row],[Fecha_Cheque]]&gt;0,WEEKNUM(Gastos[[#This Row],[Fecha_Cheque]]),MID(Gastos[[#This Row],[Semana]],6,2))</f>
        <v>48</v>
      </c>
      <c r="O2128" t="s">
        <v>1300</v>
      </c>
      <c r="P2128" t="s">
        <v>27</v>
      </c>
    </row>
    <row r="2129" spans="1:16" hidden="1" x14ac:dyDescent="0.25">
      <c r="A2129" s="3" t="s">
        <v>130</v>
      </c>
      <c r="B2129" t="s">
        <v>1298</v>
      </c>
      <c r="C2129" t="s">
        <v>1299</v>
      </c>
      <c r="D2129" t="s">
        <v>26</v>
      </c>
      <c r="E2129" t="s">
        <v>31</v>
      </c>
      <c r="F2129">
        <v>1</v>
      </c>
      <c r="G2129" s="3" t="s">
        <v>32</v>
      </c>
      <c r="H2129" s="46" t="s">
        <v>15</v>
      </c>
      <c r="I2129" s="17">
        <v>2506000</v>
      </c>
      <c r="J2129" s="17">
        <f>IF(Gastos[[#This Row],[Divisa]]="$", I2129*1, IF(Gastos[[#This Row],[Divisa]]="U$D", I2129*$N$1, IF(Gastos[[#This Row],[Divisa]]="EUR", I2129*$N$2, 0)))</f>
        <v>2506000</v>
      </c>
      <c r="K2129" s="54">
        <f>Gastos[[#This Row],[Importe AR$]]/$N$1</f>
        <v>1606.4102564102564</v>
      </c>
      <c r="M2129" s="69">
        <v>45990</v>
      </c>
      <c r="N2129" s="43">
        <f>IF(Gastos[[#This Row],[Fecha_Cheque]]&gt;0,WEEKNUM(Gastos[[#This Row],[Fecha_Cheque]]),MID(Gastos[[#This Row],[Semana]],6,2))</f>
        <v>48</v>
      </c>
      <c r="O2129" t="s">
        <v>1300</v>
      </c>
      <c r="P2129" t="s">
        <v>27</v>
      </c>
    </row>
    <row r="2130" spans="1:16" hidden="1" x14ac:dyDescent="0.25">
      <c r="A2130" s="3" t="s">
        <v>416</v>
      </c>
      <c r="B2130" t="s">
        <v>1298</v>
      </c>
      <c r="C2130" t="s">
        <v>1301</v>
      </c>
      <c r="D2130" t="s">
        <v>26</v>
      </c>
      <c r="E2130" t="s">
        <v>31</v>
      </c>
      <c r="F2130">
        <v>1</v>
      </c>
      <c r="G2130" s="3" t="s">
        <v>32</v>
      </c>
      <c r="H2130" s="46" t="s">
        <v>15</v>
      </c>
      <c r="I2130" s="17">
        <v>660255</v>
      </c>
      <c r="J2130" s="17">
        <f>IF(Gastos[[#This Row],[Divisa]]="$", I2130*1, IF(Gastos[[#This Row],[Divisa]]="U$D", I2130*$N$1, IF(Gastos[[#This Row],[Divisa]]="EUR", I2130*$N$2, 0)))</f>
        <v>660255</v>
      </c>
      <c r="K2130" s="54">
        <f>Gastos[[#This Row],[Importe AR$]]/$N$1</f>
        <v>423.24038461538464</v>
      </c>
      <c r="M2130" s="69">
        <v>46010</v>
      </c>
      <c r="N2130" s="43">
        <f>IF(Gastos[[#This Row],[Fecha_Cheque]]&gt;0,WEEKNUM(Gastos[[#This Row],[Fecha_Cheque]]),MID(Gastos[[#This Row],[Semana]],6,2))</f>
        <v>51</v>
      </c>
      <c r="O2130" t="s">
        <v>1302</v>
      </c>
      <c r="P2130" t="s">
        <v>27</v>
      </c>
    </row>
    <row r="2131" spans="1:16" hidden="1" x14ac:dyDescent="0.25">
      <c r="A2131" s="3" t="s">
        <v>416</v>
      </c>
      <c r="B2131" t="s">
        <v>1298</v>
      </c>
      <c r="C2131" t="s">
        <v>1301</v>
      </c>
      <c r="D2131" t="s">
        <v>26</v>
      </c>
      <c r="E2131" t="s">
        <v>31</v>
      </c>
      <c r="F2131">
        <v>1</v>
      </c>
      <c r="G2131" s="3" t="s">
        <v>32</v>
      </c>
      <c r="H2131" s="46" t="s">
        <v>15</v>
      </c>
      <c r="I2131" s="17">
        <v>534232</v>
      </c>
      <c r="J2131" s="17">
        <f>IF(Gastos[[#This Row],[Divisa]]="$", I2131*1, IF(Gastos[[#This Row],[Divisa]]="U$D", I2131*$N$1, IF(Gastos[[#This Row],[Divisa]]="EUR", I2131*$N$2, 0)))</f>
        <v>534232</v>
      </c>
      <c r="K2131" s="54">
        <f>Gastos[[#This Row],[Importe AR$]]/$N$1</f>
        <v>342.45641025641027</v>
      </c>
      <c r="M2131" s="69">
        <v>46010</v>
      </c>
      <c r="N2131" s="43">
        <f>IF(Gastos[[#This Row],[Fecha_Cheque]]&gt;0,WEEKNUM(Gastos[[#This Row],[Fecha_Cheque]]),MID(Gastos[[#This Row],[Semana]],6,2))</f>
        <v>51</v>
      </c>
      <c r="O2131" t="s">
        <v>1302</v>
      </c>
      <c r="P2131" t="s">
        <v>27</v>
      </c>
    </row>
    <row r="2132" spans="1:16" hidden="1" x14ac:dyDescent="0.25">
      <c r="A2132" s="3" t="s">
        <v>416</v>
      </c>
      <c r="B2132" t="s">
        <v>1298</v>
      </c>
      <c r="C2132" t="s">
        <v>1301</v>
      </c>
      <c r="D2132" t="s">
        <v>26</v>
      </c>
      <c r="E2132" t="s">
        <v>31</v>
      </c>
      <c r="F2132">
        <v>1</v>
      </c>
      <c r="G2132" s="3" t="s">
        <v>32</v>
      </c>
      <c r="H2132" s="46" t="s">
        <v>15</v>
      </c>
      <c r="I2132" s="17">
        <v>154031</v>
      </c>
      <c r="J2132" s="17">
        <f>IF(Gastos[[#This Row],[Divisa]]="$", I2132*1, IF(Gastos[[#This Row],[Divisa]]="U$D", I2132*$N$1, IF(Gastos[[#This Row],[Divisa]]="EUR", I2132*$N$2, 0)))</f>
        <v>154031</v>
      </c>
      <c r="K2132" s="54">
        <f>Gastos[[#This Row],[Importe AR$]]/$N$1</f>
        <v>98.73782051282052</v>
      </c>
      <c r="M2132" s="69">
        <v>46010</v>
      </c>
      <c r="N2132" s="43">
        <f>IF(Gastos[[#This Row],[Fecha_Cheque]]&gt;0,WEEKNUM(Gastos[[#This Row],[Fecha_Cheque]]),MID(Gastos[[#This Row],[Semana]],6,2))</f>
        <v>51</v>
      </c>
      <c r="O2132" t="s">
        <v>1302</v>
      </c>
      <c r="P2132" t="s">
        <v>27</v>
      </c>
    </row>
    <row r="2133" spans="1:16" hidden="1" x14ac:dyDescent="0.25">
      <c r="A2133" s="3" t="s">
        <v>416</v>
      </c>
      <c r="B2133" t="s">
        <v>1298</v>
      </c>
      <c r="C2133" t="s">
        <v>1301</v>
      </c>
      <c r="D2133" t="s">
        <v>26</v>
      </c>
      <c r="E2133" t="s">
        <v>31</v>
      </c>
      <c r="F2133">
        <v>1</v>
      </c>
      <c r="G2133" s="3" t="s">
        <v>32</v>
      </c>
      <c r="H2133" s="46" t="s">
        <v>15</v>
      </c>
      <c r="I2133" s="17">
        <v>376660</v>
      </c>
      <c r="J2133" s="17">
        <f>IF(Gastos[[#This Row],[Divisa]]="$", I2133*1, IF(Gastos[[#This Row],[Divisa]]="U$D", I2133*$N$1, IF(Gastos[[#This Row],[Divisa]]="EUR", I2133*$N$2, 0)))</f>
        <v>376660</v>
      </c>
      <c r="K2133" s="54">
        <f>Gastos[[#This Row],[Importe AR$]]/$N$1</f>
        <v>241.44871794871796</v>
      </c>
      <c r="M2133" s="69">
        <v>46010</v>
      </c>
      <c r="N2133" s="43">
        <f>IF(Gastos[[#This Row],[Fecha_Cheque]]&gt;0,WEEKNUM(Gastos[[#This Row],[Fecha_Cheque]]),MID(Gastos[[#This Row],[Semana]],6,2))</f>
        <v>51</v>
      </c>
      <c r="O2133" t="s">
        <v>1302</v>
      </c>
      <c r="P2133" t="s">
        <v>27</v>
      </c>
    </row>
    <row r="2134" spans="1:16" hidden="1" x14ac:dyDescent="0.25">
      <c r="A2134" s="3" t="s">
        <v>180</v>
      </c>
      <c r="B2134" t="s">
        <v>1298</v>
      </c>
      <c r="C2134" t="s">
        <v>1651</v>
      </c>
      <c r="D2134" t="s">
        <v>26</v>
      </c>
      <c r="E2134" t="s">
        <v>31</v>
      </c>
      <c r="F2134">
        <v>1</v>
      </c>
      <c r="G2134" s="3" t="s">
        <v>32</v>
      </c>
      <c r="H2134" s="46" t="s">
        <v>15</v>
      </c>
      <c r="I2134" s="17">
        <v>3000000</v>
      </c>
      <c r="J2134" s="17">
        <f>IF(Gastos[[#This Row],[Divisa]]="$", I2134*1, IF(Gastos[[#This Row],[Divisa]]="U$D", I2134*$N$1, IF(Gastos[[#This Row],[Divisa]]="EUR", I2134*$N$2, 0)))</f>
        <v>3000000</v>
      </c>
      <c r="K2134" s="54">
        <f>Gastos[[#This Row],[Importe AR$]]/$N$1</f>
        <v>1923.0769230769231</v>
      </c>
      <c r="M2134" s="69"/>
      <c r="N2134" s="43" t="str">
        <f>IF(Gastos[[#This Row],[Fecha_Cheque]]&gt;0,WEEKNUM(Gastos[[#This Row],[Fecha_Cheque]]),MID(Gastos[[#This Row],[Semana]],6,2))</f>
        <v>09</v>
      </c>
      <c r="O2134" t="s">
        <v>1652</v>
      </c>
      <c r="P2134" t="s">
        <v>27</v>
      </c>
    </row>
    <row r="2135" spans="1:16" hidden="1" x14ac:dyDescent="0.25">
      <c r="A2135" s="3" t="s">
        <v>180</v>
      </c>
      <c r="B2135" t="s">
        <v>1298</v>
      </c>
      <c r="C2135" t="s">
        <v>1651</v>
      </c>
      <c r="D2135" t="s">
        <v>26</v>
      </c>
      <c r="E2135" t="s">
        <v>31</v>
      </c>
      <c r="F2135">
        <v>1</v>
      </c>
      <c r="G2135" s="3" t="s">
        <v>32</v>
      </c>
      <c r="H2135" s="46" t="s">
        <v>15</v>
      </c>
      <c r="I2135" s="17">
        <v>3000000</v>
      </c>
      <c r="J2135" s="17">
        <f>IF(Gastos[[#This Row],[Divisa]]="$", I2135*1, IF(Gastos[[#This Row],[Divisa]]="U$D", I2135*$N$1, IF(Gastos[[#This Row],[Divisa]]="EUR", I2135*$N$2, 0)))</f>
        <v>3000000</v>
      </c>
      <c r="K2135" s="54">
        <f>Gastos[[#This Row],[Importe AR$]]/$N$1</f>
        <v>1923.0769230769231</v>
      </c>
      <c r="M2135" s="69"/>
      <c r="N2135" s="43" t="str">
        <f>IF(Gastos[[#This Row],[Fecha_Cheque]]&gt;0,WEEKNUM(Gastos[[#This Row],[Fecha_Cheque]]),MID(Gastos[[#This Row],[Semana]],6,2))</f>
        <v>09</v>
      </c>
      <c r="O2135" t="s">
        <v>1652</v>
      </c>
      <c r="P2135" t="s">
        <v>27</v>
      </c>
    </row>
    <row r="2136" spans="1:16" hidden="1" x14ac:dyDescent="0.25">
      <c r="A2136" s="3" t="s">
        <v>180</v>
      </c>
      <c r="B2136" t="s">
        <v>1298</v>
      </c>
      <c r="C2136" t="s">
        <v>1651</v>
      </c>
      <c r="D2136" t="s">
        <v>26</v>
      </c>
      <c r="E2136" t="s">
        <v>31</v>
      </c>
      <c r="F2136">
        <v>1</v>
      </c>
      <c r="G2136" s="3" t="s">
        <v>32</v>
      </c>
      <c r="H2136" s="46" t="s">
        <v>15</v>
      </c>
      <c r="I2136" s="17">
        <v>1919600</v>
      </c>
      <c r="J2136" s="17">
        <f>IF(Gastos[[#This Row],[Divisa]]="$", I2136*1, IF(Gastos[[#This Row],[Divisa]]="U$D", I2136*$N$1, IF(Gastos[[#This Row],[Divisa]]="EUR", I2136*$N$2, 0)))</f>
        <v>1919600</v>
      </c>
      <c r="K2136" s="54">
        <f>Gastos[[#This Row],[Importe AR$]]/$N$1</f>
        <v>1230.5128205128206</v>
      </c>
      <c r="M2136" s="69"/>
      <c r="N2136" s="43" t="str">
        <f>IF(Gastos[[#This Row],[Fecha_Cheque]]&gt;0,WEEKNUM(Gastos[[#This Row],[Fecha_Cheque]]),MID(Gastos[[#This Row],[Semana]],6,2))</f>
        <v>09</v>
      </c>
      <c r="O2136" t="s">
        <v>1652</v>
      </c>
      <c r="P2136" t="s">
        <v>27</v>
      </c>
    </row>
    <row r="2137" spans="1:16" x14ac:dyDescent="0.25">
      <c r="A2137" s="3" t="s">
        <v>4655</v>
      </c>
      <c r="B2137" t="s">
        <v>1128</v>
      </c>
      <c r="C2137" t="s">
        <v>1089</v>
      </c>
      <c r="D2137" t="s">
        <v>26</v>
      </c>
      <c r="E2137" t="s">
        <v>62</v>
      </c>
      <c r="F2137">
        <v>1</v>
      </c>
      <c r="G2137" s="3" t="s">
        <v>32</v>
      </c>
      <c r="H2137" s="46" t="s">
        <v>15</v>
      </c>
      <c r="I2137" s="17">
        <v>0</v>
      </c>
      <c r="J2137" s="17">
        <f>IF(Gastos[[#This Row],[Divisa]]="$", I2137*1, IF(Gastos[[#This Row],[Divisa]]="U$D", I2137*$N$1, IF(Gastos[[#This Row],[Divisa]]="EUR", I2137*$N$2, 0)))</f>
        <v>0</v>
      </c>
      <c r="K2137" s="54">
        <f>Gastos[[#This Row],[Importe AR$]]/$N$1</f>
        <v>0</v>
      </c>
      <c r="M2137" s="69"/>
      <c r="N2137" s="43" t="str">
        <f>IF(Gastos[[#This Row],[Fecha_Cheque]]&gt;0,WEEKNUM(Gastos[[#This Row],[Fecha_Cheque]]),MID(Gastos[[#This Row],[Semana]],6,2))</f>
        <v>44</v>
      </c>
    </row>
    <row r="2138" spans="1:16" hidden="1" x14ac:dyDescent="0.25">
      <c r="A2138" s="3" t="s">
        <v>93</v>
      </c>
      <c r="B2138" t="s">
        <v>1303</v>
      </c>
      <c r="C2138" t="s">
        <v>1304</v>
      </c>
      <c r="D2138" t="s">
        <v>26</v>
      </c>
      <c r="E2138" t="s">
        <v>31</v>
      </c>
      <c r="F2138">
        <v>1</v>
      </c>
      <c r="G2138" s="3" t="s">
        <v>5</v>
      </c>
      <c r="H2138" s="46" t="s">
        <v>15</v>
      </c>
      <c r="I2138" s="17">
        <v>380428.13</v>
      </c>
      <c r="J2138" s="17">
        <f>IF(Gastos[[#This Row],[Divisa]]="$", I2138*1, IF(Gastos[[#This Row],[Divisa]]="U$D", I2138*$N$1, IF(Gastos[[#This Row],[Divisa]]="EUR", I2138*$N$2, 0)))</f>
        <v>380428.13</v>
      </c>
      <c r="K2138" s="54">
        <f>Gastos[[#This Row],[Importe AR$]]/$N$1</f>
        <v>243.8641858974359</v>
      </c>
      <c r="M2138" s="69"/>
      <c r="N2138" s="43" t="str">
        <f>IF(Gastos[[#This Row],[Fecha_Cheque]]&gt;0,WEEKNUM(Gastos[[#This Row],[Fecha_Cheque]]),MID(Gastos[[#This Row],[Semana]],6,2))</f>
        <v>50</v>
      </c>
      <c r="O2138" t="s">
        <v>1305</v>
      </c>
      <c r="P2138" t="s">
        <v>27</v>
      </c>
    </row>
    <row r="2139" spans="1:16" hidden="1" x14ac:dyDescent="0.25">
      <c r="A2139" s="3" t="s">
        <v>290</v>
      </c>
      <c r="B2139" t="s">
        <v>1306</v>
      </c>
      <c r="C2139" t="s">
        <v>1307</v>
      </c>
      <c r="D2139" t="s">
        <v>61</v>
      </c>
      <c r="E2139" t="s">
        <v>31</v>
      </c>
      <c r="F2139">
        <v>1</v>
      </c>
      <c r="G2139" s="3" t="s">
        <v>32</v>
      </c>
      <c r="H2139" s="46" t="s">
        <v>15</v>
      </c>
      <c r="I2139" s="17">
        <v>470017.94</v>
      </c>
      <c r="J2139" s="17">
        <f>IF(Gastos[[#This Row],[Divisa]]="$", I2139*1, IF(Gastos[[#This Row],[Divisa]]="U$D", I2139*$N$1, IF(Gastos[[#This Row],[Divisa]]="EUR", I2139*$N$2, 0)))</f>
        <v>470017.94</v>
      </c>
      <c r="K2139" s="54">
        <f>Gastos[[#This Row],[Importe AR$]]/$N$1</f>
        <v>301.29355128205128</v>
      </c>
      <c r="L2139" t="s">
        <v>645</v>
      </c>
      <c r="M2139" s="69"/>
      <c r="N2139" s="43" t="str">
        <f>IF(Gastos[[#This Row],[Fecha_Cheque]]&gt;0,WEEKNUM(Gastos[[#This Row],[Fecha_Cheque]]),MID(Gastos[[#This Row],[Semana]],6,2))</f>
        <v>23</v>
      </c>
      <c r="O2139" t="s">
        <v>1308</v>
      </c>
      <c r="P2139" t="s">
        <v>27</v>
      </c>
    </row>
    <row r="2140" spans="1:16" hidden="1" x14ac:dyDescent="0.25">
      <c r="A2140" s="3" t="s">
        <v>34</v>
      </c>
      <c r="B2140" t="s">
        <v>1306</v>
      </c>
      <c r="C2140" t="s">
        <v>1309</v>
      </c>
      <c r="D2140" t="s">
        <v>26</v>
      </c>
      <c r="E2140" t="s">
        <v>31</v>
      </c>
      <c r="F2140">
        <v>1</v>
      </c>
      <c r="G2140" s="3" t="s">
        <v>32</v>
      </c>
      <c r="H2140" s="46" t="s">
        <v>15</v>
      </c>
      <c r="I2140" s="17">
        <v>650862.21</v>
      </c>
      <c r="J2140" s="17">
        <f>IF(Gastos[[#This Row],[Divisa]]="$", I2140*1, IF(Gastos[[#This Row],[Divisa]]="U$D", I2140*$N$1, IF(Gastos[[#This Row],[Divisa]]="EUR", I2140*$N$2, 0)))</f>
        <v>650862.21</v>
      </c>
      <c r="K2140" s="54">
        <f>Gastos[[#This Row],[Importe AR$]]/$N$1</f>
        <v>417.21936538461534</v>
      </c>
      <c r="L2140" t="s">
        <v>215</v>
      </c>
      <c r="M2140" s="69">
        <v>45906</v>
      </c>
      <c r="N2140" s="43">
        <f>IF(Gastos[[#This Row],[Fecha_Cheque]]&gt;0,WEEKNUM(Gastos[[#This Row],[Fecha_Cheque]]),MID(Gastos[[#This Row],[Semana]],6,2))</f>
        <v>36</v>
      </c>
      <c r="O2140" t="s">
        <v>1310</v>
      </c>
      <c r="P2140" t="s">
        <v>27</v>
      </c>
    </row>
    <row r="2141" spans="1:16" hidden="1" x14ac:dyDescent="0.25">
      <c r="A2141" s="3" t="s">
        <v>397</v>
      </c>
      <c r="B2141" t="s">
        <v>1306</v>
      </c>
      <c r="C2141" t="s">
        <v>1307</v>
      </c>
      <c r="D2141" t="s">
        <v>26</v>
      </c>
      <c r="E2141" t="s">
        <v>31</v>
      </c>
      <c r="F2141">
        <v>1</v>
      </c>
      <c r="G2141" s="3" t="s">
        <v>32</v>
      </c>
      <c r="H2141" s="46" t="s">
        <v>15</v>
      </c>
      <c r="I2141" s="17">
        <v>209918.77</v>
      </c>
      <c r="J2141" s="17">
        <f>IF(Gastos[[#This Row],[Divisa]]="$", I2141*1, IF(Gastos[[#This Row],[Divisa]]="U$D", I2141*$N$1, IF(Gastos[[#This Row],[Divisa]]="EUR", I2141*$N$2, 0)))</f>
        <v>209918.77</v>
      </c>
      <c r="K2141" s="54">
        <f>Gastos[[#This Row],[Importe AR$]]/$N$1</f>
        <v>134.56331410256411</v>
      </c>
      <c r="M2141" s="69">
        <v>46122</v>
      </c>
      <c r="N2141" s="43">
        <f>IF(Gastos[[#This Row],[Fecha_Cheque]]&gt;0,WEEKNUM(Gastos[[#This Row],[Fecha_Cheque]]),MID(Gastos[[#This Row],[Semana]],6,2))</f>
        <v>15</v>
      </c>
      <c r="O2141" t="s">
        <v>2048</v>
      </c>
      <c r="P2141" t="s">
        <v>27</v>
      </c>
    </row>
    <row r="2142" spans="1:16" hidden="1" x14ac:dyDescent="0.25">
      <c r="A2142" s="3" t="s">
        <v>378</v>
      </c>
      <c r="B2142" t="s">
        <v>1311</v>
      </c>
      <c r="C2142" t="s">
        <v>1312</v>
      </c>
      <c r="D2142" t="s">
        <v>26</v>
      </c>
      <c r="E2142" t="s">
        <v>31</v>
      </c>
      <c r="F2142">
        <v>1</v>
      </c>
      <c r="G2142" s="3" t="s">
        <v>32</v>
      </c>
      <c r="H2142" s="46" t="s">
        <v>15</v>
      </c>
      <c r="I2142" s="17">
        <v>640039.93000000005</v>
      </c>
      <c r="J2142" s="17">
        <f>IF(Gastos[[#This Row],[Divisa]]="$", I2142*1, IF(Gastos[[#This Row],[Divisa]]="U$D", I2142*$N$1, IF(Gastos[[#This Row],[Divisa]]="EUR", I2142*$N$2, 0)))</f>
        <v>640039.93000000005</v>
      </c>
      <c r="K2142" s="54">
        <f>Gastos[[#This Row],[Importe AR$]]/$N$1</f>
        <v>410.28200641025643</v>
      </c>
      <c r="M2142" s="69"/>
      <c r="N2142" s="43" t="str">
        <f>IF(Gastos[[#This Row],[Fecha_Cheque]]&gt;0,WEEKNUM(Gastos[[#This Row],[Fecha_Cheque]]),MID(Gastos[[#This Row],[Semana]],6,2))</f>
        <v>03</v>
      </c>
      <c r="O2142" t="s">
        <v>1313</v>
      </c>
      <c r="P2142" t="s">
        <v>27</v>
      </c>
    </row>
    <row r="2143" spans="1:16" hidden="1" x14ac:dyDescent="0.25">
      <c r="A2143" s="3" t="s">
        <v>2751</v>
      </c>
      <c r="B2143" t="s">
        <v>1311</v>
      </c>
      <c r="C2143" t="s">
        <v>3062</v>
      </c>
      <c r="D2143" t="s">
        <v>26</v>
      </c>
      <c r="E2143" t="s">
        <v>31</v>
      </c>
      <c r="F2143">
        <v>1</v>
      </c>
      <c r="G2143" s="3" t="s">
        <v>32</v>
      </c>
      <c r="H2143" s="44" t="s">
        <v>15</v>
      </c>
      <c r="I2143" s="17">
        <v>1572557.02</v>
      </c>
      <c r="J2143" s="17">
        <f>IF(Gastos[[#This Row],[Divisa]]="$", I2143*1, IF(Gastos[[#This Row],[Divisa]]="U$D", I2143*$N$1, IF(Gastos[[#This Row],[Divisa]]="EUR", I2143*$N$2, 0)))</f>
        <v>1572557.02</v>
      </c>
      <c r="K2143" s="54">
        <f>Gastos[[#This Row],[Importe AR$]]/$N$1</f>
        <v>1008.0493717948718</v>
      </c>
      <c r="M2143" s="69"/>
      <c r="N2143" s="43" t="str">
        <f>IF(Gastos[[#This Row],[Fecha_Cheque]]&gt;0,WEEKNUM(Gastos[[#This Row],[Fecha_Cheque]]),MID(Gastos[[#This Row],[Semana]],6,2))</f>
        <v>18</v>
      </c>
      <c r="O2143" t="s">
        <v>3063</v>
      </c>
      <c r="P2143" t="s">
        <v>27</v>
      </c>
    </row>
    <row r="2144" spans="1:16" hidden="1" x14ac:dyDescent="0.25">
      <c r="A2144" s="3" t="s">
        <v>2726</v>
      </c>
      <c r="B2144" t="s">
        <v>3333</v>
      </c>
      <c r="C2144" t="s">
        <v>3334</v>
      </c>
      <c r="D2144" t="s">
        <v>26</v>
      </c>
      <c r="E2144" t="s">
        <v>31</v>
      </c>
      <c r="F2144">
        <v>1</v>
      </c>
      <c r="G2144" s="3" t="s">
        <v>32</v>
      </c>
      <c r="H2144" s="44" t="s">
        <v>15</v>
      </c>
      <c r="I2144" s="17">
        <v>968566.16</v>
      </c>
      <c r="J2144" s="17">
        <f>IF(Gastos[[#This Row],[Divisa]]="$", I2144*1, IF(Gastos[[#This Row],[Divisa]]="U$D", I2144*$N$1, IF(Gastos[[#This Row],[Divisa]]="EUR", I2144*$N$2, 0)))</f>
        <v>968566.16</v>
      </c>
      <c r="K2144" s="54">
        <f>Gastos[[#This Row],[Importe AR$]]/$N$1</f>
        <v>620.87574358974359</v>
      </c>
      <c r="M2144" s="69">
        <v>46212</v>
      </c>
      <c r="N2144" s="43">
        <f>IF(Gastos[[#This Row],[Fecha_Cheque]]&gt;0,WEEKNUM(Gastos[[#This Row],[Fecha_Cheque]]),MID(Gastos[[#This Row],[Semana]],6,2))</f>
        <v>28</v>
      </c>
      <c r="O2144" t="s">
        <v>3335</v>
      </c>
      <c r="P2144" t="s">
        <v>27</v>
      </c>
    </row>
    <row r="2145" spans="1:16" hidden="1" x14ac:dyDescent="0.25">
      <c r="A2145" s="3" t="s">
        <v>2726</v>
      </c>
      <c r="B2145" t="s">
        <v>3333</v>
      </c>
      <c r="C2145" t="s">
        <v>3334</v>
      </c>
      <c r="D2145" t="s">
        <v>26</v>
      </c>
      <c r="E2145" t="s">
        <v>31</v>
      </c>
      <c r="F2145">
        <v>1</v>
      </c>
      <c r="G2145" s="3" t="s">
        <v>32</v>
      </c>
      <c r="H2145" s="44" t="s">
        <v>15</v>
      </c>
      <c r="I2145" s="17">
        <v>11723.13</v>
      </c>
      <c r="J2145" s="17">
        <f>IF(Gastos[[#This Row],[Divisa]]="$", I2145*1, IF(Gastos[[#This Row],[Divisa]]="U$D", I2145*$N$1, IF(Gastos[[#This Row],[Divisa]]="EUR", I2145*$N$2, 0)))</f>
        <v>11723.13</v>
      </c>
      <c r="K2145" s="54">
        <f>Gastos[[#This Row],[Importe AR$]]/$N$1</f>
        <v>7.5148269230769227</v>
      </c>
      <c r="L2145" t="s">
        <v>340</v>
      </c>
      <c r="M2145" s="69"/>
      <c r="N2145" s="43" t="str">
        <f>IF(Gastos[[#This Row],[Fecha_Cheque]]&gt;0,WEEKNUM(Gastos[[#This Row],[Fecha_Cheque]]),MID(Gastos[[#This Row],[Semana]],6,2))</f>
        <v>24</v>
      </c>
      <c r="O2145" t="s">
        <v>3335</v>
      </c>
      <c r="P2145" t="s">
        <v>27</v>
      </c>
    </row>
    <row r="2146" spans="1:16" hidden="1" x14ac:dyDescent="0.25">
      <c r="A2146" s="3" t="s">
        <v>4157</v>
      </c>
      <c r="B2146" t="s">
        <v>3333</v>
      </c>
      <c r="C2146" t="s">
        <v>4175</v>
      </c>
      <c r="D2146" t="s">
        <v>26</v>
      </c>
      <c r="E2146" t="s">
        <v>31</v>
      </c>
      <c r="F2146">
        <v>1</v>
      </c>
      <c r="G2146" s="3" t="s">
        <v>32</v>
      </c>
      <c r="H2146" s="44" t="s">
        <v>15</v>
      </c>
      <c r="I2146" s="17">
        <v>242807.6</v>
      </c>
      <c r="J2146" s="17">
        <f>IF(Gastos[[#This Row],[Divisa]]="$", I2146*1, IF(Gastos[[#This Row],[Divisa]]="U$D", I2146*$N$1, IF(Gastos[[#This Row],[Divisa]]="EUR", I2146*$N$2, 0)))</f>
        <v>242807.6</v>
      </c>
      <c r="K2146" s="54">
        <f>Gastos[[#This Row],[Importe AR$]]/$N$1</f>
        <v>155.64589743589744</v>
      </c>
      <c r="M2146" s="69">
        <v>46282</v>
      </c>
      <c r="N2146" s="43">
        <f>IF(Gastos[[#This Row],[Fecha_Cheque]]&gt;0,WEEKNUM(Gastos[[#This Row],[Fecha_Cheque]]),MID(Gastos[[#This Row],[Semana]],6,2))</f>
        <v>38</v>
      </c>
      <c r="O2146" t="s">
        <v>4176</v>
      </c>
      <c r="P2146" t="s">
        <v>27</v>
      </c>
    </row>
    <row r="2147" spans="1:16" hidden="1" x14ac:dyDescent="0.25">
      <c r="A2147" s="3" t="s">
        <v>4157</v>
      </c>
      <c r="B2147" t="s">
        <v>3333</v>
      </c>
      <c r="C2147" t="s">
        <v>4175</v>
      </c>
      <c r="D2147" t="s">
        <v>26</v>
      </c>
      <c r="E2147" t="s">
        <v>31</v>
      </c>
      <c r="F2147">
        <v>1</v>
      </c>
      <c r="G2147" s="3" t="s">
        <v>32</v>
      </c>
      <c r="H2147" s="44" t="s">
        <v>15</v>
      </c>
      <c r="I2147" s="17">
        <v>500000</v>
      </c>
      <c r="J2147" s="17">
        <f>IF(Gastos[[#This Row],[Divisa]]="$", I2147*1, IF(Gastos[[#This Row],[Divisa]]="U$D", I2147*$N$1, IF(Gastos[[#This Row],[Divisa]]="EUR", I2147*$N$2, 0)))</f>
        <v>500000</v>
      </c>
      <c r="K2147" s="54">
        <f>Gastos[[#This Row],[Importe AR$]]/$N$1</f>
        <v>320.5128205128205</v>
      </c>
      <c r="M2147" s="69">
        <v>46280</v>
      </c>
      <c r="N2147" s="43">
        <f>IF(Gastos[[#This Row],[Fecha_Cheque]]&gt;0,WEEKNUM(Gastos[[#This Row],[Fecha_Cheque]]),MID(Gastos[[#This Row],[Semana]],6,2))</f>
        <v>38</v>
      </c>
      <c r="O2147" t="s">
        <v>4176</v>
      </c>
      <c r="P2147" t="s">
        <v>27</v>
      </c>
    </row>
    <row r="2148" spans="1:16" hidden="1" x14ac:dyDescent="0.25">
      <c r="A2148" s="3" t="s">
        <v>4157</v>
      </c>
      <c r="B2148" t="s">
        <v>3333</v>
      </c>
      <c r="C2148" t="s">
        <v>4175</v>
      </c>
      <c r="D2148" t="s">
        <v>26</v>
      </c>
      <c r="E2148" t="s">
        <v>31</v>
      </c>
      <c r="F2148">
        <v>1</v>
      </c>
      <c r="G2148" s="3" t="s">
        <v>32</v>
      </c>
      <c r="H2148" s="44" t="s">
        <v>15</v>
      </c>
      <c r="I2148" s="17">
        <v>10376.15</v>
      </c>
      <c r="J2148" s="17">
        <f>IF(Gastos[[#This Row],[Divisa]]="$", I2148*1, IF(Gastos[[#This Row],[Divisa]]="U$D", I2148*$N$1, IF(Gastos[[#This Row],[Divisa]]="EUR", I2148*$N$2, 0)))</f>
        <v>10376.15</v>
      </c>
      <c r="K2148" s="54">
        <f>Gastos[[#This Row],[Importe AR$]]/$N$1</f>
        <v>6.6513782051282053</v>
      </c>
      <c r="L2148" t="s">
        <v>340</v>
      </c>
      <c r="M2148" s="69"/>
      <c r="N2148" s="43" t="str">
        <f>IF(Gastos[[#This Row],[Fecha_Cheque]]&gt;0,WEEKNUM(Gastos[[#This Row],[Fecha_Cheque]]),MID(Gastos[[#This Row],[Semana]],6,2))</f>
        <v>36</v>
      </c>
      <c r="O2148" t="s">
        <v>4176</v>
      </c>
      <c r="P2148" t="s">
        <v>27</v>
      </c>
    </row>
    <row r="2149" spans="1:16" hidden="1" x14ac:dyDescent="0.25">
      <c r="A2149" s="3" t="s">
        <v>28</v>
      </c>
      <c r="B2149" t="s">
        <v>1314</v>
      </c>
      <c r="C2149" t="s">
        <v>1315</v>
      </c>
      <c r="D2149" t="s">
        <v>26</v>
      </c>
      <c r="E2149" t="s">
        <v>31</v>
      </c>
      <c r="F2149">
        <v>1</v>
      </c>
      <c r="G2149" s="3" t="s">
        <v>32</v>
      </c>
      <c r="H2149" s="46" t="s">
        <v>15</v>
      </c>
      <c r="I2149" s="17">
        <v>338134.5</v>
      </c>
      <c r="J2149" s="17">
        <f>IF(Gastos[[#This Row],[Divisa]]="$", I2149*1, IF(Gastos[[#This Row],[Divisa]]="U$D", I2149*$N$1, IF(Gastos[[#This Row],[Divisa]]="EUR", I2149*$N$2, 0)))</f>
        <v>338134.5</v>
      </c>
      <c r="K2149" s="54">
        <f>Gastos[[#This Row],[Importe AR$]]/$N$1</f>
        <v>216.7528846153846</v>
      </c>
      <c r="L2149" t="s">
        <v>215</v>
      </c>
      <c r="M2149" s="69"/>
      <c r="N2149" s="43" t="str">
        <f>IF(Gastos[[#This Row],[Fecha_Cheque]]&gt;0,WEEKNUM(Gastos[[#This Row],[Fecha_Cheque]]),MID(Gastos[[#This Row],[Semana]],6,2))</f>
        <v>21</v>
      </c>
      <c r="O2149" t="s">
        <v>1316</v>
      </c>
      <c r="P2149" t="s">
        <v>27</v>
      </c>
    </row>
    <row r="2150" spans="1:16" hidden="1" x14ac:dyDescent="0.25">
      <c r="A2150" s="3" t="s">
        <v>310</v>
      </c>
      <c r="B2150" t="s">
        <v>1314</v>
      </c>
      <c r="C2150" t="s">
        <v>1317</v>
      </c>
      <c r="D2150" t="s">
        <v>26</v>
      </c>
      <c r="E2150" t="s">
        <v>31</v>
      </c>
      <c r="F2150">
        <v>1</v>
      </c>
      <c r="G2150" s="3" t="s">
        <v>5</v>
      </c>
      <c r="H2150" s="46" t="s">
        <v>15</v>
      </c>
      <c r="I2150" s="17">
        <v>164408.75</v>
      </c>
      <c r="J2150" s="17">
        <f>IF(Gastos[[#This Row],[Divisa]]="$", I2150*1, IF(Gastos[[#This Row],[Divisa]]="U$D", I2150*$N$1, IF(Gastos[[#This Row],[Divisa]]="EUR", I2150*$N$2, 0)))</f>
        <v>164408.75</v>
      </c>
      <c r="K2150" s="54">
        <f>Gastos[[#This Row],[Importe AR$]]/$N$1</f>
        <v>105.39022435897436</v>
      </c>
      <c r="M2150" s="69"/>
      <c r="N2150" s="43" t="str">
        <f>IF(Gastos[[#This Row],[Fecha_Cheque]]&gt;0,WEEKNUM(Gastos[[#This Row],[Fecha_Cheque]]),MID(Gastos[[#This Row],[Semana]],6,2))</f>
        <v>36</v>
      </c>
      <c r="O2150" t="s">
        <v>1318</v>
      </c>
      <c r="P2150" t="s">
        <v>27</v>
      </c>
    </row>
    <row r="2151" spans="1:16" hidden="1" x14ac:dyDescent="0.25">
      <c r="A2151" s="3" t="s">
        <v>2841</v>
      </c>
      <c r="B2151" t="s">
        <v>1314</v>
      </c>
      <c r="C2151" t="s">
        <v>3198</v>
      </c>
      <c r="D2151" t="s">
        <v>26</v>
      </c>
      <c r="E2151" t="s">
        <v>31</v>
      </c>
      <c r="F2151">
        <v>1</v>
      </c>
      <c r="G2151" s="3" t="s">
        <v>32</v>
      </c>
      <c r="H2151" s="44" t="s">
        <v>15</v>
      </c>
      <c r="I2151" s="17">
        <v>1098861.3600000001</v>
      </c>
      <c r="J2151" s="17">
        <f>IF(Gastos[[#This Row],[Divisa]]="$", I2151*1, IF(Gastos[[#This Row],[Divisa]]="U$D", I2151*$N$1, IF(Gastos[[#This Row],[Divisa]]="EUR", I2151*$N$2, 0)))</f>
        <v>1098861.3600000001</v>
      </c>
      <c r="K2151" s="54">
        <f>Gastos[[#This Row],[Importe AR$]]/$N$1</f>
        <v>704.39830769230775</v>
      </c>
      <c r="M2151" s="69">
        <v>46176</v>
      </c>
      <c r="N2151" s="43">
        <f>IF(Gastos[[#This Row],[Fecha_Cheque]]&gt;0,WEEKNUM(Gastos[[#This Row],[Fecha_Cheque]]),MID(Gastos[[#This Row],[Semana]],6,2))</f>
        <v>23</v>
      </c>
      <c r="O2151" t="s">
        <v>3199</v>
      </c>
      <c r="P2151" t="s">
        <v>27</v>
      </c>
    </row>
    <row r="2152" spans="1:16" hidden="1" x14ac:dyDescent="0.25">
      <c r="A2152" s="3" t="s">
        <v>2841</v>
      </c>
      <c r="B2152" t="s">
        <v>1314</v>
      </c>
      <c r="C2152" t="s">
        <v>3198</v>
      </c>
      <c r="D2152" t="s">
        <v>26</v>
      </c>
      <c r="E2152" t="s">
        <v>31</v>
      </c>
      <c r="F2152">
        <v>1</v>
      </c>
      <c r="G2152" s="3" t="s">
        <v>32</v>
      </c>
      <c r="H2152" s="44" t="s">
        <v>15</v>
      </c>
      <c r="I2152" s="17">
        <v>17102.28</v>
      </c>
      <c r="J2152" s="17">
        <f>IF(Gastos[[#This Row],[Divisa]]="$", I2152*1, IF(Gastos[[#This Row],[Divisa]]="U$D", I2152*$N$1, IF(Gastos[[#This Row],[Divisa]]="EUR", I2152*$N$2, 0)))</f>
        <v>17102.28</v>
      </c>
      <c r="K2152" s="54">
        <f>Gastos[[#This Row],[Importe AR$]]/$N$1</f>
        <v>10.962999999999999</v>
      </c>
      <c r="L2152" t="s">
        <v>340</v>
      </c>
      <c r="M2152" s="69"/>
      <c r="N2152" s="43" t="str">
        <f>IF(Gastos[[#This Row],[Fecha_Cheque]]&gt;0,WEEKNUM(Gastos[[#This Row],[Fecha_Cheque]]),MID(Gastos[[#This Row],[Semana]],6,2))</f>
        <v>22</v>
      </c>
      <c r="O2152" t="s">
        <v>3199</v>
      </c>
      <c r="P2152" t="s">
        <v>27</v>
      </c>
    </row>
    <row r="2153" spans="1:16" hidden="1" x14ac:dyDescent="0.25">
      <c r="A2153" s="3" t="s">
        <v>3882</v>
      </c>
      <c r="B2153" t="s">
        <v>1314</v>
      </c>
      <c r="C2153" t="s">
        <v>3896</v>
      </c>
      <c r="D2153" t="s">
        <v>26</v>
      </c>
      <c r="E2153" t="s">
        <v>31</v>
      </c>
      <c r="F2153">
        <v>1</v>
      </c>
      <c r="G2153" s="3" t="s">
        <v>5</v>
      </c>
      <c r="H2153" s="44" t="s">
        <v>15</v>
      </c>
      <c r="I2153" s="17">
        <v>249734.48</v>
      </c>
      <c r="J2153" s="17">
        <f>IF(Gastos[[#This Row],[Divisa]]="$", I2153*1, IF(Gastos[[#This Row],[Divisa]]="U$D", I2153*$N$1, IF(Gastos[[#This Row],[Divisa]]="EUR", I2153*$N$2, 0)))</f>
        <v>249734.48</v>
      </c>
      <c r="K2153" s="54">
        <f>Gastos[[#This Row],[Importe AR$]]/$N$1</f>
        <v>160.08620512820514</v>
      </c>
      <c r="M2153" s="69"/>
      <c r="N2153" s="43" t="str">
        <f>IF(Gastos[[#This Row],[Fecha_Cheque]]&gt;0,WEEKNUM(Gastos[[#This Row],[Fecha_Cheque]]),MID(Gastos[[#This Row],[Semana]],6,2))</f>
        <v>31</v>
      </c>
      <c r="O2153" t="s">
        <v>3897</v>
      </c>
      <c r="P2153" t="s">
        <v>27</v>
      </c>
    </row>
    <row r="2154" spans="1:16" hidden="1" x14ac:dyDescent="0.25">
      <c r="A2154" s="3" t="s">
        <v>3882</v>
      </c>
      <c r="B2154" t="s">
        <v>1314</v>
      </c>
      <c r="C2154" t="s">
        <v>3896</v>
      </c>
      <c r="D2154" t="s">
        <v>26</v>
      </c>
      <c r="E2154" t="s">
        <v>31</v>
      </c>
      <c r="F2154">
        <v>1</v>
      </c>
      <c r="G2154" s="3" t="s">
        <v>5</v>
      </c>
      <c r="H2154" s="44" t="s">
        <v>15</v>
      </c>
      <c r="I2154" s="17">
        <v>2831.24</v>
      </c>
      <c r="J2154" s="17">
        <f>IF(Gastos[[#This Row],[Divisa]]="$", I2154*1, IF(Gastos[[#This Row],[Divisa]]="U$D", I2154*$N$1, IF(Gastos[[#This Row],[Divisa]]="EUR", I2154*$N$2, 0)))</f>
        <v>2831.24</v>
      </c>
      <c r="K2154" s="54">
        <f>Gastos[[#This Row],[Importe AR$]]/$N$1</f>
        <v>1.8148974358974357</v>
      </c>
      <c r="L2154" t="s">
        <v>340</v>
      </c>
      <c r="M2154" s="69"/>
      <c r="N2154" s="43" t="str">
        <f>IF(Gastos[[#This Row],[Fecha_Cheque]]&gt;0,WEEKNUM(Gastos[[#This Row],[Fecha_Cheque]]),MID(Gastos[[#This Row],[Semana]],6,2))</f>
        <v>31</v>
      </c>
      <c r="O2154" t="s">
        <v>3897</v>
      </c>
      <c r="P2154" t="s">
        <v>27</v>
      </c>
    </row>
    <row r="2155" spans="1:16" hidden="1" x14ac:dyDescent="0.25">
      <c r="A2155" s="3" t="s">
        <v>4569</v>
      </c>
      <c r="B2155" t="s">
        <v>1314</v>
      </c>
      <c r="C2155" t="s">
        <v>3896</v>
      </c>
      <c r="D2155" t="s">
        <v>26</v>
      </c>
      <c r="E2155" t="s">
        <v>62</v>
      </c>
      <c r="F2155">
        <v>1</v>
      </c>
      <c r="G2155" s="3" t="s">
        <v>5</v>
      </c>
      <c r="H2155" s="44" t="s">
        <v>15</v>
      </c>
      <c r="I2155" s="17">
        <v>498125.56</v>
      </c>
      <c r="J2155" s="17">
        <f>IF(Gastos[[#This Row],[Divisa]]="$", I2155*1, IF(Gastos[[#This Row],[Divisa]]="U$D", I2155*$N$1, IF(Gastos[[#This Row],[Divisa]]="EUR", I2155*$N$2, 0)))</f>
        <v>498125.56</v>
      </c>
      <c r="K2155" s="54">
        <f>Gastos[[#This Row],[Importe AR$]]/$N$1</f>
        <v>319.31125641025642</v>
      </c>
      <c r="M2155" s="69"/>
      <c r="N2155" s="43" t="str">
        <f>IF(Gastos[[#This Row],[Fecha_Cheque]]&gt;0,WEEKNUM(Gastos[[#This Row],[Fecha_Cheque]]),MID(Gastos[[#This Row],[Semana]],6,2))</f>
        <v>43</v>
      </c>
      <c r="O2155" t="s">
        <v>4624</v>
      </c>
      <c r="P2155" t="s">
        <v>27</v>
      </c>
    </row>
    <row r="2156" spans="1:16" hidden="1" x14ac:dyDescent="0.25">
      <c r="A2156" s="3" t="s">
        <v>4569</v>
      </c>
      <c r="B2156" t="s">
        <v>1314</v>
      </c>
      <c r="C2156" t="s">
        <v>3896</v>
      </c>
      <c r="D2156" t="s">
        <v>26</v>
      </c>
      <c r="E2156" t="s">
        <v>62</v>
      </c>
      <c r="F2156">
        <v>1</v>
      </c>
      <c r="G2156" s="3" t="s">
        <v>5</v>
      </c>
      <c r="H2156" s="44" t="s">
        <v>15</v>
      </c>
      <c r="I2156" s="17">
        <v>7005.88</v>
      </c>
      <c r="J2156" s="17">
        <f>IF(Gastos[[#This Row],[Divisa]]="$", I2156*1, IF(Gastos[[#This Row],[Divisa]]="U$D", I2156*$N$1, IF(Gastos[[#This Row],[Divisa]]="EUR", I2156*$N$2, 0)))</f>
        <v>7005.88</v>
      </c>
      <c r="K2156" s="54">
        <f>Gastos[[#This Row],[Importe AR$]]/$N$1</f>
        <v>4.4909487179487177</v>
      </c>
      <c r="L2156" t="s">
        <v>340</v>
      </c>
      <c r="M2156" s="69"/>
      <c r="N2156" s="43" t="str">
        <f>IF(Gastos[[#This Row],[Fecha_Cheque]]&gt;0,WEEKNUM(Gastos[[#This Row],[Fecha_Cheque]]),MID(Gastos[[#This Row],[Semana]],6,2))</f>
        <v>43</v>
      </c>
      <c r="O2156" t="s">
        <v>4624</v>
      </c>
      <c r="P2156" t="s">
        <v>27</v>
      </c>
    </row>
    <row r="2157" spans="1:16" hidden="1" x14ac:dyDescent="0.25">
      <c r="A2157" s="3" t="s">
        <v>232</v>
      </c>
      <c r="B2157" t="s">
        <v>1319</v>
      </c>
      <c r="C2157" t="s">
        <v>1320</v>
      </c>
      <c r="D2157" t="s">
        <v>26</v>
      </c>
      <c r="E2157" t="s">
        <v>42</v>
      </c>
      <c r="F2157">
        <v>2</v>
      </c>
      <c r="G2157" s="3" t="s">
        <v>4</v>
      </c>
      <c r="H2157" s="46" t="s">
        <v>15</v>
      </c>
      <c r="I2157" s="17">
        <v>350000</v>
      </c>
      <c r="J2157" s="17">
        <f>IF(Gastos[[#This Row],[Divisa]]="$", I2157*1, IF(Gastos[[#This Row],[Divisa]]="U$D", I2157*$N$1, IF(Gastos[[#This Row],[Divisa]]="EUR", I2157*$N$2, 0)))</f>
        <v>350000</v>
      </c>
      <c r="K2157" s="54">
        <f>Gastos[[#This Row],[Importe AR$]]/$N$1</f>
        <v>224.35897435897436</v>
      </c>
      <c r="M2157" s="69"/>
      <c r="N2157" s="43" t="str">
        <f>IF(Gastos[[#This Row],[Fecha_Cheque]]&gt;0,WEEKNUM(Gastos[[#This Row],[Fecha_Cheque]]),MID(Gastos[[#This Row],[Semana]],6,2))</f>
        <v>44</v>
      </c>
      <c r="O2157" t="s">
        <v>1321</v>
      </c>
      <c r="P2157" t="s">
        <v>27</v>
      </c>
    </row>
    <row r="2158" spans="1:16" hidden="1" x14ac:dyDescent="0.25">
      <c r="A2158" s="3" t="s">
        <v>217</v>
      </c>
      <c r="B2158" t="s">
        <v>1322</v>
      </c>
      <c r="C2158" t="s">
        <v>1323</v>
      </c>
      <c r="D2158" t="s">
        <v>26</v>
      </c>
      <c r="E2158" t="s">
        <v>31</v>
      </c>
      <c r="F2158">
        <v>2</v>
      </c>
      <c r="G2158" s="3" t="s">
        <v>4</v>
      </c>
      <c r="H2158" s="46" t="s">
        <v>15</v>
      </c>
      <c r="I2158" s="17">
        <v>1000000</v>
      </c>
      <c r="J2158" s="17">
        <f>IF(Gastos[[#This Row],[Divisa]]="$", I2158*1, IF(Gastos[[#This Row],[Divisa]]="U$D", I2158*$N$1, IF(Gastos[[#This Row],[Divisa]]="EUR", I2158*$N$2, 0)))</f>
        <v>1000000</v>
      </c>
      <c r="K2158" s="54">
        <f>Gastos[[#This Row],[Importe AR$]]/$N$1</f>
        <v>641.02564102564099</v>
      </c>
      <c r="M2158" s="69"/>
      <c r="N2158" s="43" t="str">
        <f>IF(Gastos[[#This Row],[Fecha_Cheque]]&gt;0,WEEKNUM(Gastos[[#This Row],[Fecha_Cheque]]),MID(Gastos[[#This Row],[Semana]],6,2))</f>
        <v>30</v>
      </c>
      <c r="O2158" t="s">
        <v>1324</v>
      </c>
      <c r="P2158" t="s">
        <v>27</v>
      </c>
    </row>
    <row r="2159" spans="1:16" hidden="1" x14ac:dyDescent="0.25">
      <c r="A2159" s="3" t="s">
        <v>2726</v>
      </c>
      <c r="B2159" t="s">
        <v>3338</v>
      </c>
      <c r="C2159" t="s">
        <v>3339</v>
      </c>
      <c r="D2159" t="s">
        <v>26</v>
      </c>
      <c r="E2159" t="s">
        <v>31</v>
      </c>
      <c r="F2159">
        <v>1</v>
      </c>
      <c r="G2159" s="3" t="s">
        <v>32</v>
      </c>
      <c r="H2159" s="44" t="s">
        <v>15</v>
      </c>
      <c r="I2159" s="17">
        <v>1779434.82</v>
      </c>
      <c r="J2159" s="17">
        <f>IF(Gastos[[#This Row],[Divisa]]="$", I2159*1, IF(Gastos[[#This Row],[Divisa]]="U$D", I2159*$N$1, IF(Gastos[[#This Row],[Divisa]]="EUR", I2159*$N$2, 0)))</f>
        <v>1779434.82</v>
      </c>
      <c r="K2159" s="54">
        <f>Gastos[[#This Row],[Importe AR$]]/$N$1</f>
        <v>1140.6633461538463</v>
      </c>
      <c r="M2159" s="69">
        <v>46233</v>
      </c>
      <c r="N2159" s="43">
        <f>IF(Gastos[[#This Row],[Fecha_Cheque]]&gt;0,WEEKNUM(Gastos[[#This Row],[Fecha_Cheque]]),MID(Gastos[[#This Row],[Semana]],6,2))</f>
        <v>31</v>
      </c>
      <c r="O2159" t="s">
        <v>3340</v>
      </c>
      <c r="P2159" t="s">
        <v>27</v>
      </c>
    </row>
    <row r="2160" spans="1:16" hidden="1" x14ac:dyDescent="0.25">
      <c r="A2160" s="3" t="s">
        <v>2726</v>
      </c>
      <c r="B2160" t="s">
        <v>3338</v>
      </c>
      <c r="C2160" t="s">
        <v>3339</v>
      </c>
      <c r="D2160" t="s">
        <v>26</v>
      </c>
      <c r="E2160" t="s">
        <v>31</v>
      </c>
      <c r="F2160">
        <v>1</v>
      </c>
      <c r="G2160" s="3" t="s">
        <v>32</v>
      </c>
      <c r="H2160" s="44" t="s">
        <v>15</v>
      </c>
      <c r="I2160" s="17">
        <v>556969.18000000005</v>
      </c>
      <c r="J2160" s="17">
        <f>IF(Gastos[[#This Row],[Divisa]]="$", I2160*1, IF(Gastos[[#This Row],[Divisa]]="U$D", I2160*$N$1, IF(Gastos[[#This Row],[Divisa]]="EUR", I2160*$N$2, 0)))</f>
        <v>556969.18000000005</v>
      </c>
      <c r="K2160" s="54">
        <f>Gastos[[#This Row],[Importe AR$]]/$N$1</f>
        <v>357.03152564102567</v>
      </c>
      <c r="M2160" s="69">
        <v>46228</v>
      </c>
      <c r="N2160" s="43">
        <f>IF(Gastos[[#This Row],[Fecha_Cheque]]&gt;0,WEEKNUM(Gastos[[#This Row],[Fecha_Cheque]]),MID(Gastos[[#This Row],[Semana]],6,2))</f>
        <v>30</v>
      </c>
      <c r="O2160" t="s">
        <v>3340</v>
      </c>
      <c r="P2160" t="s">
        <v>27</v>
      </c>
    </row>
    <row r="2161" spans="1:16" hidden="1" x14ac:dyDescent="0.25">
      <c r="A2161" s="3" t="s">
        <v>2726</v>
      </c>
      <c r="B2161" t="s">
        <v>3338</v>
      </c>
      <c r="C2161" t="s">
        <v>3339</v>
      </c>
      <c r="D2161" t="s">
        <v>26</v>
      </c>
      <c r="E2161" t="s">
        <v>31</v>
      </c>
      <c r="F2161">
        <v>1</v>
      </c>
      <c r="G2161" s="3" t="s">
        <v>32</v>
      </c>
      <c r="H2161" s="44" t="s">
        <v>15</v>
      </c>
      <c r="I2161" s="17">
        <v>34712</v>
      </c>
      <c r="J2161" s="17">
        <f>IF(Gastos[[#This Row],[Divisa]]="$", I2161*1, IF(Gastos[[#This Row],[Divisa]]="U$D", I2161*$N$1, IF(Gastos[[#This Row],[Divisa]]="EUR", I2161*$N$2, 0)))</f>
        <v>34712</v>
      </c>
      <c r="K2161" s="54">
        <f>Gastos[[#This Row],[Importe AR$]]/$N$1</f>
        <v>22.25128205128205</v>
      </c>
      <c r="L2161" t="s">
        <v>340</v>
      </c>
      <c r="M2161" s="69"/>
      <c r="N2161" s="43" t="str">
        <f>IF(Gastos[[#This Row],[Fecha_Cheque]]&gt;0,WEEKNUM(Gastos[[#This Row],[Fecha_Cheque]]),MID(Gastos[[#This Row],[Semana]],6,2))</f>
        <v>24</v>
      </c>
      <c r="O2161" t="s">
        <v>3340</v>
      </c>
      <c r="P2161" t="s">
        <v>27</v>
      </c>
    </row>
    <row r="2162" spans="1:16" hidden="1" x14ac:dyDescent="0.25">
      <c r="A2162" s="3" t="s">
        <v>75</v>
      </c>
      <c r="B2162" t="s">
        <v>1325</v>
      </c>
      <c r="C2162" t="s">
        <v>1326</v>
      </c>
      <c r="D2162" t="s">
        <v>26</v>
      </c>
      <c r="E2162" t="s">
        <v>31</v>
      </c>
      <c r="F2162">
        <v>1</v>
      </c>
      <c r="G2162" s="3" t="s">
        <v>32</v>
      </c>
      <c r="H2162" s="46" t="s">
        <v>15</v>
      </c>
      <c r="I2162" s="17">
        <v>3226256.6</v>
      </c>
      <c r="J2162" s="17">
        <f>IF(Gastos[[#This Row],[Divisa]]="$", I2162*1, IF(Gastos[[#This Row],[Divisa]]="U$D", I2162*$N$1, IF(Gastos[[#This Row],[Divisa]]="EUR", I2162*$N$2, 0)))</f>
        <v>3226256.6</v>
      </c>
      <c r="K2162" s="54">
        <f>Gastos[[#This Row],[Importe AR$]]/$N$1</f>
        <v>2068.1132051282052</v>
      </c>
      <c r="M2162" s="69">
        <v>46111</v>
      </c>
      <c r="N2162" s="43">
        <f>IF(Gastos[[#This Row],[Fecha_Cheque]]&gt;0,WEEKNUM(Gastos[[#This Row],[Fecha_Cheque]]),MID(Gastos[[#This Row],[Semana]],6,2))</f>
        <v>14</v>
      </c>
      <c r="O2162" t="s">
        <v>1327</v>
      </c>
      <c r="P2162" t="s">
        <v>27</v>
      </c>
    </row>
    <row r="2163" spans="1:16" hidden="1" x14ac:dyDescent="0.25">
      <c r="A2163" s="3" t="s">
        <v>4074</v>
      </c>
      <c r="B2163" t="s">
        <v>4103</v>
      </c>
      <c r="C2163" t="s">
        <v>1948</v>
      </c>
      <c r="D2163" t="s">
        <v>26</v>
      </c>
      <c r="E2163" t="s">
        <v>42</v>
      </c>
      <c r="F2163">
        <v>1</v>
      </c>
      <c r="G2163" s="3" t="s">
        <v>4</v>
      </c>
      <c r="H2163" s="44" t="s">
        <v>15</v>
      </c>
      <c r="I2163" s="17">
        <v>3200</v>
      </c>
      <c r="J2163" s="17">
        <f>IF(Gastos[[#This Row],[Divisa]]="$", I2163*1, IF(Gastos[[#This Row],[Divisa]]="U$D", I2163*$N$1, IF(Gastos[[#This Row],[Divisa]]="EUR", I2163*$N$2, 0)))</f>
        <v>3200</v>
      </c>
      <c r="K2163" s="54">
        <f>Gastos[[#This Row],[Importe AR$]]/$N$1</f>
        <v>2.0512820512820511</v>
      </c>
      <c r="M2163" s="69"/>
      <c r="N2163" s="43" t="str">
        <f>IF(Gastos[[#This Row],[Fecha_Cheque]]&gt;0,WEEKNUM(Gastos[[#This Row],[Fecha_Cheque]]),MID(Gastos[[#This Row],[Semana]],6,2))</f>
        <v>34</v>
      </c>
      <c r="O2163" t="s">
        <v>4104</v>
      </c>
      <c r="P2163" t="s">
        <v>27</v>
      </c>
    </row>
    <row r="2164" spans="1:16" hidden="1" x14ac:dyDescent="0.25">
      <c r="A2164" s="3" t="s">
        <v>188</v>
      </c>
      <c r="B2164" t="s">
        <v>1328</v>
      </c>
      <c r="C2164" t="s">
        <v>167</v>
      </c>
      <c r="D2164" t="s">
        <v>26</v>
      </c>
      <c r="E2164" t="s">
        <v>31</v>
      </c>
      <c r="F2164">
        <v>1</v>
      </c>
      <c r="G2164" s="3" t="s">
        <v>5</v>
      </c>
      <c r="H2164" s="46" t="s">
        <v>15</v>
      </c>
      <c r="I2164" s="17">
        <v>16664480</v>
      </c>
      <c r="J2164" s="17">
        <f>IF(Gastos[[#This Row],[Divisa]]="$", I2164*1, IF(Gastos[[#This Row],[Divisa]]="U$D", I2164*$N$1, IF(Gastos[[#This Row],[Divisa]]="EUR", I2164*$N$2, 0)))</f>
        <v>16664480</v>
      </c>
      <c r="K2164" s="54">
        <f>Gastos[[#This Row],[Importe AR$]]/$N$1</f>
        <v>10682.358974358975</v>
      </c>
      <c r="M2164" s="69"/>
      <c r="N2164" s="43" t="str">
        <f>IF(Gastos[[#This Row],[Fecha_Cheque]]&gt;0,WEEKNUM(Gastos[[#This Row],[Fecha_Cheque]]),MID(Gastos[[#This Row],[Semana]],6,2))</f>
        <v>19</v>
      </c>
      <c r="O2164" t="s">
        <v>1329</v>
      </c>
      <c r="P2164" t="s">
        <v>27</v>
      </c>
    </row>
    <row r="2165" spans="1:16" hidden="1" x14ac:dyDescent="0.25">
      <c r="A2165" s="3" t="s">
        <v>23</v>
      </c>
      <c r="B2165" t="s">
        <v>1328</v>
      </c>
      <c r="C2165" t="s">
        <v>1330</v>
      </c>
      <c r="D2165" t="s">
        <v>97</v>
      </c>
      <c r="E2165" t="s">
        <v>132</v>
      </c>
      <c r="F2165">
        <v>1</v>
      </c>
      <c r="G2165" s="3" t="s">
        <v>5</v>
      </c>
      <c r="H2165" s="46" t="s">
        <v>15</v>
      </c>
      <c r="I2165" s="17">
        <f>20490.72*1178.5</f>
        <v>24148313.52</v>
      </c>
      <c r="J2165" s="17">
        <f>IF(Gastos[[#This Row],[Divisa]]="$", I2165*1, IF(Gastos[[#This Row],[Divisa]]="U$D", I2165*$N$1, IF(Gastos[[#This Row],[Divisa]]="EUR", I2165*$N$2, 0)))</f>
        <v>24148313.52</v>
      </c>
      <c r="K2165" s="54">
        <f>Gastos[[#This Row],[Importe AR$]]/$N$1</f>
        <v>15479.688153846153</v>
      </c>
      <c r="M2165" s="69"/>
      <c r="N2165" s="43" t="str">
        <f>IF(Gastos[[#This Row],[Fecha_Cheque]]&gt;0,WEEKNUM(Gastos[[#This Row],[Fecha_Cheque]]),MID(Gastos[[#This Row],[Semana]],6,2))</f>
        <v>22</v>
      </c>
      <c r="O2165" t="s">
        <v>1331</v>
      </c>
      <c r="P2165" t="s">
        <v>27</v>
      </c>
    </row>
    <row r="2166" spans="1:16" hidden="1" x14ac:dyDescent="0.25">
      <c r="A2166" s="3" t="s">
        <v>105</v>
      </c>
      <c r="B2166" t="s">
        <v>1328</v>
      </c>
      <c r="C2166" t="s">
        <v>735</v>
      </c>
      <c r="D2166" t="s">
        <v>26</v>
      </c>
      <c r="E2166" t="s">
        <v>132</v>
      </c>
      <c r="F2166">
        <v>1</v>
      </c>
      <c r="G2166" s="3" t="s">
        <v>5</v>
      </c>
      <c r="H2166" s="46" t="s">
        <v>15</v>
      </c>
      <c r="I2166" s="17">
        <v>10000000</v>
      </c>
      <c r="J2166" s="17">
        <f>IF(Gastos[[#This Row],[Divisa]]="$", I2166*1, IF(Gastos[[#This Row],[Divisa]]="U$D", I2166*$N$1, IF(Gastos[[#This Row],[Divisa]]="EUR", I2166*$N$2, 0)))</f>
        <v>10000000</v>
      </c>
      <c r="K2166" s="54">
        <f>Gastos[[#This Row],[Importe AR$]]/$N$1</f>
        <v>6410.2564102564102</v>
      </c>
      <c r="M2166" s="69"/>
      <c r="N2166" s="43" t="str">
        <f>IF(Gastos[[#This Row],[Fecha_Cheque]]&gt;0,WEEKNUM(Gastos[[#This Row],[Fecha_Cheque]]),MID(Gastos[[#This Row],[Semana]],6,2))</f>
        <v>27</v>
      </c>
      <c r="O2166" t="s">
        <v>1332</v>
      </c>
      <c r="P2166" t="s">
        <v>27</v>
      </c>
    </row>
    <row r="2167" spans="1:16" hidden="1" x14ac:dyDescent="0.25">
      <c r="A2167" s="3" t="s">
        <v>105</v>
      </c>
      <c r="B2167" t="s">
        <v>1328</v>
      </c>
      <c r="C2167" t="s">
        <v>106</v>
      </c>
      <c r="D2167" t="s">
        <v>26</v>
      </c>
      <c r="E2167" t="s">
        <v>132</v>
      </c>
      <c r="F2167">
        <v>1</v>
      </c>
      <c r="G2167" s="3" t="s">
        <v>5</v>
      </c>
      <c r="H2167" s="46" t="s">
        <v>15</v>
      </c>
      <c r="I2167" s="17">
        <v>10000000</v>
      </c>
      <c r="J2167" s="17">
        <f>IF(Gastos[[#This Row],[Divisa]]="$", I2167*1, IF(Gastos[[#This Row],[Divisa]]="U$D", I2167*$N$1, IF(Gastos[[#This Row],[Divisa]]="EUR", I2167*$N$2, 0)))</f>
        <v>10000000</v>
      </c>
      <c r="K2167" s="54">
        <f>Gastos[[#This Row],[Importe AR$]]/$N$1</f>
        <v>6410.2564102564102</v>
      </c>
      <c r="M2167" s="69"/>
      <c r="N2167" s="43" t="str">
        <f>IF(Gastos[[#This Row],[Fecha_Cheque]]&gt;0,WEEKNUM(Gastos[[#This Row],[Fecha_Cheque]]),MID(Gastos[[#This Row],[Semana]],6,2))</f>
        <v>27</v>
      </c>
      <c r="P2167" t="s">
        <v>27</v>
      </c>
    </row>
    <row r="2168" spans="1:16" hidden="1" x14ac:dyDescent="0.25">
      <c r="A2168" s="3" t="s">
        <v>99</v>
      </c>
      <c r="B2168" t="s">
        <v>1328</v>
      </c>
      <c r="C2168" t="s">
        <v>115</v>
      </c>
      <c r="D2168" t="s">
        <v>61</v>
      </c>
      <c r="E2168" t="s">
        <v>132</v>
      </c>
      <c r="F2168">
        <v>1</v>
      </c>
      <c r="G2168" s="3" t="s">
        <v>5</v>
      </c>
      <c r="H2168" s="46" t="s">
        <v>15</v>
      </c>
      <c r="I2168" s="17">
        <v>6000000</v>
      </c>
      <c r="J2168" s="17">
        <f>IF(Gastos[[#This Row],[Divisa]]="$", I2168*1, IF(Gastos[[#This Row],[Divisa]]="U$D", I2168*$N$1, IF(Gastos[[#This Row],[Divisa]]="EUR", I2168*$N$2, 0)))</f>
        <v>6000000</v>
      </c>
      <c r="K2168" s="54">
        <f>Gastos[[#This Row],[Importe AR$]]/$N$1</f>
        <v>3846.1538461538462</v>
      </c>
      <c r="M2168" s="69"/>
      <c r="N2168" s="43" t="str">
        <f>IF(Gastos[[#This Row],[Fecha_Cheque]]&gt;0,WEEKNUM(Gastos[[#This Row],[Fecha_Cheque]]),MID(Gastos[[#This Row],[Semana]],6,2))</f>
        <v>28</v>
      </c>
      <c r="O2168" t="s">
        <v>1333</v>
      </c>
      <c r="P2168" t="s">
        <v>27</v>
      </c>
    </row>
    <row r="2169" spans="1:16" hidden="1" x14ac:dyDescent="0.25">
      <c r="A2169" s="3" t="s">
        <v>34</v>
      </c>
      <c r="B2169" t="s">
        <v>1328</v>
      </c>
      <c r="C2169" t="s">
        <v>106</v>
      </c>
      <c r="D2169" t="s">
        <v>26</v>
      </c>
      <c r="E2169" t="s">
        <v>132</v>
      </c>
      <c r="F2169">
        <v>1</v>
      </c>
      <c r="G2169" s="3" t="s">
        <v>5</v>
      </c>
      <c r="H2169" s="46" t="s">
        <v>15</v>
      </c>
      <c r="I2169" s="17">
        <v>9804480</v>
      </c>
      <c r="J2169" s="17">
        <f>IF(Gastos[[#This Row],[Divisa]]="$", I2169*1, IF(Gastos[[#This Row],[Divisa]]="U$D", I2169*$N$1, IF(Gastos[[#This Row],[Divisa]]="EUR", I2169*$N$2, 0)))</f>
        <v>9804480</v>
      </c>
      <c r="K2169" s="54">
        <f>Gastos[[#This Row],[Importe AR$]]/$N$1</f>
        <v>6284.9230769230771</v>
      </c>
      <c r="M2169" s="69"/>
      <c r="N2169" s="43" t="str">
        <f>IF(Gastos[[#This Row],[Fecha_Cheque]]&gt;0,WEEKNUM(Gastos[[#This Row],[Fecha_Cheque]]),MID(Gastos[[#This Row],[Semana]],6,2))</f>
        <v>32</v>
      </c>
      <c r="O2169" t="s">
        <v>123</v>
      </c>
      <c r="P2169" t="s">
        <v>27</v>
      </c>
    </row>
    <row r="2170" spans="1:16" hidden="1" x14ac:dyDescent="0.25">
      <c r="A2170" s="3" t="s">
        <v>310</v>
      </c>
      <c r="B2170" t="s">
        <v>1328</v>
      </c>
      <c r="C2170" t="s">
        <v>118</v>
      </c>
      <c r="D2170" t="s">
        <v>26</v>
      </c>
      <c r="E2170" t="s">
        <v>132</v>
      </c>
      <c r="F2170">
        <v>1</v>
      </c>
      <c r="G2170" s="3" t="s">
        <v>5</v>
      </c>
      <c r="H2170" s="46" t="s">
        <v>15</v>
      </c>
      <c r="I2170" s="17">
        <v>9804480</v>
      </c>
      <c r="J2170" s="17">
        <f>IF(Gastos[[#This Row],[Divisa]]="$", I2170*1, IF(Gastos[[#This Row],[Divisa]]="U$D", I2170*$N$1, IF(Gastos[[#This Row],[Divisa]]="EUR", I2170*$N$2, 0)))</f>
        <v>9804480</v>
      </c>
      <c r="K2170" s="54">
        <f>Gastos[[#This Row],[Importe AR$]]/$N$1</f>
        <v>6284.9230769230771</v>
      </c>
      <c r="M2170" s="69"/>
      <c r="N2170" s="43" t="str">
        <f>IF(Gastos[[#This Row],[Fecha_Cheque]]&gt;0,WEEKNUM(Gastos[[#This Row],[Fecha_Cheque]]),MID(Gastos[[#This Row],[Semana]],6,2))</f>
        <v>36</v>
      </c>
      <c r="O2170" t="s">
        <v>1334</v>
      </c>
      <c r="P2170" t="s">
        <v>27</v>
      </c>
    </row>
    <row r="2171" spans="1:16" hidden="1" x14ac:dyDescent="0.25">
      <c r="A2171" s="3" t="s">
        <v>210</v>
      </c>
      <c r="B2171" t="s">
        <v>1328</v>
      </c>
      <c r="C2171" t="s">
        <v>1335</v>
      </c>
      <c r="D2171" t="s">
        <v>26</v>
      </c>
      <c r="E2171" t="s">
        <v>132</v>
      </c>
      <c r="F2171">
        <v>1</v>
      </c>
      <c r="G2171" s="3" t="s">
        <v>5</v>
      </c>
      <c r="H2171" s="46" t="s">
        <v>15</v>
      </c>
      <c r="I2171" s="17">
        <v>9800000</v>
      </c>
      <c r="J2171" s="17">
        <f>IF(Gastos[[#This Row],[Divisa]]="$", I2171*1, IF(Gastos[[#This Row],[Divisa]]="U$D", I2171*$N$1, IF(Gastos[[#This Row],[Divisa]]="EUR", I2171*$N$2, 0)))</f>
        <v>9800000</v>
      </c>
      <c r="K2171" s="54">
        <f>Gastos[[#This Row],[Importe AR$]]/$N$1</f>
        <v>6282.0512820512822</v>
      </c>
      <c r="M2171" s="69"/>
      <c r="N2171" s="43" t="str">
        <f>IF(Gastos[[#This Row],[Fecha_Cheque]]&gt;0,WEEKNUM(Gastos[[#This Row],[Fecha_Cheque]]),MID(Gastos[[#This Row],[Semana]],6,2))</f>
        <v>37</v>
      </c>
      <c r="O2171" t="s">
        <v>1336</v>
      </c>
      <c r="P2171" t="s">
        <v>27</v>
      </c>
    </row>
    <row r="2172" spans="1:16" hidden="1" x14ac:dyDescent="0.25">
      <c r="A2172" s="3" t="s">
        <v>122</v>
      </c>
      <c r="B2172" t="s">
        <v>1328</v>
      </c>
      <c r="C2172" t="s">
        <v>1335</v>
      </c>
      <c r="D2172" t="s">
        <v>26</v>
      </c>
      <c r="E2172" t="s">
        <v>132</v>
      </c>
      <c r="F2172">
        <v>1</v>
      </c>
      <c r="G2172" s="3" t="s">
        <v>5</v>
      </c>
      <c r="H2172" s="46" t="s">
        <v>15</v>
      </c>
      <c r="I2172" s="17">
        <v>2944480</v>
      </c>
      <c r="J2172" s="17">
        <f>IF(Gastos[[#This Row],[Divisa]]="$", I2172*1, IF(Gastos[[#This Row],[Divisa]]="U$D", I2172*$N$1, IF(Gastos[[#This Row],[Divisa]]="EUR", I2172*$N$2, 0)))</f>
        <v>2944480</v>
      </c>
      <c r="K2172" s="54">
        <f>Gastos[[#This Row],[Importe AR$]]/$N$1</f>
        <v>1887.4871794871794</v>
      </c>
      <c r="M2172" s="69"/>
      <c r="N2172" s="43" t="str">
        <f>IF(Gastos[[#This Row],[Fecha_Cheque]]&gt;0,WEEKNUM(Gastos[[#This Row],[Fecha_Cheque]]),MID(Gastos[[#This Row],[Semana]],6,2))</f>
        <v>40</v>
      </c>
      <c r="O2172" t="s">
        <v>1337</v>
      </c>
      <c r="P2172" t="s">
        <v>27</v>
      </c>
    </row>
    <row r="2173" spans="1:16" hidden="1" x14ac:dyDescent="0.25">
      <c r="A2173" s="3" t="s">
        <v>56</v>
      </c>
      <c r="B2173" t="s">
        <v>1328</v>
      </c>
      <c r="C2173" t="s">
        <v>118</v>
      </c>
      <c r="D2173" t="s">
        <v>26</v>
      </c>
      <c r="E2173" t="s">
        <v>132</v>
      </c>
      <c r="F2173">
        <v>1</v>
      </c>
      <c r="G2173" s="3" t="s">
        <v>5</v>
      </c>
      <c r="H2173" s="46" t="s">
        <v>15</v>
      </c>
      <c r="I2173" s="17">
        <v>2940000</v>
      </c>
      <c r="J2173" s="17">
        <f>IF(Gastos[[#This Row],[Divisa]]="$", I2173*1, IF(Gastos[[#This Row],[Divisa]]="U$D", I2173*$N$1, IF(Gastos[[#This Row],[Divisa]]="EUR", I2173*$N$2, 0)))</f>
        <v>2940000</v>
      </c>
      <c r="K2173" s="54">
        <f>Gastos[[#This Row],[Importe AR$]]/$N$1</f>
        <v>1884.6153846153845</v>
      </c>
      <c r="M2173" s="69"/>
      <c r="N2173" s="43" t="str">
        <f>IF(Gastos[[#This Row],[Fecha_Cheque]]&gt;0,WEEKNUM(Gastos[[#This Row],[Fecha_Cheque]]),MID(Gastos[[#This Row],[Semana]],6,2))</f>
        <v>41</v>
      </c>
      <c r="O2173" t="s">
        <v>1338</v>
      </c>
      <c r="P2173" t="s">
        <v>27</v>
      </c>
    </row>
    <row r="2174" spans="1:16" hidden="1" x14ac:dyDescent="0.25">
      <c r="A2174" s="3" t="s">
        <v>128</v>
      </c>
      <c r="B2174" t="s">
        <v>1328</v>
      </c>
      <c r="C2174" t="s">
        <v>118</v>
      </c>
      <c r="D2174" t="s">
        <v>26</v>
      </c>
      <c r="E2174" t="s">
        <v>132</v>
      </c>
      <c r="F2174">
        <v>1</v>
      </c>
      <c r="G2174" s="3" t="s">
        <v>5</v>
      </c>
      <c r="H2174" s="46" t="s">
        <v>15</v>
      </c>
      <c r="I2174" s="17">
        <f>(11000*1)*1450</f>
        <v>15950000</v>
      </c>
      <c r="J2174" s="17">
        <f>IF(Gastos[[#This Row],[Divisa]]="$", I2174*1, IF(Gastos[[#This Row],[Divisa]]="U$D", I2174*$N$1, IF(Gastos[[#This Row],[Divisa]]="EUR", I2174*$N$2, 0)))</f>
        <v>15950000</v>
      </c>
      <c r="K2174" s="54">
        <f>Gastos[[#This Row],[Importe AR$]]/$N$1</f>
        <v>10224.358974358975</v>
      </c>
      <c r="M2174" s="69"/>
      <c r="N2174" s="43" t="str">
        <f>IF(Gastos[[#This Row],[Fecha_Cheque]]&gt;0,WEEKNUM(Gastos[[#This Row],[Fecha_Cheque]]),MID(Gastos[[#This Row],[Semana]],6,2))</f>
        <v>43</v>
      </c>
      <c r="O2174" t="s">
        <v>1339</v>
      </c>
      <c r="P2174" t="s">
        <v>27</v>
      </c>
    </row>
    <row r="2175" spans="1:16" hidden="1" x14ac:dyDescent="0.25">
      <c r="A2175" s="3" t="s">
        <v>81</v>
      </c>
      <c r="B2175" t="s">
        <v>1328</v>
      </c>
      <c r="C2175" t="s">
        <v>118</v>
      </c>
      <c r="D2175" t="s">
        <v>26</v>
      </c>
      <c r="E2175" t="s">
        <v>132</v>
      </c>
      <c r="F2175">
        <v>1</v>
      </c>
      <c r="G2175" s="3" t="s">
        <v>5</v>
      </c>
      <c r="H2175" s="46" t="s">
        <v>15</v>
      </c>
      <c r="I2175" s="17">
        <v>7844480</v>
      </c>
      <c r="J2175" s="17">
        <f>IF(Gastos[[#This Row],[Divisa]]="$", I2175*1, IF(Gastos[[#This Row],[Divisa]]="U$D", I2175*$N$1, IF(Gastos[[#This Row],[Divisa]]="EUR", I2175*$N$2, 0)))</f>
        <v>7844480</v>
      </c>
      <c r="K2175" s="54">
        <f>Gastos[[#This Row],[Importe AR$]]/$N$1</f>
        <v>5028.5128205128203</v>
      </c>
      <c r="L2175" s="8"/>
      <c r="M2175" s="69"/>
      <c r="N2175" s="43" t="str">
        <f>IF(Gastos[[#This Row],[Fecha_Cheque]]&gt;0,WEEKNUM(Gastos[[#This Row],[Fecha_Cheque]]),MID(Gastos[[#This Row],[Semana]],6,2))</f>
        <v>49</v>
      </c>
      <c r="O2175" t="s">
        <v>1340</v>
      </c>
      <c r="P2175" t="s">
        <v>27</v>
      </c>
    </row>
    <row r="2176" spans="1:16" hidden="1" x14ac:dyDescent="0.25">
      <c r="A2176" s="3" t="s">
        <v>68</v>
      </c>
      <c r="B2176" t="s">
        <v>1328</v>
      </c>
      <c r="C2176" t="s">
        <v>118</v>
      </c>
      <c r="D2176" t="s">
        <v>26</v>
      </c>
      <c r="E2176" t="s">
        <v>132</v>
      </c>
      <c r="F2176">
        <v>1</v>
      </c>
      <c r="G2176" s="3" t="s">
        <v>5</v>
      </c>
      <c r="H2176" s="46" t="s">
        <v>15</v>
      </c>
      <c r="I2176" s="17">
        <v>7500000</v>
      </c>
      <c r="J2176" s="17">
        <f>IF(Gastos[[#This Row],[Divisa]]="$", I2176*1, IF(Gastos[[#This Row],[Divisa]]="U$D", I2176*$N$1, IF(Gastos[[#This Row],[Divisa]]="EUR", I2176*$N$2, 0)))</f>
        <v>7500000</v>
      </c>
      <c r="K2176" s="54">
        <f>Gastos[[#This Row],[Importe AR$]]/$N$1</f>
        <v>4807.6923076923076</v>
      </c>
      <c r="L2176" s="8"/>
      <c r="M2176" s="69"/>
      <c r="N2176" s="43" t="str">
        <f>IF(Gastos[[#This Row],[Fecha_Cheque]]&gt;0,WEEKNUM(Gastos[[#This Row],[Fecha_Cheque]]),MID(Gastos[[#This Row],[Semana]],6,2))</f>
        <v>05</v>
      </c>
      <c r="O2176" t="s">
        <v>1341</v>
      </c>
      <c r="P2176" t="s">
        <v>27</v>
      </c>
    </row>
    <row r="2177" spans="1:16" hidden="1" x14ac:dyDescent="0.25">
      <c r="A2177" s="3" t="s">
        <v>206</v>
      </c>
      <c r="B2177" t="s">
        <v>1328</v>
      </c>
      <c r="C2177" t="s">
        <v>118</v>
      </c>
      <c r="D2177" t="s">
        <v>26</v>
      </c>
      <c r="E2177" t="s">
        <v>132</v>
      </c>
      <c r="F2177">
        <v>1</v>
      </c>
      <c r="G2177" s="3" t="s">
        <v>5</v>
      </c>
      <c r="H2177" s="46" t="s">
        <v>15</v>
      </c>
      <c r="I2177" s="17">
        <v>14091980</v>
      </c>
      <c r="J2177" s="17">
        <f>IF(Gastos[[#This Row],[Divisa]]="$", I2177*1, IF(Gastos[[#This Row],[Divisa]]="U$D", I2177*$N$1, IF(Gastos[[#This Row],[Divisa]]="EUR", I2177*$N$2, 0)))</f>
        <v>14091980</v>
      </c>
      <c r="K2177" s="54">
        <f>Gastos[[#This Row],[Importe AR$]]/$N$1</f>
        <v>9033.3205128205136</v>
      </c>
      <c r="L2177" s="8"/>
      <c r="M2177" s="69"/>
      <c r="N2177" s="43" t="str">
        <f>IF(Gastos[[#This Row],[Fecha_Cheque]]&gt;0,WEEKNUM(Gastos[[#This Row],[Fecha_Cheque]]),MID(Gastos[[#This Row],[Semana]],6,2))</f>
        <v>06</v>
      </c>
      <c r="O2177" t="s">
        <v>1342</v>
      </c>
      <c r="P2177" t="s">
        <v>27</v>
      </c>
    </row>
    <row r="2178" spans="1:16" hidden="1" x14ac:dyDescent="0.25">
      <c r="A2178" s="3" t="s">
        <v>139</v>
      </c>
      <c r="B2178" t="s">
        <v>1328</v>
      </c>
      <c r="C2178" t="s">
        <v>118</v>
      </c>
      <c r="D2178" t="s">
        <v>26</v>
      </c>
      <c r="E2178" t="s">
        <v>132</v>
      </c>
      <c r="F2178">
        <v>1</v>
      </c>
      <c r="G2178" s="3" t="s">
        <v>5</v>
      </c>
      <c r="H2178" s="46" t="s">
        <v>15</v>
      </c>
      <c r="I2178" s="17">
        <v>11076000</v>
      </c>
      <c r="J2178" s="17">
        <f>IF(Gastos[[#This Row],[Divisa]]="$", I2178*1, IF(Gastos[[#This Row],[Divisa]]="U$D", I2178*$N$1, IF(Gastos[[#This Row],[Divisa]]="EUR", I2178*$N$2, 0)))</f>
        <v>11076000</v>
      </c>
      <c r="K2178" s="54">
        <f>Gastos[[#This Row],[Importe AR$]]/$N$1</f>
        <v>7100</v>
      </c>
      <c r="L2178" s="8"/>
      <c r="M2178" s="69"/>
      <c r="N2178" s="43" t="str">
        <f>IF(Gastos[[#This Row],[Fecha_Cheque]]&gt;0,WEEKNUM(Gastos[[#This Row],[Fecha_Cheque]]),MID(Gastos[[#This Row],[Semana]],6,2))</f>
        <v>08</v>
      </c>
      <c r="O2178" t="s">
        <v>1346</v>
      </c>
      <c r="P2178" t="s">
        <v>27</v>
      </c>
    </row>
    <row r="2179" spans="1:16" hidden="1" x14ac:dyDescent="0.25">
      <c r="A2179" s="3" t="s">
        <v>619</v>
      </c>
      <c r="B2179" t="s">
        <v>1328</v>
      </c>
      <c r="C2179" t="s">
        <v>118</v>
      </c>
      <c r="D2179" t="s">
        <v>26</v>
      </c>
      <c r="E2179" t="s">
        <v>132</v>
      </c>
      <c r="F2179">
        <v>1</v>
      </c>
      <c r="G2179" s="3" t="s">
        <v>5</v>
      </c>
      <c r="H2179" s="44" t="s">
        <v>15</v>
      </c>
      <c r="I2179" s="17">
        <v>14000000</v>
      </c>
      <c r="J2179" s="17">
        <f>IF(Gastos[[#This Row],[Divisa]]="$", I2179*1, IF(Gastos[[#This Row],[Divisa]]="U$D", I2179*$N$1, IF(Gastos[[#This Row],[Divisa]]="EUR", I2179*$N$2, 0)))</f>
        <v>14000000</v>
      </c>
      <c r="K2179" s="54">
        <f>Gastos[[#This Row],[Importe AR$]]/$N$1</f>
        <v>8974.3589743589746</v>
      </c>
      <c r="L2179" s="8"/>
      <c r="M2179" s="69"/>
      <c r="N2179" s="43" t="str">
        <f>IF(Gastos[[#This Row],[Fecha_Cheque]]&gt;0,WEEKNUM(Gastos[[#This Row],[Fecha_Cheque]]),MID(Gastos[[#This Row],[Semana]],6,2))</f>
        <v>10</v>
      </c>
      <c r="O2179" t="s">
        <v>1934</v>
      </c>
      <c r="P2179" t="s">
        <v>27</v>
      </c>
    </row>
    <row r="2180" spans="1:16" hidden="1" x14ac:dyDescent="0.25">
      <c r="A2180" s="3" t="s">
        <v>397</v>
      </c>
      <c r="B2180" t="s">
        <v>1328</v>
      </c>
      <c r="C2180" t="s">
        <v>118</v>
      </c>
      <c r="D2180" t="s">
        <v>26</v>
      </c>
      <c r="E2180" t="s">
        <v>132</v>
      </c>
      <c r="F2180">
        <v>1</v>
      </c>
      <c r="G2180" s="3" t="s">
        <v>32</v>
      </c>
      <c r="H2180" s="44" t="s">
        <v>15</v>
      </c>
      <c r="I2180" s="17">
        <v>1222975</v>
      </c>
      <c r="J2180" s="17">
        <f>IF(Gastos[[#This Row],[Divisa]]="$", I2180*1, IF(Gastos[[#This Row],[Divisa]]="U$D", I2180*$N$1, IF(Gastos[[#This Row],[Divisa]]="EUR", I2180*$N$2, 0)))</f>
        <v>1222975</v>
      </c>
      <c r="K2180" s="54">
        <f>Gastos[[#This Row],[Importe AR$]]/$N$1</f>
        <v>783.95833333333337</v>
      </c>
      <c r="M2180" s="69">
        <v>46073</v>
      </c>
      <c r="N2180" s="43">
        <f>IF(Gastos[[#This Row],[Fecha_Cheque]]&gt;0,WEEKNUM(Gastos[[#This Row],[Fecha_Cheque]]),MID(Gastos[[#This Row],[Semana]],6,2))</f>
        <v>8</v>
      </c>
      <c r="O2180" t="s">
        <v>2095</v>
      </c>
      <c r="P2180" t="s">
        <v>27</v>
      </c>
    </row>
    <row r="2181" spans="1:16" hidden="1" x14ac:dyDescent="0.25">
      <c r="A2181" s="3" t="s">
        <v>397</v>
      </c>
      <c r="B2181" t="s">
        <v>1328</v>
      </c>
      <c r="C2181" t="s">
        <v>118</v>
      </c>
      <c r="D2181" t="s">
        <v>26</v>
      </c>
      <c r="E2181" t="s">
        <v>132</v>
      </c>
      <c r="F2181">
        <v>1</v>
      </c>
      <c r="G2181" s="3" t="s">
        <v>32</v>
      </c>
      <c r="H2181" s="44" t="s">
        <v>15</v>
      </c>
      <c r="I2181" s="17">
        <v>4200000</v>
      </c>
      <c r="J2181" s="17">
        <f>IF(Gastos[[#This Row],[Divisa]]="$", I2181*1, IF(Gastos[[#This Row],[Divisa]]="U$D", I2181*$N$1, IF(Gastos[[#This Row],[Divisa]]="EUR", I2181*$N$2, 0)))</f>
        <v>4200000</v>
      </c>
      <c r="K2181" s="54">
        <f>Gastos[[#This Row],[Importe AR$]]/$N$1</f>
        <v>2692.3076923076924</v>
      </c>
      <c r="M2181" s="69">
        <v>46073</v>
      </c>
      <c r="N2181" s="43">
        <f>IF(Gastos[[#This Row],[Fecha_Cheque]]&gt;0,WEEKNUM(Gastos[[#This Row],[Fecha_Cheque]]),MID(Gastos[[#This Row],[Semana]],6,2))</f>
        <v>8</v>
      </c>
      <c r="O2181" t="s">
        <v>2095</v>
      </c>
      <c r="P2181" t="s">
        <v>27</v>
      </c>
    </row>
    <row r="2182" spans="1:16" x14ac:dyDescent="0.25">
      <c r="A2182" s="3" t="s">
        <v>4655</v>
      </c>
      <c r="B2182" t="s">
        <v>1163</v>
      </c>
      <c r="C2182" t="s">
        <v>2630</v>
      </c>
      <c r="D2182" t="s">
        <v>26</v>
      </c>
      <c r="E2182" t="s">
        <v>62</v>
      </c>
      <c r="F2182">
        <v>2</v>
      </c>
      <c r="G2182" s="3" t="s">
        <v>32</v>
      </c>
      <c r="H2182" s="46" t="s">
        <v>15</v>
      </c>
      <c r="I2182" s="17">
        <v>162040</v>
      </c>
      <c r="J2182" s="17">
        <f>IF(Gastos[[#This Row],[Divisa]]="$", I2182*1, IF(Gastos[[#This Row],[Divisa]]="U$D", I2182*$N$1, IF(Gastos[[#This Row],[Divisa]]="EUR", I2182*$N$2, 0)))</f>
        <v>162040</v>
      </c>
      <c r="K2182" s="54">
        <f>Gastos[[#This Row],[Importe AR$]]/$N$1</f>
        <v>103.87179487179488</v>
      </c>
      <c r="M2182" s="69"/>
      <c r="N2182" s="43" t="str">
        <f>IF(Gastos[[#This Row],[Fecha_Cheque]]&gt;0,WEEKNUM(Gastos[[#This Row],[Fecha_Cheque]]),MID(Gastos[[#This Row],[Semana]],6,2))</f>
        <v>44</v>
      </c>
    </row>
    <row r="2183" spans="1:16" hidden="1" x14ac:dyDescent="0.25">
      <c r="A2183" s="3" t="s">
        <v>4074</v>
      </c>
      <c r="B2183" t="s">
        <v>4090</v>
      </c>
      <c r="C2183" t="s">
        <v>4091</v>
      </c>
      <c r="D2183" t="s">
        <v>26</v>
      </c>
      <c r="E2183" t="s">
        <v>31</v>
      </c>
      <c r="F2183">
        <v>1</v>
      </c>
      <c r="G2183" s="3" t="s">
        <v>32</v>
      </c>
      <c r="H2183" s="44" t="s">
        <v>15</v>
      </c>
      <c r="I2183" s="17">
        <v>2000000</v>
      </c>
      <c r="J2183" s="17">
        <f>IF(Gastos[[#This Row],[Divisa]]="$", I2183*1, IF(Gastos[[#This Row],[Divisa]]="U$D", I2183*$N$1, IF(Gastos[[#This Row],[Divisa]]="EUR", I2183*$N$2, 0)))</f>
        <v>2000000</v>
      </c>
      <c r="K2183" s="54">
        <f>Gastos[[#This Row],[Importe AR$]]/$N$1</f>
        <v>1282.051282051282</v>
      </c>
      <c r="M2183" s="69">
        <v>46298</v>
      </c>
      <c r="N2183" s="43">
        <f>IF(Gastos[[#This Row],[Fecha_Cheque]]&gt;0,WEEKNUM(Gastos[[#This Row],[Fecha_Cheque]]),MID(Gastos[[#This Row],[Semana]],6,2))</f>
        <v>40</v>
      </c>
      <c r="O2183" t="s">
        <v>4092</v>
      </c>
      <c r="P2183" t="s">
        <v>27</v>
      </c>
    </row>
    <row r="2184" spans="1:16" hidden="1" x14ac:dyDescent="0.25">
      <c r="A2184" s="3" t="s">
        <v>4074</v>
      </c>
      <c r="B2184" t="s">
        <v>4090</v>
      </c>
      <c r="C2184" t="s">
        <v>4091</v>
      </c>
      <c r="D2184" t="s">
        <v>26</v>
      </c>
      <c r="E2184" t="s">
        <v>31</v>
      </c>
      <c r="F2184">
        <v>1</v>
      </c>
      <c r="G2184" s="3" t="s">
        <v>32</v>
      </c>
      <c r="H2184" s="44" t="s">
        <v>15</v>
      </c>
      <c r="I2184" s="17">
        <v>2088345</v>
      </c>
      <c r="J2184" s="17">
        <f>IF(Gastos[[#This Row],[Divisa]]="$", I2184*1, IF(Gastos[[#This Row],[Divisa]]="U$D", I2184*$N$1, IF(Gastos[[#This Row],[Divisa]]="EUR", I2184*$N$2, 0)))</f>
        <v>2088345</v>
      </c>
      <c r="K2184" s="54">
        <f>Gastos[[#This Row],[Importe AR$]]/$N$1</f>
        <v>1338.6826923076924</v>
      </c>
      <c r="M2184" s="69">
        <v>46318</v>
      </c>
      <c r="N2184" s="43">
        <f>IF(Gastos[[#This Row],[Fecha_Cheque]]&gt;0,WEEKNUM(Gastos[[#This Row],[Fecha_Cheque]]),MID(Gastos[[#This Row],[Semana]],6,2))</f>
        <v>43</v>
      </c>
      <c r="O2184" t="s">
        <v>4092</v>
      </c>
      <c r="P2184" t="s">
        <v>27</v>
      </c>
    </row>
    <row r="2185" spans="1:16" hidden="1" x14ac:dyDescent="0.25">
      <c r="A2185" s="3" t="s">
        <v>4074</v>
      </c>
      <c r="B2185" t="s">
        <v>4090</v>
      </c>
      <c r="C2185" t="s">
        <v>4091</v>
      </c>
      <c r="D2185" t="s">
        <v>26</v>
      </c>
      <c r="E2185" t="s">
        <v>31</v>
      </c>
      <c r="F2185">
        <v>1</v>
      </c>
      <c r="G2185" s="3" t="s">
        <v>32</v>
      </c>
      <c r="H2185" s="44" t="s">
        <v>15</v>
      </c>
      <c r="I2185" s="17">
        <v>2000000</v>
      </c>
      <c r="J2185" s="17">
        <f>IF(Gastos[[#This Row],[Divisa]]="$", I2185*1, IF(Gastos[[#This Row],[Divisa]]="U$D", I2185*$N$1, IF(Gastos[[#This Row],[Divisa]]="EUR", I2185*$N$2, 0)))</f>
        <v>2000000</v>
      </c>
      <c r="K2185" s="54">
        <f>Gastos[[#This Row],[Importe AR$]]/$N$1</f>
        <v>1282.051282051282</v>
      </c>
      <c r="M2185" s="69">
        <v>46311</v>
      </c>
      <c r="N2185" s="43">
        <f>IF(Gastos[[#This Row],[Fecha_Cheque]]&gt;0,WEEKNUM(Gastos[[#This Row],[Fecha_Cheque]]),MID(Gastos[[#This Row],[Semana]],6,2))</f>
        <v>42</v>
      </c>
      <c r="O2185" t="s">
        <v>4092</v>
      </c>
      <c r="P2185" t="s">
        <v>27</v>
      </c>
    </row>
    <row r="2186" spans="1:16" hidden="1" x14ac:dyDescent="0.25">
      <c r="A2186" s="3" t="s">
        <v>4074</v>
      </c>
      <c r="B2186" t="s">
        <v>4090</v>
      </c>
      <c r="C2186" t="s">
        <v>4091</v>
      </c>
      <c r="D2186" t="s">
        <v>26</v>
      </c>
      <c r="E2186" t="s">
        <v>31</v>
      </c>
      <c r="F2186">
        <v>1</v>
      </c>
      <c r="G2186" s="3" t="s">
        <v>32</v>
      </c>
      <c r="H2186" s="44" t="s">
        <v>15</v>
      </c>
      <c r="I2186" s="17">
        <v>2362295</v>
      </c>
      <c r="J2186" s="17">
        <f>IF(Gastos[[#This Row],[Divisa]]="$", I2186*1, IF(Gastos[[#This Row],[Divisa]]="U$D", I2186*$N$1, IF(Gastos[[#This Row],[Divisa]]="EUR", I2186*$N$2, 0)))</f>
        <v>2362295</v>
      </c>
      <c r="K2186" s="54">
        <f>Gastos[[#This Row],[Importe AR$]]/$N$1</f>
        <v>1514.2916666666667</v>
      </c>
      <c r="M2186" s="69">
        <v>46318</v>
      </c>
      <c r="N2186" s="43">
        <f>IF(Gastos[[#This Row],[Fecha_Cheque]]&gt;0,WEEKNUM(Gastos[[#This Row],[Fecha_Cheque]]),MID(Gastos[[#This Row],[Semana]],6,2))</f>
        <v>43</v>
      </c>
      <c r="O2186" t="s">
        <v>4092</v>
      </c>
      <c r="P2186" t="s">
        <v>27</v>
      </c>
    </row>
    <row r="2187" spans="1:16" hidden="1" x14ac:dyDescent="0.25">
      <c r="A2187" s="3" t="s">
        <v>52</v>
      </c>
      <c r="B2187" t="s">
        <v>1347</v>
      </c>
      <c r="C2187" t="s">
        <v>1348</v>
      </c>
      <c r="D2187" t="s">
        <v>26</v>
      </c>
      <c r="E2187" t="s">
        <v>31</v>
      </c>
      <c r="F2187">
        <v>1</v>
      </c>
      <c r="G2187" s="3" t="s">
        <v>32</v>
      </c>
      <c r="H2187" s="46" t="s">
        <v>15</v>
      </c>
      <c r="I2187" s="17">
        <v>9988780.9000000004</v>
      </c>
      <c r="J2187" s="17">
        <f>IF(Gastos[[#This Row],[Divisa]]="$", I2187*1, IF(Gastos[[#This Row],[Divisa]]="U$D", I2187*$N$1, IF(Gastos[[#This Row],[Divisa]]="EUR", I2187*$N$2, 0)))</f>
        <v>9988780.9000000004</v>
      </c>
      <c r="K2187" s="54">
        <f>Gastos[[#This Row],[Importe AR$]]/$N$1</f>
        <v>6403.06467948718</v>
      </c>
      <c r="L2187" t="s">
        <v>1349</v>
      </c>
      <c r="M2187" s="69"/>
      <c r="N2187" s="43" t="str">
        <f>IF(Gastos[[#This Row],[Fecha_Cheque]]&gt;0,WEEKNUM(Gastos[[#This Row],[Fecha_Cheque]]),MID(Gastos[[#This Row],[Semana]],6,2))</f>
        <v>12</v>
      </c>
      <c r="O2187" t="s">
        <v>1350</v>
      </c>
      <c r="P2187" t="s">
        <v>27</v>
      </c>
    </row>
    <row r="2188" spans="1:16" hidden="1" x14ac:dyDescent="0.25">
      <c r="A2188" s="3" t="s">
        <v>210</v>
      </c>
      <c r="B2188" t="s">
        <v>1347</v>
      </c>
      <c r="C2188" t="s">
        <v>1351</v>
      </c>
      <c r="D2188" t="s">
        <v>26</v>
      </c>
      <c r="E2188" t="s">
        <v>31</v>
      </c>
      <c r="F2188">
        <v>1</v>
      </c>
      <c r="G2188" s="3" t="s">
        <v>5</v>
      </c>
      <c r="H2188" s="46" t="s">
        <v>15</v>
      </c>
      <c r="I2188" s="17">
        <v>2205929.89</v>
      </c>
      <c r="J2188" s="17">
        <f>IF(Gastos[[#This Row],[Divisa]]="$", I2188*1, IF(Gastos[[#This Row],[Divisa]]="U$D", I2188*$N$1, IF(Gastos[[#This Row],[Divisa]]="EUR", I2188*$N$2, 0)))</f>
        <v>2205929.89</v>
      </c>
      <c r="K2188" s="54">
        <f>Gastos[[#This Row],[Importe AR$]]/$N$1</f>
        <v>1414.0576217948719</v>
      </c>
      <c r="L2188" t="s">
        <v>215</v>
      </c>
      <c r="M2188" s="69"/>
      <c r="N2188" s="43" t="str">
        <f>IF(Gastos[[#This Row],[Fecha_Cheque]]&gt;0,WEEKNUM(Gastos[[#This Row],[Fecha_Cheque]]),MID(Gastos[[#This Row],[Semana]],6,2))</f>
        <v>37</v>
      </c>
      <c r="O2188" t="s">
        <v>1352</v>
      </c>
      <c r="P2188" t="s">
        <v>27</v>
      </c>
    </row>
    <row r="2189" spans="1:16" hidden="1" x14ac:dyDescent="0.25">
      <c r="A2189" s="3" t="s">
        <v>56</v>
      </c>
      <c r="B2189" t="s">
        <v>1347</v>
      </c>
      <c r="C2189" t="s">
        <v>1353</v>
      </c>
      <c r="D2189" t="s">
        <v>26</v>
      </c>
      <c r="E2189" t="s">
        <v>31</v>
      </c>
      <c r="F2189">
        <v>1</v>
      </c>
      <c r="G2189" s="3" t="s">
        <v>32</v>
      </c>
      <c r="H2189" s="46" t="s">
        <v>15</v>
      </c>
      <c r="I2189" s="17">
        <v>4000000</v>
      </c>
      <c r="J2189" s="17">
        <f>IF(Gastos[[#This Row],[Divisa]]="$", I2189*1, IF(Gastos[[#This Row],[Divisa]]="U$D", I2189*$N$1, IF(Gastos[[#This Row],[Divisa]]="EUR", I2189*$N$2, 0)))</f>
        <v>4000000</v>
      </c>
      <c r="K2189" s="54">
        <f>Gastos[[#This Row],[Importe AR$]]/$N$1</f>
        <v>2564.102564102564</v>
      </c>
      <c r="M2189" s="69">
        <v>45971</v>
      </c>
      <c r="N2189" s="43">
        <f>IF(Gastos[[#This Row],[Fecha_Cheque]]&gt;0,WEEKNUM(Gastos[[#This Row],[Fecha_Cheque]]),MID(Gastos[[#This Row],[Semana]],6,2))</f>
        <v>46</v>
      </c>
      <c r="O2189" t="s">
        <v>1354</v>
      </c>
      <c r="P2189" t="s">
        <v>27</v>
      </c>
    </row>
    <row r="2190" spans="1:16" hidden="1" x14ac:dyDescent="0.25">
      <c r="A2190" s="3" t="s">
        <v>56</v>
      </c>
      <c r="B2190" t="s">
        <v>1347</v>
      </c>
      <c r="C2190" t="s">
        <v>1353</v>
      </c>
      <c r="D2190" t="s">
        <v>26</v>
      </c>
      <c r="E2190" t="s">
        <v>31</v>
      </c>
      <c r="F2190">
        <v>1</v>
      </c>
      <c r="G2190" s="3" t="s">
        <v>32</v>
      </c>
      <c r="H2190" s="46" t="s">
        <v>15</v>
      </c>
      <c r="I2190" s="17">
        <v>550000</v>
      </c>
      <c r="J2190" s="17">
        <f>IF(Gastos[[#This Row],[Divisa]]="$", I2190*1, IF(Gastos[[#This Row],[Divisa]]="U$D", I2190*$N$1, IF(Gastos[[#This Row],[Divisa]]="EUR", I2190*$N$2, 0)))</f>
        <v>550000</v>
      </c>
      <c r="K2190" s="54">
        <f>Gastos[[#This Row],[Importe AR$]]/$N$1</f>
        <v>352.56410256410254</v>
      </c>
      <c r="M2190" s="69">
        <v>45981</v>
      </c>
      <c r="N2190" s="43">
        <f>IF(Gastos[[#This Row],[Fecha_Cheque]]&gt;0,WEEKNUM(Gastos[[#This Row],[Fecha_Cheque]]),MID(Gastos[[#This Row],[Semana]],6,2))</f>
        <v>47</v>
      </c>
      <c r="O2190" t="s">
        <v>1354</v>
      </c>
      <c r="P2190" t="s">
        <v>27</v>
      </c>
    </row>
    <row r="2191" spans="1:16" hidden="1" x14ac:dyDescent="0.25">
      <c r="A2191" s="3" t="s">
        <v>56</v>
      </c>
      <c r="B2191" t="s">
        <v>1347</v>
      </c>
      <c r="C2191" t="s">
        <v>1353</v>
      </c>
      <c r="D2191" t="s">
        <v>26</v>
      </c>
      <c r="E2191" t="s">
        <v>31</v>
      </c>
      <c r="F2191">
        <v>1</v>
      </c>
      <c r="G2191" s="3" t="s">
        <v>32</v>
      </c>
      <c r="H2191" s="46" t="s">
        <v>15</v>
      </c>
      <c r="I2191" s="17">
        <v>550000</v>
      </c>
      <c r="J2191" s="17">
        <f>IF(Gastos[[#This Row],[Divisa]]="$", I2191*1, IF(Gastos[[#This Row],[Divisa]]="U$D", I2191*$N$1, IF(Gastos[[#This Row],[Divisa]]="EUR", I2191*$N$2, 0)))</f>
        <v>550000</v>
      </c>
      <c r="K2191" s="54">
        <f>Gastos[[#This Row],[Importe AR$]]/$N$1</f>
        <v>352.56410256410254</v>
      </c>
      <c r="M2191" s="69">
        <v>45982</v>
      </c>
      <c r="N2191" s="43">
        <f>IF(Gastos[[#This Row],[Fecha_Cheque]]&gt;0,WEEKNUM(Gastos[[#This Row],[Fecha_Cheque]]),MID(Gastos[[#This Row],[Semana]],6,2))</f>
        <v>47</v>
      </c>
      <c r="O2191" t="s">
        <v>1354</v>
      </c>
      <c r="P2191" t="s">
        <v>27</v>
      </c>
    </row>
    <row r="2192" spans="1:16" hidden="1" x14ac:dyDescent="0.25">
      <c r="A2192" s="3" t="s">
        <v>72</v>
      </c>
      <c r="B2192" t="s">
        <v>1347</v>
      </c>
      <c r="C2192" t="s">
        <v>1353</v>
      </c>
      <c r="D2192" t="s">
        <v>26</v>
      </c>
      <c r="E2192" t="s">
        <v>62</v>
      </c>
      <c r="F2192">
        <v>1</v>
      </c>
      <c r="G2192" s="3" t="s">
        <v>32</v>
      </c>
      <c r="H2192" s="46" t="s">
        <v>15</v>
      </c>
      <c r="I2192" s="17">
        <v>1950000</v>
      </c>
      <c r="J2192" s="17">
        <f>IF(Gastos[[#This Row],[Divisa]]="$", I2192*1, IF(Gastos[[#This Row],[Divisa]]="U$D", I2192*$N$1, IF(Gastos[[#This Row],[Divisa]]="EUR", I2192*$N$2, 0)))</f>
        <v>1950000</v>
      </c>
      <c r="K2192" s="54">
        <f>Gastos[[#This Row],[Importe AR$]]/$N$1</f>
        <v>1250</v>
      </c>
      <c r="M2192" s="69">
        <v>46020</v>
      </c>
      <c r="N2192" s="43">
        <f>IF(Gastos[[#This Row],[Fecha_Cheque]]&gt;0,WEEKNUM(Gastos[[#This Row],[Fecha_Cheque]]),MID(Gastos[[#This Row],[Semana]],6,2))</f>
        <v>53</v>
      </c>
      <c r="O2192" t="s">
        <v>1355</v>
      </c>
      <c r="P2192" t="s">
        <v>27</v>
      </c>
    </row>
    <row r="2193" spans="1:16" hidden="1" x14ac:dyDescent="0.25">
      <c r="A2193" s="3" t="s">
        <v>72</v>
      </c>
      <c r="B2193" t="s">
        <v>1347</v>
      </c>
      <c r="C2193" t="s">
        <v>1353</v>
      </c>
      <c r="D2193" t="s">
        <v>26</v>
      </c>
      <c r="E2193" t="s">
        <v>62</v>
      </c>
      <c r="F2193">
        <v>1</v>
      </c>
      <c r="G2193" s="3" t="s">
        <v>32</v>
      </c>
      <c r="H2193" s="46" t="s">
        <v>15</v>
      </c>
      <c r="I2193" s="17">
        <v>1950000</v>
      </c>
      <c r="J2193" s="17">
        <f>IF(Gastos[[#This Row],[Divisa]]="$", I2193*1, IF(Gastos[[#This Row],[Divisa]]="U$D", I2193*$N$1, IF(Gastos[[#This Row],[Divisa]]="EUR", I2193*$N$2, 0)))</f>
        <v>1950000</v>
      </c>
      <c r="K2193" s="54">
        <f>Gastos[[#This Row],[Importe AR$]]/$N$1</f>
        <v>1250</v>
      </c>
      <c r="M2193" s="69">
        <v>46024</v>
      </c>
      <c r="N2193" s="43">
        <f>IF(Gastos[[#This Row],[Fecha_Cheque]]&gt;0,WEEKNUM(Gastos[[#This Row],[Fecha_Cheque]]),MID(Gastos[[#This Row],[Semana]],6,2))</f>
        <v>1</v>
      </c>
      <c r="O2193" t="s">
        <v>1355</v>
      </c>
      <c r="P2193" t="s">
        <v>27</v>
      </c>
    </row>
    <row r="2194" spans="1:16" hidden="1" x14ac:dyDescent="0.25">
      <c r="A2194" s="3" t="s">
        <v>378</v>
      </c>
      <c r="B2194" t="s">
        <v>1347</v>
      </c>
      <c r="C2194" t="s">
        <v>1353</v>
      </c>
      <c r="D2194" t="s">
        <v>26</v>
      </c>
      <c r="E2194" t="s">
        <v>62</v>
      </c>
      <c r="F2194">
        <v>1</v>
      </c>
      <c r="G2194" s="3" t="s">
        <v>32</v>
      </c>
      <c r="H2194" s="46" t="s">
        <v>15</v>
      </c>
      <c r="I2194" s="17">
        <v>810000</v>
      </c>
      <c r="J2194" s="17">
        <f>IF(Gastos[[#This Row],[Divisa]]="$", I2194*1, IF(Gastos[[#This Row],[Divisa]]="U$D", I2194*$N$1, IF(Gastos[[#This Row],[Divisa]]="EUR", I2194*$N$2, 0)))</f>
        <v>810000</v>
      </c>
      <c r="K2194" s="54">
        <f>Gastos[[#This Row],[Importe AR$]]/$N$1</f>
        <v>519.23076923076928</v>
      </c>
      <c r="M2194" s="69">
        <v>46037</v>
      </c>
      <c r="N2194" s="43">
        <f>IF(Gastos[[#This Row],[Fecha_Cheque]]&gt;0,WEEKNUM(Gastos[[#This Row],[Fecha_Cheque]]),MID(Gastos[[#This Row],[Semana]],6,2))</f>
        <v>3</v>
      </c>
      <c r="O2194" t="s">
        <v>1356</v>
      </c>
      <c r="P2194" t="s">
        <v>27</v>
      </c>
    </row>
    <row r="2195" spans="1:16" hidden="1" x14ac:dyDescent="0.25">
      <c r="A2195" s="3" t="s">
        <v>378</v>
      </c>
      <c r="B2195" t="s">
        <v>1347</v>
      </c>
      <c r="C2195" t="s">
        <v>1353</v>
      </c>
      <c r="D2195" t="s">
        <v>26</v>
      </c>
      <c r="E2195" t="s">
        <v>62</v>
      </c>
      <c r="F2195">
        <v>1</v>
      </c>
      <c r="G2195" s="3" t="s">
        <v>4</v>
      </c>
      <c r="H2195" s="46" t="s">
        <v>15</v>
      </c>
      <c r="I2195" s="17">
        <v>3997.62</v>
      </c>
      <c r="J2195" s="17">
        <f>IF(Gastos[[#This Row],[Divisa]]="$", I2195*1, IF(Gastos[[#This Row],[Divisa]]="U$D", I2195*$N$1, IF(Gastos[[#This Row],[Divisa]]="EUR", I2195*$N$2, 0)))</f>
        <v>3997.62</v>
      </c>
      <c r="K2195" s="54">
        <f>Gastos[[#This Row],[Importe AR$]]/$N$1</f>
        <v>2.5625769230769229</v>
      </c>
      <c r="L2195" t="s">
        <v>215</v>
      </c>
      <c r="M2195" s="69"/>
      <c r="N2195" s="43" t="str">
        <f>IF(Gastos[[#This Row],[Fecha_Cheque]]&gt;0,WEEKNUM(Gastos[[#This Row],[Fecha_Cheque]]),MID(Gastos[[#This Row],[Semana]],6,2))</f>
        <v>03</v>
      </c>
      <c r="O2195" t="s">
        <v>1356</v>
      </c>
      <c r="P2195" t="s">
        <v>27</v>
      </c>
    </row>
    <row r="2196" spans="1:16" hidden="1" x14ac:dyDescent="0.25">
      <c r="A2196" s="3" t="s">
        <v>68</v>
      </c>
      <c r="B2196" t="s">
        <v>1347</v>
      </c>
      <c r="C2196" t="s">
        <v>1357</v>
      </c>
      <c r="D2196" t="s">
        <v>26</v>
      </c>
      <c r="E2196" t="s">
        <v>62</v>
      </c>
      <c r="F2196">
        <v>1</v>
      </c>
      <c r="G2196" s="3" t="s">
        <v>32</v>
      </c>
      <c r="H2196" s="46" t="s">
        <v>15</v>
      </c>
      <c r="I2196" s="17">
        <v>4026619.9</v>
      </c>
      <c r="J2196" s="17">
        <f>IF(Gastos[[#This Row],[Divisa]]="$", I2196*1, IF(Gastos[[#This Row],[Divisa]]="U$D", I2196*$N$1, IF(Gastos[[#This Row],[Divisa]]="EUR", I2196*$N$2, 0)))</f>
        <v>4026619.9</v>
      </c>
      <c r="K2196" s="54">
        <f>Gastos[[#This Row],[Importe AR$]]/$N$1</f>
        <v>2581.1666025641025</v>
      </c>
      <c r="M2196" s="69">
        <v>46087</v>
      </c>
      <c r="N2196" s="43">
        <f>IF(Gastos[[#This Row],[Fecha_Cheque]]&gt;0,WEEKNUM(Gastos[[#This Row],[Fecha_Cheque]]),MID(Gastos[[#This Row],[Semana]],6,2))</f>
        <v>10</v>
      </c>
      <c r="O2196" t="s">
        <v>1358</v>
      </c>
      <c r="P2196" t="s">
        <v>27</v>
      </c>
    </row>
    <row r="2197" spans="1:16" hidden="1" x14ac:dyDescent="0.25">
      <c r="A2197" s="3" t="s">
        <v>75</v>
      </c>
      <c r="B2197" t="s">
        <v>1347</v>
      </c>
      <c r="C2197" t="s">
        <v>1359</v>
      </c>
      <c r="D2197" t="s">
        <v>26</v>
      </c>
      <c r="E2197" t="s">
        <v>31</v>
      </c>
      <c r="F2197">
        <v>1</v>
      </c>
      <c r="G2197" s="3" t="s">
        <v>32</v>
      </c>
      <c r="H2197" s="46" t="s">
        <v>15</v>
      </c>
      <c r="I2197" s="17">
        <v>2635574.2000000002</v>
      </c>
      <c r="J2197" s="17">
        <f>IF(Gastos[[#This Row],[Divisa]]="$", I2197*1, IF(Gastos[[#This Row],[Divisa]]="U$D", I2197*$N$1, IF(Gastos[[#This Row],[Divisa]]="EUR", I2197*$N$2, 0)))</f>
        <v>2635574.2000000002</v>
      </c>
      <c r="K2197" s="54">
        <f>Gastos[[#This Row],[Importe AR$]]/$N$1</f>
        <v>1689.470641025641</v>
      </c>
      <c r="M2197" s="69">
        <v>46090</v>
      </c>
      <c r="N2197" s="43">
        <f>IF(Gastos[[#This Row],[Fecha_Cheque]]&gt;0,WEEKNUM(Gastos[[#This Row],[Fecha_Cheque]]),MID(Gastos[[#This Row],[Semana]],6,2))</f>
        <v>11</v>
      </c>
      <c r="O2197" t="s">
        <v>1360</v>
      </c>
      <c r="P2197" t="s">
        <v>27</v>
      </c>
    </row>
    <row r="2198" spans="1:16" hidden="1" x14ac:dyDescent="0.25">
      <c r="A2198" s="3" t="s">
        <v>75</v>
      </c>
      <c r="B2198" t="s">
        <v>1347</v>
      </c>
      <c r="C2198" t="s">
        <v>1359</v>
      </c>
      <c r="D2198" t="s">
        <v>26</v>
      </c>
      <c r="E2198" t="s">
        <v>31</v>
      </c>
      <c r="F2198">
        <v>1</v>
      </c>
      <c r="G2198" s="3" t="s">
        <v>32</v>
      </c>
      <c r="H2198" s="46" t="s">
        <v>15</v>
      </c>
      <c r="I2198" s="17">
        <v>2635574.2000000002</v>
      </c>
      <c r="J2198" s="17">
        <f>IF(Gastos[[#This Row],[Divisa]]="$", I2198*1, IF(Gastos[[#This Row],[Divisa]]="U$D", I2198*$N$1, IF(Gastos[[#This Row],[Divisa]]="EUR", I2198*$N$2, 0)))</f>
        <v>2635574.2000000002</v>
      </c>
      <c r="K2198" s="54">
        <f>Gastos[[#This Row],[Importe AR$]]/$N$1</f>
        <v>1689.470641025641</v>
      </c>
      <c r="M2198" s="69">
        <v>46121</v>
      </c>
      <c r="N2198" s="43">
        <f>IF(Gastos[[#This Row],[Fecha_Cheque]]&gt;0,WEEKNUM(Gastos[[#This Row],[Fecha_Cheque]]),MID(Gastos[[#This Row],[Semana]],6,2))</f>
        <v>15</v>
      </c>
      <c r="O2198" t="s">
        <v>1360</v>
      </c>
      <c r="P2198" t="s">
        <v>27</v>
      </c>
    </row>
    <row r="2199" spans="1:16" hidden="1" x14ac:dyDescent="0.25">
      <c r="A2199" s="3" t="s">
        <v>75</v>
      </c>
      <c r="B2199" t="s">
        <v>1347</v>
      </c>
      <c r="C2199" t="s">
        <v>1359</v>
      </c>
      <c r="D2199" t="s">
        <v>26</v>
      </c>
      <c r="E2199" t="s">
        <v>31</v>
      </c>
      <c r="F2199">
        <v>1</v>
      </c>
      <c r="G2199" s="3" t="s">
        <v>32</v>
      </c>
      <c r="H2199" s="46" t="s">
        <v>15</v>
      </c>
      <c r="I2199" s="17">
        <v>2635574.2000000002</v>
      </c>
      <c r="J2199" s="17">
        <f>IF(Gastos[[#This Row],[Divisa]]="$", I2199*1, IF(Gastos[[#This Row],[Divisa]]="U$D", I2199*$N$1, IF(Gastos[[#This Row],[Divisa]]="EUR", I2199*$N$2, 0)))</f>
        <v>2635574.2000000002</v>
      </c>
      <c r="K2199" s="54">
        <f>Gastos[[#This Row],[Importe AR$]]/$N$1</f>
        <v>1689.470641025641</v>
      </c>
      <c r="M2199" s="69">
        <v>46062</v>
      </c>
      <c r="N2199" s="43">
        <f>IF(Gastos[[#This Row],[Fecha_Cheque]]&gt;0,WEEKNUM(Gastos[[#This Row],[Fecha_Cheque]]),MID(Gastos[[#This Row],[Semana]],6,2))</f>
        <v>7</v>
      </c>
      <c r="O2199" t="s">
        <v>1360</v>
      </c>
      <c r="P2199" t="s">
        <v>27</v>
      </c>
    </row>
    <row r="2200" spans="1:16" hidden="1" x14ac:dyDescent="0.25">
      <c r="A2200" s="3" t="s">
        <v>397</v>
      </c>
      <c r="B2200" t="s">
        <v>1347</v>
      </c>
      <c r="C2200" t="s">
        <v>2096</v>
      </c>
      <c r="D2200" t="s">
        <v>26</v>
      </c>
      <c r="E2200" t="s">
        <v>62</v>
      </c>
      <c r="F2200">
        <v>1</v>
      </c>
      <c r="G2200" s="3" t="s">
        <v>32</v>
      </c>
      <c r="H2200" s="46" t="s">
        <v>15</v>
      </c>
      <c r="I2200" s="17">
        <v>7128593.7300000004</v>
      </c>
      <c r="J2200" s="17">
        <f>IF(Gastos[[#This Row],[Divisa]]="$", I2200*1, IF(Gastos[[#This Row],[Divisa]]="U$D", I2200*$N$1, IF(Gastos[[#This Row],[Divisa]]="EUR", I2200*$N$2, 0)))</f>
        <v>7128593.7300000004</v>
      </c>
      <c r="K2200" s="54">
        <f>Gastos[[#This Row],[Importe AR$]]/$N$1</f>
        <v>4569.611365384616</v>
      </c>
      <c r="M2200" s="69">
        <v>46124</v>
      </c>
      <c r="N2200" s="43">
        <f>IF(Gastos[[#This Row],[Fecha_Cheque]]&gt;0,WEEKNUM(Gastos[[#This Row],[Fecha_Cheque]]),MID(Gastos[[#This Row],[Semana]],6,2))</f>
        <v>16</v>
      </c>
      <c r="O2200" t="s">
        <v>2097</v>
      </c>
      <c r="P2200" t="s">
        <v>27</v>
      </c>
    </row>
    <row r="2201" spans="1:16" hidden="1" x14ac:dyDescent="0.25">
      <c r="A2201" s="3" t="s">
        <v>397</v>
      </c>
      <c r="B2201" t="s">
        <v>1347</v>
      </c>
      <c r="C2201" t="s">
        <v>2096</v>
      </c>
      <c r="D2201" t="s">
        <v>26</v>
      </c>
      <c r="E2201" t="s">
        <v>62</v>
      </c>
      <c r="F2201">
        <v>1</v>
      </c>
      <c r="G2201" s="3" t="s">
        <v>32</v>
      </c>
      <c r="H2201" s="46" t="s">
        <v>15</v>
      </c>
      <c r="I2201" s="17">
        <v>7128593.7300000004</v>
      </c>
      <c r="J2201" s="17">
        <f>IF(Gastos[[#This Row],[Divisa]]="$", I2201*1, IF(Gastos[[#This Row],[Divisa]]="U$D", I2201*$N$1, IF(Gastos[[#This Row],[Divisa]]="EUR", I2201*$N$2, 0)))</f>
        <v>7128593.7300000004</v>
      </c>
      <c r="K2201" s="54">
        <f>Gastos[[#This Row],[Importe AR$]]/$N$1</f>
        <v>4569.611365384616</v>
      </c>
      <c r="M2201" s="69">
        <v>46154</v>
      </c>
      <c r="N2201" s="43">
        <f>IF(Gastos[[#This Row],[Fecha_Cheque]]&gt;0,WEEKNUM(Gastos[[#This Row],[Fecha_Cheque]]),MID(Gastos[[#This Row],[Semana]],6,2))</f>
        <v>20</v>
      </c>
      <c r="O2201" t="s">
        <v>2097</v>
      </c>
      <c r="P2201" t="s">
        <v>27</v>
      </c>
    </row>
    <row r="2202" spans="1:16" hidden="1" x14ac:dyDescent="0.25">
      <c r="A2202" s="3" t="s">
        <v>397</v>
      </c>
      <c r="B2202" t="s">
        <v>1347</v>
      </c>
      <c r="C2202" t="s">
        <v>2096</v>
      </c>
      <c r="D2202" t="s">
        <v>26</v>
      </c>
      <c r="E2202" t="s">
        <v>62</v>
      </c>
      <c r="F2202">
        <v>1</v>
      </c>
      <c r="G2202" s="3" t="s">
        <v>32</v>
      </c>
      <c r="H2202" s="46" t="s">
        <v>15</v>
      </c>
      <c r="I2202" s="17">
        <v>7128593.7400000002</v>
      </c>
      <c r="J2202" s="17">
        <f>IF(Gastos[[#This Row],[Divisa]]="$", I2202*1, IF(Gastos[[#This Row],[Divisa]]="U$D", I2202*$N$1, IF(Gastos[[#This Row],[Divisa]]="EUR", I2202*$N$2, 0)))</f>
        <v>7128593.7400000002</v>
      </c>
      <c r="K2202" s="54">
        <f>Gastos[[#This Row],[Importe AR$]]/$N$1</f>
        <v>4569.611371794872</v>
      </c>
      <c r="M2202" s="69">
        <v>46185</v>
      </c>
      <c r="N2202" s="43">
        <f>IF(Gastos[[#This Row],[Fecha_Cheque]]&gt;0,WEEKNUM(Gastos[[#This Row],[Fecha_Cheque]]),MID(Gastos[[#This Row],[Semana]],6,2))</f>
        <v>24</v>
      </c>
      <c r="O2202" t="s">
        <v>2097</v>
      </c>
      <c r="P2202" t="s">
        <v>27</v>
      </c>
    </row>
    <row r="2203" spans="1:16" hidden="1" x14ac:dyDescent="0.25">
      <c r="A2203" s="3" t="s">
        <v>397</v>
      </c>
      <c r="B2203" t="s">
        <v>1347</v>
      </c>
      <c r="C2203" t="s">
        <v>2096</v>
      </c>
      <c r="D2203" t="s">
        <v>26</v>
      </c>
      <c r="E2203" t="s">
        <v>62</v>
      </c>
      <c r="F2203">
        <v>1</v>
      </c>
      <c r="G2203" s="3" t="s">
        <v>32</v>
      </c>
      <c r="H2203" s="46" t="s">
        <v>15</v>
      </c>
      <c r="I2203" s="17">
        <v>354889.6</v>
      </c>
      <c r="J2203" s="17">
        <f>IF(Gastos[[#This Row],[Divisa]]="$", I2203*1, IF(Gastos[[#This Row],[Divisa]]="U$D", I2203*$N$1, IF(Gastos[[#This Row],[Divisa]]="EUR", I2203*$N$2, 0)))</f>
        <v>354889.6</v>
      </c>
      <c r="K2203" s="54">
        <f>Gastos[[#This Row],[Importe AR$]]/$N$1</f>
        <v>227.49333333333331</v>
      </c>
      <c r="M2203" s="69"/>
      <c r="N2203" s="43" t="str">
        <f>IF(Gastos[[#This Row],[Fecha_Cheque]]&gt;0,WEEKNUM(Gastos[[#This Row],[Fecha_Cheque]]),MID(Gastos[[#This Row],[Semana]],6,2))</f>
        <v>11</v>
      </c>
      <c r="O2203" t="s">
        <v>2097</v>
      </c>
      <c r="P2203" t="s">
        <v>27</v>
      </c>
    </row>
    <row r="2204" spans="1:16" hidden="1" x14ac:dyDescent="0.25">
      <c r="A2204" s="3" t="s">
        <v>332</v>
      </c>
      <c r="B2204" t="s">
        <v>1347</v>
      </c>
      <c r="C2204" t="s">
        <v>2614</v>
      </c>
      <c r="D2204" t="s">
        <v>26</v>
      </c>
      <c r="E2204" t="s">
        <v>31</v>
      </c>
      <c r="F2204">
        <v>1</v>
      </c>
      <c r="G2204" s="3" t="s">
        <v>32</v>
      </c>
      <c r="H2204" s="44" t="s">
        <v>15</v>
      </c>
      <c r="I2204" s="17">
        <v>1758980.65</v>
      </c>
      <c r="J2204" s="17">
        <f>IF(Gastos[[#This Row],[Divisa]]="$", I2204*1, IF(Gastos[[#This Row],[Divisa]]="U$D", I2204*$N$1, IF(Gastos[[#This Row],[Divisa]]="EUR", I2204*$N$2, 0)))</f>
        <v>1758980.65</v>
      </c>
      <c r="K2204" s="54">
        <f>Gastos[[#This Row],[Importe AR$]]/$N$1</f>
        <v>1127.5516987179487</v>
      </c>
      <c r="M2204" s="69">
        <v>46129</v>
      </c>
      <c r="N2204" s="43">
        <f>IF(Gastos[[#This Row],[Fecha_Cheque]]&gt;0,WEEKNUM(Gastos[[#This Row],[Fecha_Cheque]]),MID(Gastos[[#This Row],[Semana]],6,2))</f>
        <v>16</v>
      </c>
      <c r="O2204" t="s">
        <v>2615</v>
      </c>
      <c r="P2204" t="s">
        <v>27</v>
      </c>
    </row>
    <row r="2205" spans="1:16" hidden="1" x14ac:dyDescent="0.25">
      <c r="A2205" s="3" t="s">
        <v>332</v>
      </c>
      <c r="B2205" t="s">
        <v>1347</v>
      </c>
      <c r="C2205" t="s">
        <v>2614</v>
      </c>
      <c r="D2205" t="s">
        <v>26</v>
      </c>
      <c r="E2205" t="s">
        <v>31</v>
      </c>
      <c r="F2205">
        <v>1</v>
      </c>
      <c r="G2205" s="3" t="s">
        <v>32</v>
      </c>
      <c r="H2205" s="44" t="s">
        <v>15</v>
      </c>
      <c r="I2205" s="17">
        <v>1758980.65</v>
      </c>
      <c r="J2205" s="17">
        <f>IF(Gastos[[#This Row],[Divisa]]="$", I2205*1, IF(Gastos[[#This Row],[Divisa]]="U$D", I2205*$N$1, IF(Gastos[[#This Row],[Divisa]]="EUR", I2205*$N$2, 0)))</f>
        <v>1758980.65</v>
      </c>
      <c r="K2205" s="54">
        <f>Gastos[[#This Row],[Importe AR$]]/$N$1</f>
        <v>1127.5516987179487</v>
      </c>
      <c r="M2205" s="69">
        <v>46159</v>
      </c>
      <c r="N2205" s="43">
        <f>IF(Gastos[[#This Row],[Fecha_Cheque]]&gt;0,WEEKNUM(Gastos[[#This Row],[Fecha_Cheque]]),MID(Gastos[[#This Row],[Semana]],6,2))</f>
        <v>21</v>
      </c>
      <c r="O2205" t="s">
        <v>2615</v>
      </c>
      <c r="P2205" t="s">
        <v>27</v>
      </c>
    </row>
    <row r="2206" spans="1:16" hidden="1" x14ac:dyDescent="0.25">
      <c r="A2206" s="3" t="s">
        <v>332</v>
      </c>
      <c r="B2206" t="s">
        <v>1347</v>
      </c>
      <c r="C2206" t="s">
        <v>2614</v>
      </c>
      <c r="D2206" t="s">
        <v>26</v>
      </c>
      <c r="E2206" t="s">
        <v>31</v>
      </c>
      <c r="F2206">
        <v>1</v>
      </c>
      <c r="G2206" s="3" t="s">
        <v>32</v>
      </c>
      <c r="H2206" s="44" t="s">
        <v>15</v>
      </c>
      <c r="I2206" s="17">
        <v>1758980.65</v>
      </c>
      <c r="J2206" s="17">
        <f>IF(Gastos[[#This Row],[Divisa]]="$", I2206*1, IF(Gastos[[#This Row],[Divisa]]="U$D", I2206*$N$1, IF(Gastos[[#This Row],[Divisa]]="EUR", I2206*$N$2, 0)))</f>
        <v>1758980.65</v>
      </c>
      <c r="K2206" s="54">
        <f>Gastos[[#This Row],[Importe AR$]]/$N$1</f>
        <v>1127.5516987179487</v>
      </c>
      <c r="M2206" s="69">
        <v>46190</v>
      </c>
      <c r="N2206" s="43">
        <f>IF(Gastos[[#This Row],[Fecha_Cheque]]&gt;0,WEEKNUM(Gastos[[#This Row],[Fecha_Cheque]]),MID(Gastos[[#This Row],[Semana]],6,2))</f>
        <v>25</v>
      </c>
      <c r="O2206" t="s">
        <v>2615</v>
      </c>
      <c r="P2206" t="s">
        <v>27</v>
      </c>
    </row>
    <row r="2207" spans="1:16" hidden="1" x14ac:dyDescent="0.25">
      <c r="A2207" s="3" t="s">
        <v>332</v>
      </c>
      <c r="B2207" t="s">
        <v>1347</v>
      </c>
      <c r="C2207" t="s">
        <v>2614</v>
      </c>
      <c r="D2207" t="s">
        <v>26</v>
      </c>
      <c r="E2207" t="s">
        <v>31</v>
      </c>
      <c r="F2207">
        <v>1</v>
      </c>
      <c r="G2207" s="3" t="s">
        <v>32</v>
      </c>
      <c r="H2207" s="44" t="s">
        <v>15</v>
      </c>
      <c r="I2207" s="17">
        <v>1758980.65</v>
      </c>
      <c r="J2207" s="17">
        <f>IF(Gastos[[#This Row],[Divisa]]="$", I2207*1, IF(Gastos[[#This Row],[Divisa]]="U$D", I2207*$N$1, IF(Gastos[[#This Row],[Divisa]]="EUR", I2207*$N$2, 0)))</f>
        <v>1758980.65</v>
      </c>
      <c r="K2207" s="54">
        <f>Gastos[[#This Row],[Importe AR$]]/$N$1</f>
        <v>1127.5516987179487</v>
      </c>
      <c r="M2207" s="69">
        <v>46220</v>
      </c>
      <c r="N2207" s="43">
        <f>IF(Gastos[[#This Row],[Fecha_Cheque]]&gt;0,WEEKNUM(Gastos[[#This Row],[Fecha_Cheque]]),MID(Gastos[[#This Row],[Semana]],6,2))</f>
        <v>29</v>
      </c>
      <c r="O2207" t="s">
        <v>2615</v>
      </c>
      <c r="P2207" t="s">
        <v>27</v>
      </c>
    </row>
    <row r="2208" spans="1:16" hidden="1" x14ac:dyDescent="0.25">
      <c r="A2208" s="3" t="s">
        <v>332</v>
      </c>
      <c r="B2208" t="s">
        <v>1347</v>
      </c>
      <c r="C2208" t="s">
        <v>2614</v>
      </c>
      <c r="D2208" t="s">
        <v>26</v>
      </c>
      <c r="E2208" t="s">
        <v>31</v>
      </c>
      <c r="F2208">
        <v>1</v>
      </c>
      <c r="G2208" s="3" t="s">
        <v>32</v>
      </c>
      <c r="H2208" s="44" t="s">
        <v>15</v>
      </c>
      <c r="I2208" s="17">
        <v>1040244.45</v>
      </c>
      <c r="J2208" s="17">
        <f>IF(Gastos[[#This Row],[Divisa]]="$", I2208*1, IF(Gastos[[#This Row],[Divisa]]="U$D", I2208*$N$1, IF(Gastos[[#This Row],[Divisa]]="EUR", I2208*$N$2, 0)))</f>
        <v>1040244.45</v>
      </c>
      <c r="K2208" s="54">
        <f>Gastos[[#This Row],[Importe AR$]]/$N$1</f>
        <v>666.82336538461539</v>
      </c>
      <c r="M2208" s="69">
        <v>46131</v>
      </c>
      <c r="N2208" s="43">
        <f>IF(Gastos[[#This Row],[Fecha_Cheque]]&gt;0,WEEKNUM(Gastos[[#This Row],[Fecha_Cheque]]),MID(Gastos[[#This Row],[Semana]],6,2))</f>
        <v>17</v>
      </c>
      <c r="O2208" t="s">
        <v>2616</v>
      </c>
      <c r="P2208" t="s">
        <v>27</v>
      </c>
    </row>
    <row r="2209" spans="1:16" hidden="1" x14ac:dyDescent="0.25">
      <c r="A2209" s="3" t="s">
        <v>332</v>
      </c>
      <c r="B2209" t="s">
        <v>1347</v>
      </c>
      <c r="C2209" t="s">
        <v>2614</v>
      </c>
      <c r="D2209" t="s">
        <v>26</v>
      </c>
      <c r="E2209" t="s">
        <v>31</v>
      </c>
      <c r="F2209">
        <v>1</v>
      </c>
      <c r="G2209" s="3" t="s">
        <v>32</v>
      </c>
      <c r="H2209" s="44" t="s">
        <v>15</v>
      </c>
      <c r="I2209" s="17">
        <v>1040244.45</v>
      </c>
      <c r="J2209" s="17">
        <f>IF(Gastos[[#This Row],[Divisa]]="$", I2209*1, IF(Gastos[[#This Row],[Divisa]]="U$D", I2209*$N$1, IF(Gastos[[#This Row],[Divisa]]="EUR", I2209*$N$2, 0)))</f>
        <v>1040244.45</v>
      </c>
      <c r="K2209" s="54">
        <f>Gastos[[#This Row],[Importe AR$]]/$N$1</f>
        <v>666.82336538461539</v>
      </c>
      <c r="M2209" s="69">
        <v>46161</v>
      </c>
      <c r="N2209" s="43">
        <f>IF(Gastos[[#This Row],[Fecha_Cheque]]&gt;0,WEEKNUM(Gastos[[#This Row],[Fecha_Cheque]]),MID(Gastos[[#This Row],[Semana]],6,2))</f>
        <v>21</v>
      </c>
      <c r="O2209" t="s">
        <v>2616</v>
      </c>
      <c r="P2209" t="s">
        <v>27</v>
      </c>
    </row>
    <row r="2210" spans="1:16" hidden="1" x14ac:dyDescent="0.25">
      <c r="A2210" s="3" t="s">
        <v>332</v>
      </c>
      <c r="B2210" t="s">
        <v>1347</v>
      </c>
      <c r="C2210" t="s">
        <v>2614</v>
      </c>
      <c r="D2210" t="s">
        <v>26</v>
      </c>
      <c r="E2210" t="s">
        <v>31</v>
      </c>
      <c r="F2210">
        <v>1</v>
      </c>
      <c r="G2210" s="3" t="s">
        <v>32</v>
      </c>
      <c r="H2210" s="44" t="s">
        <v>15</v>
      </c>
      <c r="I2210" s="17">
        <v>1040244.45</v>
      </c>
      <c r="J2210" s="17">
        <f>IF(Gastos[[#This Row],[Divisa]]="$", I2210*1, IF(Gastos[[#This Row],[Divisa]]="U$D", I2210*$N$1, IF(Gastos[[#This Row],[Divisa]]="EUR", I2210*$N$2, 0)))</f>
        <v>1040244.45</v>
      </c>
      <c r="K2210" s="54">
        <f>Gastos[[#This Row],[Importe AR$]]/$N$1</f>
        <v>666.82336538461539</v>
      </c>
      <c r="M2210" s="69">
        <v>46192</v>
      </c>
      <c r="N2210" s="43">
        <f>IF(Gastos[[#This Row],[Fecha_Cheque]]&gt;0,WEEKNUM(Gastos[[#This Row],[Fecha_Cheque]]),MID(Gastos[[#This Row],[Semana]],6,2))</f>
        <v>25</v>
      </c>
      <c r="O2210" t="s">
        <v>2616</v>
      </c>
      <c r="P2210" t="s">
        <v>27</v>
      </c>
    </row>
    <row r="2211" spans="1:16" hidden="1" x14ac:dyDescent="0.25">
      <c r="A2211" s="3" t="s">
        <v>332</v>
      </c>
      <c r="B2211" t="s">
        <v>1347</v>
      </c>
      <c r="C2211" t="s">
        <v>2614</v>
      </c>
      <c r="D2211" t="s">
        <v>26</v>
      </c>
      <c r="E2211" t="s">
        <v>31</v>
      </c>
      <c r="F2211">
        <v>1</v>
      </c>
      <c r="G2211" s="3" t="s">
        <v>32</v>
      </c>
      <c r="H2211" s="44" t="s">
        <v>15</v>
      </c>
      <c r="I2211" s="17">
        <v>1040244.45</v>
      </c>
      <c r="J2211" s="17">
        <f>IF(Gastos[[#This Row],[Divisa]]="$", I2211*1, IF(Gastos[[#This Row],[Divisa]]="U$D", I2211*$N$1, IF(Gastos[[#This Row],[Divisa]]="EUR", I2211*$N$2, 0)))</f>
        <v>1040244.45</v>
      </c>
      <c r="K2211" s="54">
        <f>Gastos[[#This Row],[Importe AR$]]/$N$1</f>
        <v>666.82336538461539</v>
      </c>
      <c r="M2211" s="69">
        <v>46222</v>
      </c>
      <c r="N2211" s="43">
        <f>IF(Gastos[[#This Row],[Fecha_Cheque]]&gt;0,WEEKNUM(Gastos[[#This Row],[Fecha_Cheque]]),MID(Gastos[[#This Row],[Semana]],6,2))</f>
        <v>30</v>
      </c>
      <c r="O2211" t="s">
        <v>2616</v>
      </c>
      <c r="P2211" t="s">
        <v>27</v>
      </c>
    </row>
    <row r="2212" spans="1:16" hidden="1" x14ac:dyDescent="0.25">
      <c r="A2212" s="3" t="s">
        <v>332</v>
      </c>
      <c r="B2212" t="s">
        <v>1347</v>
      </c>
      <c r="C2212" t="s">
        <v>2614</v>
      </c>
      <c r="D2212" t="s">
        <v>26</v>
      </c>
      <c r="E2212" t="s">
        <v>31</v>
      </c>
      <c r="F2212">
        <v>1</v>
      </c>
      <c r="G2212" s="3" t="s">
        <v>32</v>
      </c>
      <c r="H2212" s="44" t="s">
        <v>15</v>
      </c>
      <c r="I2212" s="17">
        <v>69932.399999999994</v>
      </c>
      <c r="J2212" s="17">
        <f>IF(Gastos[[#This Row],[Divisa]]="$", I2212*1, IF(Gastos[[#This Row],[Divisa]]="U$D", I2212*$N$1, IF(Gastos[[#This Row],[Divisa]]="EUR", I2212*$N$2, 0)))</f>
        <v>69932.399999999994</v>
      </c>
      <c r="K2212" s="54">
        <f>Gastos[[#This Row],[Importe AR$]]/$N$1</f>
        <v>44.828461538461532</v>
      </c>
      <c r="L2212" t="s">
        <v>340</v>
      </c>
      <c r="M2212" s="69"/>
      <c r="N2212" s="43" t="str">
        <f>IF(Gastos[[#This Row],[Fecha_Cheque]]&gt;0,WEEKNUM(Gastos[[#This Row],[Fecha_Cheque]]),MID(Gastos[[#This Row],[Semana]],6,2))</f>
        <v>12</v>
      </c>
      <c r="O2212" t="s">
        <v>2616</v>
      </c>
      <c r="P2212" t="s">
        <v>27</v>
      </c>
    </row>
    <row r="2213" spans="1:16" hidden="1" x14ac:dyDescent="0.25">
      <c r="A2213" s="3" t="s">
        <v>39</v>
      </c>
      <c r="B2213" t="s">
        <v>1347</v>
      </c>
      <c r="C2213" t="s">
        <v>2473</v>
      </c>
      <c r="D2213" t="s">
        <v>26</v>
      </c>
      <c r="E2213" t="s">
        <v>31</v>
      </c>
      <c r="F2213">
        <v>1</v>
      </c>
      <c r="G2213" s="3" t="s">
        <v>32</v>
      </c>
      <c r="H2213" s="44" t="s">
        <v>15</v>
      </c>
      <c r="I2213" s="17">
        <v>3218191.37</v>
      </c>
      <c r="J2213" s="17">
        <f>IF(Gastos[[#This Row],[Divisa]]="$", I2213*1, IF(Gastos[[#This Row],[Divisa]]="U$D", I2213*$N$1, IF(Gastos[[#This Row],[Divisa]]="EUR", I2213*$N$2, 0)))</f>
        <v>3218191.37</v>
      </c>
      <c r="K2213" s="54">
        <f>Gastos[[#This Row],[Importe AR$]]/$N$1</f>
        <v>2062.9431858974358</v>
      </c>
      <c r="M2213" s="69">
        <v>46142</v>
      </c>
      <c r="N2213" s="43">
        <f>IF(Gastos[[#This Row],[Fecha_Cheque]]&gt;0,WEEKNUM(Gastos[[#This Row],[Fecha_Cheque]]),MID(Gastos[[#This Row],[Semana]],6,2))</f>
        <v>18</v>
      </c>
      <c r="O2213" t="s">
        <v>2635</v>
      </c>
      <c r="P2213" t="s">
        <v>27</v>
      </c>
    </row>
    <row r="2214" spans="1:16" hidden="1" x14ac:dyDescent="0.25">
      <c r="A2214" s="3" t="s">
        <v>39</v>
      </c>
      <c r="B2214" t="s">
        <v>1347</v>
      </c>
      <c r="C2214" t="s">
        <v>2473</v>
      </c>
      <c r="D2214" t="s">
        <v>26</v>
      </c>
      <c r="E2214" t="s">
        <v>31</v>
      </c>
      <c r="F2214">
        <v>1</v>
      </c>
      <c r="G2214" s="3" t="s">
        <v>32</v>
      </c>
      <c r="H2214" s="44" t="s">
        <v>15</v>
      </c>
      <c r="I2214" s="17">
        <v>3218191.37</v>
      </c>
      <c r="J2214" s="17">
        <f>IF(Gastos[[#This Row],[Divisa]]="$", I2214*1, IF(Gastos[[#This Row],[Divisa]]="U$D", I2214*$N$1, IF(Gastos[[#This Row],[Divisa]]="EUR", I2214*$N$2, 0)))</f>
        <v>3218191.37</v>
      </c>
      <c r="K2214" s="54">
        <f>Gastos[[#This Row],[Importe AR$]]/$N$1</f>
        <v>2062.9431858974358</v>
      </c>
      <c r="M2214" s="69">
        <v>46173</v>
      </c>
      <c r="N2214" s="43">
        <f>IF(Gastos[[#This Row],[Fecha_Cheque]]&gt;0,WEEKNUM(Gastos[[#This Row],[Fecha_Cheque]]),MID(Gastos[[#This Row],[Semana]],6,2))</f>
        <v>23</v>
      </c>
      <c r="O2214" t="s">
        <v>2635</v>
      </c>
      <c r="P2214" t="s">
        <v>27</v>
      </c>
    </row>
    <row r="2215" spans="1:16" hidden="1" x14ac:dyDescent="0.25">
      <c r="A2215" s="3" t="s">
        <v>39</v>
      </c>
      <c r="B2215" t="s">
        <v>1347</v>
      </c>
      <c r="C2215" t="s">
        <v>2473</v>
      </c>
      <c r="D2215" t="s">
        <v>26</v>
      </c>
      <c r="E2215" t="s">
        <v>31</v>
      </c>
      <c r="F2215">
        <v>1</v>
      </c>
      <c r="G2215" s="3" t="s">
        <v>32</v>
      </c>
      <c r="H2215" s="44" t="s">
        <v>15</v>
      </c>
      <c r="I2215" s="17">
        <v>3218191.37</v>
      </c>
      <c r="J2215" s="17">
        <f>IF(Gastos[[#This Row],[Divisa]]="$", I2215*1, IF(Gastos[[#This Row],[Divisa]]="U$D", I2215*$N$1, IF(Gastos[[#This Row],[Divisa]]="EUR", I2215*$N$2, 0)))</f>
        <v>3218191.37</v>
      </c>
      <c r="K2215" s="54">
        <f>Gastos[[#This Row],[Importe AR$]]/$N$1</f>
        <v>2062.9431858974358</v>
      </c>
      <c r="M2215" s="69">
        <v>46203</v>
      </c>
      <c r="N2215" s="43">
        <f>IF(Gastos[[#This Row],[Fecha_Cheque]]&gt;0,WEEKNUM(Gastos[[#This Row],[Fecha_Cheque]]),MID(Gastos[[#This Row],[Semana]],6,2))</f>
        <v>27</v>
      </c>
      <c r="O2215" t="s">
        <v>2635</v>
      </c>
      <c r="P2215" t="s">
        <v>27</v>
      </c>
    </row>
    <row r="2216" spans="1:16" hidden="1" x14ac:dyDescent="0.25">
      <c r="A2216" s="3" t="s">
        <v>39</v>
      </c>
      <c r="B2216" t="s">
        <v>1347</v>
      </c>
      <c r="C2216" t="s">
        <v>2473</v>
      </c>
      <c r="D2216" t="s">
        <v>26</v>
      </c>
      <c r="E2216" t="s">
        <v>31</v>
      </c>
      <c r="F2216">
        <v>1</v>
      </c>
      <c r="G2216" s="3" t="s">
        <v>32</v>
      </c>
      <c r="H2216" s="44" t="s">
        <v>15</v>
      </c>
      <c r="I2216" s="17">
        <v>3218191.39</v>
      </c>
      <c r="J2216" s="17">
        <f>IF(Gastos[[#This Row],[Divisa]]="$", I2216*1, IF(Gastos[[#This Row],[Divisa]]="U$D", I2216*$N$1, IF(Gastos[[#This Row],[Divisa]]="EUR", I2216*$N$2, 0)))</f>
        <v>3218191.39</v>
      </c>
      <c r="K2216" s="54">
        <f>Gastos[[#This Row],[Importe AR$]]/$N$1</f>
        <v>2062.9431987179487</v>
      </c>
      <c r="M2216" s="69">
        <v>46234</v>
      </c>
      <c r="N2216" s="43">
        <f>IF(Gastos[[#This Row],[Fecha_Cheque]]&gt;0,WEEKNUM(Gastos[[#This Row],[Fecha_Cheque]]),MID(Gastos[[#This Row],[Semana]],6,2))</f>
        <v>31</v>
      </c>
      <c r="O2216" t="s">
        <v>2635</v>
      </c>
      <c r="P2216" t="s">
        <v>27</v>
      </c>
    </row>
    <row r="2217" spans="1:16" hidden="1" x14ac:dyDescent="0.25">
      <c r="A2217" s="3" t="s">
        <v>39</v>
      </c>
      <c r="B2217" t="s">
        <v>1347</v>
      </c>
      <c r="C2217" t="s">
        <v>2473</v>
      </c>
      <c r="D2217" t="s">
        <v>26</v>
      </c>
      <c r="E2217" t="s">
        <v>31</v>
      </c>
      <c r="F2217">
        <v>1</v>
      </c>
      <c r="G2217" s="3" t="s">
        <v>32</v>
      </c>
      <c r="H2217" s="44" t="s">
        <v>15</v>
      </c>
      <c r="I2217" s="17">
        <v>216349</v>
      </c>
      <c r="J2217" s="17">
        <f>IF(Gastos[[#This Row],[Divisa]]="$", I2217*1, IF(Gastos[[#This Row],[Divisa]]="U$D", I2217*$N$1, IF(Gastos[[#This Row],[Divisa]]="EUR", I2217*$N$2, 0)))</f>
        <v>216349</v>
      </c>
      <c r="K2217" s="54">
        <f>Gastos[[#This Row],[Importe AR$]]/$N$1</f>
        <v>138.68525641025641</v>
      </c>
      <c r="L2217" t="s">
        <v>340</v>
      </c>
      <c r="M2217" s="69"/>
      <c r="N2217" s="43" t="str">
        <f>IF(Gastos[[#This Row],[Fecha_Cheque]]&gt;0,WEEKNUM(Gastos[[#This Row],[Fecha_Cheque]]),MID(Gastos[[#This Row],[Semana]],6,2))</f>
        <v>14</v>
      </c>
      <c r="O2217" t="s">
        <v>2635</v>
      </c>
      <c r="P2217" t="s">
        <v>27</v>
      </c>
    </row>
    <row r="2218" spans="1:16" hidden="1" x14ac:dyDescent="0.25">
      <c r="A2218" s="3" t="s">
        <v>2711</v>
      </c>
      <c r="B2218" t="s">
        <v>1347</v>
      </c>
      <c r="C2218" t="s">
        <v>2096</v>
      </c>
      <c r="D2218" t="s">
        <v>26</v>
      </c>
      <c r="E2218" t="s">
        <v>31</v>
      </c>
      <c r="F2218">
        <v>1</v>
      </c>
      <c r="G2218" s="3" t="s">
        <v>32</v>
      </c>
      <c r="H2218" s="44" t="s">
        <v>15</v>
      </c>
      <c r="I2218" s="17">
        <v>3385497.85</v>
      </c>
      <c r="J2218" s="17">
        <f>IF(Gastos[[#This Row],[Divisa]]="$", I2218*1, IF(Gastos[[#This Row],[Divisa]]="U$D", I2218*$N$1, IF(Gastos[[#This Row],[Divisa]]="EUR", I2218*$N$2, 0)))</f>
        <v>3385497.85</v>
      </c>
      <c r="K2218" s="54">
        <f>Gastos[[#This Row],[Importe AR$]]/$N$1</f>
        <v>2170.1909294871793</v>
      </c>
      <c r="M2218" s="69">
        <v>46151</v>
      </c>
      <c r="N2218" s="43">
        <f>IF(Gastos[[#This Row],[Fecha_Cheque]]&gt;0,WEEKNUM(Gastos[[#This Row],[Fecha_Cheque]]),MID(Gastos[[#This Row],[Semana]],6,2))</f>
        <v>19</v>
      </c>
      <c r="O2218" t="s">
        <v>2889</v>
      </c>
      <c r="P2218" t="s">
        <v>27</v>
      </c>
    </row>
    <row r="2219" spans="1:16" hidden="1" x14ac:dyDescent="0.25">
      <c r="A2219" s="3" t="s">
        <v>2711</v>
      </c>
      <c r="B2219" t="s">
        <v>1347</v>
      </c>
      <c r="C2219" t="s">
        <v>2096</v>
      </c>
      <c r="D2219" t="s">
        <v>26</v>
      </c>
      <c r="E2219" t="s">
        <v>31</v>
      </c>
      <c r="F2219">
        <v>1</v>
      </c>
      <c r="G2219" s="3" t="s">
        <v>32</v>
      </c>
      <c r="H2219" s="44" t="s">
        <v>15</v>
      </c>
      <c r="I2219" s="17">
        <v>3385497.85</v>
      </c>
      <c r="J2219" s="17">
        <f>IF(Gastos[[#This Row],[Divisa]]="$", I2219*1, IF(Gastos[[#This Row],[Divisa]]="U$D", I2219*$N$1, IF(Gastos[[#This Row],[Divisa]]="EUR", I2219*$N$2, 0)))</f>
        <v>3385497.85</v>
      </c>
      <c r="K2219" s="54">
        <f>Gastos[[#This Row],[Importe AR$]]/$N$1</f>
        <v>2170.1909294871793</v>
      </c>
      <c r="M2219" s="69">
        <v>46182</v>
      </c>
      <c r="N2219" s="43">
        <f>IF(Gastos[[#This Row],[Fecha_Cheque]]&gt;0,WEEKNUM(Gastos[[#This Row],[Fecha_Cheque]]),MID(Gastos[[#This Row],[Semana]],6,2))</f>
        <v>24</v>
      </c>
      <c r="O2219" t="s">
        <v>2889</v>
      </c>
      <c r="P2219" t="s">
        <v>27</v>
      </c>
    </row>
    <row r="2220" spans="1:16" hidden="1" x14ac:dyDescent="0.25">
      <c r="A2220" s="3" t="s">
        <v>2711</v>
      </c>
      <c r="B2220" t="s">
        <v>1347</v>
      </c>
      <c r="C2220" t="s">
        <v>2096</v>
      </c>
      <c r="D2220" t="s">
        <v>26</v>
      </c>
      <c r="E2220" t="s">
        <v>31</v>
      </c>
      <c r="F2220">
        <v>1</v>
      </c>
      <c r="G2220" s="3" t="s">
        <v>32</v>
      </c>
      <c r="H2220" s="44" t="s">
        <v>15</v>
      </c>
      <c r="I2220" s="17">
        <v>3385497.85</v>
      </c>
      <c r="J2220" s="17">
        <f>IF(Gastos[[#This Row],[Divisa]]="$", I2220*1, IF(Gastos[[#This Row],[Divisa]]="U$D", I2220*$N$1, IF(Gastos[[#This Row],[Divisa]]="EUR", I2220*$N$2, 0)))</f>
        <v>3385497.85</v>
      </c>
      <c r="K2220" s="54">
        <f>Gastos[[#This Row],[Importe AR$]]/$N$1</f>
        <v>2170.1909294871793</v>
      </c>
      <c r="M2220" s="69">
        <v>46212</v>
      </c>
      <c r="N2220" s="43">
        <f>IF(Gastos[[#This Row],[Fecha_Cheque]]&gt;0,WEEKNUM(Gastos[[#This Row],[Fecha_Cheque]]),MID(Gastos[[#This Row],[Semana]],6,2))</f>
        <v>28</v>
      </c>
      <c r="O2220" t="s">
        <v>2889</v>
      </c>
      <c r="P2220" t="s">
        <v>27</v>
      </c>
    </row>
    <row r="2221" spans="1:16" hidden="1" x14ac:dyDescent="0.25">
      <c r="A2221" s="3" t="s">
        <v>2711</v>
      </c>
      <c r="B2221" t="s">
        <v>1347</v>
      </c>
      <c r="C2221" t="s">
        <v>2096</v>
      </c>
      <c r="D2221" t="s">
        <v>26</v>
      </c>
      <c r="E2221" t="s">
        <v>31</v>
      </c>
      <c r="F2221">
        <v>1</v>
      </c>
      <c r="G2221" s="3" t="s">
        <v>32</v>
      </c>
      <c r="H2221" s="44" t="s">
        <v>15</v>
      </c>
      <c r="I2221" s="17">
        <v>3385497.85</v>
      </c>
      <c r="J2221" s="17">
        <f>IF(Gastos[[#This Row],[Divisa]]="$", I2221*1, IF(Gastos[[#This Row],[Divisa]]="U$D", I2221*$N$1, IF(Gastos[[#This Row],[Divisa]]="EUR", I2221*$N$2, 0)))</f>
        <v>3385497.85</v>
      </c>
      <c r="K2221" s="54">
        <f>Gastos[[#This Row],[Importe AR$]]/$N$1</f>
        <v>2170.1909294871793</v>
      </c>
      <c r="M2221" s="69">
        <v>46243</v>
      </c>
      <c r="N2221" s="43">
        <f>IF(Gastos[[#This Row],[Fecha_Cheque]]&gt;0,WEEKNUM(Gastos[[#This Row],[Fecha_Cheque]]),MID(Gastos[[#This Row],[Semana]],6,2))</f>
        <v>33</v>
      </c>
      <c r="O2221" t="s">
        <v>2889</v>
      </c>
      <c r="P2221" t="s">
        <v>27</v>
      </c>
    </row>
    <row r="2222" spans="1:16" hidden="1" x14ac:dyDescent="0.25">
      <c r="A2222" s="3" t="s">
        <v>2711</v>
      </c>
      <c r="B2222" t="s">
        <v>1347</v>
      </c>
      <c r="C2222" t="s">
        <v>2096</v>
      </c>
      <c r="D2222" t="s">
        <v>26</v>
      </c>
      <c r="E2222" t="s">
        <v>31</v>
      </c>
      <c r="F2222">
        <v>1</v>
      </c>
      <c r="G2222" s="3" t="s">
        <v>32</v>
      </c>
      <c r="H2222" s="44" t="s">
        <v>15</v>
      </c>
      <c r="I2222" s="17">
        <v>223041.2</v>
      </c>
      <c r="J2222" s="17">
        <f>IF(Gastos[[#This Row],[Divisa]]="$", I2222*1, IF(Gastos[[#This Row],[Divisa]]="U$D", I2222*$N$1, IF(Gastos[[#This Row],[Divisa]]="EUR", I2222*$N$2, 0)))</f>
        <v>223041.2</v>
      </c>
      <c r="K2222" s="54">
        <f>Gastos[[#This Row],[Importe AR$]]/$N$1</f>
        <v>142.97512820512821</v>
      </c>
      <c r="L2222" t="s">
        <v>340</v>
      </c>
      <c r="M2222" s="69"/>
      <c r="N2222" s="43" t="str">
        <f>IF(Gastos[[#This Row],[Fecha_Cheque]]&gt;0,WEEKNUM(Gastos[[#This Row],[Fecha_Cheque]]),MID(Gastos[[#This Row],[Semana]],6,2))</f>
        <v>15</v>
      </c>
      <c r="O2222" t="s">
        <v>2889</v>
      </c>
      <c r="P2222" t="s">
        <v>27</v>
      </c>
    </row>
    <row r="2223" spans="1:16" hidden="1" x14ac:dyDescent="0.25">
      <c r="A2223" s="3" t="s">
        <v>2740</v>
      </c>
      <c r="B2223" t="s">
        <v>1347</v>
      </c>
      <c r="C2223" t="s">
        <v>2943</v>
      </c>
      <c r="D2223" t="s">
        <v>26</v>
      </c>
      <c r="E2223" t="s">
        <v>31</v>
      </c>
      <c r="F2223">
        <v>1</v>
      </c>
      <c r="G2223" s="3" t="s">
        <v>32</v>
      </c>
      <c r="H2223" s="44" t="s">
        <v>15</v>
      </c>
      <c r="I2223" s="17">
        <v>2239499.67</v>
      </c>
      <c r="J2223" s="17">
        <f>IF(Gastos[[#This Row],[Divisa]]="$", I2223*1, IF(Gastos[[#This Row],[Divisa]]="U$D", I2223*$N$1, IF(Gastos[[#This Row],[Divisa]]="EUR", I2223*$N$2, 0)))</f>
        <v>2239499.67</v>
      </c>
      <c r="K2223" s="54">
        <f>Gastos[[#This Row],[Importe AR$]]/$N$1</f>
        <v>1435.5767115384615</v>
      </c>
      <c r="M2223" s="69">
        <v>46156</v>
      </c>
      <c r="N2223" s="43">
        <f>IF(Gastos[[#This Row],[Fecha_Cheque]]&gt;0,WEEKNUM(Gastos[[#This Row],[Fecha_Cheque]]),MID(Gastos[[#This Row],[Semana]],6,2))</f>
        <v>20</v>
      </c>
      <c r="O2223" t="s">
        <v>2944</v>
      </c>
      <c r="P2223" t="s">
        <v>27</v>
      </c>
    </row>
    <row r="2224" spans="1:16" hidden="1" x14ac:dyDescent="0.25">
      <c r="A2224" s="3" t="s">
        <v>2740</v>
      </c>
      <c r="B2224" t="s">
        <v>1347</v>
      </c>
      <c r="C2224" t="s">
        <v>2943</v>
      </c>
      <c r="D2224" t="s">
        <v>26</v>
      </c>
      <c r="E2224" t="s">
        <v>31</v>
      </c>
      <c r="F2224">
        <v>1</v>
      </c>
      <c r="G2224" s="3" t="s">
        <v>32</v>
      </c>
      <c r="H2224" s="44" t="s">
        <v>15</v>
      </c>
      <c r="I2224" s="17">
        <v>2239499.67</v>
      </c>
      <c r="J2224" s="17">
        <f>IF(Gastos[[#This Row],[Divisa]]="$", I2224*1, IF(Gastos[[#This Row],[Divisa]]="U$D", I2224*$N$1, IF(Gastos[[#This Row],[Divisa]]="EUR", I2224*$N$2, 0)))</f>
        <v>2239499.67</v>
      </c>
      <c r="K2224" s="54">
        <f>Gastos[[#This Row],[Importe AR$]]/$N$1</f>
        <v>1435.5767115384615</v>
      </c>
      <c r="M2224" s="69">
        <v>46187</v>
      </c>
      <c r="N2224" s="43">
        <f>IF(Gastos[[#This Row],[Fecha_Cheque]]&gt;0,WEEKNUM(Gastos[[#This Row],[Fecha_Cheque]]),MID(Gastos[[#This Row],[Semana]],6,2))</f>
        <v>25</v>
      </c>
      <c r="O2224" t="s">
        <v>2944</v>
      </c>
      <c r="P2224" t="s">
        <v>27</v>
      </c>
    </row>
    <row r="2225" spans="1:16" hidden="1" x14ac:dyDescent="0.25">
      <c r="A2225" s="3" t="s">
        <v>2740</v>
      </c>
      <c r="B2225" t="s">
        <v>1347</v>
      </c>
      <c r="C2225" t="s">
        <v>2943</v>
      </c>
      <c r="D2225" t="s">
        <v>26</v>
      </c>
      <c r="E2225" t="s">
        <v>31</v>
      </c>
      <c r="F2225">
        <v>1</v>
      </c>
      <c r="G2225" s="3" t="s">
        <v>32</v>
      </c>
      <c r="H2225" s="44" t="s">
        <v>15</v>
      </c>
      <c r="I2225" s="17">
        <v>2239499.67</v>
      </c>
      <c r="J2225" s="17">
        <f>IF(Gastos[[#This Row],[Divisa]]="$", I2225*1, IF(Gastos[[#This Row],[Divisa]]="U$D", I2225*$N$1, IF(Gastos[[#This Row],[Divisa]]="EUR", I2225*$N$2, 0)))</f>
        <v>2239499.67</v>
      </c>
      <c r="K2225" s="54">
        <f>Gastos[[#This Row],[Importe AR$]]/$N$1</f>
        <v>1435.5767115384615</v>
      </c>
      <c r="M2225" s="69">
        <v>46217</v>
      </c>
      <c r="N2225" s="43">
        <f>IF(Gastos[[#This Row],[Fecha_Cheque]]&gt;0,WEEKNUM(Gastos[[#This Row],[Fecha_Cheque]]),MID(Gastos[[#This Row],[Semana]],6,2))</f>
        <v>29</v>
      </c>
      <c r="O2225" t="s">
        <v>2944</v>
      </c>
      <c r="P2225" t="s">
        <v>27</v>
      </c>
    </row>
    <row r="2226" spans="1:16" hidden="1" x14ac:dyDescent="0.25">
      <c r="A2226" s="3" t="s">
        <v>2740</v>
      </c>
      <c r="B2226" t="s">
        <v>1347</v>
      </c>
      <c r="C2226" t="s">
        <v>2943</v>
      </c>
      <c r="D2226" t="s">
        <v>26</v>
      </c>
      <c r="E2226" t="s">
        <v>31</v>
      </c>
      <c r="F2226">
        <v>1</v>
      </c>
      <c r="G2226" s="3" t="s">
        <v>32</v>
      </c>
      <c r="H2226" s="44" t="s">
        <v>15</v>
      </c>
      <c r="I2226" s="17">
        <v>2239499.69</v>
      </c>
      <c r="J2226" s="17">
        <f>IF(Gastos[[#This Row],[Divisa]]="$", I2226*1, IF(Gastos[[#This Row],[Divisa]]="U$D", I2226*$N$1, IF(Gastos[[#This Row],[Divisa]]="EUR", I2226*$N$2, 0)))</f>
        <v>2239499.69</v>
      </c>
      <c r="K2226" s="54">
        <f>Gastos[[#This Row],[Importe AR$]]/$N$1</f>
        <v>1435.5767243589744</v>
      </c>
      <c r="M2226" s="69">
        <v>46248</v>
      </c>
      <c r="N2226" s="43">
        <f>IF(Gastos[[#This Row],[Fecha_Cheque]]&gt;0,WEEKNUM(Gastos[[#This Row],[Fecha_Cheque]]),MID(Gastos[[#This Row],[Semana]],6,2))</f>
        <v>33</v>
      </c>
      <c r="O2226" t="s">
        <v>2944</v>
      </c>
      <c r="P2226" t="s">
        <v>27</v>
      </c>
    </row>
    <row r="2227" spans="1:16" hidden="1" x14ac:dyDescent="0.25">
      <c r="A2227" s="3" t="s">
        <v>2740</v>
      </c>
      <c r="B2227" t="s">
        <v>1347</v>
      </c>
      <c r="C2227" t="s">
        <v>2943</v>
      </c>
      <c r="D2227" t="s">
        <v>26</v>
      </c>
      <c r="E2227" t="s">
        <v>31</v>
      </c>
      <c r="F2227">
        <v>1</v>
      </c>
      <c r="G2227" s="3" t="s">
        <v>32</v>
      </c>
      <c r="H2227" s="44" t="s">
        <v>15</v>
      </c>
      <c r="I2227" s="17">
        <v>150554.6</v>
      </c>
      <c r="J2227" s="17">
        <f>IF(Gastos[[#This Row],[Divisa]]="$", I2227*1, IF(Gastos[[#This Row],[Divisa]]="U$D", I2227*$N$1, IF(Gastos[[#This Row],[Divisa]]="EUR", I2227*$N$2, 0)))</f>
        <v>150554.6</v>
      </c>
      <c r="K2227" s="54">
        <f>Gastos[[#This Row],[Importe AR$]]/$N$1</f>
        <v>96.509358974358975</v>
      </c>
      <c r="L2227" t="s">
        <v>340</v>
      </c>
      <c r="M2227" s="69"/>
      <c r="N2227" s="43" t="str">
        <f>IF(Gastos[[#This Row],[Fecha_Cheque]]&gt;0,WEEKNUM(Gastos[[#This Row],[Fecha_Cheque]]),MID(Gastos[[#This Row],[Semana]],6,2))</f>
        <v>16</v>
      </c>
      <c r="O2227" t="s">
        <v>2944</v>
      </c>
      <c r="P2227" t="s">
        <v>27</v>
      </c>
    </row>
    <row r="2228" spans="1:16" hidden="1" x14ac:dyDescent="0.25">
      <c r="A2228" s="3" t="s">
        <v>2740</v>
      </c>
      <c r="B2228" t="s">
        <v>1347</v>
      </c>
      <c r="C2228" t="s">
        <v>2943</v>
      </c>
      <c r="D2228" t="s">
        <v>26</v>
      </c>
      <c r="E2228" t="s">
        <v>31</v>
      </c>
      <c r="F2228">
        <v>1</v>
      </c>
      <c r="G2228" s="3" t="s">
        <v>32</v>
      </c>
      <c r="H2228" s="44" t="s">
        <v>15</v>
      </c>
      <c r="I2228" s="17">
        <v>1090376.17</v>
      </c>
      <c r="J2228" s="17">
        <f>IF(Gastos[[#This Row],[Divisa]]="$", I2228*1, IF(Gastos[[#This Row],[Divisa]]="U$D", I2228*$N$1, IF(Gastos[[#This Row],[Divisa]]="EUR", I2228*$N$2, 0)))</f>
        <v>1090376.17</v>
      </c>
      <c r="K2228" s="54">
        <f>Gastos[[#This Row],[Importe AR$]]/$N$1</f>
        <v>698.9590833333333</v>
      </c>
      <c r="M2228" s="69">
        <v>46187</v>
      </c>
      <c r="N2228" s="43">
        <f>IF(Gastos[[#This Row],[Fecha_Cheque]]&gt;0,WEEKNUM(Gastos[[#This Row],[Fecha_Cheque]]),MID(Gastos[[#This Row],[Semana]],6,2))</f>
        <v>25</v>
      </c>
      <c r="O2228" t="s">
        <v>2948</v>
      </c>
      <c r="P2228" t="s">
        <v>27</v>
      </c>
    </row>
    <row r="2229" spans="1:16" hidden="1" x14ac:dyDescent="0.25">
      <c r="A2229" s="3" t="s">
        <v>2740</v>
      </c>
      <c r="B2229" t="s">
        <v>1347</v>
      </c>
      <c r="C2229" t="s">
        <v>2943</v>
      </c>
      <c r="D2229" t="s">
        <v>26</v>
      </c>
      <c r="E2229" t="s">
        <v>31</v>
      </c>
      <c r="F2229">
        <v>1</v>
      </c>
      <c r="G2229" s="3" t="s">
        <v>32</v>
      </c>
      <c r="H2229" s="44" t="s">
        <v>15</v>
      </c>
      <c r="I2229" s="17">
        <v>1090376.17</v>
      </c>
      <c r="J2229" s="17">
        <f>IF(Gastos[[#This Row],[Divisa]]="$", I2229*1, IF(Gastos[[#This Row],[Divisa]]="U$D", I2229*$N$1, IF(Gastos[[#This Row],[Divisa]]="EUR", I2229*$N$2, 0)))</f>
        <v>1090376.17</v>
      </c>
      <c r="K2229" s="54">
        <f>Gastos[[#This Row],[Importe AR$]]/$N$1</f>
        <v>698.9590833333333</v>
      </c>
      <c r="M2229" s="69">
        <v>46156</v>
      </c>
      <c r="N2229" s="43">
        <f>IF(Gastos[[#This Row],[Fecha_Cheque]]&gt;0,WEEKNUM(Gastos[[#This Row],[Fecha_Cheque]]),MID(Gastos[[#This Row],[Semana]],6,2))</f>
        <v>20</v>
      </c>
      <c r="O2229" t="s">
        <v>2948</v>
      </c>
      <c r="P2229" t="s">
        <v>27</v>
      </c>
    </row>
    <row r="2230" spans="1:16" hidden="1" x14ac:dyDescent="0.25">
      <c r="A2230" s="3" t="s">
        <v>2740</v>
      </c>
      <c r="B2230" t="s">
        <v>1347</v>
      </c>
      <c r="C2230" t="s">
        <v>2943</v>
      </c>
      <c r="D2230" t="s">
        <v>26</v>
      </c>
      <c r="E2230" t="s">
        <v>31</v>
      </c>
      <c r="F2230">
        <v>1</v>
      </c>
      <c r="G2230" s="3" t="s">
        <v>32</v>
      </c>
      <c r="H2230" s="44" t="s">
        <v>15</v>
      </c>
      <c r="I2230" s="17">
        <v>1090376.17</v>
      </c>
      <c r="J2230" s="17">
        <f>IF(Gastos[[#This Row],[Divisa]]="$", I2230*1, IF(Gastos[[#This Row],[Divisa]]="U$D", I2230*$N$1, IF(Gastos[[#This Row],[Divisa]]="EUR", I2230*$N$2, 0)))</f>
        <v>1090376.17</v>
      </c>
      <c r="K2230" s="54">
        <f>Gastos[[#This Row],[Importe AR$]]/$N$1</f>
        <v>698.9590833333333</v>
      </c>
      <c r="M2230" s="69">
        <v>46248</v>
      </c>
      <c r="N2230" s="43">
        <f>IF(Gastos[[#This Row],[Fecha_Cheque]]&gt;0,WEEKNUM(Gastos[[#This Row],[Fecha_Cheque]]),MID(Gastos[[#This Row],[Semana]],6,2))</f>
        <v>33</v>
      </c>
      <c r="O2230" t="s">
        <v>2948</v>
      </c>
      <c r="P2230" t="s">
        <v>27</v>
      </c>
    </row>
    <row r="2231" spans="1:16" hidden="1" x14ac:dyDescent="0.25">
      <c r="A2231" s="3" t="s">
        <v>2740</v>
      </c>
      <c r="B2231" t="s">
        <v>1347</v>
      </c>
      <c r="C2231" t="s">
        <v>2943</v>
      </c>
      <c r="D2231" t="s">
        <v>26</v>
      </c>
      <c r="E2231" t="s">
        <v>31</v>
      </c>
      <c r="F2231">
        <v>1</v>
      </c>
      <c r="G2231" s="3" t="s">
        <v>32</v>
      </c>
      <c r="H2231" s="44" t="s">
        <v>15</v>
      </c>
      <c r="I2231" s="17">
        <v>1090376.19</v>
      </c>
      <c r="J2231" s="17">
        <f>IF(Gastos[[#This Row],[Divisa]]="$", I2231*1, IF(Gastos[[#This Row],[Divisa]]="U$D", I2231*$N$1, IF(Gastos[[#This Row],[Divisa]]="EUR", I2231*$N$2, 0)))</f>
        <v>1090376.19</v>
      </c>
      <c r="K2231" s="54">
        <f>Gastos[[#This Row],[Importe AR$]]/$N$1</f>
        <v>698.95909615384608</v>
      </c>
      <c r="M2231" s="69">
        <v>46217</v>
      </c>
      <c r="N2231" s="43">
        <f>IF(Gastos[[#This Row],[Fecha_Cheque]]&gt;0,WEEKNUM(Gastos[[#This Row],[Fecha_Cheque]]),MID(Gastos[[#This Row],[Semana]],6,2))</f>
        <v>29</v>
      </c>
      <c r="O2231" t="s">
        <v>2948</v>
      </c>
      <c r="P2231" t="s">
        <v>27</v>
      </c>
    </row>
    <row r="2232" spans="1:16" hidden="1" x14ac:dyDescent="0.25">
      <c r="A2232" s="3" t="s">
        <v>2740</v>
      </c>
      <c r="B2232" t="s">
        <v>1347</v>
      </c>
      <c r="C2232" t="s">
        <v>2943</v>
      </c>
      <c r="D2232" t="s">
        <v>26</v>
      </c>
      <c r="E2232" t="s">
        <v>31</v>
      </c>
      <c r="F2232">
        <v>1</v>
      </c>
      <c r="G2232" s="3" t="s">
        <v>32</v>
      </c>
      <c r="H2232" s="44" t="s">
        <v>15</v>
      </c>
      <c r="I2232" s="17">
        <v>73302.600000000006</v>
      </c>
      <c r="J2232" s="17">
        <f>IF(Gastos[[#This Row],[Divisa]]="$", I2232*1, IF(Gastos[[#This Row],[Divisa]]="U$D", I2232*$N$1, IF(Gastos[[#This Row],[Divisa]]="EUR", I2232*$N$2, 0)))</f>
        <v>73302.600000000006</v>
      </c>
      <c r="K2232" s="54">
        <f>Gastos[[#This Row],[Importe AR$]]/$N$1</f>
        <v>46.988846153846154</v>
      </c>
      <c r="L2232" t="s">
        <v>340</v>
      </c>
      <c r="M2232" s="69"/>
      <c r="N2232" s="43" t="str">
        <f>IF(Gastos[[#This Row],[Fecha_Cheque]]&gt;0,WEEKNUM(Gastos[[#This Row],[Fecha_Cheque]]),MID(Gastos[[#This Row],[Semana]],6,2))</f>
        <v>16</v>
      </c>
      <c r="O2232" t="s">
        <v>2948</v>
      </c>
      <c r="P2232" t="s">
        <v>27</v>
      </c>
    </row>
    <row r="2233" spans="1:16" hidden="1" x14ac:dyDescent="0.25">
      <c r="A2233" s="3" t="s">
        <v>2731</v>
      </c>
      <c r="B2233" t="s">
        <v>1347</v>
      </c>
      <c r="C2233" t="s">
        <v>2096</v>
      </c>
      <c r="D2233" t="s">
        <v>26</v>
      </c>
      <c r="E2233" t="s">
        <v>31</v>
      </c>
      <c r="F2233">
        <v>1</v>
      </c>
      <c r="G2233" s="3" t="s">
        <v>32</v>
      </c>
      <c r="H2233" s="44" t="s">
        <v>15</v>
      </c>
      <c r="I2233" s="17">
        <v>215708.4</v>
      </c>
      <c r="J2233" s="17">
        <f>IF(Gastos[[#This Row],[Divisa]]="$", I2233*1, IF(Gastos[[#This Row],[Divisa]]="U$D", I2233*$N$1, IF(Gastos[[#This Row],[Divisa]]="EUR", I2233*$N$2, 0)))</f>
        <v>215708.4</v>
      </c>
      <c r="K2233" s="54">
        <f>Gastos[[#This Row],[Importe AR$]]/$N$1</f>
        <v>138.27461538461537</v>
      </c>
      <c r="L2233" t="s">
        <v>340</v>
      </c>
      <c r="M2233" s="69"/>
      <c r="N2233" s="43" t="str">
        <f>IF(Gastos[[#This Row],[Fecha_Cheque]]&gt;0,WEEKNUM(Gastos[[#This Row],[Fecha_Cheque]]),MID(Gastos[[#This Row],[Semana]],6,2))</f>
        <v>17</v>
      </c>
      <c r="O2233" t="s">
        <v>3010</v>
      </c>
      <c r="P2233" t="s">
        <v>27</v>
      </c>
    </row>
    <row r="2234" spans="1:16" hidden="1" x14ac:dyDescent="0.25">
      <c r="A2234" s="3" t="s">
        <v>2731</v>
      </c>
      <c r="B2234" t="s">
        <v>1347</v>
      </c>
      <c r="C2234" t="s">
        <v>2096</v>
      </c>
      <c r="D2234" t="s">
        <v>26</v>
      </c>
      <c r="E2234" t="s">
        <v>31</v>
      </c>
      <c r="F2234">
        <v>1</v>
      </c>
      <c r="G2234" s="3" t="s">
        <v>32</v>
      </c>
      <c r="H2234" s="44" t="s">
        <v>15</v>
      </c>
      <c r="I2234" s="17">
        <v>3208662.45</v>
      </c>
      <c r="J2234" s="17">
        <f>IF(Gastos[[#This Row],[Divisa]]="$", I2234*1, IF(Gastos[[#This Row],[Divisa]]="U$D", I2234*$N$1, IF(Gastos[[#This Row],[Divisa]]="EUR", I2234*$N$2, 0)))</f>
        <v>3208662.45</v>
      </c>
      <c r="K2234" s="54">
        <f>Gastos[[#This Row],[Importe AR$]]/$N$1</f>
        <v>2056.8349038461538</v>
      </c>
      <c r="M2234" s="69">
        <v>46255</v>
      </c>
      <c r="N2234" s="43">
        <f>IF(Gastos[[#This Row],[Fecha_Cheque]]&gt;0,WEEKNUM(Gastos[[#This Row],[Fecha_Cheque]]),MID(Gastos[[#This Row],[Semana]],6,2))</f>
        <v>34</v>
      </c>
      <c r="O2234" t="s">
        <v>3010</v>
      </c>
      <c r="P2234" t="s">
        <v>27</v>
      </c>
    </row>
    <row r="2235" spans="1:16" hidden="1" x14ac:dyDescent="0.25">
      <c r="A2235" s="3" t="s">
        <v>2731</v>
      </c>
      <c r="B2235" t="s">
        <v>1347</v>
      </c>
      <c r="C2235" t="s">
        <v>2096</v>
      </c>
      <c r="D2235" t="s">
        <v>26</v>
      </c>
      <c r="E2235" t="s">
        <v>31</v>
      </c>
      <c r="F2235">
        <v>1</v>
      </c>
      <c r="G2235" s="3" t="s">
        <v>32</v>
      </c>
      <c r="H2235" s="44" t="s">
        <v>15</v>
      </c>
      <c r="I2235" s="17">
        <v>3208662.45</v>
      </c>
      <c r="J2235" s="17">
        <f>IF(Gastos[[#This Row],[Divisa]]="$", I2235*1, IF(Gastos[[#This Row],[Divisa]]="U$D", I2235*$N$1, IF(Gastos[[#This Row],[Divisa]]="EUR", I2235*$N$2, 0)))</f>
        <v>3208662.45</v>
      </c>
      <c r="K2235" s="54">
        <f>Gastos[[#This Row],[Importe AR$]]/$N$1</f>
        <v>2056.8349038461538</v>
      </c>
      <c r="M2235" s="69">
        <v>46224</v>
      </c>
      <c r="N2235" s="43">
        <f>IF(Gastos[[#This Row],[Fecha_Cheque]]&gt;0,WEEKNUM(Gastos[[#This Row],[Fecha_Cheque]]),MID(Gastos[[#This Row],[Semana]],6,2))</f>
        <v>30</v>
      </c>
      <c r="O2235" t="s">
        <v>3010</v>
      </c>
      <c r="P2235" t="s">
        <v>27</v>
      </c>
    </row>
    <row r="2236" spans="1:16" hidden="1" x14ac:dyDescent="0.25">
      <c r="A2236" s="3" t="s">
        <v>2731</v>
      </c>
      <c r="B2236" t="s">
        <v>1347</v>
      </c>
      <c r="C2236" t="s">
        <v>2096</v>
      </c>
      <c r="D2236" t="s">
        <v>26</v>
      </c>
      <c r="E2236" t="s">
        <v>31</v>
      </c>
      <c r="F2236">
        <v>1</v>
      </c>
      <c r="G2236" s="3" t="s">
        <v>32</v>
      </c>
      <c r="H2236" s="44" t="s">
        <v>15</v>
      </c>
      <c r="I2236" s="17">
        <v>3208662.45</v>
      </c>
      <c r="J2236" s="17">
        <f>IF(Gastos[[#This Row],[Divisa]]="$", I2236*1, IF(Gastos[[#This Row],[Divisa]]="U$D", I2236*$N$1, IF(Gastos[[#This Row],[Divisa]]="EUR", I2236*$N$2, 0)))</f>
        <v>3208662.45</v>
      </c>
      <c r="K2236" s="54">
        <f>Gastos[[#This Row],[Importe AR$]]/$N$1</f>
        <v>2056.8349038461538</v>
      </c>
      <c r="M2236" s="69">
        <v>46194</v>
      </c>
      <c r="N2236" s="43">
        <f>IF(Gastos[[#This Row],[Fecha_Cheque]]&gt;0,WEEKNUM(Gastos[[#This Row],[Fecha_Cheque]]),MID(Gastos[[#This Row],[Semana]],6,2))</f>
        <v>26</v>
      </c>
      <c r="O2236" t="s">
        <v>3010</v>
      </c>
      <c r="P2236" t="s">
        <v>27</v>
      </c>
    </row>
    <row r="2237" spans="1:16" hidden="1" x14ac:dyDescent="0.25">
      <c r="A2237" s="3" t="s">
        <v>2731</v>
      </c>
      <c r="B2237" t="s">
        <v>1347</v>
      </c>
      <c r="C2237" t="s">
        <v>2096</v>
      </c>
      <c r="D2237" t="s">
        <v>26</v>
      </c>
      <c r="E2237" t="s">
        <v>31</v>
      </c>
      <c r="F2237">
        <v>1</v>
      </c>
      <c r="G2237" s="3" t="s">
        <v>32</v>
      </c>
      <c r="H2237" s="44" t="s">
        <v>15</v>
      </c>
      <c r="I2237" s="17">
        <v>3208662.45</v>
      </c>
      <c r="J2237" s="17">
        <f>IF(Gastos[[#This Row],[Divisa]]="$", I2237*1, IF(Gastos[[#This Row],[Divisa]]="U$D", I2237*$N$1, IF(Gastos[[#This Row],[Divisa]]="EUR", I2237*$N$2, 0)))</f>
        <v>3208662.45</v>
      </c>
      <c r="K2237" s="54">
        <f>Gastos[[#This Row],[Importe AR$]]/$N$1</f>
        <v>2056.8349038461538</v>
      </c>
      <c r="M2237" s="69">
        <v>46163</v>
      </c>
      <c r="N2237" s="43">
        <f>IF(Gastos[[#This Row],[Fecha_Cheque]]&gt;0,WEEKNUM(Gastos[[#This Row],[Fecha_Cheque]]),MID(Gastos[[#This Row],[Semana]],6,2))</f>
        <v>21</v>
      </c>
      <c r="O2237" t="s">
        <v>3010</v>
      </c>
      <c r="P2237" t="s">
        <v>27</v>
      </c>
    </row>
    <row r="2238" spans="1:16" hidden="1" x14ac:dyDescent="0.25">
      <c r="A2238" s="3" t="s">
        <v>2792</v>
      </c>
      <c r="B2238" t="s">
        <v>1347</v>
      </c>
      <c r="C2238" t="s">
        <v>2096</v>
      </c>
      <c r="D2238" t="s">
        <v>26</v>
      </c>
      <c r="E2238" t="s">
        <v>62</v>
      </c>
      <c r="F2238">
        <v>1</v>
      </c>
      <c r="G2238" s="3" t="s">
        <v>32</v>
      </c>
      <c r="H2238" s="44" t="s">
        <v>15</v>
      </c>
      <c r="I2238" s="17">
        <v>1213200</v>
      </c>
      <c r="J2238" s="17">
        <f>IF(Gastos[[#This Row],[Divisa]]="$", I2238*1, IF(Gastos[[#This Row],[Divisa]]="U$D", I2238*$N$1, IF(Gastos[[#This Row],[Divisa]]="EUR", I2238*$N$2, 0)))</f>
        <v>1213200</v>
      </c>
      <c r="K2238" s="54">
        <f>Gastos[[#This Row],[Importe AR$]]/$N$1</f>
        <v>777.69230769230774</v>
      </c>
      <c r="M2238" s="69">
        <v>46242</v>
      </c>
      <c r="N2238" s="43">
        <f>IF(Gastos[[#This Row],[Fecha_Cheque]]&gt;0,WEEKNUM(Gastos[[#This Row],[Fecha_Cheque]]),MID(Gastos[[#This Row],[Semana]],6,2))</f>
        <v>32</v>
      </c>
      <c r="O2238" t="s">
        <v>3165</v>
      </c>
      <c r="P2238" t="s">
        <v>27</v>
      </c>
    </row>
    <row r="2239" spans="1:16" hidden="1" x14ac:dyDescent="0.25">
      <c r="A2239" s="3" t="s">
        <v>2792</v>
      </c>
      <c r="B2239" t="s">
        <v>1347</v>
      </c>
      <c r="C2239" t="s">
        <v>2096</v>
      </c>
      <c r="D2239" t="s">
        <v>26</v>
      </c>
      <c r="E2239" t="s">
        <v>62</v>
      </c>
      <c r="F2239">
        <v>1</v>
      </c>
      <c r="G2239" s="3" t="s">
        <v>32</v>
      </c>
      <c r="H2239" s="44" t="s">
        <v>15</v>
      </c>
      <c r="I2239" s="17">
        <v>1214000</v>
      </c>
      <c r="J2239" s="17">
        <f>IF(Gastos[[#This Row],[Divisa]]="$", I2239*1, IF(Gastos[[#This Row],[Divisa]]="U$D", I2239*$N$1, IF(Gastos[[#This Row],[Divisa]]="EUR", I2239*$N$2, 0)))</f>
        <v>1214000</v>
      </c>
      <c r="K2239" s="54">
        <f>Gastos[[#This Row],[Importe AR$]]/$N$1</f>
        <v>778.20512820512818</v>
      </c>
      <c r="M2239" s="69">
        <v>46234</v>
      </c>
      <c r="N2239" s="43">
        <f>IF(Gastos[[#This Row],[Fecha_Cheque]]&gt;0,WEEKNUM(Gastos[[#This Row],[Fecha_Cheque]]),MID(Gastos[[#This Row],[Semana]],6,2))</f>
        <v>31</v>
      </c>
      <c r="O2239" t="s">
        <v>3165</v>
      </c>
      <c r="P2239" t="s">
        <v>27</v>
      </c>
    </row>
    <row r="2240" spans="1:16" hidden="1" x14ac:dyDescent="0.25">
      <c r="A2240" s="3" t="s">
        <v>2792</v>
      </c>
      <c r="B2240" t="s">
        <v>1347</v>
      </c>
      <c r="C2240" t="s">
        <v>2096</v>
      </c>
      <c r="D2240" t="s">
        <v>26</v>
      </c>
      <c r="E2240" t="s">
        <v>62</v>
      </c>
      <c r="F2240">
        <v>1</v>
      </c>
      <c r="G2240" s="3" t="s">
        <v>32</v>
      </c>
      <c r="H2240" s="44" t="s">
        <v>15</v>
      </c>
      <c r="I2240" s="17">
        <v>1214000</v>
      </c>
      <c r="J2240" s="17">
        <f>IF(Gastos[[#This Row],[Divisa]]="$", I2240*1, IF(Gastos[[#This Row],[Divisa]]="U$D", I2240*$N$1, IF(Gastos[[#This Row],[Divisa]]="EUR", I2240*$N$2, 0)))</f>
        <v>1214000</v>
      </c>
      <c r="K2240" s="54">
        <f>Gastos[[#This Row],[Importe AR$]]/$N$1</f>
        <v>778.20512820512818</v>
      </c>
      <c r="M2240" s="69">
        <v>46228</v>
      </c>
      <c r="N2240" s="43">
        <f>IF(Gastos[[#This Row],[Fecha_Cheque]]&gt;0,WEEKNUM(Gastos[[#This Row],[Fecha_Cheque]]),MID(Gastos[[#This Row],[Semana]],6,2))</f>
        <v>30</v>
      </c>
      <c r="O2240" t="s">
        <v>3165</v>
      </c>
      <c r="P2240" t="s">
        <v>27</v>
      </c>
    </row>
    <row r="2241" spans="1:16" hidden="1" x14ac:dyDescent="0.25">
      <c r="A2241" s="3" t="s">
        <v>2792</v>
      </c>
      <c r="B2241" t="s">
        <v>1347</v>
      </c>
      <c r="C2241" t="s">
        <v>2096</v>
      </c>
      <c r="D2241" t="s">
        <v>26</v>
      </c>
      <c r="E2241" t="s">
        <v>62</v>
      </c>
      <c r="F2241">
        <v>1</v>
      </c>
      <c r="G2241" s="3" t="s">
        <v>32</v>
      </c>
      <c r="H2241" s="44" t="s">
        <v>15</v>
      </c>
      <c r="I2241" s="17">
        <v>55705.120000000003</v>
      </c>
      <c r="J2241" s="17">
        <f>IF(Gastos[[#This Row],[Divisa]]="$", I2241*1, IF(Gastos[[#This Row],[Divisa]]="U$D", I2241*$N$1, IF(Gastos[[#This Row],[Divisa]]="EUR", I2241*$N$2, 0)))</f>
        <v>55705.120000000003</v>
      </c>
      <c r="K2241" s="54">
        <f>Gastos[[#This Row],[Importe AR$]]/$N$1</f>
        <v>35.708410256410261</v>
      </c>
      <c r="L2241" t="s">
        <v>340</v>
      </c>
      <c r="M2241" s="69"/>
      <c r="N2241" s="43" t="str">
        <f>IF(Gastos[[#This Row],[Fecha_Cheque]]&gt;0,WEEKNUM(Gastos[[#This Row],[Fecha_Cheque]]),MID(Gastos[[#This Row],[Semana]],6,2))</f>
        <v>21</v>
      </c>
      <c r="O2241" t="s">
        <v>3165</v>
      </c>
      <c r="P2241" t="s">
        <v>27</v>
      </c>
    </row>
    <row r="2242" spans="1:16" hidden="1" x14ac:dyDescent="0.25">
      <c r="A2242" s="3" t="s">
        <v>2841</v>
      </c>
      <c r="B2242" t="s">
        <v>1347</v>
      </c>
      <c r="C2242" t="s">
        <v>2096</v>
      </c>
      <c r="D2242" t="s">
        <v>26</v>
      </c>
      <c r="E2242" t="s">
        <v>62</v>
      </c>
      <c r="F2242">
        <v>1</v>
      </c>
      <c r="G2242" s="3" t="s">
        <v>32</v>
      </c>
      <c r="H2242" s="44" t="s">
        <v>15</v>
      </c>
      <c r="I2242" s="17">
        <v>4000000</v>
      </c>
      <c r="J2242" s="17">
        <f>IF(Gastos[[#This Row],[Divisa]]="$", I2242*1, IF(Gastos[[#This Row],[Divisa]]="U$D", I2242*$N$1, IF(Gastos[[#This Row],[Divisa]]="EUR", I2242*$N$2, 0)))</f>
        <v>4000000</v>
      </c>
      <c r="K2242" s="54">
        <f>Gastos[[#This Row],[Importe AR$]]/$N$1</f>
        <v>2564.102564102564</v>
      </c>
      <c r="M2242" s="69">
        <v>46200</v>
      </c>
      <c r="N2242" s="43">
        <f>IF(Gastos[[#This Row],[Fecha_Cheque]]&gt;0,WEEKNUM(Gastos[[#This Row],[Fecha_Cheque]]),MID(Gastos[[#This Row],[Semana]],6,2))</f>
        <v>26</v>
      </c>
      <c r="O2242" t="s">
        <v>3205</v>
      </c>
      <c r="P2242" t="s">
        <v>27</v>
      </c>
    </row>
    <row r="2243" spans="1:16" hidden="1" x14ac:dyDescent="0.25">
      <c r="A2243" s="3" t="s">
        <v>2841</v>
      </c>
      <c r="B2243" t="s">
        <v>1347</v>
      </c>
      <c r="C2243" t="s">
        <v>2096</v>
      </c>
      <c r="D2243" t="s">
        <v>26</v>
      </c>
      <c r="E2243" t="s">
        <v>62</v>
      </c>
      <c r="F2243">
        <v>1</v>
      </c>
      <c r="G2243" s="3" t="s">
        <v>32</v>
      </c>
      <c r="H2243" s="44" t="s">
        <v>15</v>
      </c>
      <c r="I2243" s="17">
        <v>4000000</v>
      </c>
      <c r="J2243" s="17">
        <f>IF(Gastos[[#This Row],[Divisa]]="$", I2243*1, IF(Gastos[[#This Row],[Divisa]]="U$D", I2243*$N$1, IF(Gastos[[#This Row],[Divisa]]="EUR", I2243*$N$2, 0)))</f>
        <v>4000000</v>
      </c>
      <c r="K2243" s="54">
        <f>Gastos[[#This Row],[Importe AR$]]/$N$1</f>
        <v>2564.102564102564</v>
      </c>
      <c r="M2243" s="69">
        <v>46230</v>
      </c>
      <c r="N2243" s="43">
        <f>IF(Gastos[[#This Row],[Fecha_Cheque]]&gt;0,WEEKNUM(Gastos[[#This Row],[Fecha_Cheque]]),MID(Gastos[[#This Row],[Semana]],6,2))</f>
        <v>31</v>
      </c>
      <c r="O2243" t="s">
        <v>3205</v>
      </c>
      <c r="P2243" t="s">
        <v>27</v>
      </c>
    </row>
    <row r="2244" spans="1:16" hidden="1" x14ac:dyDescent="0.25">
      <c r="A2244" s="3" t="s">
        <v>2841</v>
      </c>
      <c r="B2244" t="s">
        <v>1347</v>
      </c>
      <c r="C2244" t="s">
        <v>2096</v>
      </c>
      <c r="D2244" t="s">
        <v>26</v>
      </c>
      <c r="E2244" t="s">
        <v>62</v>
      </c>
      <c r="F2244">
        <v>1</v>
      </c>
      <c r="G2244" s="3" t="s">
        <v>32</v>
      </c>
      <c r="H2244" s="44" t="s">
        <v>15</v>
      </c>
      <c r="I2244" s="17">
        <v>4000000</v>
      </c>
      <c r="J2244" s="17">
        <f>IF(Gastos[[#This Row],[Divisa]]="$", I2244*1, IF(Gastos[[#This Row],[Divisa]]="U$D", I2244*$N$1, IF(Gastos[[#This Row],[Divisa]]="EUR", I2244*$N$2, 0)))</f>
        <v>4000000</v>
      </c>
      <c r="K2244" s="54">
        <f>Gastos[[#This Row],[Importe AR$]]/$N$1</f>
        <v>2564.102564102564</v>
      </c>
      <c r="M2244" s="69">
        <v>46261</v>
      </c>
      <c r="N2244" s="43">
        <f>IF(Gastos[[#This Row],[Fecha_Cheque]]&gt;0,WEEKNUM(Gastos[[#This Row],[Fecha_Cheque]]),MID(Gastos[[#This Row],[Semana]],6,2))</f>
        <v>35</v>
      </c>
      <c r="O2244" t="s">
        <v>3205</v>
      </c>
      <c r="P2244" t="s">
        <v>27</v>
      </c>
    </row>
    <row r="2245" spans="1:16" hidden="1" x14ac:dyDescent="0.25">
      <c r="A2245" s="3" t="s">
        <v>2841</v>
      </c>
      <c r="B2245" t="s">
        <v>1347</v>
      </c>
      <c r="C2245" t="s">
        <v>2096</v>
      </c>
      <c r="D2245" t="s">
        <v>26</v>
      </c>
      <c r="E2245" t="s">
        <v>62</v>
      </c>
      <c r="F2245">
        <v>1</v>
      </c>
      <c r="G2245" s="3" t="s">
        <v>32</v>
      </c>
      <c r="H2245" s="44" t="s">
        <v>15</v>
      </c>
      <c r="I2245" s="17">
        <v>3508452.2</v>
      </c>
      <c r="J2245" s="17">
        <f>IF(Gastos[[#This Row],[Divisa]]="$", I2245*1, IF(Gastos[[#This Row],[Divisa]]="U$D", I2245*$N$1, IF(Gastos[[#This Row],[Divisa]]="EUR", I2245*$N$2, 0)))</f>
        <v>3508452.2</v>
      </c>
      <c r="K2245" s="54">
        <f>Gastos[[#This Row],[Importe AR$]]/$N$1</f>
        <v>2249.0078205128207</v>
      </c>
      <c r="M2245" s="69">
        <v>46292</v>
      </c>
      <c r="N2245" s="43">
        <f>IF(Gastos[[#This Row],[Fecha_Cheque]]&gt;0,WEEKNUM(Gastos[[#This Row],[Fecha_Cheque]]),MID(Gastos[[#This Row],[Semana]],6,2))</f>
        <v>40</v>
      </c>
      <c r="O2245" t="s">
        <v>3205</v>
      </c>
      <c r="P2245" t="s">
        <v>27</v>
      </c>
    </row>
    <row r="2246" spans="1:16" hidden="1" x14ac:dyDescent="0.25">
      <c r="A2246" s="3" t="s">
        <v>2841</v>
      </c>
      <c r="B2246" t="s">
        <v>1347</v>
      </c>
      <c r="C2246" t="s">
        <v>2096</v>
      </c>
      <c r="D2246" t="s">
        <v>26</v>
      </c>
      <c r="E2246" t="s">
        <v>62</v>
      </c>
      <c r="F2246">
        <v>1</v>
      </c>
      <c r="G2246" s="3" t="s">
        <v>32</v>
      </c>
      <c r="H2246" s="44" t="s">
        <v>15</v>
      </c>
      <c r="I2246" s="17">
        <v>261582.48</v>
      </c>
      <c r="J2246" s="17">
        <f>IF(Gastos[[#This Row],[Divisa]]="$", I2246*1, IF(Gastos[[#This Row],[Divisa]]="U$D", I2246*$N$1, IF(Gastos[[#This Row],[Divisa]]="EUR", I2246*$N$2, 0)))</f>
        <v>261582.48</v>
      </c>
      <c r="K2246" s="54">
        <f>Gastos[[#This Row],[Importe AR$]]/$N$1</f>
        <v>167.68107692307694</v>
      </c>
      <c r="L2246" t="s">
        <v>340</v>
      </c>
      <c r="M2246" s="69"/>
      <c r="N2246" s="43" t="str">
        <f>IF(Gastos[[#This Row],[Fecha_Cheque]]&gt;0,WEEKNUM(Gastos[[#This Row],[Fecha_Cheque]]),MID(Gastos[[#This Row],[Semana]],6,2))</f>
        <v>22</v>
      </c>
      <c r="O2246" t="s">
        <v>3205</v>
      </c>
      <c r="P2246" t="s">
        <v>27</v>
      </c>
    </row>
    <row r="2247" spans="1:16" hidden="1" x14ac:dyDescent="0.25">
      <c r="A2247" s="3" t="s">
        <v>2841</v>
      </c>
      <c r="B2247" t="s">
        <v>1347</v>
      </c>
      <c r="C2247" t="s">
        <v>125</v>
      </c>
      <c r="D2247" t="s">
        <v>26</v>
      </c>
      <c r="E2247" t="s">
        <v>31</v>
      </c>
      <c r="F2247">
        <v>1</v>
      </c>
      <c r="G2247" s="3" t="s">
        <v>5</v>
      </c>
      <c r="H2247" s="44" t="s">
        <v>15</v>
      </c>
      <c r="I2247" s="17">
        <v>1370166</v>
      </c>
      <c r="J2247" s="17">
        <f>IF(Gastos[[#This Row],[Divisa]]="$", I2247*1, IF(Gastos[[#This Row],[Divisa]]="U$D", I2247*$N$1, IF(Gastos[[#This Row],[Divisa]]="EUR", I2247*$N$2, 0)))</f>
        <v>1370166</v>
      </c>
      <c r="K2247" s="54">
        <f>Gastos[[#This Row],[Importe AR$]]/$N$1</f>
        <v>878.31153846153848</v>
      </c>
      <c r="M2247" s="69"/>
      <c r="N2247" s="43" t="str">
        <f>IF(Gastos[[#This Row],[Fecha_Cheque]]&gt;0,WEEKNUM(Gastos[[#This Row],[Fecha_Cheque]]),MID(Gastos[[#This Row],[Semana]],6,2))</f>
        <v>22</v>
      </c>
      <c r="O2247" t="s">
        <v>3218</v>
      </c>
      <c r="P2247" t="s">
        <v>27</v>
      </c>
    </row>
    <row r="2248" spans="1:16" hidden="1" x14ac:dyDescent="0.25">
      <c r="A2248" s="3" t="s">
        <v>2726</v>
      </c>
      <c r="B2248" t="s">
        <v>1347</v>
      </c>
      <c r="C2248" t="s">
        <v>2096</v>
      </c>
      <c r="D2248" t="s">
        <v>26</v>
      </c>
      <c r="E2248" t="s">
        <v>62</v>
      </c>
      <c r="F2248">
        <v>1</v>
      </c>
      <c r="G2248" s="3" t="s">
        <v>32</v>
      </c>
      <c r="H2248" s="44" t="s">
        <v>15</v>
      </c>
      <c r="I2248" s="17">
        <v>7228369</v>
      </c>
      <c r="J2248" s="17">
        <f>IF(Gastos[[#This Row],[Divisa]]="$", I2248*1, IF(Gastos[[#This Row],[Divisa]]="U$D", I2248*$N$1, IF(Gastos[[#This Row],[Divisa]]="EUR", I2248*$N$2, 0)))</f>
        <v>7228369</v>
      </c>
      <c r="K2248" s="54">
        <f>Gastos[[#This Row],[Importe AR$]]/$N$1</f>
        <v>4633.5698717948717</v>
      </c>
      <c r="M2248" s="69">
        <v>46214</v>
      </c>
      <c r="N2248" s="43">
        <f>IF(Gastos[[#This Row],[Fecha_Cheque]]&gt;0,WEEKNUM(Gastos[[#This Row],[Fecha_Cheque]]),MID(Gastos[[#This Row],[Semana]],6,2))</f>
        <v>28</v>
      </c>
      <c r="O2248" t="s">
        <v>3342</v>
      </c>
      <c r="P2248" t="s">
        <v>27</v>
      </c>
    </row>
    <row r="2249" spans="1:16" hidden="1" x14ac:dyDescent="0.25">
      <c r="A2249" s="3" t="s">
        <v>2726</v>
      </c>
      <c r="B2249" t="s">
        <v>1347</v>
      </c>
      <c r="C2249" t="s">
        <v>2096</v>
      </c>
      <c r="D2249" t="s">
        <v>26</v>
      </c>
      <c r="E2249" t="s">
        <v>62</v>
      </c>
      <c r="F2249">
        <v>1</v>
      </c>
      <c r="G2249" s="3" t="s">
        <v>32</v>
      </c>
      <c r="H2249" s="44" t="s">
        <v>15</v>
      </c>
      <c r="I2249" s="17">
        <v>114997.17</v>
      </c>
      <c r="J2249" s="17">
        <f>IF(Gastos[[#This Row],[Divisa]]="$", I2249*1, IF(Gastos[[#This Row],[Divisa]]="U$D", I2249*$N$1, IF(Gastos[[#This Row],[Divisa]]="EUR", I2249*$N$2, 0)))</f>
        <v>114997.17</v>
      </c>
      <c r="K2249" s="54">
        <f>Gastos[[#This Row],[Importe AR$]]/$N$1</f>
        <v>73.716134615384618</v>
      </c>
      <c r="M2249" s="69"/>
      <c r="N2249" s="43" t="str">
        <f>IF(Gastos[[#This Row],[Fecha_Cheque]]&gt;0,WEEKNUM(Gastos[[#This Row],[Fecha_Cheque]]),MID(Gastos[[#This Row],[Semana]],6,2))</f>
        <v>24</v>
      </c>
      <c r="O2249" t="s">
        <v>3342</v>
      </c>
      <c r="P2249" t="s">
        <v>27</v>
      </c>
    </row>
    <row r="2250" spans="1:16" hidden="1" x14ac:dyDescent="0.25">
      <c r="A2250" s="3" t="s">
        <v>3617</v>
      </c>
      <c r="B2250" t="s">
        <v>1347</v>
      </c>
      <c r="C2250" t="s">
        <v>3644</v>
      </c>
      <c r="D2250" t="s">
        <v>26</v>
      </c>
      <c r="E2250" t="s">
        <v>31</v>
      </c>
      <c r="F2250">
        <v>1</v>
      </c>
      <c r="G2250" s="3" t="s">
        <v>5</v>
      </c>
      <c r="H2250" s="44" t="s">
        <v>15</v>
      </c>
      <c r="I2250" s="17">
        <v>4324632.55</v>
      </c>
      <c r="J2250" s="17">
        <f>IF(Gastos[[#This Row],[Divisa]]="$", I2250*1, IF(Gastos[[#This Row],[Divisa]]="U$D", I2250*$N$1, IF(Gastos[[#This Row],[Divisa]]="EUR", I2250*$N$2, 0)))</f>
        <v>4324632.55</v>
      </c>
      <c r="K2250" s="54">
        <f>Gastos[[#This Row],[Importe AR$]]/$N$1</f>
        <v>2772.2003525641026</v>
      </c>
      <c r="M2250" s="69"/>
      <c r="N2250" s="43" t="str">
        <f>IF(Gastos[[#This Row],[Fecha_Cheque]]&gt;0,WEEKNUM(Gastos[[#This Row],[Fecha_Cheque]]),MID(Gastos[[#This Row],[Semana]],6,2))</f>
        <v>27</v>
      </c>
      <c r="O2250" t="s">
        <v>3653</v>
      </c>
      <c r="P2250" t="s">
        <v>27</v>
      </c>
    </row>
    <row r="2251" spans="1:16" hidden="1" x14ac:dyDescent="0.25">
      <c r="A2251" s="3" t="s">
        <v>4074</v>
      </c>
      <c r="B2251" t="s">
        <v>1347</v>
      </c>
      <c r="C2251" t="s">
        <v>2096</v>
      </c>
      <c r="D2251" t="s">
        <v>26</v>
      </c>
      <c r="E2251" t="s">
        <v>62</v>
      </c>
      <c r="F2251">
        <v>1</v>
      </c>
      <c r="G2251" s="3" t="s">
        <v>32</v>
      </c>
      <c r="H2251" s="44" t="s">
        <v>15</v>
      </c>
      <c r="I2251" s="17">
        <v>4700000</v>
      </c>
      <c r="J2251" s="17">
        <f>IF(Gastos[[#This Row],[Divisa]]="$", I2251*1, IF(Gastos[[#This Row],[Divisa]]="U$D", I2251*$N$1, IF(Gastos[[#This Row],[Divisa]]="EUR", I2251*$N$2, 0)))</f>
        <v>4700000</v>
      </c>
      <c r="K2251" s="54">
        <f>Gastos[[#This Row],[Importe AR$]]/$N$1</f>
        <v>3012.8205128205127</v>
      </c>
      <c r="M2251" s="69">
        <v>46304</v>
      </c>
      <c r="N2251" s="43">
        <f>IF(Gastos[[#This Row],[Fecha_Cheque]]&gt;0,WEEKNUM(Gastos[[#This Row],[Fecha_Cheque]]),MID(Gastos[[#This Row],[Semana]],6,2))</f>
        <v>41</v>
      </c>
      <c r="O2251" t="s">
        <v>4105</v>
      </c>
      <c r="P2251" t="s">
        <v>27</v>
      </c>
    </row>
    <row r="2252" spans="1:16" hidden="1" x14ac:dyDescent="0.25">
      <c r="A2252" s="3" t="s">
        <v>4074</v>
      </c>
      <c r="B2252" t="s">
        <v>1347</v>
      </c>
      <c r="C2252" t="s">
        <v>2096</v>
      </c>
      <c r="D2252" t="s">
        <v>26</v>
      </c>
      <c r="E2252" t="s">
        <v>62</v>
      </c>
      <c r="F2252">
        <v>1</v>
      </c>
      <c r="G2252" s="3" t="s">
        <v>32</v>
      </c>
      <c r="H2252" s="44" t="s">
        <v>15</v>
      </c>
      <c r="I2252" s="17">
        <v>4700000</v>
      </c>
      <c r="J2252" s="17">
        <f>IF(Gastos[[#This Row],[Divisa]]="$", I2252*1, IF(Gastos[[#This Row],[Divisa]]="U$D", I2252*$N$1, IF(Gastos[[#This Row],[Divisa]]="EUR", I2252*$N$2, 0)))</f>
        <v>4700000</v>
      </c>
      <c r="K2252" s="54">
        <f>Gastos[[#This Row],[Importe AR$]]/$N$1</f>
        <v>3012.8205128205127</v>
      </c>
      <c r="M2252" s="69">
        <v>46311</v>
      </c>
      <c r="N2252" s="43">
        <f>IF(Gastos[[#This Row],[Fecha_Cheque]]&gt;0,WEEKNUM(Gastos[[#This Row],[Fecha_Cheque]]),MID(Gastos[[#This Row],[Semana]],6,2))</f>
        <v>42</v>
      </c>
      <c r="O2252" t="s">
        <v>4105</v>
      </c>
      <c r="P2252" t="s">
        <v>27</v>
      </c>
    </row>
    <row r="2253" spans="1:16" hidden="1" x14ac:dyDescent="0.25">
      <c r="A2253" s="3" t="s">
        <v>4074</v>
      </c>
      <c r="B2253" t="s">
        <v>1347</v>
      </c>
      <c r="C2253" t="s">
        <v>2096</v>
      </c>
      <c r="D2253" t="s">
        <v>26</v>
      </c>
      <c r="E2253" t="s">
        <v>62</v>
      </c>
      <c r="F2253">
        <v>1</v>
      </c>
      <c r="G2253" s="3" t="s">
        <v>32</v>
      </c>
      <c r="H2253" s="44" t="s">
        <v>15</v>
      </c>
      <c r="I2253" s="17">
        <v>4700000</v>
      </c>
      <c r="J2253" s="17">
        <f>IF(Gastos[[#This Row],[Divisa]]="$", I2253*1, IF(Gastos[[#This Row],[Divisa]]="U$D", I2253*$N$1, IF(Gastos[[#This Row],[Divisa]]="EUR", I2253*$N$2, 0)))</f>
        <v>4700000</v>
      </c>
      <c r="K2253" s="54">
        <f>Gastos[[#This Row],[Importe AR$]]/$N$1</f>
        <v>3012.8205128205127</v>
      </c>
      <c r="M2253" s="69">
        <v>46318</v>
      </c>
      <c r="N2253" s="43">
        <f>IF(Gastos[[#This Row],[Fecha_Cheque]]&gt;0,WEEKNUM(Gastos[[#This Row],[Fecha_Cheque]]),MID(Gastos[[#This Row],[Semana]],6,2))</f>
        <v>43</v>
      </c>
      <c r="O2253" t="s">
        <v>4105</v>
      </c>
      <c r="P2253" t="s">
        <v>27</v>
      </c>
    </row>
    <row r="2254" spans="1:16" hidden="1" x14ac:dyDescent="0.25">
      <c r="A2254" s="3" t="s">
        <v>4074</v>
      </c>
      <c r="B2254" t="s">
        <v>1347</v>
      </c>
      <c r="C2254" t="s">
        <v>2096</v>
      </c>
      <c r="D2254" t="s">
        <v>26</v>
      </c>
      <c r="E2254" t="s">
        <v>62</v>
      </c>
      <c r="F2254">
        <v>1</v>
      </c>
      <c r="G2254" s="3" t="s">
        <v>32</v>
      </c>
      <c r="H2254" s="44" t="s">
        <v>15</v>
      </c>
      <c r="I2254" s="17">
        <v>4700000</v>
      </c>
      <c r="J2254" s="17">
        <f>IF(Gastos[[#This Row],[Divisa]]="$", I2254*1, IF(Gastos[[#This Row],[Divisa]]="U$D", I2254*$N$1, IF(Gastos[[#This Row],[Divisa]]="EUR", I2254*$N$2, 0)))</f>
        <v>4700000</v>
      </c>
      <c r="K2254" s="54">
        <f>Gastos[[#This Row],[Importe AR$]]/$N$1</f>
        <v>3012.8205128205127</v>
      </c>
      <c r="M2254" s="69">
        <v>46264</v>
      </c>
      <c r="N2254" s="43">
        <f>IF(Gastos[[#This Row],[Fecha_Cheque]]&gt;0,WEEKNUM(Gastos[[#This Row],[Fecha_Cheque]]),MID(Gastos[[#This Row],[Semana]],6,2))</f>
        <v>36</v>
      </c>
      <c r="O2254" t="s">
        <v>4105</v>
      </c>
      <c r="P2254" t="s">
        <v>27</v>
      </c>
    </row>
    <row r="2255" spans="1:16" hidden="1" x14ac:dyDescent="0.25">
      <c r="A2255" s="3" t="s">
        <v>4074</v>
      </c>
      <c r="B2255" t="s">
        <v>1347</v>
      </c>
      <c r="C2255" t="s">
        <v>2096</v>
      </c>
      <c r="D2255" t="s">
        <v>26</v>
      </c>
      <c r="E2255" t="s">
        <v>62</v>
      </c>
      <c r="F2255">
        <v>1</v>
      </c>
      <c r="G2255" s="3" t="s">
        <v>32</v>
      </c>
      <c r="H2255" s="44" t="s">
        <v>15</v>
      </c>
      <c r="I2255" s="17">
        <v>4438280.78</v>
      </c>
      <c r="J2255" s="17">
        <f>IF(Gastos[[#This Row],[Divisa]]="$", I2255*1, IF(Gastos[[#This Row],[Divisa]]="U$D", I2255*$N$1, IF(Gastos[[#This Row],[Divisa]]="EUR", I2255*$N$2, 0)))</f>
        <v>4438280.78</v>
      </c>
      <c r="K2255" s="54">
        <f>Gastos[[#This Row],[Importe AR$]]/$N$1</f>
        <v>2845.0517820512823</v>
      </c>
      <c r="M2255" s="69">
        <v>46332</v>
      </c>
      <c r="N2255" s="43">
        <f>IF(Gastos[[#This Row],[Fecha_Cheque]]&gt;0,WEEKNUM(Gastos[[#This Row],[Fecha_Cheque]]),MID(Gastos[[#This Row],[Semana]],6,2))</f>
        <v>45</v>
      </c>
      <c r="O2255" t="s">
        <v>4105</v>
      </c>
      <c r="P2255" t="s">
        <v>27</v>
      </c>
    </row>
    <row r="2256" spans="1:16" hidden="1" x14ac:dyDescent="0.25">
      <c r="A2256" s="3" t="s">
        <v>4074</v>
      </c>
      <c r="B2256" t="s">
        <v>1347</v>
      </c>
      <c r="C2256" t="s">
        <v>2096</v>
      </c>
      <c r="D2256" t="s">
        <v>26</v>
      </c>
      <c r="E2256" t="s">
        <v>62</v>
      </c>
      <c r="F2256">
        <v>1</v>
      </c>
      <c r="G2256" s="3" t="s">
        <v>32</v>
      </c>
      <c r="H2256" s="44" t="s">
        <v>15</v>
      </c>
      <c r="I2256" s="17">
        <v>386004.05</v>
      </c>
      <c r="J2256" s="17">
        <f>IF(Gastos[[#This Row],[Divisa]]="$", I2256*1, IF(Gastos[[#This Row],[Divisa]]="U$D", I2256*$N$1, IF(Gastos[[#This Row],[Divisa]]="EUR", I2256*$N$2, 0)))</f>
        <v>386004.05</v>
      </c>
      <c r="K2256" s="54">
        <f>Gastos[[#This Row],[Importe AR$]]/$N$1</f>
        <v>247.43849358974359</v>
      </c>
      <c r="L2256" t="s">
        <v>340</v>
      </c>
      <c r="M2256" s="69"/>
      <c r="N2256" s="43" t="str">
        <f>IF(Gastos[[#This Row],[Fecha_Cheque]]&gt;0,WEEKNUM(Gastos[[#This Row],[Fecha_Cheque]]),MID(Gastos[[#This Row],[Semana]],6,2))</f>
        <v>34</v>
      </c>
      <c r="O2256" t="s">
        <v>4105</v>
      </c>
      <c r="P2256" t="s">
        <v>27</v>
      </c>
    </row>
    <row r="2257" spans="1:16" hidden="1" x14ac:dyDescent="0.25">
      <c r="A2257" s="3" t="s">
        <v>4569</v>
      </c>
      <c r="B2257" t="s">
        <v>4578</v>
      </c>
      <c r="C2257" t="s">
        <v>4579</v>
      </c>
      <c r="D2257" t="s">
        <v>26</v>
      </c>
      <c r="E2257" t="s">
        <v>62</v>
      </c>
      <c r="F2257">
        <v>1</v>
      </c>
      <c r="G2257" s="3" t="s">
        <v>32</v>
      </c>
      <c r="H2257" s="44" t="s">
        <v>15</v>
      </c>
      <c r="I2257" s="17">
        <v>2208874.86</v>
      </c>
      <c r="J2257" s="17">
        <f>IF(Gastos[[#This Row],[Divisa]]="$", I2257*1, IF(Gastos[[#This Row],[Divisa]]="U$D", I2257*$N$1, IF(Gastos[[#This Row],[Divisa]]="EUR", I2257*$N$2, 0)))</f>
        <v>2208874.86</v>
      </c>
      <c r="K2257" s="54">
        <f>Gastos[[#This Row],[Importe AR$]]/$N$1</f>
        <v>1415.9454230769229</v>
      </c>
      <c r="M2257" s="69">
        <v>46377</v>
      </c>
      <c r="N2257" s="43">
        <f>IF(Gastos[[#This Row],[Fecha_Cheque]]&gt;0,WEEKNUM(Gastos[[#This Row],[Fecha_Cheque]]),MID(Gastos[[#This Row],[Semana]],6,2))</f>
        <v>52</v>
      </c>
      <c r="O2257" t="s">
        <v>4580</v>
      </c>
      <c r="P2257" t="s">
        <v>27</v>
      </c>
    </row>
    <row r="2258" spans="1:16" hidden="1" x14ac:dyDescent="0.25">
      <c r="A2258" s="3" t="s">
        <v>4569</v>
      </c>
      <c r="B2258" t="s">
        <v>4578</v>
      </c>
      <c r="C2258" t="s">
        <v>4579</v>
      </c>
      <c r="D2258" t="s">
        <v>26</v>
      </c>
      <c r="E2258" t="s">
        <v>62</v>
      </c>
      <c r="F2258">
        <v>1</v>
      </c>
      <c r="G2258" s="3" t="s">
        <v>32</v>
      </c>
      <c r="H2258" s="44" t="s">
        <v>15</v>
      </c>
      <c r="I2258" s="17">
        <v>2400000</v>
      </c>
      <c r="J2258" s="17">
        <f>IF(Gastos[[#This Row],[Divisa]]="$", I2258*1, IF(Gastos[[#This Row],[Divisa]]="U$D", I2258*$N$1, IF(Gastos[[#This Row],[Divisa]]="EUR", I2258*$N$2, 0)))</f>
        <v>2400000</v>
      </c>
      <c r="K2258" s="54">
        <f>Gastos[[#This Row],[Importe AR$]]/$N$1</f>
        <v>1538.4615384615386</v>
      </c>
      <c r="M2258" s="69">
        <v>46372</v>
      </c>
      <c r="N2258" s="43">
        <f>IF(Gastos[[#This Row],[Fecha_Cheque]]&gt;0,WEEKNUM(Gastos[[#This Row],[Fecha_Cheque]]),MID(Gastos[[#This Row],[Semana]],6,2))</f>
        <v>51</v>
      </c>
      <c r="O2258" t="s">
        <v>4580</v>
      </c>
      <c r="P2258" t="s">
        <v>27</v>
      </c>
    </row>
    <row r="2259" spans="1:16" hidden="1" x14ac:dyDescent="0.25">
      <c r="A2259" s="3" t="s">
        <v>4569</v>
      </c>
      <c r="B2259" t="s">
        <v>4578</v>
      </c>
      <c r="C2259" t="s">
        <v>4579</v>
      </c>
      <c r="D2259" t="s">
        <v>26</v>
      </c>
      <c r="E2259" t="s">
        <v>62</v>
      </c>
      <c r="F2259">
        <v>1</v>
      </c>
      <c r="G2259" s="3" t="s">
        <v>32</v>
      </c>
      <c r="H2259" s="44" t="s">
        <v>15</v>
      </c>
      <c r="I2259" s="17">
        <v>2400000</v>
      </c>
      <c r="J2259" s="17">
        <f>IF(Gastos[[#This Row],[Divisa]]="$", I2259*1, IF(Gastos[[#This Row],[Divisa]]="U$D", I2259*$N$1, IF(Gastos[[#This Row],[Divisa]]="EUR", I2259*$N$2, 0)))</f>
        <v>2400000</v>
      </c>
      <c r="K2259" s="54">
        <f>Gastos[[#This Row],[Importe AR$]]/$N$1</f>
        <v>1538.4615384615386</v>
      </c>
      <c r="M2259" s="69">
        <v>46374</v>
      </c>
      <c r="N2259" s="43">
        <f>IF(Gastos[[#This Row],[Fecha_Cheque]]&gt;0,WEEKNUM(Gastos[[#This Row],[Fecha_Cheque]]),MID(Gastos[[#This Row],[Semana]],6,2))</f>
        <v>51</v>
      </c>
      <c r="O2259" t="s">
        <v>4580</v>
      </c>
      <c r="P2259" t="s">
        <v>27</v>
      </c>
    </row>
    <row r="2260" spans="1:16" hidden="1" x14ac:dyDescent="0.25">
      <c r="A2260" s="3" t="s">
        <v>4569</v>
      </c>
      <c r="B2260" t="s">
        <v>4578</v>
      </c>
      <c r="C2260" t="s">
        <v>4579</v>
      </c>
      <c r="D2260" t="s">
        <v>26</v>
      </c>
      <c r="E2260" t="s">
        <v>62</v>
      </c>
      <c r="F2260">
        <v>1</v>
      </c>
      <c r="G2260" s="3" t="s">
        <v>32</v>
      </c>
      <c r="H2260" s="44" t="s">
        <v>15</v>
      </c>
      <c r="I2260" s="17">
        <v>835099.89</v>
      </c>
      <c r="J2260" s="17">
        <f>IF(Gastos[[#This Row],[Divisa]]="$", I2260*1, IF(Gastos[[#This Row],[Divisa]]="U$D", I2260*$N$1, IF(Gastos[[#This Row],[Divisa]]="EUR", I2260*$N$2, 0)))</f>
        <v>835099.89</v>
      </c>
      <c r="K2260" s="54">
        <f>Gastos[[#This Row],[Importe AR$]]/$N$1</f>
        <v>535.32044230769236</v>
      </c>
      <c r="M2260" s="69"/>
      <c r="N2260" s="43" t="str">
        <f>IF(Gastos[[#This Row],[Fecha_Cheque]]&gt;0,WEEKNUM(Gastos[[#This Row],[Fecha_Cheque]]),MID(Gastos[[#This Row],[Semana]],6,2))</f>
        <v>43</v>
      </c>
      <c r="O2260" t="s">
        <v>4580</v>
      </c>
      <c r="P2260" t="s">
        <v>27</v>
      </c>
    </row>
    <row r="2261" spans="1:16" hidden="1" x14ac:dyDescent="0.25">
      <c r="A2261" s="3" t="s">
        <v>4569</v>
      </c>
      <c r="B2261" t="s">
        <v>4578</v>
      </c>
      <c r="C2261" t="s">
        <v>4653</v>
      </c>
      <c r="D2261" t="s">
        <v>26</v>
      </c>
      <c r="E2261" t="s">
        <v>62</v>
      </c>
      <c r="F2261">
        <v>1</v>
      </c>
      <c r="G2261" s="3" t="s">
        <v>32</v>
      </c>
      <c r="H2261" s="44" t="s">
        <v>15</v>
      </c>
      <c r="I2261" s="17">
        <v>2208874.86</v>
      </c>
      <c r="J2261" s="17">
        <f>IF(Gastos[[#This Row],[Divisa]]="$", I2261*1, IF(Gastos[[#This Row],[Divisa]]="U$D", I2261*$N$1, IF(Gastos[[#This Row],[Divisa]]="EUR", I2261*$N$2, 0)))</f>
        <v>2208874.86</v>
      </c>
      <c r="K2261" s="54">
        <f>Gastos[[#This Row],[Importe AR$]]/$N$1</f>
        <v>1415.9454230769229</v>
      </c>
      <c r="M2261" s="69"/>
      <c r="N2261" s="43" t="str">
        <f>IF(Gastos[[#This Row],[Fecha_Cheque]]&gt;0,WEEKNUM(Gastos[[#This Row],[Fecha_Cheque]]),MID(Gastos[[#This Row],[Semana]],6,2))</f>
        <v>43</v>
      </c>
      <c r="O2261" t="s">
        <v>4580</v>
      </c>
      <c r="P2261" t="s">
        <v>27</v>
      </c>
    </row>
    <row r="2262" spans="1:16" hidden="1" x14ac:dyDescent="0.25">
      <c r="A2262" s="3" t="s">
        <v>4569</v>
      </c>
      <c r="B2262" t="s">
        <v>4578</v>
      </c>
      <c r="C2262" t="s">
        <v>4653</v>
      </c>
      <c r="D2262" t="s">
        <v>26</v>
      </c>
      <c r="E2262" t="s">
        <v>62</v>
      </c>
      <c r="F2262">
        <v>1</v>
      </c>
      <c r="G2262" s="3" t="s">
        <v>32</v>
      </c>
      <c r="H2262" s="44" t="s">
        <v>15</v>
      </c>
      <c r="I2262" s="17">
        <v>2400000</v>
      </c>
      <c r="J2262" s="17">
        <f>IF(Gastos[[#This Row],[Divisa]]="$", I2262*1, IF(Gastos[[#This Row],[Divisa]]="U$D", I2262*$N$1, IF(Gastos[[#This Row],[Divisa]]="EUR", I2262*$N$2, 0)))</f>
        <v>2400000</v>
      </c>
      <c r="K2262" s="54">
        <f>Gastos[[#This Row],[Importe AR$]]/$N$1</f>
        <v>1538.4615384615386</v>
      </c>
      <c r="M2262" s="69"/>
      <c r="N2262" s="43" t="str">
        <f>IF(Gastos[[#This Row],[Fecha_Cheque]]&gt;0,WEEKNUM(Gastos[[#This Row],[Fecha_Cheque]]),MID(Gastos[[#This Row],[Semana]],6,2))</f>
        <v>43</v>
      </c>
      <c r="O2262" t="s">
        <v>4580</v>
      </c>
      <c r="P2262" t="s">
        <v>27</v>
      </c>
    </row>
    <row r="2263" spans="1:16" hidden="1" x14ac:dyDescent="0.25">
      <c r="A2263" s="3" t="s">
        <v>4569</v>
      </c>
      <c r="B2263" t="s">
        <v>4578</v>
      </c>
      <c r="C2263" t="s">
        <v>4653</v>
      </c>
      <c r="D2263" t="s">
        <v>26</v>
      </c>
      <c r="E2263" t="s">
        <v>62</v>
      </c>
      <c r="F2263">
        <v>1</v>
      </c>
      <c r="G2263" s="3" t="s">
        <v>32</v>
      </c>
      <c r="H2263" s="44" t="s">
        <v>15</v>
      </c>
      <c r="I2263" s="17">
        <v>2400000</v>
      </c>
      <c r="J2263" s="17">
        <f>IF(Gastos[[#This Row],[Divisa]]="$", I2263*1, IF(Gastos[[#This Row],[Divisa]]="U$D", I2263*$N$1, IF(Gastos[[#This Row],[Divisa]]="EUR", I2263*$N$2, 0)))</f>
        <v>2400000</v>
      </c>
      <c r="K2263" s="54">
        <f>Gastos[[#This Row],[Importe AR$]]/$N$1</f>
        <v>1538.4615384615386</v>
      </c>
      <c r="M2263" s="69"/>
      <c r="N2263" s="43" t="str">
        <f>IF(Gastos[[#This Row],[Fecha_Cheque]]&gt;0,WEEKNUM(Gastos[[#This Row],[Fecha_Cheque]]),MID(Gastos[[#This Row],[Semana]],6,2))</f>
        <v>43</v>
      </c>
      <c r="O2263" t="s">
        <v>4580</v>
      </c>
      <c r="P2263" t="s">
        <v>27</v>
      </c>
    </row>
    <row r="2264" spans="1:16" hidden="1" x14ac:dyDescent="0.25">
      <c r="A2264" s="3" t="s">
        <v>4569</v>
      </c>
      <c r="B2264" t="s">
        <v>4578</v>
      </c>
      <c r="C2264" t="s">
        <v>4653</v>
      </c>
      <c r="D2264" t="s">
        <v>26</v>
      </c>
      <c r="E2264" t="s">
        <v>62</v>
      </c>
      <c r="F2264">
        <v>1</v>
      </c>
      <c r="G2264" s="3" t="s">
        <v>5</v>
      </c>
      <c r="H2264" s="44" t="s">
        <v>15</v>
      </c>
      <c r="I2264" s="17">
        <v>835099.89</v>
      </c>
      <c r="J2264" s="17">
        <f>IF(Gastos[[#This Row],[Divisa]]="$", I2264*1, IF(Gastos[[#This Row],[Divisa]]="U$D", I2264*$N$1, IF(Gastos[[#This Row],[Divisa]]="EUR", I2264*$N$2, 0)))</f>
        <v>835099.89</v>
      </c>
      <c r="K2264" s="54">
        <f>Gastos[[#This Row],[Importe AR$]]/$N$1</f>
        <v>535.32044230769236</v>
      </c>
      <c r="M2264" s="69"/>
      <c r="N2264" s="43" t="str">
        <f>IF(Gastos[[#This Row],[Fecha_Cheque]]&gt;0,WEEKNUM(Gastos[[#This Row],[Fecha_Cheque]]),MID(Gastos[[#This Row],[Semana]],6,2))</f>
        <v>43</v>
      </c>
      <c r="O2264" t="s">
        <v>4580</v>
      </c>
      <c r="P2264" t="s">
        <v>27</v>
      </c>
    </row>
    <row r="2265" spans="1:16" hidden="1" x14ac:dyDescent="0.25">
      <c r="A2265" s="3" t="s">
        <v>3963</v>
      </c>
      <c r="B2265" t="s">
        <v>4015</v>
      </c>
      <c r="C2265" t="s">
        <v>4016</v>
      </c>
      <c r="D2265" t="s">
        <v>26</v>
      </c>
      <c r="E2265" t="s">
        <v>42</v>
      </c>
      <c r="F2265">
        <v>2</v>
      </c>
      <c r="G2265" s="3" t="s">
        <v>4</v>
      </c>
      <c r="H2265" s="44" t="s">
        <v>15</v>
      </c>
      <c r="I2265" s="17">
        <v>41961.03</v>
      </c>
      <c r="J2265" s="17">
        <f>IF(Gastos[[#This Row],[Divisa]]="$", I2265*1, IF(Gastos[[#This Row],[Divisa]]="U$D", I2265*$N$1, IF(Gastos[[#This Row],[Divisa]]="EUR", I2265*$N$2, 0)))</f>
        <v>41961.03</v>
      </c>
      <c r="K2265" s="54">
        <f>Gastos[[#This Row],[Importe AR$]]/$N$1</f>
        <v>26.898096153846154</v>
      </c>
      <c r="M2265" s="69"/>
      <c r="N2265" s="43" t="str">
        <f>IF(Gastos[[#This Row],[Fecha_Cheque]]&gt;0,WEEKNUM(Gastos[[#This Row],[Fecha_Cheque]]),MID(Gastos[[#This Row],[Semana]],6,2))</f>
        <v>32</v>
      </c>
      <c r="O2265" t="s">
        <v>4017</v>
      </c>
      <c r="P2265" t="s">
        <v>27</v>
      </c>
    </row>
    <row r="2266" spans="1:16" hidden="1" x14ac:dyDescent="0.25">
      <c r="A2266" s="3" t="s">
        <v>378</v>
      </c>
      <c r="B2266" t="s">
        <v>1363</v>
      </c>
      <c r="C2266" t="s">
        <v>1364</v>
      </c>
      <c r="D2266" t="s">
        <v>26</v>
      </c>
      <c r="E2266" t="s">
        <v>91</v>
      </c>
      <c r="F2266">
        <v>1</v>
      </c>
      <c r="G2266" s="3" t="s">
        <v>5</v>
      </c>
      <c r="H2266" s="46" t="s">
        <v>15</v>
      </c>
      <c r="I2266" s="17">
        <v>11804</v>
      </c>
      <c r="J2266" s="17">
        <f>IF(Gastos[[#This Row],[Divisa]]="$", I2266*1, IF(Gastos[[#This Row],[Divisa]]="U$D", I2266*$N$1, IF(Gastos[[#This Row],[Divisa]]="EUR", I2266*$N$2, 0)))</f>
        <v>11804</v>
      </c>
      <c r="K2266" s="54">
        <f>Gastos[[#This Row],[Importe AR$]]/$N$1</f>
        <v>7.5666666666666664</v>
      </c>
      <c r="M2266" s="69"/>
      <c r="N2266" s="43" t="str">
        <f>IF(Gastos[[#This Row],[Fecha_Cheque]]&gt;0,WEEKNUM(Gastos[[#This Row],[Fecha_Cheque]]),MID(Gastos[[#This Row],[Semana]],6,2))</f>
        <v>03</v>
      </c>
      <c r="O2266" t="s">
        <v>1365</v>
      </c>
      <c r="P2266" t="s">
        <v>27</v>
      </c>
    </row>
    <row r="2267" spans="1:16" hidden="1" x14ac:dyDescent="0.25">
      <c r="A2267" s="3" t="s">
        <v>75</v>
      </c>
      <c r="B2267" t="s">
        <v>1363</v>
      </c>
      <c r="D2267" t="s">
        <v>26</v>
      </c>
      <c r="E2267" t="s">
        <v>91</v>
      </c>
      <c r="F2267">
        <v>1</v>
      </c>
      <c r="G2267" s="3" t="s">
        <v>5</v>
      </c>
      <c r="H2267" s="46" t="s">
        <v>15</v>
      </c>
      <c r="I2267" s="17">
        <v>13527</v>
      </c>
      <c r="J2267" s="17">
        <f>IF(Gastos[[#This Row],[Divisa]]="$", I2267*1, IF(Gastos[[#This Row],[Divisa]]="U$D", I2267*$N$1, IF(Gastos[[#This Row],[Divisa]]="EUR", I2267*$N$2, 0)))</f>
        <v>13527</v>
      </c>
      <c r="K2267" s="54">
        <f>Gastos[[#This Row],[Importe AR$]]/$N$1</f>
        <v>8.671153846153846</v>
      </c>
      <c r="M2267" s="69"/>
      <c r="N2267" s="43" t="str">
        <f>IF(Gastos[[#This Row],[Fecha_Cheque]]&gt;0,WEEKNUM(Gastos[[#This Row],[Fecha_Cheque]]),MID(Gastos[[#This Row],[Semana]],6,2))</f>
        <v>07</v>
      </c>
      <c r="O2267" t="s">
        <v>1366</v>
      </c>
      <c r="P2267" t="s">
        <v>27</v>
      </c>
    </row>
    <row r="2268" spans="1:16" hidden="1" x14ac:dyDescent="0.25">
      <c r="A2268" s="3" t="s">
        <v>397</v>
      </c>
      <c r="B2268" t="s">
        <v>1363</v>
      </c>
      <c r="C2268" t="s">
        <v>2253</v>
      </c>
      <c r="D2268" t="s">
        <v>26</v>
      </c>
      <c r="E2268" t="s">
        <v>91</v>
      </c>
      <c r="F2268">
        <v>1</v>
      </c>
      <c r="G2268" s="3" t="s">
        <v>5</v>
      </c>
      <c r="H2268" s="44" t="s">
        <v>15</v>
      </c>
      <c r="I2268" s="17">
        <v>13648</v>
      </c>
      <c r="J2268" s="17">
        <f>IF(Gastos[[#This Row],[Divisa]]="$", I2268*1, IF(Gastos[[#This Row],[Divisa]]="U$D", I2268*$N$1, IF(Gastos[[#This Row],[Divisa]]="EUR", I2268*$N$2, 0)))</f>
        <v>13648</v>
      </c>
      <c r="K2268" s="54">
        <f>Gastos[[#This Row],[Importe AR$]]/$N$1</f>
        <v>8.7487179487179478</v>
      </c>
      <c r="M2268" s="69"/>
      <c r="N2268" s="43" t="str">
        <f>IF(Gastos[[#This Row],[Fecha_Cheque]]&gt;0,WEEKNUM(Gastos[[#This Row],[Fecha_Cheque]]),MID(Gastos[[#This Row],[Semana]],6,2))</f>
        <v>11</v>
      </c>
      <c r="O2268" t="s">
        <v>2254</v>
      </c>
      <c r="P2268" t="s">
        <v>27</v>
      </c>
    </row>
    <row r="2269" spans="1:16" hidden="1" x14ac:dyDescent="0.25">
      <c r="A2269" s="3" t="s">
        <v>2740</v>
      </c>
      <c r="B2269" t="s">
        <v>1363</v>
      </c>
      <c r="C2269" t="s">
        <v>2952</v>
      </c>
      <c r="D2269" t="s">
        <v>26</v>
      </c>
      <c r="E2269" t="s">
        <v>91</v>
      </c>
      <c r="F2269">
        <v>1</v>
      </c>
      <c r="G2269" s="3" t="s">
        <v>5</v>
      </c>
      <c r="H2269" s="44" t="s">
        <v>15</v>
      </c>
      <c r="I2269" s="17">
        <v>13656</v>
      </c>
      <c r="J2269" s="17">
        <f>IF(Gastos[[#This Row],[Divisa]]="$", I2269*1, IF(Gastos[[#This Row],[Divisa]]="U$D", I2269*$N$1, IF(Gastos[[#This Row],[Divisa]]="EUR", I2269*$N$2, 0)))</f>
        <v>13656</v>
      </c>
      <c r="K2269" s="54">
        <f>Gastos[[#This Row],[Importe AR$]]/$N$1</f>
        <v>8.7538461538461547</v>
      </c>
      <c r="M2269" s="69"/>
      <c r="N2269" s="43" t="str">
        <f>IF(Gastos[[#This Row],[Fecha_Cheque]]&gt;0,WEEKNUM(Gastos[[#This Row],[Fecha_Cheque]]),MID(Gastos[[#This Row],[Semana]],6,2))</f>
        <v>16</v>
      </c>
      <c r="O2269" t="s">
        <v>2953</v>
      </c>
      <c r="P2269" t="s">
        <v>27</v>
      </c>
    </row>
    <row r="2270" spans="1:16" hidden="1" x14ac:dyDescent="0.25">
      <c r="A2270" s="3" t="s">
        <v>4005</v>
      </c>
      <c r="B2270" t="s">
        <v>1363</v>
      </c>
      <c r="C2270" t="s">
        <v>4079</v>
      </c>
      <c r="D2270" t="s">
        <v>26</v>
      </c>
      <c r="E2270" t="s">
        <v>91</v>
      </c>
      <c r="F2270">
        <v>1</v>
      </c>
      <c r="G2270" s="3" t="s">
        <v>5</v>
      </c>
      <c r="H2270" s="44" t="s">
        <v>15</v>
      </c>
      <c r="I2270" s="17">
        <v>14749</v>
      </c>
      <c r="J2270" s="17">
        <f>IF(Gastos[[#This Row],[Divisa]]="$", I2270*1, IF(Gastos[[#This Row],[Divisa]]="U$D", I2270*$N$1, IF(Gastos[[#This Row],[Divisa]]="EUR", I2270*$N$2, 0)))</f>
        <v>14749</v>
      </c>
      <c r="K2270" s="54">
        <f>Gastos[[#This Row],[Importe AR$]]/$N$1</f>
        <v>9.4544871794871792</v>
      </c>
      <c r="M2270" s="69"/>
      <c r="N2270" s="43" t="str">
        <f>IF(Gastos[[#This Row],[Fecha_Cheque]]&gt;0,WEEKNUM(Gastos[[#This Row],[Fecha_Cheque]]),MID(Gastos[[#This Row],[Semana]],6,2))</f>
        <v>33</v>
      </c>
      <c r="O2270" t="s">
        <v>4080</v>
      </c>
      <c r="P2270" t="s">
        <v>27</v>
      </c>
    </row>
    <row r="2271" spans="1:16" hidden="1" x14ac:dyDescent="0.25">
      <c r="A2271" s="3" t="s">
        <v>4005</v>
      </c>
      <c r="B2271" t="s">
        <v>1363</v>
      </c>
      <c r="C2271" t="s">
        <v>4079</v>
      </c>
      <c r="D2271" t="s">
        <v>26</v>
      </c>
      <c r="E2271" t="s">
        <v>91</v>
      </c>
      <c r="F2271">
        <v>1</v>
      </c>
      <c r="G2271" s="3" t="s">
        <v>5</v>
      </c>
      <c r="H2271" s="44" t="s">
        <v>15</v>
      </c>
      <c r="I2271" s="17">
        <v>14749</v>
      </c>
      <c r="J2271" s="17">
        <f>IF(Gastos[[#This Row],[Divisa]]="$", I2271*1, IF(Gastos[[#This Row],[Divisa]]="U$D", I2271*$N$1, IF(Gastos[[#This Row],[Divisa]]="EUR", I2271*$N$2, 0)))</f>
        <v>14749</v>
      </c>
      <c r="K2271" s="54">
        <f>Gastos[[#This Row],[Importe AR$]]/$N$1</f>
        <v>9.4544871794871792</v>
      </c>
      <c r="M2271" s="69"/>
      <c r="N2271" s="43" t="str">
        <f>IF(Gastos[[#This Row],[Fecha_Cheque]]&gt;0,WEEKNUM(Gastos[[#This Row],[Fecha_Cheque]]),MID(Gastos[[#This Row],[Semana]],6,2))</f>
        <v>33</v>
      </c>
      <c r="O2271" t="s">
        <v>4081</v>
      </c>
      <c r="P2271" t="s">
        <v>27</v>
      </c>
    </row>
    <row r="2272" spans="1:16" hidden="1" x14ac:dyDescent="0.25">
      <c r="A2272" s="3" t="s">
        <v>4005</v>
      </c>
      <c r="B2272" t="s">
        <v>1363</v>
      </c>
      <c r="C2272" t="s">
        <v>4079</v>
      </c>
      <c r="D2272" t="s">
        <v>26</v>
      </c>
      <c r="E2272" t="s">
        <v>91</v>
      </c>
      <c r="F2272">
        <v>1</v>
      </c>
      <c r="G2272" s="3" t="s">
        <v>5</v>
      </c>
      <c r="H2272" s="44" t="s">
        <v>15</v>
      </c>
      <c r="I2272" s="17">
        <v>14744</v>
      </c>
      <c r="J2272" s="17">
        <f>IF(Gastos[[#This Row],[Divisa]]="$", I2272*1, IF(Gastos[[#This Row],[Divisa]]="U$D", I2272*$N$1, IF(Gastos[[#This Row],[Divisa]]="EUR", I2272*$N$2, 0)))</f>
        <v>14744</v>
      </c>
      <c r="K2272" s="54">
        <f>Gastos[[#This Row],[Importe AR$]]/$N$1</f>
        <v>9.4512820512820515</v>
      </c>
      <c r="M2272" s="69"/>
      <c r="N2272" s="43" t="str">
        <f>IF(Gastos[[#This Row],[Fecha_Cheque]]&gt;0,WEEKNUM(Gastos[[#This Row],[Fecha_Cheque]]),MID(Gastos[[#This Row],[Semana]],6,2))</f>
        <v>33</v>
      </c>
      <c r="O2272" t="s">
        <v>4082</v>
      </c>
      <c r="P2272" t="s">
        <v>27</v>
      </c>
    </row>
    <row r="2273" spans="1:16" x14ac:dyDescent="0.25">
      <c r="A2273" s="3" t="s">
        <v>4655</v>
      </c>
      <c r="B2273" t="s">
        <v>3048</v>
      </c>
      <c r="C2273" t="s">
        <v>155</v>
      </c>
      <c r="D2273" t="s">
        <v>26</v>
      </c>
      <c r="E2273" t="s">
        <v>42</v>
      </c>
      <c r="F2273">
        <v>1</v>
      </c>
      <c r="G2273" s="3" t="s">
        <v>4</v>
      </c>
      <c r="H2273" s="44" t="s">
        <v>15</v>
      </c>
      <c r="I2273" s="17">
        <v>80000.02</v>
      </c>
      <c r="J2273" s="17">
        <f>IF(Gastos[[#This Row],[Divisa]]="$", I2273*1, IF(Gastos[[#This Row],[Divisa]]="U$D", I2273*$N$1, IF(Gastos[[#This Row],[Divisa]]="EUR", I2273*$N$2, 0)))</f>
        <v>80000.02</v>
      </c>
      <c r="K2273" s="54">
        <f>Gastos[[#This Row],[Importe AR$]]/$N$1</f>
        <v>51.282064102564107</v>
      </c>
      <c r="M2273" s="69"/>
      <c r="N2273" s="43" t="str">
        <f>IF(Gastos[[#This Row],[Fecha_Cheque]]&gt;0,WEEKNUM(Gastos[[#This Row],[Fecha_Cheque]]),MID(Gastos[[#This Row],[Semana]],6,2))</f>
        <v>44</v>
      </c>
      <c r="O2273" t="s">
        <v>4664</v>
      </c>
      <c r="P2273" t="s">
        <v>27</v>
      </c>
    </row>
    <row r="2274" spans="1:16" hidden="1" x14ac:dyDescent="0.25">
      <c r="A2274" s="3" t="s">
        <v>290</v>
      </c>
      <c r="B2274" t="s">
        <v>1367</v>
      </c>
      <c r="C2274" t="s">
        <v>1368</v>
      </c>
      <c r="D2274" t="s">
        <v>61</v>
      </c>
      <c r="E2274" t="s">
        <v>31</v>
      </c>
      <c r="F2274">
        <v>1</v>
      </c>
      <c r="G2274" s="3" t="s">
        <v>32</v>
      </c>
      <c r="H2274" s="46" t="s">
        <v>15</v>
      </c>
      <c r="I2274" s="17">
        <v>380000</v>
      </c>
      <c r="J2274" s="17">
        <f>IF(Gastos[[#This Row],[Divisa]]="$", I2274*1, IF(Gastos[[#This Row],[Divisa]]="U$D", I2274*$N$1, IF(Gastos[[#This Row],[Divisa]]="EUR", I2274*$N$2, 0)))</f>
        <v>380000</v>
      </c>
      <c r="K2274" s="54">
        <f>Gastos[[#This Row],[Importe AR$]]/$N$1</f>
        <v>243.58974358974359</v>
      </c>
      <c r="L2274" t="s">
        <v>1199</v>
      </c>
      <c r="M2274" s="69">
        <v>45872</v>
      </c>
      <c r="N2274" s="43">
        <f>IF(Gastos[[#This Row],[Fecha_Cheque]]&gt;0,WEEKNUM(Gastos[[#This Row],[Fecha_Cheque]]),MID(Gastos[[#This Row],[Semana]],6,2))</f>
        <v>32</v>
      </c>
      <c r="P2274" t="s">
        <v>27</v>
      </c>
    </row>
    <row r="2275" spans="1:16" hidden="1" x14ac:dyDescent="0.25">
      <c r="A2275" s="3" t="s">
        <v>416</v>
      </c>
      <c r="B2275" t="s">
        <v>1370</v>
      </c>
      <c r="C2275" t="s">
        <v>1371</v>
      </c>
      <c r="D2275" t="s">
        <v>26</v>
      </c>
      <c r="E2275" t="s">
        <v>31</v>
      </c>
      <c r="F2275">
        <v>1</v>
      </c>
      <c r="G2275" s="3" t="s">
        <v>32</v>
      </c>
      <c r="H2275" s="46" t="s">
        <v>15</v>
      </c>
      <c r="I2275" s="17">
        <v>2849687.32</v>
      </c>
      <c r="J2275" s="17">
        <f>IF(Gastos[[#This Row],[Divisa]]="$", I2275*1, IF(Gastos[[#This Row],[Divisa]]="U$D", I2275*$N$1, IF(Gastos[[#This Row],[Divisa]]="EUR", I2275*$N$2, 0)))</f>
        <v>2849687.32</v>
      </c>
      <c r="K2275" s="54">
        <f>Gastos[[#This Row],[Importe AR$]]/$N$1</f>
        <v>1826.722641025641</v>
      </c>
      <c r="M2275" s="69">
        <v>46080</v>
      </c>
      <c r="N2275" s="43">
        <f>IF(Gastos[[#This Row],[Fecha_Cheque]]&gt;0,WEEKNUM(Gastos[[#This Row],[Fecha_Cheque]]),MID(Gastos[[#This Row],[Semana]],6,2))</f>
        <v>9</v>
      </c>
      <c r="O2275" t="s">
        <v>1372</v>
      </c>
      <c r="P2275" t="s">
        <v>27</v>
      </c>
    </row>
    <row r="2276" spans="1:16" hidden="1" x14ac:dyDescent="0.25">
      <c r="A2276" s="3" t="s">
        <v>416</v>
      </c>
      <c r="B2276" t="s">
        <v>1370</v>
      </c>
      <c r="C2276" t="s">
        <v>1371</v>
      </c>
      <c r="D2276" t="s">
        <v>26</v>
      </c>
      <c r="E2276" t="s">
        <v>31</v>
      </c>
      <c r="F2276">
        <v>1</v>
      </c>
      <c r="G2276" s="3" t="s">
        <v>32</v>
      </c>
      <c r="H2276" s="46" t="s">
        <v>15</v>
      </c>
      <c r="I2276" s="17">
        <v>946328.49</v>
      </c>
      <c r="J2276" s="17">
        <f>IF(Gastos[[#This Row],[Divisa]]="$", I2276*1, IF(Gastos[[#This Row],[Divisa]]="U$D", I2276*$N$1, IF(Gastos[[#This Row],[Divisa]]="EUR", I2276*$N$2, 0)))</f>
        <v>946328.49</v>
      </c>
      <c r="K2276" s="54">
        <f>Gastos[[#This Row],[Importe AR$]]/$N$1</f>
        <v>606.62082692307695</v>
      </c>
      <c r="M2276" s="69">
        <v>46024</v>
      </c>
      <c r="N2276" s="43">
        <f>IF(Gastos[[#This Row],[Fecha_Cheque]]&gt;0,WEEKNUM(Gastos[[#This Row],[Fecha_Cheque]]),MID(Gastos[[#This Row],[Semana]],6,2))</f>
        <v>1</v>
      </c>
      <c r="O2276" t="s">
        <v>1372</v>
      </c>
      <c r="P2276" t="s">
        <v>27</v>
      </c>
    </row>
    <row r="2277" spans="1:16" hidden="1" x14ac:dyDescent="0.25">
      <c r="A2277" s="3" t="s">
        <v>416</v>
      </c>
      <c r="B2277" t="s">
        <v>1370</v>
      </c>
      <c r="C2277" t="s">
        <v>1371</v>
      </c>
      <c r="D2277" t="s">
        <v>26</v>
      </c>
      <c r="E2277" t="s">
        <v>31</v>
      </c>
      <c r="F2277">
        <v>1</v>
      </c>
      <c r="G2277" s="3" t="s">
        <v>32</v>
      </c>
      <c r="H2277" s="46" t="s">
        <v>15</v>
      </c>
      <c r="I2277" s="17">
        <v>2500000</v>
      </c>
      <c r="J2277" s="17">
        <f>IF(Gastos[[#This Row],[Divisa]]="$", I2277*1, IF(Gastos[[#This Row],[Divisa]]="U$D", I2277*$N$1, IF(Gastos[[#This Row],[Divisa]]="EUR", I2277*$N$2, 0)))</f>
        <v>2500000</v>
      </c>
      <c r="K2277" s="54">
        <f>Gastos[[#This Row],[Importe AR$]]/$N$1</f>
        <v>1602.5641025641025</v>
      </c>
      <c r="M2277" s="69">
        <v>46053</v>
      </c>
      <c r="N2277" s="43">
        <f>IF(Gastos[[#This Row],[Fecha_Cheque]]&gt;0,WEEKNUM(Gastos[[#This Row],[Fecha_Cheque]]),MID(Gastos[[#This Row],[Semana]],6,2))</f>
        <v>5</v>
      </c>
      <c r="O2277" t="s">
        <v>1372</v>
      </c>
      <c r="P2277" t="s">
        <v>27</v>
      </c>
    </row>
    <row r="2278" spans="1:16" hidden="1" x14ac:dyDescent="0.25">
      <c r="A2278" s="3" t="s">
        <v>416</v>
      </c>
      <c r="B2278" t="s">
        <v>1370</v>
      </c>
      <c r="C2278" t="s">
        <v>1371</v>
      </c>
      <c r="D2278" t="s">
        <v>26</v>
      </c>
      <c r="E2278" t="s">
        <v>31</v>
      </c>
      <c r="F2278">
        <v>1</v>
      </c>
      <c r="G2278" s="3" t="s">
        <v>32</v>
      </c>
      <c r="H2278" s="46" t="s">
        <v>15</v>
      </c>
      <c r="I2278" s="17">
        <v>887436.69</v>
      </c>
      <c r="J2278" s="17">
        <f>IF(Gastos[[#This Row],[Divisa]]="$", I2278*1, IF(Gastos[[#This Row],[Divisa]]="U$D", I2278*$N$1, IF(Gastos[[#This Row],[Divisa]]="EUR", I2278*$N$2, 0)))</f>
        <v>887436.69</v>
      </c>
      <c r="K2278" s="54">
        <f>Gastos[[#This Row],[Importe AR$]]/$N$1</f>
        <v>568.86967307692305</v>
      </c>
      <c r="M2278" s="69">
        <v>46055</v>
      </c>
      <c r="N2278" s="43">
        <f>IF(Gastos[[#This Row],[Fecha_Cheque]]&gt;0,WEEKNUM(Gastos[[#This Row],[Fecha_Cheque]]),MID(Gastos[[#This Row],[Semana]],6,2))</f>
        <v>6</v>
      </c>
      <c r="O2278" t="s">
        <v>1372</v>
      </c>
      <c r="P2278" t="s">
        <v>27</v>
      </c>
    </row>
    <row r="2279" spans="1:16" hidden="1" x14ac:dyDescent="0.25">
      <c r="A2279" s="3" t="s">
        <v>68</v>
      </c>
      <c r="B2279" t="s">
        <v>1370</v>
      </c>
      <c r="C2279" t="s">
        <v>1307</v>
      </c>
      <c r="D2279" t="s">
        <v>26</v>
      </c>
      <c r="E2279" t="s">
        <v>31</v>
      </c>
      <c r="F2279">
        <v>1</v>
      </c>
      <c r="G2279" s="3" t="s">
        <v>32</v>
      </c>
      <c r="H2279" s="46" t="s">
        <v>15</v>
      </c>
      <c r="I2279" s="17">
        <v>2500000</v>
      </c>
      <c r="J2279" s="17">
        <f>IF(Gastos[[#This Row],[Divisa]]="$", I2279*1, IF(Gastos[[#This Row],[Divisa]]="U$D", I2279*$N$1, IF(Gastos[[#This Row],[Divisa]]="EUR", I2279*$N$2, 0)))</f>
        <v>2500000</v>
      </c>
      <c r="K2279" s="54">
        <f>Gastos[[#This Row],[Importe AR$]]/$N$1</f>
        <v>1602.5641025641025</v>
      </c>
      <c r="M2279" s="69">
        <v>46108</v>
      </c>
      <c r="N2279" s="43">
        <f>IF(Gastos[[#This Row],[Fecha_Cheque]]&gt;0,WEEKNUM(Gastos[[#This Row],[Fecha_Cheque]]),MID(Gastos[[#This Row],[Semana]],6,2))</f>
        <v>13</v>
      </c>
      <c r="O2279" t="s">
        <v>1373</v>
      </c>
      <c r="P2279" t="s">
        <v>27</v>
      </c>
    </row>
    <row r="2280" spans="1:16" x14ac:dyDescent="0.25">
      <c r="A2280" s="3" t="s">
        <v>4655</v>
      </c>
      <c r="B2280" t="s">
        <v>3836</v>
      </c>
      <c r="C2280" t="s">
        <v>4134</v>
      </c>
      <c r="D2280" t="s">
        <v>26</v>
      </c>
      <c r="E2280" t="s">
        <v>31</v>
      </c>
      <c r="F2280">
        <v>1</v>
      </c>
      <c r="G2280" s="3" t="s">
        <v>32</v>
      </c>
      <c r="H2280" s="44" t="s">
        <v>15</v>
      </c>
      <c r="I2280" s="17">
        <v>6160795.0700000003</v>
      </c>
      <c r="J2280" s="17">
        <f>IF(Gastos[[#This Row],[Divisa]]="$", I2280*1, IF(Gastos[[#This Row],[Divisa]]="U$D", I2280*$N$1, IF(Gastos[[#This Row],[Divisa]]="EUR", I2280*$N$2, 0)))</f>
        <v>6160795.0700000003</v>
      </c>
      <c r="K2280" s="54">
        <f>Gastos[[#This Row],[Importe AR$]]/$N$1</f>
        <v>3949.2276089743591</v>
      </c>
      <c r="M2280" s="69"/>
      <c r="N2280" s="43" t="str">
        <f>IF(Gastos[[#This Row],[Fecha_Cheque]]&gt;0,WEEKNUM(Gastos[[#This Row],[Fecha_Cheque]]),MID(Gastos[[#This Row],[Semana]],6,2))</f>
        <v>44</v>
      </c>
    </row>
    <row r="2281" spans="1:16" hidden="1" x14ac:dyDescent="0.25">
      <c r="A2281" s="3" t="s">
        <v>378</v>
      </c>
      <c r="B2281" t="s">
        <v>1375</v>
      </c>
      <c r="C2281" t="s">
        <v>1376</v>
      </c>
      <c r="D2281" t="s">
        <v>26</v>
      </c>
      <c r="E2281" t="s">
        <v>31</v>
      </c>
      <c r="F2281">
        <v>1</v>
      </c>
      <c r="G2281" s="3" t="s">
        <v>32</v>
      </c>
      <c r="H2281" s="46" t="s">
        <v>15</v>
      </c>
      <c r="I2281" s="17">
        <v>15835445.060000001</v>
      </c>
      <c r="J2281" s="17">
        <f>IF(Gastos[[#This Row],[Divisa]]="$", I2281*1, IF(Gastos[[#This Row],[Divisa]]="U$D", I2281*$N$1, IF(Gastos[[#This Row],[Divisa]]="EUR", I2281*$N$2, 0)))</f>
        <v>15835445.060000001</v>
      </c>
      <c r="K2281" s="54">
        <f>Gastos[[#This Row],[Importe AR$]]/$N$1</f>
        <v>10150.926320512821</v>
      </c>
      <c r="M2281" s="69">
        <v>46055</v>
      </c>
      <c r="N2281" s="43">
        <f>IF(Gastos[[#This Row],[Fecha_Cheque]]&gt;0,WEEKNUM(Gastos[[#This Row],[Fecha_Cheque]]),MID(Gastos[[#This Row],[Semana]],6,2))</f>
        <v>6</v>
      </c>
      <c r="O2281" t="s">
        <v>1377</v>
      </c>
      <c r="P2281" t="s">
        <v>27</v>
      </c>
    </row>
    <row r="2282" spans="1:16" hidden="1" x14ac:dyDescent="0.25">
      <c r="A2282" s="3" t="s">
        <v>378</v>
      </c>
      <c r="B2282" t="s">
        <v>1375</v>
      </c>
      <c r="C2282" t="s">
        <v>1376</v>
      </c>
      <c r="D2282" t="s">
        <v>26</v>
      </c>
      <c r="E2282" t="s">
        <v>31</v>
      </c>
      <c r="F2282">
        <v>1</v>
      </c>
      <c r="G2282" s="3" t="s">
        <v>32</v>
      </c>
      <c r="H2282" s="46" t="s">
        <v>15</v>
      </c>
      <c r="I2282" s="17">
        <v>15000000</v>
      </c>
      <c r="J2282" s="17">
        <f>IF(Gastos[[#This Row],[Divisa]]="$", I2282*1, IF(Gastos[[#This Row],[Divisa]]="U$D", I2282*$N$1, IF(Gastos[[#This Row],[Divisa]]="EUR", I2282*$N$2, 0)))</f>
        <v>15000000</v>
      </c>
      <c r="K2282" s="54">
        <f>Gastos[[#This Row],[Importe AR$]]/$N$1</f>
        <v>9615.3846153846152</v>
      </c>
      <c r="M2282" s="69">
        <v>46068</v>
      </c>
      <c r="N2282" s="43">
        <f>IF(Gastos[[#This Row],[Fecha_Cheque]]&gt;0,WEEKNUM(Gastos[[#This Row],[Fecha_Cheque]]),MID(Gastos[[#This Row],[Semana]],6,2))</f>
        <v>8</v>
      </c>
      <c r="O2282" t="s">
        <v>1377</v>
      </c>
      <c r="P2282" t="s">
        <v>27</v>
      </c>
    </row>
    <row r="2283" spans="1:16" hidden="1" x14ac:dyDescent="0.25">
      <c r="A2283" s="3" t="s">
        <v>2773</v>
      </c>
      <c r="B2283" t="s">
        <v>3149</v>
      </c>
      <c r="C2283" t="s">
        <v>3150</v>
      </c>
      <c r="D2283" t="s">
        <v>26</v>
      </c>
      <c r="E2283" t="s">
        <v>42</v>
      </c>
      <c r="F2283">
        <v>1</v>
      </c>
      <c r="G2283" s="3" t="s">
        <v>32</v>
      </c>
      <c r="H2283" s="44" t="s">
        <v>15</v>
      </c>
      <c r="I2283" s="17">
        <v>1634754.05</v>
      </c>
      <c r="J2283" s="17">
        <f>IF(Gastos[[#This Row],[Divisa]]="$", I2283*1, IF(Gastos[[#This Row],[Divisa]]="U$D", I2283*$N$1, IF(Gastos[[#This Row],[Divisa]]="EUR", I2283*$N$2, 0)))</f>
        <v>1634754.05</v>
      </c>
      <c r="K2283" s="54">
        <f>Gastos[[#This Row],[Importe AR$]]/$N$1</f>
        <v>1047.9192628205128</v>
      </c>
      <c r="M2283" s="69">
        <v>46185</v>
      </c>
      <c r="N2283" s="43">
        <f>IF(Gastos[[#This Row],[Fecha_Cheque]]&gt;0,WEEKNUM(Gastos[[#This Row],[Fecha_Cheque]]),MID(Gastos[[#This Row],[Semana]],6,2))</f>
        <v>24</v>
      </c>
      <c r="O2283" t="s">
        <v>3151</v>
      </c>
      <c r="P2283" t="s">
        <v>27</v>
      </c>
    </row>
    <row r="2284" spans="1:16" hidden="1" x14ac:dyDescent="0.25">
      <c r="A2284" s="3" t="s">
        <v>2773</v>
      </c>
      <c r="B2284" t="s">
        <v>3149</v>
      </c>
      <c r="C2284" t="s">
        <v>3150</v>
      </c>
      <c r="D2284" t="s">
        <v>26</v>
      </c>
      <c r="E2284" t="s">
        <v>42</v>
      </c>
      <c r="F2284">
        <v>1</v>
      </c>
      <c r="G2284" s="3" t="s">
        <v>32</v>
      </c>
      <c r="H2284" s="44" t="s">
        <v>15</v>
      </c>
      <c r="I2284" s="17">
        <v>1634754.05</v>
      </c>
      <c r="J2284" s="17">
        <f>IF(Gastos[[#This Row],[Divisa]]="$", I2284*1, IF(Gastos[[#This Row],[Divisa]]="U$D", I2284*$N$1, IF(Gastos[[#This Row],[Divisa]]="EUR", I2284*$N$2, 0)))</f>
        <v>1634754.05</v>
      </c>
      <c r="K2284" s="54">
        <f>Gastos[[#This Row],[Importe AR$]]/$N$1</f>
        <v>1047.9192628205128</v>
      </c>
      <c r="M2284" s="69">
        <v>46215</v>
      </c>
      <c r="N2284" s="43">
        <f>IF(Gastos[[#This Row],[Fecha_Cheque]]&gt;0,WEEKNUM(Gastos[[#This Row],[Fecha_Cheque]]),MID(Gastos[[#This Row],[Semana]],6,2))</f>
        <v>29</v>
      </c>
      <c r="O2284" t="s">
        <v>3151</v>
      </c>
      <c r="P2284" t="s">
        <v>27</v>
      </c>
    </row>
    <row r="2285" spans="1:16" hidden="1" x14ac:dyDescent="0.25">
      <c r="A2285" s="3" t="s">
        <v>2773</v>
      </c>
      <c r="B2285" t="s">
        <v>3149</v>
      </c>
      <c r="C2285" t="s">
        <v>3150</v>
      </c>
      <c r="D2285" t="s">
        <v>26</v>
      </c>
      <c r="E2285" t="s">
        <v>42</v>
      </c>
      <c r="F2285">
        <v>1</v>
      </c>
      <c r="G2285" s="3" t="s">
        <v>32</v>
      </c>
      <c r="H2285" s="44" t="s">
        <v>15</v>
      </c>
      <c r="I2285" s="17">
        <v>1634754.05</v>
      </c>
      <c r="J2285" s="17">
        <f>IF(Gastos[[#This Row],[Divisa]]="$", I2285*1, IF(Gastos[[#This Row],[Divisa]]="U$D", I2285*$N$1, IF(Gastos[[#This Row],[Divisa]]="EUR", I2285*$N$2, 0)))</f>
        <v>1634754.05</v>
      </c>
      <c r="K2285" s="54">
        <f>Gastos[[#This Row],[Importe AR$]]/$N$1</f>
        <v>1047.9192628205128</v>
      </c>
      <c r="M2285" s="69">
        <v>46246</v>
      </c>
      <c r="N2285" s="43">
        <f>IF(Gastos[[#This Row],[Fecha_Cheque]]&gt;0,WEEKNUM(Gastos[[#This Row],[Fecha_Cheque]]),MID(Gastos[[#This Row],[Semana]],6,2))</f>
        <v>33</v>
      </c>
      <c r="O2285" t="s">
        <v>3151</v>
      </c>
      <c r="P2285" t="s">
        <v>27</v>
      </c>
    </row>
    <row r="2286" spans="1:16" hidden="1" x14ac:dyDescent="0.25">
      <c r="A2286" s="3" t="s">
        <v>2773</v>
      </c>
      <c r="B2286" t="s">
        <v>3149</v>
      </c>
      <c r="C2286" t="s">
        <v>3150</v>
      </c>
      <c r="D2286" t="s">
        <v>26</v>
      </c>
      <c r="E2286" t="s">
        <v>42</v>
      </c>
      <c r="F2286">
        <v>1</v>
      </c>
      <c r="G2286" s="3" t="s">
        <v>32</v>
      </c>
      <c r="H2286" s="44" t="s">
        <v>15</v>
      </c>
      <c r="I2286" s="17">
        <v>77869.279999999999</v>
      </c>
      <c r="J2286" s="17">
        <f>IF(Gastos[[#This Row],[Divisa]]="$", I2286*1, IF(Gastos[[#This Row],[Divisa]]="U$D", I2286*$N$1, IF(Gastos[[#This Row],[Divisa]]="EUR", I2286*$N$2, 0)))</f>
        <v>77869.279999999999</v>
      </c>
      <c r="K2286" s="54">
        <f>Gastos[[#This Row],[Importe AR$]]/$N$1</f>
        <v>49.916205128205128</v>
      </c>
      <c r="L2286" t="s">
        <v>340</v>
      </c>
      <c r="M2286" s="69"/>
      <c r="N2286" s="43" t="str">
        <f>IF(Gastos[[#This Row],[Fecha_Cheque]]&gt;0,WEEKNUM(Gastos[[#This Row],[Fecha_Cheque]]),MID(Gastos[[#This Row],[Semana]],6,2))</f>
        <v>20</v>
      </c>
      <c r="O2286" t="s">
        <v>3151</v>
      </c>
      <c r="P2286" t="s">
        <v>27</v>
      </c>
    </row>
    <row r="2287" spans="1:16" hidden="1" x14ac:dyDescent="0.25">
      <c r="A2287" s="3" t="s">
        <v>2792</v>
      </c>
      <c r="B2287" t="s">
        <v>3149</v>
      </c>
      <c r="C2287" t="s">
        <v>3178</v>
      </c>
      <c r="D2287" t="s">
        <v>26</v>
      </c>
      <c r="E2287" t="s">
        <v>62</v>
      </c>
      <c r="F2287">
        <v>1</v>
      </c>
      <c r="G2287" s="3" t="s">
        <v>32</v>
      </c>
      <c r="H2287" s="44" t="s">
        <v>15</v>
      </c>
      <c r="I2287" s="17">
        <v>300000</v>
      </c>
      <c r="J2287" s="17">
        <f>IF(Gastos[[#This Row],[Divisa]]="$", I2287*1, IF(Gastos[[#This Row],[Divisa]]="U$D", I2287*$N$1, IF(Gastos[[#This Row],[Divisa]]="EUR", I2287*$N$2, 0)))</f>
        <v>300000</v>
      </c>
      <c r="K2287" s="54">
        <f>Gastos[[#This Row],[Importe AR$]]/$N$1</f>
        <v>192.30769230769232</v>
      </c>
      <c r="M2287" s="69"/>
      <c r="N2287" s="43" t="str">
        <f>IF(Gastos[[#This Row],[Fecha_Cheque]]&gt;0,WEEKNUM(Gastos[[#This Row],[Fecha_Cheque]]),MID(Gastos[[#This Row],[Semana]],6,2))</f>
        <v>21</v>
      </c>
      <c r="O2287" t="s">
        <v>3179</v>
      </c>
      <c r="P2287" t="s">
        <v>27</v>
      </c>
    </row>
    <row r="2288" spans="1:16" hidden="1" x14ac:dyDescent="0.25">
      <c r="A2288" s="3" t="s">
        <v>2792</v>
      </c>
      <c r="B2288" t="s">
        <v>3149</v>
      </c>
      <c r="C2288" t="s">
        <v>3178</v>
      </c>
      <c r="D2288" t="s">
        <v>26</v>
      </c>
      <c r="E2288" t="s">
        <v>62</v>
      </c>
      <c r="F2288">
        <v>1</v>
      </c>
      <c r="G2288" s="3" t="s">
        <v>32</v>
      </c>
      <c r="H2288" s="44" t="s">
        <v>15</v>
      </c>
      <c r="I2288" s="17">
        <v>6974.98</v>
      </c>
      <c r="J2288" s="17">
        <f>IF(Gastos[[#This Row],[Divisa]]="$", I2288*1, IF(Gastos[[#This Row],[Divisa]]="U$D", I2288*$N$1, IF(Gastos[[#This Row],[Divisa]]="EUR", I2288*$N$2, 0)))</f>
        <v>6974.98</v>
      </c>
      <c r="K2288" s="54">
        <f>Gastos[[#This Row],[Importe AR$]]/$N$1</f>
        <v>4.4711410256410256</v>
      </c>
      <c r="L2288" t="s">
        <v>340</v>
      </c>
      <c r="M2288" s="69"/>
      <c r="N2288" s="43" t="str">
        <f>IF(Gastos[[#This Row],[Fecha_Cheque]]&gt;0,WEEKNUM(Gastos[[#This Row],[Fecha_Cheque]]),MID(Gastos[[#This Row],[Semana]],6,2))</f>
        <v>21</v>
      </c>
      <c r="O2288" t="s">
        <v>3179</v>
      </c>
      <c r="P2288" t="s">
        <v>27</v>
      </c>
    </row>
    <row r="2289" spans="1:16" x14ac:dyDescent="0.25">
      <c r="A2289" s="3" t="s">
        <v>4655</v>
      </c>
      <c r="B2289" t="s">
        <v>1215</v>
      </c>
      <c r="C2289" t="s">
        <v>3273</v>
      </c>
      <c r="D2289" t="s">
        <v>26</v>
      </c>
      <c r="E2289" t="s">
        <v>62</v>
      </c>
      <c r="F2289">
        <v>2</v>
      </c>
      <c r="G2289" s="3" t="s">
        <v>4</v>
      </c>
      <c r="H2289" s="44" t="s">
        <v>15</v>
      </c>
      <c r="I2289" s="49">
        <v>500000</v>
      </c>
      <c r="J2289" s="17">
        <f>IF(Gastos[[#This Row],[Divisa]]="$", I2289*1, IF(Gastos[[#This Row],[Divisa]]="U$D", I2289*$N$1, IF(Gastos[[#This Row],[Divisa]]="EUR", I2289*$N$2, 0)))</f>
        <v>500000</v>
      </c>
      <c r="K2289" s="54">
        <f>Gastos[[#This Row],[Importe AR$]]/$N$1</f>
        <v>320.5128205128205</v>
      </c>
      <c r="M2289" s="69"/>
      <c r="N2289" s="43" t="str">
        <f>IF(Gastos[[#This Row],[Fecha_Cheque]]&gt;0,WEEKNUM(Gastos[[#This Row],[Fecha_Cheque]]),MID(Gastos[[#This Row],[Semana]],6,2))</f>
        <v>44</v>
      </c>
    </row>
    <row r="2290" spans="1:16" hidden="1" x14ac:dyDescent="0.25">
      <c r="A2290" s="3" t="s">
        <v>53</v>
      </c>
      <c r="B2290" t="s">
        <v>1378</v>
      </c>
      <c r="C2290" t="s">
        <v>1379</v>
      </c>
      <c r="D2290" t="s">
        <v>26</v>
      </c>
      <c r="E2290" t="s">
        <v>31</v>
      </c>
      <c r="F2290">
        <v>1</v>
      </c>
      <c r="G2290" s="3" t="s">
        <v>5</v>
      </c>
      <c r="H2290" s="46" t="s">
        <v>15</v>
      </c>
      <c r="I2290" s="17">
        <v>45554.080000000002</v>
      </c>
      <c r="J2290" s="17">
        <f>IF(Gastos[[#This Row],[Divisa]]="$", I2290*1, IF(Gastos[[#This Row],[Divisa]]="U$D", I2290*$N$1, IF(Gastos[[#This Row],[Divisa]]="EUR", I2290*$N$2, 0)))</f>
        <v>45554.080000000002</v>
      </c>
      <c r="K2290" s="54">
        <f>Gastos[[#This Row],[Importe AR$]]/$N$1</f>
        <v>29.201333333333334</v>
      </c>
      <c r="M2290" s="69"/>
      <c r="N2290" s="43" t="str">
        <f>IF(Gastos[[#This Row],[Fecha_Cheque]]&gt;0,WEEKNUM(Gastos[[#This Row],[Fecha_Cheque]]),MID(Gastos[[#This Row],[Semana]],6,2))</f>
        <v>34</v>
      </c>
      <c r="O2290" t="s">
        <v>1380</v>
      </c>
      <c r="P2290" t="s">
        <v>27</v>
      </c>
    </row>
    <row r="2291" spans="1:16" hidden="1" x14ac:dyDescent="0.25">
      <c r="A2291" s="3" t="s">
        <v>89</v>
      </c>
      <c r="B2291" t="s">
        <v>1378</v>
      </c>
      <c r="C2291" t="s">
        <v>1381</v>
      </c>
      <c r="D2291" t="s">
        <v>26</v>
      </c>
      <c r="E2291" t="s">
        <v>31</v>
      </c>
      <c r="F2291">
        <v>1</v>
      </c>
      <c r="G2291" s="3" t="s">
        <v>32</v>
      </c>
      <c r="H2291" s="46" t="s">
        <v>15</v>
      </c>
      <c r="I2291" s="17">
        <v>300000</v>
      </c>
      <c r="J2291" s="17">
        <f>IF(Gastos[[#This Row],[Divisa]]="$", I2291*1, IF(Gastos[[#This Row],[Divisa]]="U$D", I2291*$N$1, IF(Gastos[[#This Row],[Divisa]]="EUR", I2291*$N$2, 0)))</f>
        <v>300000</v>
      </c>
      <c r="K2291" s="54">
        <f>Gastos[[#This Row],[Importe AR$]]/$N$1</f>
        <v>192.30769230769232</v>
      </c>
      <c r="M2291" s="69"/>
      <c r="N2291" s="43" t="str">
        <f>IF(Gastos[[#This Row],[Fecha_Cheque]]&gt;0,WEEKNUM(Gastos[[#This Row],[Fecha_Cheque]]),MID(Gastos[[#This Row],[Semana]],6,2))</f>
        <v>39</v>
      </c>
      <c r="O2291" t="s">
        <v>1382</v>
      </c>
      <c r="P2291" t="s">
        <v>27</v>
      </c>
    </row>
    <row r="2292" spans="1:16" hidden="1" x14ac:dyDescent="0.25">
      <c r="A2292" s="3" t="s">
        <v>124</v>
      </c>
      <c r="B2292" t="s">
        <v>1378</v>
      </c>
      <c r="C2292" t="s">
        <v>1381</v>
      </c>
      <c r="D2292" t="s">
        <v>26</v>
      </c>
      <c r="E2292" t="s">
        <v>31</v>
      </c>
      <c r="F2292">
        <v>1</v>
      </c>
      <c r="G2292" s="3" t="s">
        <v>32</v>
      </c>
      <c r="H2292" s="46" t="s">
        <v>15</v>
      </c>
      <c r="I2292" s="17">
        <v>270000</v>
      </c>
      <c r="J2292" s="17">
        <f>IF(Gastos[[#This Row],[Divisa]]="$", I2292*1, IF(Gastos[[#This Row],[Divisa]]="U$D", I2292*$N$1, IF(Gastos[[#This Row],[Divisa]]="EUR", I2292*$N$2, 0)))</f>
        <v>270000</v>
      </c>
      <c r="K2292" s="54">
        <f>Gastos[[#This Row],[Importe AR$]]/$N$1</f>
        <v>173.07692307692307</v>
      </c>
      <c r="M2292" s="69"/>
      <c r="N2292" s="43" t="str">
        <f>IF(Gastos[[#This Row],[Fecha_Cheque]]&gt;0,WEEKNUM(Gastos[[#This Row],[Fecha_Cheque]]),MID(Gastos[[#This Row],[Semana]],6,2))</f>
        <v>42</v>
      </c>
      <c r="O2292" t="s">
        <v>1383</v>
      </c>
      <c r="P2292" t="s">
        <v>27</v>
      </c>
    </row>
    <row r="2293" spans="1:16" hidden="1" x14ac:dyDescent="0.25">
      <c r="A2293" s="3" t="s">
        <v>232</v>
      </c>
      <c r="B2293" t="s">
        <v>1378</v>
      </c>
      <c r="C2293" t="s">
        <v>1122</v>
      </c>
      <c r="D2293" t="s">
        <v>26</v>
      </c>
      <c r="E2293" t="s">
        <v>31</v>
      </c>
      <c r="F2293">
        <v>1</v>
      </c>
      <c r="G2293" s="3" t="s">
        <v>32</v>
      </c>
      <c r="H2293" s="46" t="s">
        <v>15</v>
      </c>
      <c r="I2293" s="17">
        <v>302439.88</v>
      </c>
      <c r="J2293" s="17">
        <f>IF(Gastos[[#This Row],[Divisa]]="$", I2293*1, IF(Gastos[[#This Row],[Divisa]]="U$D", I2293*$N$1, IF(Gastos[[#This Row],[Divisa]]="EUR", I2293*$N$2, 0)))</f>
        <v>302439.88</v>
      </c>
      <c r="K2293" s="54">
        <f>Gastos[[#This Row],[Importe AR$]]/$N$1</f>
        <v>193.87171794871796</v>
      </c>
      <c r="M2293" s="69">
        <v>45986</v>
      </c>
      <c r="N2293" s="43">
        <f>IF(Gastos[[#This Row],[Fecha_Cheque]]&gt;0,WEEKNUM(Gastos[[#This Row],[Fecha_Cheque]]),MID(Gastos[[#This Row],[Semana]],6,2))</f>
        <v>48</v>
      </c>
      <c r="O2293" t="s">
        <v>1384</v>
      </c>
      <c r="P2293" t="s">
        <v>27</v>
      </c>
    </row>
    <row r="2294" spans="1:16" hidden="1" x14ac:dyDescent="0.25">
      <c r="A2294" s="3" t="s">
        <v>3617</v>
      </c>
      <c r="B2294" t="s">
        <v>3618</v>
      </c>
      <c r="C2294" t="s">
        <v>3619</v>
      </c>
      <c r="D2294" t="s">
        <v>26</v>
      </c>
      <c r="E2294" t="s">
        <v>42</v>
      </c>
      <c r="F2294">
        <v>1</v>
      </c>
      <c r="G2294" s="3" t="s">
        <v>4</v>
      </c>
      <c r="H2294" s="44" t="s">
        <v>15</v>
      </c>
      <c r="I2294" s="17">
        <v>39509.919999999998</v>
      </c>
      <c r="J2294" s="17">
        <f>IF(Gastos[[#This Row],[Divisa]]="$", I2294*1, IF(Gastos[[#This Row],[Divisa]]="U$D", I2294*$N$1, IF(Gastos[[#This Row],[Divisa]]="EUR", I2294*$N$2, 0)))</f>
        <v>39509.919999999998</v>
      </c>
      <c r="K2294" s="54">
        <f>Gastos[[#This Row],[Importe AR$]]/$N$1</f>
        <v>25.326871794871792</v>
      </c>
      <c r="M2294" s="69"/>
      <c r="N2294" s="43" t="str">
        <f>IF(Gastos[[#This Row],[Fecha_Cheque]]&gt;0,WEEKNUM(Gastos[[#This Row],[Fecha_Cheque]]),MID(Gastos[[#This Row],[Semana]],6,2))</f>
        <v>27</v>
      </c>
      <c r="O2294" t="s">
        <v>3624</v>
      </c>
      <c r="P2294" t="s">
        <v>27</v>
      </c>
    </row>
    <row r="2295" spans="1:16" hidden="1" x14ac:dyDescent="0.25">
      <c r="A2295" s="3" t="s">
        <v>171</v>
      </c>
      <c r="B2295" t="s">
        <v>1385</v>
      </c>
      <c r="C2295" t="s">
        <v>1386</v>
      </c>
      <c r="D2295" t="s">
        <v>26</v>
      </c>
      <c r="E2295" t="s">
        <v>31</v>
      </c>
      <c r="F2295">
        <v>1</v>
      </c>
      <c r="G2295" s="3" t="s">
        <v>32</v>
      </c>
      <c r="H2295" s="46" t="s">
        <v>15</v>
      </c>
      <c r="I2295" s="17">
        <v>135720</v>
      </c>
      <c r="J2295" s="17">
        <f>IF(Gastos[[#This Row],[Divisa]]="$", I2295*1, IF(Gastos[[#This Row],[Divisa]]="U$D", I2295*$N$1, IF(Gastos[[#This Row],[Divisa]]="EUR", I2295*$N$2, 0)))</f>
        <v>135720</v>
      </c>
      <c r="K2295" s="54">
        <f>Gastos[[#This Row],[Importe AR$]]/$N$1</f>
        <v>87</v>
      </c>
      <c r="M2295" s="69">
        <v>45954</v>
      </c>
      <c r="N2295" s="43">
        <f>IF(Gastos[[#This Row],[Fecha_Cheque]]&gt;0,WEEKNUM(Gastos[[#This Row],[Fecha_Cheque]]),MID(Gastos[[#This Row],[Semana]],6,2))</f>
        <v>43</v>
      </c>
      <c r="O2295" t="s">
        <v>1387</v>
      </c>
      <c r="P2295" t="s">
        <v>27</v>
      </c>
    </row>
    <row r="2296" spans="1:16" hidden="1" x14ac:dyDescent="0.25">
      <c r="A2296" s="3" t="s">
        <v>232</v>
      </c>
      <c r="B2296" t="s">
        <v>1385</v>
      </c>
      <c r="C2296" t="s">
        <v>1388</v>
      </c>
      <c r="D2296" t="s">
        <v>26</v>
      </c>
      <c r="E2296" t="s">
        <v>31</v>
      </c>
      <c r="F2296">
        <v>1</v>
      </c>
      <c r="G2296" s="3" t="s">
        <v>5</v>
      </c>
      <c r="H2296" s="46" t="s">
        <v>15</v>
      </c>
      <c r="I2296" s="17">
        <v>196588</v>
      </c>
      <c r="J2296" s="17">
        <f>IF(Gastos[[#This Row],[Divisa]]="$", I2296*1, IF(Gastos[[#This Row],[Divisa]]="U$D", I2296*$N$1, IF(Gastos[[#This Row],[Divisa]]="EUR", I2296*$N$2, 0)))</f>
        <v>196588</v>
      </c>
      <c r="K2296" s="54">
        <f>Gastos[[#This Row],[Importe AR$]]/$N$1</f>
        <v>126.01794871794871</v>
      </c>
      <c r="M2296" s="69"/>
      <c r="N2296" s="43" t="str">
        <f>IF(Gastos[[#This Row],[Fecha_Cheque]]&gt;0,WEEKNUM(Gastos[[#This Row],[Fecha_Cheque]]),MID(Gastos[[#This Row],[Semana]],6,2))</f>
        <v>44</v>
      </c>
      <c r="O2296" t="s">
        <v>1389</v>
      </c>
      <c r="P2296" t="s">
        <v>27</v>
      </c>
    </row>
    <row r="2297" spans="1:16" hidden="1" x14ac:dyDescent="0.25">
      <c r="A2297" s="3" t="s">
        <v>72</v>
      </c>
      <c r="B2297" t="s">
        <v>1385</v>
      </c>
      <c r="C2297" t="s">
        <v>464</v>
      </c>
      <c r="D2297" t="s">
        <v>26</v>
      </c>
      <c r="E2297" t="s">
        <v>62</v>
      </c>
      <c r="F2297">
        <v>1</v>
      </c>
      <c r="G2297" s="3" t="s">
        <v>5</v>
      </c>
      <c r="H2297" s="46" t="s">
        <v>15</v>
      </c>
      <c r="I2297" s="17">
        <v>593930.36</v>
      </c>
      <c r="J2297" s="17">
        <f>IF(Gastos[[#This Row],[Divisa]]="$", I2297*1, IF(Gastos[[#This Row],[Divisa]]="U$D", I2297*$N$1, IF(Gastos[[#This Row],[Divisa]]="EUR", I2297*$N$2, 0)))</f>
        <v>593930.36</v>
      </c>
      <c r="K2297" s="54">
        <f>Gastos[[#This Row],[Importe AR$]]/$N$1</f>
        <v>380.72458974358972</v>
      </c>
      <c r="M2297" s="69">
        <v>46014</v>
      </c>
      <c r="N2297" s="43">
        <f>IF(Gastos[[#This Row],[Fecha_Cheque]]&gt;0,WEEKNUM(Gastos[[#This Row],[Fecha_Cheque]]),MID(Gastos[[#This Row],[Semana]],6,2))</f>
        <v>52</v>
      </c>
      <c r="O2297" t="s">
        <v>1390</v>
      </c>
      <c r="P2297" t="s">
        <v>27</v>
      </c>
    </row>
    <row r="2298" spans="1:16" hidden="1" x14ac:dyDescent="0.25">
      <c r="A2298" s="3" t="s">
        <v>44</v>
      </c>
      <c r="B2298" t="s">
        <v>1385</v>
      </c>
      <c r="C2298" t="s">
        <v>466</v>
      </c>
      <c r="D2298" t="s">
        <v>26</v>
      </c>
      <c r="E2298" t="s">
        <v>31</v>
      </c>
      <c r="F2298">
        <v>1</v>
      </c>
      <c r="G2298" s="3" t="s">
        <v>32</v>
      </c>
      <c r="H2298" s="46" t="s">
        <v>15</v>
      </c>
      <c r="I2298" s="17">
        <v>300500</v>
      </c>
      <c r="J2298" s="17">
        <f>IF(Gastos[[#This Row],[Divisa]]="$", I2298*1, IF(Gastos[[#This Row],[Divisa]]="U$D", I2298*$N$1, IF(Gastos[[#This Row],[Divisa]]="EUR", I2298*$N$2, 0)))</f>
        <v>300500</v>
      </c>
      <c r="K2298" s="54">
        <f>Gastos[[#This Row],[Importe AR$]]/$N$1</f>
        <v>192.62820512820514</v>
      </c>
      <c r="M2298" s="69">
        <v>46018</v>
      </c>
      <c r="N2298" s="43">
        <f>IF(Gastos[[#This Row],[Fecha_Cheque]]&gt;0,WEEKNUM(Gastos[[#This Row],[Fecha_Cheque]]),MID(Gastos[[#This Row],[Semana]],6,2))</f>
        <v>52</v>
      </c>
      <c r="O2298" t="s">
        <v>1391</v>
      </c>
      <c r="P2298" t="s">
        <v>27</v>
      </c>
    </row>
    <row r="2299" spans="1:16" hidden="1" x14ac:dyDescent="0.25">
      <c r="A2299" s="3" t="s">
        <v>44</v>
      </c>
      <c r="B2299" t="s">
        <v>1385</v>
      </c>
      <c r="C2299" t="s">
        <v>466</v>
      </c>
      <c r="D2299" t="s">
        <v>26</v>
      </c>
      <c r="E2299" t="s">
        <v>31</v>
      </c>
      <c r="F2299">
        <v>1</v>
      </c>
      <c r="G2299" s="3" t="s">
        <v>32</v>
      </c>
      <c r="H2299" s="46" t="s">
        <v>15</v>
      </c>
      <c r="I2299" s="17">
        <v>980000</v>
      </c>
      <c r="J2299" s="17">
        <f>IF(Gastos[[#This Row],[Divisa]]="$", I2299*1, IF(Gastos[[#This Row],[Divisa]]="U$D", I2299*$N$1, IF(Gastos[[#This Row],[Divisa]]="EUR", I2299*$N$2, 0)))</f>
        <v>980000</v>
      </c>
      <c r="K2299" s="54">
        <f>Gastos[[#This Row],[Importe AR$]]/$N$1</f>
        <v>628.20512820512818</v>
      </c>
      <c r="M2299" s="69">
        <v>46040</v>
      </c>
      <c r="N2299" s="43">
        <f>IF(Gastos[[#This Row],[Fecha_Cheque]]&gt;0,WEEKNUM(Gastos[[#This Row],[Fecha_Cheque]]),MID(Gastos[[#This Row],[Semana]],6,2))</f>
        <v>4</v>
      </c>
      <c r="O2299" t="s">
        <v>1392</v>
      </c>
      <c r="P2299" t="s">
        <v>27</v>
      </c>
    </row>
    <row r="2300" spans="1:16" hidden="1" x14ac:dyDescent="0.25">
      <c r="A2300" s="3" t="s">
        <v>44</v>
      </c>
      <c r="B2300" t="s">
        <v>1385</v>
      </c>
      <c r="C2300" t="s">
        <v>466</v>
      </c>
      <c r="D2300" t="s">
        <v>26</v>
      </c>
      <c r="E2300" t="s">
        <v>31</v>
      </c>
      <c r="F2300">
        <v>1</v>
      </c>
      <c r="G2300" s="3" t="s">
        <v>32</v>
      </c>
      <c r="H2300" s="46" t="s">
        <v>15</v>
      </c>
      <c r="I2300" s="17">
        <v>378300</v>
      </c>
      <c r="J2300" s="17">
        <f>IF(Gastos[[#This Row],[Divisa]]="$", I2300*1, IF(Gastos[[#This Row],[Divisa]]="U$D", I2300*$N$1, IF(Gastos[[#This Row],[Divisa]]="EUR", I2300*$N$2, 0)))</f>
        <v>378300</v>
      </c>
      <c r="K2300" s="54">
        <f>Gastos[[#This Row],[Importe AR$]]/$N$1</f>
        <v>242.5</v>
      </c>
      <c r="M2300" s="69">
        <v>46018</v>
      </c>
      <c r="N2300" s="43">
        <f>IF(Gastos[[#This Row],[Fecha_Cheque]]&gt;0,WEEKNUM(Gastos[[#This Row],[Fecha_Cheque]]),MID(Gastos[[#This Row],[Semana]],6,2))</f>
        <v>52</v>
      </c>
      <c r="O2300" t="s">
        <v>1393</v>
      </c>
      <c r="P2300" t="s">
        <v>27</v>
      </c>
    </row>
    <row r="2301" spans="1:16" hidden="1" x14ac:dyDescent="0.25">
      <c r="A2301" s="3" t="s">
        <v>44</v>
      </c>
      <c r="B2301" t="s">
        <v>1385</v>
      </c>
      <c r="C2301" t="s">
        <v>466</v>
      </c>
      <c r="D2301" t="s">
        <v>26</v>
      </c>
      <c r="E2301" t="s">
        <v>62</v>
      </c>
      <c r="F2301">
        <v>1</v>
      </c>
      <c r="G2301" s="3" t="s">
        <v>5</v>
      </c>
      <c r="H2301" s="46" t="s">
        <v>15</v>
      </c>
      <c r="I2301" s="17">
        <v>110000</v>
      </c>
      <c r="J2301" s="17">
        <f>IF(Gastos[[#This Row],[Divisa]]="$", I2301*1, IF(Gastos[[#This Row],[Divisa]]="U$D", I2301*$N$1, IF(Gastos[[#This Row],[Divisa]]="EUR", I2301*$N$2, 0)))</f>
        <v>110000</v>
      </c>
      <c r="K2301" s="54">
        <f>Gastos[[#This Row],[Importe AR$]]/$N$1</f>
        <v>70.512820512820511</v>
      </c>
      <c r="M2301" s="69"/>
      <c r="N2301" s="43" t="str">
        <f>IF(Gastos[[#This Row],[Fecha_Cheque]]&gt;0,WEEKNUM(Gastos[[#This Row],[Fecha_Cheque]]),MID(Gastos[[#This Row],[Semana]],6,2))</f>
        <v>51</v>
      </c>
      <c r="O2301" t="s">
        <v>1394</v>
      </c>
      <c r="P2301" t="s">
        <v>27</v>
      </c>
    </row>
    <row r="2302" spans="1:16" hidden="1" x14ac:dyDescent="0.25">
      <c r="A2302" s="3" t="s">
        <v>206</v>
      </c>
      <c r="B2302" t="s">
        <v>1385</v>
      </c>
      <c r="C2302" t="s">
        <v>466</v>
      </c>
      <c r="D2302" t="s">
        <v>26</v>
      </c>
      <c r="E2302" t="s">
        <v>31</v>
      </c>
      <c r="F2302">
        <v>1</v>
      </c>
      <c r="G2302" s="3" t="s">
        <v>32</v>
      </c>
      <c r="H2302" s="46" t="s">
        <v>15</v>
      </c>
      <c r="I2302" s="17">
        <v>492281.65</v>
      </c>
      <c r="J2302" s="17">
        <f>IF(Gastos[[#This Row],[Divisa]]="$", I2302*1, IF(Gastos[[#This Row],[Divisa]]="U$D", I2302*$N$1, IF(Gastos[[#This Row],[Divisa]]="EUR", I2302*$N$2, 0)))</f>
        <v>492281.65</v>
      </c>
      <c r="K2302" s="54">
        <f>Gastos[[#This Row],[Importe AR$]]/$N$1</f>
        <v>315.56516025641025</v>
      </c>
      <c r="M2302" s="69">
        <v>46085</v>
      </c>
      <c r="N2302" s="43">
        <f>IF(Gastos[[#This Row],[Fecha_Cheque]]&gt;0,WEEKNUM(Gastos[[#This Row],[Fecha_Cheque]]),MID(Gastos[[#This Row],[Semana]],6,2))</f>
        <v>10</v>
      </c>
      <c r="O2302" t="s">
        <v>1395</v>
      </c>
      <c r="P2302" t="s">
        <v>27</v>
      </c>
    </row>
    <row r="2303" spans="1:16" hidden="1" x14ac:dyDescent="0.25">
      <c r="A2303" s="3" t="s">
        <v>206</v>
      </c>
      <c r="B2303" t="s">
        <v>1385</v>
      </c>
      <c r="C2303" t="s">
        <v>466</v>
      </c>
      <c r="D2303" t="s">
        <v>26</v>
      </c>
      <c r="E2303" t="s">
        <v>31</v>
      </c>
      <c r="F2303">
        <v>1</v>
      </c>
      <c r="G2303" s="3" t="s">
        <v>32</v>
      </c>
      <c r="H2303" s="46" t="s">
        <v>15</v>
      </c>
      <c r="I2303" s="17">
        <v>400641</v>
      </c>
      <c r="J2303" s="17">
        <f>IF(Gastos[[#This Row],[Divisa]]="$", I2303*1, IF(Gastos[[#This Row],[Divisa]]="U$D", I2303*$N$1, IF(Gastos[[#This Row],[Divisa]]="EUR", I2303*$N$2, 0)))</f>
        <v>400641</v>
      </c>
      <c r="K2303" s="54">
        <f>Gastos[[#This Row],[Importe AR$]]/$N$1</f>
        <v>256.82115384615383</v>
      </c>
      <c r="M2303" s="69"/>
      <c r="N2303" s="43" t="str">
        <f>IF(Gastos[[#This Row],[Fecha_Cheque]]&gt;0,WEEKNUM(Gastos[[#This Row],[Fecha_Cheque]]),MID(Gastos[[#This Row],[Semana]],6,2))</f>
        <v>06</v>
      </c>
      <c r="O2303" t="s">
        <v>1396</v>
      </c>
      <c r="P2303" t="s">
        <v>27</v>
      </c>
    </row>
    <row r="2304" spans="1:16" hidden="1" x14ac:dyDescent="0.25">
      <c r="A2304" s="3" t="s">
        <v>180</v>
      </c>
      <c r="B2304" t="s">
        <v>1385</v>
      </c>
      <c r="C2304" t="s">
        <v>1824</v>
      </c>
      <c r="D2304" t="s">
        <v>26</v>
      </c>
      <c r="E2304" t="s">
        <v>31</v>
      </c>
      <c r="F2304">
        <v>1</v>
      </c>
      <c r="G2304" s="3" t="s">
        <v>32</v>
      </c>
      <c r="H2304" s="46" t="s">
        <v>15</v>
      </c>
      <c r="I2304" s="17">
        <f>105267+62150</f>
        <v>167417</v>
      </c>
      <c r="J2304" s="17">
        <f>IF(Gastos[[#This Row],[Divisa]]="$", I2304*1, IF(Gastos[[#This Row],[Divisa]]="U$D", I2304*$N$1, IF(Gastos[[#This Row],[Divisa]]="EUR", I2304*$N$2, 0)))</f>
        <v>167417</v>
      </c>
      <c r="K2304" s="54">
        <f>Gastos[[#This Row],[Importe AR$]]/$N$1</f>
        <v>107.31858974358974</v>
      </c>
      <c r="M2304" s="69">
        <v>46095</v>
      </c>
      <c r="N2304" s="43">
        <f>IF(Gastos[[#This Row],[Fecha_Cheque]]&gt;0,WEEKNUM(Gastos[[#This Row],[Fecha_Cheque]]),MID(Gastos[[#This Row],[Semana]],6,2))</f>
        <v>11</v>
      </c>
      <c r="O2304" t="s">
        <v>1825</v>
      </c>
      <c r="P2304" t="s">
        <v>27</v>
      </c>
    </row>
    <row r="2305" spans="1:16" hidden="1" x14ac:dyDescent="0.25">
      <c r="A2305" s="3" t="s">
        <v>4569</v>
      </c>
      <c r="B2305" t="s">
        <v>1385</v>
      </c>
      <c r="C2305" t="s">
        <v>4614</v>
      </c>
      <c r="D2305" t="s">
        <v>26</v>
      </c>
      <c r="E2305" t="s">
        <v>62</v>
      </c>
      <c r="F2305">
        <v>1</v>
      </c>
      <c r="G2305" s="3" t="s">
        <v>4</v>
      </c>
      <c r="H2305" s="44" t="s">
        <v>15</v>
      </c>
      <c r="I2305" s="17">
        <v>326389.75</v>
      </c>
      <c r="J2305" s="17">
        <f>IF(Gastos[[#This Row],[Divisa]]="$", I2305*1, IF(Gastos[[#This Row],[Divisa]]="U$D", I2305*$N$1, IF(Gastos[[#This Row],[Divisa]]="EUR", I2305*$N$2, 0)))</f>
        <v>326389.75</v>
      </c>
      <c r="K2305" s="54">
        <f>Gastos[[#This Row],[Importe AR$]]/$N$1</f>
        <v>209.22419871794872</v>
      </c>
      <c r="M2305" s="69"/>
      <c r="N2305" s="43" t="str">
        <f>IF(Gastos[[#This Row],[Fecha_Cheque]]&gt;0,WEEKNUM(Gastos[[#This Row],[Fecha_Cheque]]),MID(Gastos[[#This Row],[Semana]],6,2))</f>
        <v>43</v>
      </c>
      <c r="O2305" t="s">
        <v>4615</v>
      </c>
      <c r="P2305" t="s">
        <v>27</v>
      </c>
    </row>
    <row r="2306" spans="1:16" hidden="1" x14ac:dyDescent="0.25">
      <c r="A2306" s="3" t="s">
        <v>4569</v>
      </c>
      <c r="B2306" t="s">
        <v>1385</v>
      </c>
      <c r="C2306" t="s">
        <v>4614</v>
      </c>
      <c r="D2306" t="s">
        <v>26</v>
      </c>
      <c r="E2306" t="s">
        <v>62</v>
      </c>
      <c r="F2306">
        <v>1</v>
      </c>
      <c r="G2306" s="3" t="s">
        <v>4</v>
      </c>
      <c r="H2306" s="44" t="s">
        <v>15</v>
      </c>
      <c r="I2306" s="17">
        <v>930.25</v>
      </c>
      <c r="J2306" s="17">
        <f>IF(Gastos[[#This Row],[Divisa]]="$", I2306*1, IF(Gastos[[#This Row],[Divisa]]="U$D", I2306*$N$1, IF(Gastos[[#This Row],[Divisa]]="EUR", I2306*$N$2, 0)))</f>
        <v>930.25</v>
      </c>
      <c r="K2306" s="54">
        <f>Gastos[[#This Row],[Importe AR$]]/$N$1</f>
        <v>0.59631410256410255</v>
      </c>
      <c r="M2306" s="69"/>
      <c r="N2306" s="43" t="str">
        <f>IF(Gastos[[#This Row],[Fecha_Cheque]]&gt;0,WEEKNUM(Gastos[[#This Row],[Fecha_Cheque]]),MID(Gastos[[#This Row],[Semana]],6,2))</f>
        <v>43</v>
      </c>
      <c r="O2306" t="s">
        <v>4615</v>
      </c>
      <c r="P2306" t="s">
        <v>27</v>
      </c>
    </row>
    <row r="2307" spans="1:16" hidden="1" x14ac:dyDescent="0.25">
      <c r="A2307" s="3" t="s">
        <v>52</v>
      </c>
      <c r="B2307" t="s">
        <v>1397</v>
      </c>
      <c r="C2307" t="s">
        <v>685</v>
      </c>
      <c r="D2307" t="s">
        <v>26</v>
      </c>
      <c r="E2307" t="s">
        <v>31</v>
      </c>
      <c r="F2307">
        <v>2</v>
      </c>
      <c r="G2307" s="3" t="s">
        <v>32</v>
      </c>
      <c r="H2307" s="46" t="s">
        <v>15</v>
      </c>
      <c r="I2307" s="19">
        <v>3819860</v>
      </c>
      <c r="J2307" s="17">
        <f>IF(Gastos[[#This Row],[Divisa]]="$", I2307*1, IF(Gastos[[#This Row],[Divisa]]="U$D", I2307*$N$1, IF(Gastos[[#This Row],[Divisa]]="EUR", I2307*$N$2, 0)))</f>
        <v>3819860</v>
      </c>
      <c r="K2307" s="55">
        <f>Gastos[[#This Row],[Importe AR$]]/$N$1</f>
        <v>2448.6282051282051</v>
      </c>
      <c r="M2307" s="69"/>
      <c r="N2307" s="43" t="str">
        <f>IF(Gastos[[#This Row],[Fecha_Cheque]]&gt;0,WEEKNUM(Gastos[[#This Row],[Fecha_Cheque]]),MID(Gastos[[#This Row],[Semana]],6,2))</f>
        <v>12</v>
      </c>
      <c r="P2307" t="s">
        <v>27</v>
      </c>
    </row>
    <row r="2308" spans="1:16" hidden="1" x14ac:dyDescent="0.25">
      <c r="A2308" s="3" t="s">
        <v>23</v>
      </c>
      <c r="B2308" t="s">
        <v>1397</v>
      </c>
      <c r="C2308" t="s">
        <v>1398</v>
      </c>
      <c r="D2308" t="s">
        <v>26</v>
      </c>
      <c r="E2308" t="s">
        <v>132</v>
      </c>
      <c r="F2308">
        <v>2</v>
      </c>
      <c r="G2308" s="3" t="s">
        <v>4</v>
      </c>
      <c r="H2308" s="46" t="s">
        <v>15</v>
      </c>
      <c r="I2308" s="17">
        <v>500000</v>
      </c>
      <c r="J2308" s="17">
        <f>IF(Gastos[[#This Row],[Divisa]]="$", I2308*1, IF(Gastos[[#This Row],[Divisa]]="U$D", I2308*$N$1, IF(Gastos[[#This Row],[Divisa]]="EUR", I2308*$N$2, 0)))</f>
        <v>500000</v>
      </c>
      <c r="K2308" s="54">
        <f>Gastos[[#This Row],[Importe AR$]]/$N$1</f>
        <v>320.5128205128205</v>
      </c>
      <c r="M2308" s="69"/>
      <c r="N2308" s="43" t="str">
        <f>IF(Gastos[[#This Row],[Fecha_Cheque]]&gt;0,WEEKNUM(Gastos[[#This Row],[Fecha_Cheque]]),MID(Gastos[[#This Row],[Semana]],6,2))</f>
        <v>22</v>
      </c>
      <c r="O2308" t="s">
        <v>1399</v>
      </c>
      <c r="P2308" t="s">
        <v>27</v>
      </c>
    </row>
    <row r="2309" spans="1:16" hidden="1" x14ac:dyDescent="0.25">
      <c r="A2309" s="3" t="s">
        <v>253</v>
      </c>
      <c r="B2309" t="s">
        <v>1397</v>
      </c>
      <c r="C2309" t="s">
        <v>729</v>
      </c>
      <c r="D2309" t="s">
        <v>26</v>
      </c>
      <c r="E2309" t="s">
        <v>132</v>
      </c>
      <c r="F2309">
        <v>2</v>
      </c>
      <c r="G2309" s="3" t="s">
        <v>4</v>
      </c>
      <c r="H2309" s="46" t="s">
        <v>15</v>
      </c>
      <c r="I2309" s="17">
        <v>500000</v>
      </c>
      <c r="J2309" s="17">
        <f>IF(Gastos[[#This Row],[Divisa]]="$", I2309*1, IF(Gastos[[#This Row],[Divisa]]="U$D", I2309*$N$1, IF(Gastos[[#This Row],[Divisa]]="EUR", I2309*$N$2, 0)))</f>
        <v>500000</v>
      </c>
      <c r="K2309" s="54">
        <f>Gastos[[#This Row],[Importe AR$]]/$N$1</f>
        <v>320.5128205128205</v>
      </c>
      <c r="M2309" s="69"/>
      <c r="N2309" s="43" t="str">
        <f>IF(Gastos[[#This Row],[Fecha_Cheque]]&gt;0,WEEKNUM(Gastos[[#This Row],[Fecha_Cheque]]),MID(Gastos[[#This Row],[Semana]],6,2))</f>
        <v>24</v>
      </c>
      <c r="P2309" t="s">
        <v>27</v>
      </c>
    </row>
    <row r="2310" spans="1:16" hidden="1" x14ac:dyDescent="0.25">
      <c r="A2310" s="3" t="s">
        <v>85</v>
      </c>
      <c r="B2310" t="s">
        <v>1397</v>
      </c>
      <c r="C2310" t="s">
        <v>115</v>
      </c>
      <c r="D2310" t="s">
        <v>26</v>
      </c>
      <c r="E2310" t="s">
        <v>132</v>
      </c>
      <c r="F2310">
        <v>2</v>
      </c>
      <c r="G2310" s="3" t="s">
        <v>4</v>
      </c>
      <c r="H2310" s="46" t="s">
        <v>15</v>
      </c>
      <c r="I2310" s="17">
        <v>500000</v>
      </c>
      <c r="J2310" s="17">
        <f>IF(Gastos[[#This Row],[Divisa]]="$", I2310*1, IF(Gastos[[#This Row],[Divisa]]="U$D", I2310*$N$1, IF(Gastos[[#This Row],[Divisa]]="EUR", I2310*$N$2, 0)))</f>
        <v>500000</v>
      </c>
      <c r="K2310" s="54">
        <f>Gastos[[#This Row],[Importe AR$]]/$N$1</f>
        <v>320.5128205128205</v>
      </c>
      <c r="M2310" s="69"/>
      <c r="N2310" s="43" t="str">
        <f>IF(Gastos[[#This Row],[Fecha_Cheque]]&gt;0,WEEKNUM(Gastos[[#This Row],[Fecha_Cheque]]),MID(Gastos[[#This Row],[Semana]],6,2))</f>
        <v>26</v>
      </c>
      <c r="O2310" t="s">
        <v>1400</v>
      </c>
      <c r="P2310" t="s">
        <v>27</v>
      </c>
    </row>
    <row r="2311" spans="1:16" hidden="1" x14ac:dyDescent="0.25">
      <c r="A2311" s="3" t="s">
        <v>105</v>
      </c>
      <c r="B2311" t="s">
        <v>1397</v>
      </c>
      <c r="C2311" t="s">
        <v>735</v>
      </c>
      <c r="D2311" t="s">
        <v>26</v>
      </c>
      <c r="E2311" t="s">
        <v>132</v>
      </c>
      <c r="F2311">
        <v>2</v>
      </c>
      <c r="G2311" s="3" t="s">
        <v>4</v>
      </c>
      <c r="H2311" s="46" t="s">
        <v>15</v>
      </c>
      <c r="I2311" s="17">
        <v>500000</v>
      </c>
      <c r="J2311" s="17">
        <f>IF(Gastos[[#This Row],[Divisa]]="$", I2311*1, IF(Gastos[[#This Row],[Divisa]]="U$D", I2311*$N$1, IF(Gastos[[#This Row],[Divisa]]="EUR", I2311*$N$2, 0)))</f>
        <v>500000</v>
      </c>
      <c r="K2311" s="54">
        <f>Gastos[[#This Row],[Importe AR$]]/$N$1</f>
        <v>320.5128205128205</v>
      </c>
      <c r="M2311" s="69"/>
      <c r="N2311" s="43" t="str">
        <f>IF(Gastos[[#This Row],[Fecha_Cheque]]&gt;0,WEEKNUM(Gastos[[#This Row],[Fecha_Cheque]]),MID(Gastos[[#This Row],[Semana]],6,2))</f>
        <v>27</v>
      </c>
      <c r="O2311" t="s">
        <v>1401</v>
      </c>
      <c r="P2311" t="s">
        <v>27</v>
      </c>
    </row>
    <row r="2312" spans="1:16" hidden="1" x14ac:dyDescent="0.25">
      <c r="A2312" s="3" t="s">
        <v>99</v>
      </c>
      <c r="B2312" t="s">
        <v>1397</v>
      </c>
      <c r="C2312" t="s">
        <v>735</v>
      </c>
      <c r="D2312" t="s">
        <v>26</v>
      </c>
      <c r="E2312" t="s">
        <v>132</v>
      </c>
      <c r="F2312">
        <v>2</v>
      </c>
      <c r="G2312" s="3" t="s">
        <v>4</v>
      </c>
      <c r="H2312" s="46" t="s">
        <v>15</v>
      </c>
      <c r="I2312" s="17">
        <v>500000</v>
      </c>
      <c r="J2312" s="17">
        <f>IF(Gastos[[#This Row],[Divisa]]="$", I2312*1, IF(Gastos[[#This Row],[Divisa]]="U$D", I2312*$N$1, IF(Gastos[[#This Row],[Divisa]]="EUR", I2312*$N$2, 0)))</f>
        <v>500000</v>
      </c>
      <c r="K2312" s="54">
        <f>Gastos[[#This Row],[Importe AR$]]/$N$1</f>
        <v>320.5128205128205</v>
      </c>
      <c r="M2312" s="69"/>
      <c r="N2312" s="43" t="str">
        <f>IF(Gastos[[#This Row],[Fecha_Cheque]]&gt;0,WEEKNUM(Gastos[[#This Row],[Fecha_Cheque]]),MID(Gastos[[#This Row],[Semana]],6,2))</f>
        <v>28</v>
      </c>
      <c r="O2312" t="s">
        <v>1402</v>
      </c>
      <c r="P2312" t="s">
        <v>27</v>
      </c>
    </row>
    <row r="2313" spans="1:16" hidden="1" x14ac:dyDescent="0.25">
      <c r="A2313" s="3" t="s">
        <v>114</v>
      </c>
      <c r="B2313" t="s">
        <v>1397</v>
      </c>
      <c r="C2313" t="s">
        <v>735</v>
      </c>
      <c r="D2313" t="s">
        <v>26</v>
      </c>
      <c r="E2313" t="s">
        <v>132</v>
      </c>
      <c r="F2313">
        <v>2</v>
      </c>
      <c r="G2313" s="3" t="s">
        <v>4</v>
      </c>
      <c r="H2313" s="46" t="s">
        <v>15</v>
      </c>
      <c r="I2313" s="17">
        <v>500000</v>
      </c>
      <c r="J2313" s="17">
        <f>IF(Gastos[[#This Row],[Divisa]]="$", I2313*1, IF(Gastos[[#This Row],[Divisa]]="U$D", I2313*$N$1, IF(Gastos[[#This Row],[Divisa]]="EUR", I2313*$N$2, 0)))</f>
        <v>500000</v>
      </c>
      <c r="K2313" s="54">
        <f>Gastos[[#This Row],[Importe AR$]]/$N$1</f>
        <v>320.5128205128205</v>
      </c>
      <c r="M2313" s="69"/>
      <c r="N2313" s="43" t="str">
        <f>IF(Gastos[[#This Row],[Fecha_Cheque]]&gt;0,WEEKNUM(Gastos[[#This Row],[Fecha_Cheque]]),MID(Gastos[[#This Row],[Semana]],6,2))</f>
        <v>29</v>
      </c>
      <c r="O2313" t="s">
        <v>1403</v>
      </c>
      <c r="P2313" t="s">
        <v>27</v>
      </c>
    </row>
    <row r="2314" spans="1:16" hidden="1" x14ac:dyDescent="0.25">
      <c r="A2314" s="3" t="s">
        <v>117</v>
      </c>
      <c r="B2314" t="s">
        <v>1397</v>
      </c>
      <c r="C2314" t="s">
        <v>689</v>
      </c>
      <c r="D2314" t="s">
        <v>26</v>
      </c>
      <c r="E2314" t="s">
        <v>132</v>
      </c>
      <c r="F2314">
        <v>2</v>
      </c>
      <c r="G2314" s="3" t="s">
        <v>4</v>
      </c>
      <c r="H2314" s="46" t="s">
        <v>15</v>
      </c>
      <c r="I2314" s="17">
        <v>1000000</v>
      </c>
      <c r="J2314" s="17">
        <f>IF(Gastos[[#This Row],[Divisa]]="$", I2314*1, IF(Gastos[[#This Row],[Divisa]]="U$D", I2314*$N$1, IF(Gastos[[#This Row],[Divisa]]="EUR", I2314*$N$2, 0)))</f>
        <v>1000000</v>
      </c>
      <c r="K2314" s="54">
        <f>Gastos[[#This Row],[Importe AR$]]/$N$1</f>
        <v>641.02564102564099</v>
      </c>
      <c r="M2314" s="69"/>
      <c r="N2314" s="43" t="str">
        <f>IF(Gastos[[#This Row],[Fecha_Cheque]]&gt;0,WEEKNUM(Gastos[[#This Row],[Fecha_Cheque]]),MID(Gastos[[#This Row],[Semana]],6,2))</f>
        <v>35</v>
      </c>
      <c r="O2314" t="s">
        <v>123</v>
      </c>
      <c r="P2314" t="s">
        <v>27</v>
      </c>
    </row>
    <row r="2315" spans="1:16" hidden="1" x14ac:dyDescent="0.25">
      <c r="A2315" s="3" t="s">
        <v>4409</v>
      </c>
      <c r="B2315" t="s">
        <v>4437</v>
      </c>
      <c r="C2315" t="s">
        <v>4424</v>
      </c>
      <c r="D2315" t="s">
        <v>26</v>
      </c>
      <c r="E2315" t="s">
        <v>31</v>
      </c>
      <c r="F2315">
        <v>1</v>
      </c>
      <c r="G2315" s="3" t="s">
        <v>5</v>
      </c>
      <c r="H2315" s="44" t="s">
        <v>15</v>
      </c>
      <c r="I2315" s="17">
        <v>543630.92000000004</v>
      </c>
      <c r="J2315" s="17">
        <f>IF(Gastos[[#This Row],[Divisa]]="$", I2315*1, IF(Gastos[[#This Row],[Divisa]]="U$D", I2315*$N$1, IF(Gastos[[#This Row],[Divisa]]="EUR", I2315*$N$2, 0)))</f>
        <v>543630.92000000004</v>
      </c>
      <c r="K2315" s="54">
        <f>Gastos[[#This Row],[Importe AR$]]/$N$1</f>
        <v>348.48135897435901</v>
      </c>
      <c r="M2315" s="69"/>
      <c r="N2315" s="43" t="str">
        <f>IF(Gastos[[#This Row],[Fecha_Cheque]]&gt;0,WEEKNUM(Gastos[[#This Row],[Fecha_Cheque]]),MID(Gastos[[#This Row],[Semana]],6,2))</f>
        <v>40</v>
      </c>
      <c r="O2315" t="s">
        <v>4425</v>
      </c>
      <c r="P2315" t="s">
        <v>27</v>
      </c>
    </row>
    <row r="2316" spans="1:16" hidden="1" x14ac:dyDescent="0.25">
      <c r="A2316" s="3" t="s">
        <v>4409</v>
      </c>
      <c r="B2316" t="s">
        <v>4437</v>
      </c>
      <c r="C2316" t="s">
        <v>4424</v>
      </c>
      <c r="D2316" t="s">
        <v>26</v>
      </c>
      <c r="E2316" t="s">
        <v>31</v>
      </c>
      <c r="F2316">
        <v>1</v>
      </c>
      <c r="G2316" s="3" t="s">
        <v>5</v>
      </c>
      <c r="H2316" s="44" t="s">
        <v>15</v>
      </c>
      <c r="I2316" s="17">
        <v>4581.43</v>
      </c>
      <c r="J2316" s="17">
        <f>IF(Gastos[[#This Row],[Divisa]]="$", I2316*1, IF(Gastos[[#This Row],[Divisa]]="U$D", I2316*$N$1, IF(Gastos[[#This Row],[Divisa]]="EUR", I2316*$N$2, 0)))</f>
        <v>4581.43</v>
      </c>
      <c r="K2316" s="54">
        <f>Gastos[[#This Row],[Importe AR$]]/$N$1</f>
        <v>2.9368141025641026</v>
      </c>
      <c r="L2316" t="s">
        <v>340</v>
      </c>
      <c r="M2316" s="69"/>
      <c r="N2316" s="43" t="str">
        <f>IF(Gastos[[#This Row],[Fecha_Cheque]]&gt;0,WEEKNUM(Gastos[[#This Row],[Fecha_Cheque]]),MID(Gastos[[#This Row],[Semana]],6,2))</f>
        <v>40</v>
      </c>
      <c r="O2316" t="s">
        <v>4425</v>
      </c>
      <c r="P2316" t="s">
        <v>27</v>
      </c>
    </row>
    <row r="2317" spans="1:16" hidden="1" x14ac:dyDescent="0.25">
      <c r="A2317" s="3" t="s">
        <v>2711</v>
      </c>
      <c r="B2317" t="s">
        <v>2712</v>
      </c>
      <c r="C2317" t="s">
        <v>2713</v>
      </c>
      <c r="D2317" t="s">
        <v>26</v>
      </c>
      <c r="E2317" t="s">
        <v>42</v>
      </c>
      <c r="F2317">
        <v>2</v>
      </c>
      <c r="G2317" s="3" t="s">
        <v>4</v>
      </c>
      <c r="H2317" s="44" t="s">
        <v>15</v>
      </c>
      <c r="I2317" s="17">
        <v>336000</v>
      </c>
      <c r="J2317" s="49">
        <f>IF(Gastos[[#This Row],[Divisa]]="$", I2317*1, IF(Gastos[[#This Row],[Divisa]]="U$D", I2317*$N$1, IF(Gastos[[#This Row],[Divisa]]="EUR", I2317*$N$2, 0)))</f>
        <v>336000</v>
      </c>
      <c r="K2317" s="54">
        <f>Gastos[[#This Row],[Importe AR$]]/$N$1</f>
        <v>215.38461538461539</v>
      </c>
      <c r="M2317" s="69"/>
      <c r="N2317" s="43" t="str">
        <f>IF(Gastos[[#This Row],[Fecha_Cheque]]&gt;0,WEEKNUM(Gastos[[#This Row],[Fecha_Cheque]]),MID(Gastos[[#This Row],[Semana]],6,2))</f>
        <v>15</v>
      </c>
      <c r="O2317" t="s">
        <v>2714</v>
      </c>
      <c r="P2317" t="s">
        <v>27</v>
      </c>
    </row>
    <row r="2318" spans="1:16" hidden="1" x14ac:dyDescent="0.25">
      <c r="A2318" s="3" t="s">
        <v>3617</v>
      </c>
      <c r="B2318" t="s">
        <v>3684</v>
      </c>
      <c r="D2318" t="s">
        <v>26</v>
      </c>
      <c r="E2318" t="s">
        <v>31</v>
      </c>
      <c r="F2318">
        <v>1</v>
      </c>
      <c r="G2318" s="3" t="s">
        <v>5</v>
      </c>
      <c r="H2318" s="44" t="s">
        <v>15</v>
      </c>
      <c r="I2318" s="17">
        <v>140000</v>
      </c>
      <c r="J2318" s="17">
        <f>IF(Gastos[[#This Row],[Divisa]]="$", I2318*1, IF(Gastos[[#This Row],[Divisa]]="U$D", I2318*$N$1, IF(Gastos[[#This Row],[Divisa]]="EUR", I2318*$N$2, 0)))</f>
        <v>140000</v>
      </c>
      <c r="K2318" s="54">
        <f>Gastos[[#This Row],[Importe AR$]]/$N$1</f>
        <v>89.743589743589737</v>
      </c>
      <c r="M2318" s="69"/>
      <c r="N2318" s="43" t="str">
        <f>IF(Gastos[[#This Row],[Fecha_Cheque]]&gt;0,WEEKNUM(Gastos[[#This Row],[Fecha_Cheque]]),MID(Gastos[[#This Row],[Semana]],6,2))</f>
        <v>27</v>
      </c>
      <c r="O2318" t="s">
        <v>3685</v>
      </c>
      <c r="P2318" t="s">
        <v>27</v>
      </c>
    </row>
    <row r="2319" spans="1:16" x14ac:dyDescent="0.25">
      <c r="A2319" s="3" t="s">
        <v>4655</v>
      </c>
      <c r="B2319" t="s">
        <v>1269</v>
      </c>
      <c r="C2319" t="s">
        <v>118</v>
      </c>
      <c r="D2319" t="s">
        <v>26</v>
      </c>
      <c r="E2319" t="s">
        <v>3929</v>
      </c>
      <c r="F2319">
        <v>1</v>
      </c>
      <c r="G2319" s="3" t="s">
        <v>32</v>
      </c>
      <c r="H2319" s="46" t="s">
        <v>2</v>
      </c>
      <c r="I2319" s="17">
        <v>0</v>
      </c>
      <c r="J2319" s="17">
        <f>IF(Gastos[[#This Row],[Divisa]]="$", I2319*1, IF(Gastos[[#This Row],[Divisa]]="U$D", I2319*$N$1, IF(Gastos[[#This Row],[Divisa]]="EUR", I2319*$N$2, 0)))</f>
        <v>0</v>
      </c>
      <c r="K2319" s="54">
        <f>Gastos[[#This Row],[Importe AR$]]/$N$1</f>
        <v>0</v>
      </c>
      <c r="M2319" s="69"/>
      <c r="N2319" s="43" t="str">
        <f>IF(Gastos[[#This Row],[Fecha_Cheque]]&gt;0,WEEKNUM(Gastos[[#This Row],[Fecha_Cheque]]),MID(Gastos[[#This Row],[Semana]],6,2))</f>
        <v>44</v>
      </c>
    </row>
    <row r="2320" spans="1:16" hidden="1" x14ac:dyDescent="0.25">
      <c r="A2320" s="3" t="s">
        <v>34</v>
      </c>
      <c r="B2320" t="s">
        <v>1404</v>
      </c>
      <c r="C2320" t="s">
        <v>1405</v>
      </c>
      <c r="D2320" t="s">
        <v>26</v>
      </c>
      <c r="E2320" t="s">
        <v>91</v>
      </c>
      <c r="F2320">
        <v>1</v>
      </c>
      <c r="G2320" s="3" t="s">
        <v>5</v>
      </c>
      <c r="H2320" s="46" t="s">
        <v>15</v>
      </c>
      <c r="I2320" s="17">
        <v>54004.99</v>
      </c>
      <c r="J2320" s="17">
        <f>IF(Gastos[[#This Row],[Divisa]]="$", I2320*1, IF(Gastos[[#This Row],[Divisa]]="U$D", I2320*$N$1, IF(Gastos[[#This Row],[Divisa]]="EUR", I2320*$N$2, 0)))</f>
        <v>54004.99</v>
      </c>
      <c r="K2320" s="54">
        <f>Gastos[[#This Row],[Importe AR$]]/$N$1</f>
        <v>34.618583333333333</v>
      </c>
      <c r="M2320" s="69"/>
      <c r="N2320" s="43" t="str">
        <f>IF(Gastos[[#This Row],[Fecha_Cheque]]&gt;0,WEEKNUM(Gastos[[#This Row],[Fecha_Cheque]]),MID(Gastos[[#This Row],[Semana]],6,2))</f>
        <v>32</v>
      </c>
      <c r="P2320" t="s">
        <v>27</v>
      </c>
    </row>
    <row r="2321" spans="1:16" hidden="1" x14ac:dyDescent="0.25">
      <c r="A2321" s="3" t="s">
        <v>93</v>
      </c>
      <c r="B2321" t="s">
        <v>1406</v>
      </c>
      <c r="C2321" t="s">
        <v>1407</v>
      </c>
      <c r="D2321" t="s">
        <v>26</v>
      </c>
      <c r="E2321" t="s">
        <v>31</v>
      </c>
      <c r="F2321">
        <v>1</v>
      </c>
      <c r="G2321" s="3" t="s">
        <v>32</v>
      </c>
      <c r="H2321" s="46" t="s">
        <v>15</v>
      </c>
      <c r="I2321" s="17">
        <v>926247.49</v>
      </c>
      <c r="J2321" s="17">
        <f>IF(Gastos[[#This Row],[Divisa]]="$", I2321*1, IF(Gastos[[#This Row],[Divisa]]="U$D", I2321*$N$1, IF(Gastos[[#This Row],[Divisa]]="EUR", I2321*$N$2, 0)))</f>
        <v>926247.49</v>
      </c>
      <c r="K2321" s="54">
        <f>Gastos[[#This Row],[Importe AR$]]/$N$1</f>
        <v>593.74839102564101</v>
      </c>
      <c r="M2321" s="69">
        <v>46031</v>
      </c>
      <c r="N2321" s="43">
        <f>IF(Gastos[[#This Row],[Fecha_Cheque]]&gt;0,WEEKNUM(Gastos[[#This Row],[Fecha_Cheque]]),MID(Gastos[[#This Row],[Semana]],6,2))</f>
        <v>2</v>
      </c>
      <c r="O2321" t="s">
        <v>1408</v>
      </c>
      <c r="P2321" t="s">
        <v>27</v>
      </c>
    </row>
    <row r="2322" spans="1:16" hidden="1" x14ac:dyDescent="0.25">
      <c r="A2322" s="3" t="s">
        <v>93</v>
      </c>
      <c r="B2322" t="s">
        <v>1406</v>
      </c>
      <c r="C2322" t="s">
        <v>1407</v>
      </c>
      <c r="D2322" t="s">
        <v>26</v>
      </c>
      <c r="E2322" t="s">
        <v>31</v>
      </c>
      <c r="F2322">
        <v>1</v>
      </c>
      <c r="G2322" s="3" t="s">
        <v>32</v>
      </c>
      <c r="H2322" s="46" t="s">
        <v>15</v>
      </c>
      <c r="I2322" s="17">
        <v>836295.91</v>
      </c>
      <c r="J2322" s="17">
        <f>IF(Gastos[[#This Row],[Divisa]]="$", I2322*1, IF(Gastos[[#This Row],[Divisa]]="U$D", I2322*$N$1, IF(Gastos[[#This Row],[Divisa]]="EUR", I2322*$N$2, 0)))</f>
        <v>836295.91</v>
      </c>
      <c r="K2322" s="54">
        <f>Gastos[[#This Row],[Importe AR$]]/$N$1</f>
        <v>536.08712179487179</v>
      </c>
      <c r="M2322" s="69">
        <v>46003</v>
      </c>
      <c r="N2322" s="43">
        <f>IF(Gastos[[#This Row],[Fecha_Cheque]]&gt;0,WEEKNUM(Gastos[[#This Row],[Fecha_Cheque]]),MID(Gastos[[#This Row],[Semana]],6,2))</f>
        <v>50</v>
      </c>
      <c r="O2322" t="s">
        <v>1408</v>
      </c>
      <c r="P2322" t="s">
        <v>27</v>
      </c>
    </row>
    <row r="2323" spans="1:16" hidden="1" x14ac:dyDescent="0.25">
      <c r="A2323" s="3" t="s">
        <v>4409</v>
      </c>
      <c r="B2323" t="s">
        <v>1406</v>
      </c>
      <c r="C2323" t="s">
        <v>4423</v>
      </c>
      <c r="D2323" t="s">
        <v>26</v>
      </c>
      <c r="E2323" t="s">
        <v>62</v>
      </c>
      <c r="F2323">
        <v>1</v>
      </c>
      <c r="G2323" s="3" t="s">
        <v>32</v>
      </c>
      <c r="H2323" s="44" t="s">
        <v>15</v>
      </c>
      <c r="I2323" s="17">
        <v>980000</v>
      </c>
      <c r="J2323" s="17">
        <f>IF(Gastos[[#This Row],[Divisa]]="$", I2323*1, IF(Gastos[[#This Row],[Divisa]]="U$D", I2323*$N$1, IF(Gastos[[#This Row],[Divisa]]="EUR", I2323*$N$2, 0)))</f>
        <v>980000</v>
      </c>
      <c r="K2323" s="54">
        <f>Gastos[[#This Row],[Importe AR$]]/$N$1</f>
        <v>628.20512820512818</v>
      </c>
      <c r="M2323" s="69">
        <v>46265</v>
      </c>
      <c r="N2323" s="43">
        <f>IF(Gastos[[#This Row],[Fecha_Cheque]]&gt;0,WEEKNUM(Gastos[[#This Row],[Fecha_Cheque]]),MID(Gastos[[#This Row],[Semana]],6,2))</f>
        <v>36</v>
      </c>
      <c r="O2323" t="s">
        <v>4422</v>
      </c>
      <c r="P2323" t="s">
        <v>27</v>
      </c>
    </row>
    <row r="2324" spans="1:16" hidden="1" x14ac:dyDescent="0.25">
      <c r="A2324" s="3" t="s">
        <v>4409</v>
      </c>
      <c r="B2324" t="s">
        <v>1406</v>
      </c>
      <c r="C2324" t="s">
        <v>4423</v>
      </c>
      <c r="D2324" t="s">
        <v>26</v>
      </c>
      <c r="E2324" t="s">
        <v>62</v>
      </c>
      <c r="F2324">
        <v>1</v>
      </c>
      <c r="G2324" s="3" t="s">
        <v>32</v>
      </c>
      <c r="H2324" s="44" t="s">
        <v>15</v>
      </c>
      <c r="I2324" s="17">
        <v>14854.95</v>
      </c>
      <c r="J2324" s="17">
        <f>IF(Gastos[[#This Row],[Divisa]]="$", I2324*1, IF(Gastos[[#This Row],[Divisa]]="U$D", I2324*$N$1, IF(Gastos[[#This Row],[Divisa]]="EUR", I2324*$N$2, 0)))</f>
        <v>14854.95</v>
      </c>
      <c r="K2324" s="54">
        <f>Gastos[[#This Row],[Importe AR$]]/$N$1</f>
        <v>9.5224038461538463</v>
      </c>
      <c r="L2324" t="s">
        <v>340</v>
      </c>
      <c r="M2324" s="69"/>
      <c r="N2324" s="43" t="str">
        <f>IF(Gastos[[#This Row],[Fecha_Cheque]]&gt;0,WEEKNUM(Gastos[[#This Row],[Fecha_Cheque]]),MID(Gastos[[#This Row],[Semana]],6,2))</f>
        <v>40</v>
      </c>
      <c r="O2324" t="s">
        <v>4422</v>
      </c>
      <c r="P2324" t="s">
        <v>27</v>
      </c>
    </row>
    <row r="2325" spans="1:16" hidden="1" x14ac:dyDescent="0.25">
      <c r="A2325" s="3" t="s">
        <v>305</v>
      </c>
      <c r="B2325" t="s">
        <v>1409</v>
      </c>
      <c r="C2325" t="s">
        <v>1410</v>
      </c>
      <c r="D2325" t="s">
        <v>26</v>
      </c>
      <c r="E2325" t="s">
        <v>42</v>
      </c>
      <c r="F2325">
        <v>1</v>
      </c>
      <c r="G2325" s="3" t="s">
        <v>4</v>
      </c>
      <c r="H2325" s="46" t="s">
        <v>15</v>
      </c>
      <c r="I2325" s="17">
        <v>65000</v>
      </c>
      <c r="J2325" s="17">
        <f>IF(Gastos[[#This Row],[Divisa]]="$", I2325*1, IF(Gastos[[#This Row],[Divisa]]="U$D", I2325*$N$1, IF(Gastos[[#This Row],[Divisa]]="EUR", I2325*$N$2, 0)))</f>
        <v>65000</v>
      </c>
      <c r="K2325" s="54">
        <f>Gastos[[#This Row],[Importe AR$]]/$N$1</f>
        <v>41.666666666666664</v>
      </c>
      <c r="M2325" s="69"/>
      <c r="N2325" s="43" t="str">
        <f>IF(Gastos[[#This Row],[Fecha_Cheque]]&gt;0,WEEKNUM(Gastos[[#This Row],[Fecha_Cheque]]),MID(Gastos[[#This Row],[Semana]],6,2))</f>
        <v>31</v>
      </c>
      <c r="O2325" t="s">
        <v>1411</v>
      </c>
      <c r="P2325" t="s">
        <v>27</v>
      </c>
    </row>
    <row r="2326" spans="1:16" hidden="1" x14ac:dyDescent="0.25">
      <c r="A2326" s="3" t="s">
        <v>53</v>
      </c>
      <c r="B2326" t="s">
        <v>1409</v>
      </c>
      <c r="C2326" t="s">
        <v>1412</v>
      </c>
      <c r="D2326" t="s">
        <v>26</v>
      </c>
      <c r="E2326" t="s">
        <v>42</v>
      </c>
      <c r="F2326">
        <v>1</v>
      </c>
      <c r="G2326" s="3" t="s">
        <v>4</v>
      </c>
      <c r="H2326" s="46" t="s">
        <v>15</v>
      </c>
      <c r="I2326" s="17">
        <v>42100</v>
      </c>
      <c r="J2326" s="17">
        <f>IF(Gastos[[#This Row],[Divisa]]="$", I2326*1, IF(Gastos[[#This Row],[Divisa]]="U$D", I2326*$N$1, IF(Gastos[[#This Row],[Divisa]]="EUR", I2326*$N$2, 0)))</f>
        <v>42100</v>
      </c>
      <c r="K2326" s="54">
        <f>Gastos[[#This Row],[Importe AR$]]/$N$1</f>
        <v>26.987179487179485</v>
      </c>
      <c r="M2326" s="69"/>
      <c r="N2326" s="43" t="str">
        <f>IF(Gastos[[#This Row],[Fecha_Cheque]]&gt;0,WEEKNUM(Gastos[[#This Row],[Fecha_Cheque]]),MID(Gastos[[#This Row],[Semana]],6,2))</f>
        <v>34</v>
      </c>
      <c r="O2326" t="s">
        <v>1413</v>
      </c>
      <c r="P2326" t="s">
        <v>27</v>
      </c>
    </row>
    <row r="2327" spans="1:16" hidden="1" x14ac:dyDescent="0.25">
      <c r="A2327" s="3" t="s">
        <v>2731</v>
      </c>
      <c r="B2327" t="s">
        <v>3024</v>
      </c>
      <c r="C2327" t="s">
        <v>3025</v>
      </c>
      <c r="D2327" t="s">
        <v>26</v>
      </c>
      <c r="E2327" t="s">
        <v>42</v>
      </c>
      <c r="F2327">
        <v>1</v>
      </c>
      <c r="G2327" s="3" t="s">
        <v>4</v>
      </c>
      <c r="H2327" s="44" t="s">
        <v>15</v>
      </c>
      <c r="I2327" s="17">
        <v>54700.01</v>
      </c>
      <c r="J2327" s="17">
        <f>IF(Gastos[[#This Row],[Divisa]]="$", I2327*1, IF(Gastos[[#This Row],[Divisa]]="U$D", I2327*$N$1, IF(Gastos[[#This Row],[Divisa]]="EUR", I2327*$N$2, 0)))</f>
        <v>54700.01</v>
      </c>
      <c r="K2327" s="54">
        <f>Gastos[[#This Row],[Importe AR$]]/$N$1</f>
        <v>35.064108974358973</v>
      </c>
      <c r="M2327" s="69"/>
      <c r="N2327" s="43" t="str">
        <f>IF(Gastos[[#This Row],[Fecha_Cheque]]&gt;0,WEEKNUM(Gastos[[#This Row],[Fecha_Cheque]]),MID(Gastos[[#This Row],[Semana]],6,2))</f>
        <v>17</v>
      </c>
      <c r="O2327" t="s">
        <v>3026</v>
      </c>
      <c r="P2327" t="s">
        <v>27</v>
      </c>
    </row>
    <row r="2328" spans="1:16" hidden="1" x14ac:dyDescent="0.25">
      <c r="A2328" s="3" t="s">
        <v>2731</v>
      </c>
      <c r="B2328" t="s">
        <v>3024</v>
      </c>
      <c r="C2328" t="s">
        <v>1948</v>
      </c>
      <c r="D2328" t="s">
        <v>26</v>
      </c>
      <c r="E2328" t="s">
        <v>42</v>
      </c>
      <c r="F2328">
        <v>1</v>
      </c>
      <c r="G2328" s="3" t="s">
        <v>4</v>
      </c>
      <c r="H2328" s="44" t="s">
        <v>15</v>
      </c>
      <c r="I2328" s="17">
        <v>13200.01</v>
      </c>
      <c r="J2328" s="17">
        <f>IF(Gastos[[#This Row],[Divisa]]="$", I2328*1, IF(Gastos[[#This Row],[Divisa]]="U$D", I2328*$N$1, IF(Gastos[[#This Row],[Divisa]]="EUR", I2328*$N$2, 0)))</f>
        <v>13200.01</v>
      </c>
      <c r="K2328" s="54">
        <f>Gastos[[#This Row],[Importe AR$]]/$N$1</f>
        <v>8.4615448717948727</v>
      </c>
      <c r="M2328" s="69"/>
      <c r="N2328" s="43" t="str">
        <f>IF(Gastos[[#This Row],[Fecha_Cheque]]&gt;0,WEEKNUM(Gastos[[#This Row],[Fecha_Cheque]]),MID(Gastos[[#This Row],[Semana]],6,2))</f>
        <v>17</v>
      </c>
      <c r="O2328" t="s">
        <v>3027</v>
      </c>
      <c r="P2328" t="s">
        <v>27</v>
      </c>
    </row>
    <row r="2329" spans="1:16" hidden="1" x14ac:dyDescent="0.25">
      <c r="A2329" s="3" t="s">
        <v>2792</v>
      </c>
      <c r="B2329" t="s">
        <v>3024</v>
      </c>
      <c r="C2329" t="s">
        <v>1948</v>
      </c>
      <c r="D2329" t="s">
        <v>26</v>
      </c>
      <c r="E2329" t="s">
        <v>42</v>
      </c>
      <c r="F2329">
        <v>1</v>
      </c>
      <c r="G2329" s="3" t="s">
        <v>4</v>
      </c>
      <c r="H2329" s="44" t="s">
        <v>15</v>
      </c>
      <c r="I2329" s="17">
        <v>15750.02</v>
      </c>
      <c r="J2329" s="17">
        <f>IF(Gastos[[#This Row],[Divisa]]="$", I2329*1, IF(Gastos[[#This Row],[Divisa]]="U$D", I2329*$N$1, IF(Gastos[[#This Row],[Divisa]]="EUR", I2329*$N$2, 0)))</f>
        <v>15750.02</v>
      </c>
      <c r="K2329" s="54">
        <f>Gastos[[#This Row],[Importe AR$]]/$N$1</f>
        <v>10.096166666666667</v>
      </c>
      <c r="M2329" s="69"/>
      <c r="N2329" s="43" t="str">
        <f>IF(Gastos[[#This Row],[Fecha_Cheque]]&gt;0,WEEKNUM(Gastos[[#This Row],[Fecha_Cheque]]),MID(Gastos[[#This Row],[Semana]],6,2))</f>
        <v>21</v>
      </c>
      <c r="O2329" t="s">
        <v>3180</v>
      </c>
      <c r="P2329" t="s">
        <v>27</v>
      </c>
    </row>
    <row r="2330" spans="1:16" hidden="1" x14ac:dyDescent="0.25">
      <c r="A2330" s="3" t="s">
        <v>2773</v>
      </c>
      <c r="B2330" t="s">
        <v>3024</v>
      </c>
      <c r="C2330" t="s">
        <v>3261</v>
      </c>
      <c r="D2330" t="s">
        <v>26</v>
      </c>
      <c r="E2330" t="s">
        <v>42</v>
      </c>
      <c r="F2330">
        <v>1</v>
      </c>
      <c r="G2330" s="3" t="s">
        <v>4</v>
      </c>
      <c r="H2330" s="44" t="s">
        <v>15</v>
      </c>
      <c r="I2330" s="17">
        <v>19700</v>
      </c>
      <c r="J2330" s="17">
        <f>IF(Gastos[[#This Row],[Divisa]]="$", I2330*1, IF(Gastos[[#This Row],[Divisa]]="U$D", I2330*$N$1, IF(Gastos[[#This Row],[Divisa]]="EUR", I2330*$N$2, 0)))</f>
        <v>19700</v>
      </c>
      <c r="K2330" s="54">
        <f>Gastos[[#This Row],[Importe AR$]]/$N$1</f>
        <v>12.628205128205128</v>
      </c>
      <c r="M2330" s="69"/>
      <c r="N2330" s="43" t="str">
        <f>IF(Gastos[[#This Row],[Fecha_Cheque]]&gt;0,WEEKNUM(Gastos[[#This Row],[Fecha_Cheque]]),MID(Gastos[[#This Row],[Semana]],6,2))</f>
        <v>20</v>
      </c>
      <c r="O2330" t="s">
        <v>3262</v>
      </c>
      <c r="P2330" t="s">
        <v>27</v>
      </c>
    </row>
    <row r="2331" spans="1:16" hidden="1" x14ac:dyDescent="0.25">
      <c r="A2331" s="3" t="s">
        <v>2763</v>
      </c>
      <c r="B2331" t="s">
        <v>3024</v>
      </c>
      <c r="C2331" t="s">
        <v>3281</v>
      </c>
      <c r="D2331" t="s">
        <v>26</v>
      </c>
      <c r="E2331" t="s">
        <v>42</v>
      </c>
      <c r="F2331">
        <v>1</v>
      </c>
      <c r="G2331" s="3" t="s">
        <v>4</v>
      </c>
      <c r="H2331" s="44" t="s">
        <v>15</v>
      </c>
      <c r="I2331" s="17">
        <v>16000</v>
      </c>
      <c r="J2331" s="17">
        <f>IF(Gastos[[#This Row],[Divisa]]="$", I2331*1, IF(Gastos[[#This Row],[Divisa]]="U$D", I2331*$N$1, IF(Gastos[[#This Row],[Divisa]]="EUR", I2331*$N$2, 0)))</f>
        <v>16000</v>
      </c>
      <c r="K2331" s="54">
        <f>Gastos[[#This Row],[Importe AR$]]/$N$1</f>
        <v>10.256410256410257</v>
      </c>
      <c r="M2331" s="69"/>
      <c r="N2331" s="43" t="str">
        <f>IF(Gastos[[#This Row],[Fecha_Cheque]]&gt;0,WEEKNUM(Gastos[[#This Row],[Fecha_Cheque]]),MID(Gastos[[#This Row],[Semana]],6,2))</f>
        <v>23</v>
      </c>
      <c r="O2331" t="s">
        <v>3317</v>
      </c>
      <c r="P2331" t="s">
        <v>27</v>
      </c>
    </row>
    <row r="2332" spans="1:16" hidden="1" x14ac:dyDescent="0.25">
      <c r="A2332" s="3" t="s">
        <v>2763</v>
      </c>
      <c r="B2332" t="s">
        <v>3024</v>
      </c>
      <c r="C2332" t="s">
        <v>3318</v>
      </c>
      <c r="D2332" t="s">
        <v>26</v>
      </c>
      <c r="E2332" t="s">
        <v>42</v>
      </c>
      <c r="F2332">
        <v>1</v>
      </c>
      <c r="G2332" s="3" t="s">
        <v>4</v>
      </c>
      <c r="H2332" s="44" t="s">
        <v>15</v>
      </c>
      <c r="I2332" s="17">
        <v>67300.02</v>
      </c>
      <c r="J2332" s="17">
        <f>IF(Gastos[[#This Row],[Divisa]]="$", I2332*1, IF(Gastos[[#This Row],[Divisa]]="U$D", I2332*$N$1, IF(Gastos[[#This Row],[Divisa]]="EUR", I2332*$N$2, 0)))</f>
        <v>67300.02</v>
      </c>
      <c r="K2332" s="54">
        <f>Gastos[[#This Row],[Importe AR$]]/$N$1</f>
        <v>43.141038461538464</v>
      </c>
      <c r="M2332" s="69"/>
      <c r="N2332" s="43" t="str">
        <f>IF(Gastos[[#This Row],[Fecha_Cheque]]&gt;0,WEEKNUM(Gastos[[#This Row],[Fecha_Cheque]]),MID(Gastos[[#This Row],[Semana]],6,2))</f>
        <v>23</v>
      </c>
      <c r="O2332" t="s">
        <v>3319</v>
      </c>
      <c r="P2332" t="s">
        <v>27</v>
      </c>
    </row>
    <row r="2333" spans="1:16" hidden="1" x14ac:dyDescent="0.25">
      <c r="A2333" s="3" t="s">
        <v>2726</v>
      </c>
      <c r="B2333" t="s">
        <v>3024</v>
      </c>
      <c r="C2333" t="s">
        <v>3356</v>
      </c>
      <c r="D2333" t="s">
        <v>26</v>
      </c>
      <c r="E2333" t="s">
        <v>42</v>
      </c>
      <c r="F2333">
        <v>1</v>
      </c>
      <c r="G2333" s="3" t="s">
        <v>4</v>
      </c>
      <c r="H2333" s="44" t="s">
        <v>15</v>
      </c>
      <c r="I2333" s="17">
        <v>14500.01</v>
      </c>
      <c r="J2333" s="17">
        <f>IF(Gastos[[#This Row],[Divisa]]="$", I2333*1, IF(Gastos[[#This Row],[Divisa]]="U$D", I2333*$N$1, IF(Gastos[[#This Row],[Divisa]]="EUR", I2333*$N$2, 0)))</f>
        <v>14500.01</v>
      </c>
      <c r="K2333" s="54">
        <f>Gastos[[#This Row],[Importe AR$]]/$N$1</f>
        <v>9.2948782051282048</v>
      </c>
      <c r="M2333" s="69"/>
      <c r="N2333" s="43" t="str">
        <f>IF(Gastos[[#This Row],[Fecha_Cheque]]&gt;0,WEEKNUM(Gastos[[#This Row],[Fecha_Cheque]]),MID(Gastos[[#This Row],[Semana]],6,2))</f>
        <v>24</v>
      </c>
      <c r="O2333" t="s">
        <v>3357</v>
      </c>
      <c r="P2333" t="s">
        <v>27</v>
      </c>
    </row>
    <row r="2334" spans="1:16" hidden="1" x14ac:dyDescent="0.25">
      <c r="A2334" s="3" t="s">
        <v>3439</v>
      </c>
      <c r="B2334" t="s">
        <v>3024</v>
      </c>
      <c r="C2334" t="s">
        <v>1948</v>
      </c>
      <c r="D2334" t="s">
        <v>26</v>
      </c>
      <c r="E2334" t="s">
        <v>42</v>
      </c>
      <c r="F2334">
        <v>1</v>
      </c>
      <c r="G2334" s="3" t="s">
        <v>4</v>
      </c>
      <c r="H2334" s="44" t="s">
        <v>15</v>
      </c>
      <c r="I2334" s="17">
        <v>9599.99</v>
      </c>
      <c r="J2334" s="17">
        <f>IF(Gastos[[#This Row],[Divisa]]="$", I2334*1, IF(Gastos[[#This Row],[Divisa]]="U$D", I2334*$N$1, IF(Gastos[[#This Row],[Divisa]]="EUR", I2334*$N$2, 0)))</f>
        <v>9599.99</v>
      </c>
      <c r="K2334" s="54">
        <f>Gastos[[#This Row],[Importe AR$]]/$N$1</f>
        <v>6.1538397435897432</v>
      </c>
      <c r="M2334" s="69"/>
      <c r="N2334" s="43" t="str">
        <f>IF(Gastos[[#This Row],[Fecha_Cheque]]&gt;0,WEEKNUM(Gastos[[#This Row],[Fecha_Cheque]]),MID(Gastos[[#This Row],[Semana]],6,2))</f>
        <v>25</v>
      </c>
      <c r="O2334" t="s">
        <v>3524</v>
      </c>
      <c r="P2334" t="s">
        <v>27</v>
      </c>
    </row>
    <row r="2335" spans="1:16" hidden="1" x14ac:dyDescent="0.25">
      <c r="A2335" s="3" t="s">
        <v>3567</v>
      </c>
      <c r="B2335" t="s">
        <v>3024</v>
      </c>
      <c r="C2335" t="s">
        <v>1948</v>
      </c>
      <c r="D2335" t="s">
        <v>26</v>
      </c>
      <c r="E2335" t="s">
        <v>42</v>
      </c>
      <c r="F2335">
        <v>1</v>
      </c>
      <c r="G2335" s="3" t="s">
        <v>4</v>
      </c>
      <c r="H2335" s="44" t="s">
        <v>15</v>
      </c>
      <c r="I2335" s="17">
        <v>6900.01</v>
      </c>
      <c r="J2335" s="17">
        <f>IF(Gastos[[#This Row],[Divisa]]="$", I2335*1, IF(Gastos[[#This Row],[Divisa]]="U$D", I2335*$N$1, IF(Gastos[[#This Row],[Divisa]]="EUR", I2335*$N$2, 0)))</f>
        <v>6900.01</v>
      </c>
      <c r="K2335" s="54">
        <f>Gastos[[#This Row],[Importe AR$]]/$N$1</f>
        <v>4.4230833333333335</v>
      </c>
      <c r="M2335" s="69"/>
      <c r="N2335" s="43" t="str">
        <f>IF(Gastos[[#This Row],[Fecha_Cheque]]&gt;0,WEEKNUM(Gastos[[#This Row],[Fecha_Cheque]]),MID(Gastos[[#This Row],[Semana]],6,2))</f>
        <v>26</v>
      </c>
      <c r="O2335" t="s">
        <v>3584</v>
      </c>
      <c r="P2335" t="s">
        <v>27</v>
      </c>
    </row>
    <row r="2336" spans="1:16" hidden="1" x14ac:dyDescent="0.25">
      <c r="A2336" s="3" t="s">
        <v>3617</v>
      </c>
      <c r="B2336" t="s">
        <v>3024</v>
      </c>
      <c r="C2336" t="s">
        <v>3678</v>
      </c>
      <c r="D2336" t="s">
        <v>26</v>
      </c>
      <c r="E2336" t="s">
        <v>42</v>
      </c>
      <c r="F2336">
        <v>1</v>
      </c>
      <c r="G2336" s="3" t="s">
        <v>4</v>
      </c>
      <c r="H2336" s="44" t="s">
        <v>15</v>
      </c>
      <c r="I2336" s="17">
        <v>70600</v>
      </c>
      <c r="J2336" s="17">
        <f>IF(Gastos[[#This Row],[Divisa]]="$", I2336*1, IF(Gastos[[#This Row],[Divisa]]="U$D", I2336*$N$1, IF(Gastos[[#This Row],[Divisa]]="EUR", I2336*$N$2, 0)))</f>
        <v>70600</v>
      </c>
      <c r="K2336" s="54">
        <f>Gastos[[#This Row],[Importe AR$]]/$N$1</f>
        <v>45.256410256410255</v>
      </c>
      <c r="M2336" s="69"/>
      <c r="N2336" s="43" t="str">
        <f>IF(Gastos[[#This Row],[Fecha_Cheque]]&gt;0,WEEKNUM(Gastos[[#This Row],[Fecha_Cheque]]),MID(Gastos[[#This Row],[Semana]],6,2))</f>
        <v>27</v>
      </c>
      <c r="O2336" t="s">
        <v>3679</v>
      </c>
      <c r="P2336" t="s">
        <v>27</v>
      </c>
    </row>
    <row r="2337" spans="1:16" hidden="1" x14ac:dyDescent="0.25">
      <c r="A2337" s="3" t="s">
        <v>3693</v>
      </c>
      <c r="B2337" t="s">
        <v>3024</v>
      </c>
      <c r="C2337" t="s">
        <v>1948</v>
      </c>
      <c r="D2337" t="s">
        <v>26</v>
      </c>
      <c r="E2337" t="s">
        <v>42</v>
      </c>
      <c r="F2337">
        <v>1</v>
      </c>
      <c r="G2337" s="3" t="s">
        <v>4</v>
      </c>
      <c r="H2337" s="44" t="s">
        <v>15</v>
      </c>
      <c r="I2337" s="17">
        <v>26300.02</v>
      </c>
      <c r="J2337" s="17">
        <f>IF(Gastos[[#This Row],[Divisa]]="$", I2337*1, IF(Gastos[[#This Row],[Divisa]]="U$D", I2337*$N$1, IF(Gastos[[#This Row],[Divisa]]="EUR", I2337*$N$2, 0)))</f>
        <v>26300.02</v>
      </c>
      <c r="K2337" s="54">
        <f>Gastos[[#This Row],[Importe AR$]]/$N$1</f>
        <v>16.85898717948718</v>
      </c>
      <c r="M2337" s="69"/>
      <c r="N2337" s="43" t="str">
        <f>IF(Gastos[[#This Row],[Fecha_Cheque]]&gt;0,WEEKNUM(Gastos[[#This Row],[Fecha_Cheque]]),MID(Gastos[[#This Row],[Semana]],6,2))</f>
        <v>28</v>
      </c>
      <c r="O2337" t="s">
        <v>3721</v>
      </c>
      <c r="P2337" t="s">
        <v>27</v>
      </c>
    </row>
    <row r="2338" spans="1:16" hidden="1" x14ac:dyDescent="0.25">
      <c r="A2338" s="3" t="s">
        <v>3693</v>
      </c>
      <c r="B2338" t="s">
        <v>3024</v>
      </c>
      <c r="C2338" t="s">
        <v>1948</v>
      </c>
      <c r="D2338" t="s">
        <v>26</v>
      </c>
      <c r="E2338" t="s">
        <v>42</v>
      </c>
      <c r="F2338">
        <v>1</v>
      </c>
      <c r="G2338" s="3" t="s">
        <v>4</v>
      </c>
      <c r="H2338" s="44" t="s">
        <v>15</v>
      </c>
      <c r="I2338" s="17">
        <v>44100.02</v>
      </c>
      <c r="J2338" s="17">
        <f>IF(Gastos[[#This Row],[Divisa]]="$", I2338*1, IF(Gastos[[#This Row],[Divisa]]="U$D", I2338*$N$1, IF(Gastos[[#This Row],[Divisa]]="EUR", I2338*$N$2, 0)))</f>
        <v>44100.02</v>
      </c>
      <c r="K2338" s="54">
        <f>Gastos[[#This Row],[Importe AR$]]/$N$1</f>
        <v>28.269243589743589</v>
      </c>
      <c r="M2338" s="69"/>
      <c r="N2338" s="43" t="str">
        <f>IF(Gastos[[#This Row],[Fecha_Cheque]]&gt;0,WEEKNUM(Gastos[[#This Row],[Fecha_Cheque]]),MID(Gastos[[#This Row],[Semana]],6,2))</f>
        <v>28</v>
      </c>
      <c r="O2338" t="s">
        <v>3722</v>
      </c>
      <c r="P2338" t="s">
        <v>27</v>
      </c>
    </row>
    <row r="2339" spans="1:16" hidden="1" x14ac:dyDescent="0.25">
      <c r="A2339" s="3" t="s">
        <v>3754</v>
      </c>
      <c r="B2339" t="s">
        <v>3024</v>
      </c>
      <c r="C2339" t="s">
        <v>3787</v>
      </c>
      <c r="D2339" t="s">
        <v>26</v>
      </c>
      <c r="E2339" t="s">
        <v>42</v>
      </c>
      <c r="F2339">
        <v>1</v>
      </c>
      <c r="G2339" s="3" t="s">
        <v>4</v>
      </c>
      <c r="H2339" s="44" t="s">
        <v>15</v>
      </c>
      <c r="I2339" s="17">
        <v>49299.97</v>
      </c>
      <c r="J2339" s="17">
        <f>IF(Gastos[[#This Row],[Divisa]]="$", I2339*1, IF(Gastos[[#This Row],[Divisa]]="U$D", I2339*$N$1, IF(Gastos[[#This Row],[Divisa]]="EUR", I2339*$N$2, 0)))</f>
        <v>49299.97</v>
      </c>
      <c r="K2339" s="54">
        <f>Gastos[[#This Row],[Importe AR$]]/$N$1</f>
        <v>31.602544871794873</v>
      </c>
      <c r="M2339" s="69"/>
      <c r="N2339" s="43" t="str">
        <f>IF(Gastos[[#This Row],[Fecha_Cheque]]&gt;0,WEEKNUM(Gastos[[#This Row],[Fecha_Cheque]]),MID(Gastos[[#This Row],[Semana]],6,2))</f>
        <v>29</v>
      </c>
      <c r="O2339" t="s">
        <v>3788</v>
      </c>
      <c r="P2339" t="s">
        <v>27</v>
      </c>
    </row>
    <row r="2340" spans="1:16" hidden="1" x14ac:dyDescent="0.25">
      <c r="A2340" s="3" t="s">
        <v>3754</v>
      </c>
      <c r="B2340" t="s">
        <v>3024</v>
      </c>
      <c r="C2340" t="s">
        <v>1948</v>
      </c>
      <c r="D2340" t="s">
        <v>26</v>
      </c>
      <c r="E2340" t="s">
        <v>42</v>
      </c>
      <c r="F2340">
        <v>1</v>
      </c>
      <c r="G2340" s="3" t="s">
        <v>4</v>
      </c>
      <c r="H2340" s="44" t="s">
        <v>15</v>
      </c>
      <c r="I2340" s="17">
        <v>14400</v>
      </c>
      <c r="J2340" s="17">
        <f>IF(Gastos[[#This Row],[Divisa]]="$", I2340*1, IF(Gastos[[#This Row],[Divisa]]="U$D", I2340*$N$1, IF(Gastos[[#This Row],[Divisa]]="EUR", I2340*$N$2, 0)))</f>
        <v>14400</v>
      </c>
      <c r="K2340" s="54">
        <f>Gastos[[#This Row],[Importe AR$]]/$N$1</f>
        <v>9.2307692307692299</v>
      </c>
      <c r="M2340" s="69"/>
      <c r="N2340" s="43" t="str">
        <f>IF(Gastos[[#This Row],[Fecha_Cheque]]&gt;0,WEEKNUM(Gastos[[#This Row],[Fecha_Cheque]]),MID(Gastos[[#This Row],[Semana]],6,2))</f>
        <v>29</v>
      </c>
      <c r="O2340" t="s">
        <v>3789</v>
      </c>
      <c r="P2340" t="s">
        <v>27</v>
      </c>
    </row>
    <row r="2341" spans="1:16" hidden="1" x14ac:dyDescent="0.25">
      <c r="A2341" s="3" t="s">
        <v>3817</v>
      </c>
      <c r="B2341" t="s">
        <v>3024</v>
      </c>
      <c r="C2341" t="s">
        <v>1948</v>
      </c>
      <c r="D2341" t="s">
        <v>26</v>
      </c>
      <c r="E2341" t="s">
        <v>42</v>
      </c>
      <c r="F2341">
        <v>1</v>
      </c>
      <c r="G2341" s="3" t="s">
        <v>4</v>
      </c>
      <c r="H2341" s="44" t="s">
        <v>15</v>
      </c>
      <c r="I2341" s="17">
        <v>26499.99</v>
      </c>
      <c r="J2341" s="17">
        <f>IF(Gastos[[#This Row],[Divisa]]="$", I2341*1, IF(Gastos[[#This Row],[Divisa]]="U$D", I2341*$N$1, IF(Gastos[[#This Row],[Divisa]]="EUR", I2341*$N$2, 0)))</f>
        <v>26499.99</v>
      </c>
      <c r="K2341" s="54">
        <f>Gastos[[#This Row],[Importe AR$]]/$N$1</f>
        <v>16.987173076923078</v>
      </c>
      <c r="M2341" s="69"/>
      <c r="N2341" s="43" t="str">
        <f>IF(Gastos[[#This Row],[Fecha_Cheque]]&gt;0,WEEKNUM(Gastos[[#This Row],[Fecha_Cheque]]),MID(Gastos[[#This Row],[Semana]],6,2))</f>
        <v>30</v>
      </c>
      <c r="O2341" t="s">
        <v>3830</v>
      </c>
      <c r="P2341" t="s">
        <v>27</v>
      </c>
    </row>
    <row r="2342" spans="1:16" hidden="1" x14ac:dyDescent="0.25">
      <c r="A2342" s="3" t="s">
        <v>3963</v>
      </c>
      <c r="B2342" t="s">
        <v>3024</v>
      </c>
      <c r="C2342" t="s">
        <v>1948</v>
      </c>
      <c r="D2342" t="s">
        <v>26</v>
      </c>
      <c r="E2342" t="s">
        <v>42</v>
      </c>
      <c r="F2342">
        <v>1</v>
      </c>
      <c r="G2342" s="3" t="s">
        <v>4</v>
      </c>
      <c r="H2342" s="44" t="s">
        <v>15</v>
      </c>
      <c r="I2342" s="17">
        <v>38800.01</v>
      </c>
      <c r="J2342" s="17">
        <f>IF(Gastos[[#This Row],[Divisa]]="$", I2342*1, IF(Gastos[[#This Row],[Divisa]]="U$D", I2342*$N$1, IF(Gastos[[#This Row],[Divisa]]="EUR", I2342*$N$2, 0)))</f>
        <v>38800.01</v>
      </c>
      <c r="K2342" s="54">
        <f>Gastos[[#This Row],[Importe AR$]]/$N$1</f>
        <v>24.871801282051283</v>
      </c>
      <c r="M2342" s="69"/>
      <c r="N2342" s="43" t="str">
        <f>IF(Gastos[[#This Row],[Fecha_Cheque]]&gt;0,WEEKNUM(Gastos[[#This Row],[Fecha_Cheque]]),MID(Gastos[[#This Row],[Semana]],6,2))</f>
        <v>32</v>
      </c>
      <c r="O2342" t="s">
        <v>3968</v>
      </c>
      <c r="P2342" t="s">
        <v>27</v>
      </c>
    </row>
    <row r="2343" spans="1:16" hidden="1" x14ac:dyDescent="0.25">
      <c r="A2343" s="3" t="s">
        <v>3963</v>
      </c>
      <c r="B2343" t="s">
        <v>3024</v>
      </c>
      <c r="C2343" t="s">
        <v>1948</v>
      </c>
      <c r="D2343" t="s">
        <v>26</v>
      </c>
      <c r="E2343" t="s">
        <v>42</v>
      </c>
      <c r="F2343">
        <v>1</v>
      </c>
      <c r="G2343" s="3" t="s">
        <v>4</v>
      </c>
      <c r="H2343" s="44" t="s">
        <v>15</v>
      </c>
      <c r="I2343" s="17">
        <v>11600</v>
      </c>
      <c r="J2343" s="17">
        <f>IF(Gastos[[#This Row],[Divisa]]="$", I2343*1, IF(Gastos[[#This Row],[Divisa]]="U$D", I2343*$N$1, IF(Gastos[[#This Row],[Divisa]]="EUR", I2343*$N$2, 0)))</f>
        <v>11600</v>
      </c>
      <c r="K2343" s="54">
        <f>Gastos[[#This Row],[Importe AR$]]/$N$1</f>
        <v>7.4358974358974361</v>
      </c>
      <c r="M2343" s="69"/>
      <c r="N2343" s="43" t="str">
        <f>IF(Gastos[[#This Row],[Fecha_Cheque]]&gt;0,WEEKNUM(Gastos[[#This Row],[Fecha_Cheque]]),MID(Gastos[[#This Row],[Semana]],6,2))</f>
        <v>32</v>
      </c>
      <c r="O2343" t="s">
        <v>3971</v>
      </c>
      <c r="P2343" t="s">
        <v>27</v>
      </c>
    </row>
    <row r="2344" spans="1:16" hidden="1" x14ac:dyDescent="0.25">
      <c r="A2344" s="3" t="s">
        <v>3963</v>
      </c>
      <c r="B2344" t="s">
        <v>3024</v>
      </c>
      <c r="C2344" t="s">
        <v>1948</v>
      </c>
      <c r="D2344" t="s">
        <v>26</v>
      </c>
      <c r="E2344" t="s">
        <v>42</v>
      </c>
      <c r="F2344">
        <v>1</v>
      </c>
      <c r="G2344" s="3" t="s">
        <v>4</v>
      </c>
      <c r="H2344" s="44" t="s">
        <v>15</v>
      </c>
      <c r="I2344" s="17">
        <v>6700</v>
      </c>
      <c r="J2344" s="17">
        <f>IF(Gastos[[#This Row],[Divisa]]="$", I2344*1, IF(Gastos[[#This Row],[Divisa]]="U$D", I2344*$N$1, IF(Gastos[[#This Row],[Divisa]]="EUR", I2344*$N$2, 0)))</f>
        <v>6700</v>
      </c>
      <c r="K2344" s="54">
        <f>Gastos[[#This Row],[Importe AR$]]/$N$1</f>
        <v>4.2948717948717947</v>
      </c>
      <c r="M2344" s="69"/>
      <c r="N2344" s="43" t="str">
        <f>IF(Gastos[[#This Row],[Fecha_Cheque]]&gt;0,WEEKNUM(Gastos[[#This Row],[Fecha_Cheque]]),MID(Gastos[[#This Row],[Semana]],6,2))</f>
        <v>32</v>
      </c>
      <c r="O2344" t="s">
        <v>3972</v>
      </c>
      <c r="P2344" t="s">
        <v>27</v>
      </c>
    </row>
    <row r="2345" spans="1:16" hidden="1" x14ac:dyDescent="0.25">
      <c r="A2345" s="3" t="s">
        <v>3963</v>
      </c>
      <c r="B2345" t="s">
        <v>3024</v>
      </c>
      <c r="C2345" t="s">
        <v>1948</v>
      </c>
      <c r="D2345" t="s">
        <v>26</v>
      </c>
      <c r="E2345" t="s">
        <v>42</v>
      </c>
      <c r="F2345">
        <v>1</v>
      </c>
      <c r="G2345" s="3" t="s">
        <v>4</v>
      </c>
      <c r="H2345" s="44" t="s">
        <v>15</v>
      </c>
      <c r="I2345" s="17">
        <v>14000.01</v>
      </c>
      <c r="J2345" s="17">
        <f>IF(Gastos[[#This Row],[Divisa]]="$", I2345*1, IF(Gastos[[#This Row],[Divisa]]="U$D", I2345*$N$1, IF(Gastos[[#This Row],[Divisa]]="EUR", I2345*$N$2, 0)))</f>
        <v>14000.01</v>
      </c>
      <c r="K2345" s="54">
        <f>Gastos[[#This Row],[Importe AR$]]/$N$1</f>
        <v>8.9743653846153855</v>
      </c>
      <c r="M2345" s="69"/>
      <c r="N2345" s="43" t="str">
        <f>IF(Gastos[[#This Row],[Fecha_Cheque]]&gt;0,WEEKNUM(Gastos[[#This Row],[Fecha_Cheque]]),MID(Gastos[[#This Row],[Semana]],6,2))</f>
        <v>32</v>
      </c>
      <c r="O2345" t="s">
        <v>3985</v>
      </c>
      <c r="P2345" t="s">
        <v>27</v>
      </c>
    </row>
    <row r="2346" spans="1:16" hidden="1" x14ac:dyDescent="0.25">
      <c r="A2346" s="3" t="s">
        <v>4119</v>
      </c>
      <c r="B2346" t="s">
        <v>3024</v>
      </c>
      <c r="C2346" t="s">
        <v>1948</v>
      </c>
      <c r="D2346" t="s">
        <v>26</v>
      </c>
      <c r="E2346" t="s">
        <v>42</v>
      </c>
      <c r="F2346">
        <v>1</v>
      </c>
      <c r="G2346" s="3" t="s">
        <v>4</v>
      </c>
      <c r="H2346" s="44" t="s">
        <v>15</v>
      </c>
      <c r="I2346" s="17">
        <v>24000</v>
      </c>
      <c r="J2346" s="17">
        <f>IF(Gastos[[#This Row],[Divisa]]="$", I2346*1, IF(Gastos[[#This Row],[Divisa]]="U$D", I2346*$N$1, IF(Gastos[[#This Row],[Divisa]]="EUR", I2346*$N$2, 0)))</f>
        <v>24000</v>
      </c>
      <c r="K2346" s="54">
        <f>Gastos[[#This Row],[Importe AR$]]/$N$1</f>
        <v>15.384615384615385</v>
      </c>
      <c r="M2346" s="69"/>
      <c r="N2346" s="43" t="str">
        <f>IF(Gastos[[#This Row],[Fecha_Cheque]]&gt;0,WEEKNUM(Gastos[[#This Row],[Fecha_Cheque]]),MID(Gastos[[#This Row],[Semana]],6,2))</f>
        <v>35</v>
      </c>
      <c r="O2346" t="s">
        <v>4120</v>
      </c>
      <c r="P2346" t="s">
        <v>27</v>
      </c>
    </row>
    <row r="2347" spans="1:16" hidden="1" x14ac:dyDescent="0.25">
      <c r="A2347" s="3" t="s">
        <v>4119</v>
      </c>
      <c r="B2347" t="s">
        <v>3024</v>
      </c>
      <c r="C2347" t="s">
        <v>4152</v>
      </c>
      <c r="D2347" t="s">
        <v>26</v>
      </c>
      <c r="E2347" t="s">
        <v>42</v>
      </c>
      <c r="F2347">
        <v>1</v>
      </c>
      <c r="G2347" s="3" t="s">
        <v>4</v>
      </c>
      <c r="H2347" s="44" t="s">
        <v>15</v>
      </c>
      <c r="I2347" s="17">
        <v>18400</v>
      </c>
      <c r="J2347" s="17">
        <f>IF(Gastos[[#This Row],[Divisa]]="$", I2347*1, IF(Gastos[[#This Row],[Divisa]]="U$D", I2347*$N$1, IF(Gastos[[#This Row],[Divisa]]="EUR", I2347*$N$2, 0)))</f>
        <v>18400</v>
      </c>
      <c r="K2347" s="54">
        <f>Gastos[[#This Row],[Importe AR$]]/$N$1</f>
        <v>11.794871794871796</v>
      </c>
      <c r="M2347" s="69"/>
      <c r="N2347" s="43" t="str">
        <f>IF(Gastos[[#This Row],[Fecha_Cheque]]&gt;0,WEEKNUM(Gastos[[#This Row],[Fecha_Cheque]]),MID(Gastos[[#This Row],[Semana]],6,2))</f>
        <v>35</v>
      </c>
      <c r="O2347" t="s">
        <v>4153</v>
      </c>
      <c r="P2347" t="s">
        <v>27</v>
      </c>
    </row>
    <row r="2348" spans="1:16" hidden="1" x14ac:dyDescent="0.25">
      <c r="A2348" s="3" t="s">
        <v>4157</v>
      </c>
      <c r="B2348" t="s">
        <v>3024</v>
      </c>
      <c r="C2348" t="s">
        <v>3619</v>
      </c>
      <c r="D2348" t="s">
        <v>26</v>
      </c>
      <c r="E2348" t="s">
        <v>42</v>
      </c>
      <c r="F2348">
        <v>1</v>
      </c>
      <c r="G2348" s="3" t="s">
        <v>4</v>
      </c>
      <c r="H2348" s="44" t="s">
        <v>15</v>
      </c>
      <c r="I2348" s="17">
        <v>58099.99</v>
      </c>
      <c r="J2348" s="17">
        <f>IF(Gastos[[#This Row],[Divisa]]="$", I2348*1, IF(Gastos[[#This Row],[Divisa]]="U$D", I2348*$N$1, IF(Gastos[[#This Row],[Divisa]]="EUR", I2348*$N$2, 0)))</f>
        <v>58099.99</v>
      </c>
      <c r="K2348" s="54">
        <f>Gastos[[#This Row],[Importe AR$]]/$N$1</f>
        <v>37.243583333333333</v>
      </c>
      <c r="M2348" s="69"/>
      <c r="N2348" s="43" t="str">
        <f>IF(Gastos[[#This Row],[Fecha_Cheque]]&gt;0,WEEKNUM(Gastos[[#This Row],[Fecha_Cheque]]),MID(Gastos[[#This Row],[Semana]],6,2))</f>
        <v>36</v>
      </c>
      <c r="O2348" t="s">
        <v>4179</v>
      </c>
      <c r="P2348" t="s">
        <v>27</v>
      </c>
    </row>
    <row r="2349" spans="1:16" hidden="1" x14ac:dyDescent="0.25">
      <c r="A2349" s="3" t="s">
        <v>4157</v>
      </c>
      <c r="B2349" t="s">
        <v>3024</v>
      </c>
      <c r="C2349" t="s">
        <v>1948</v>
      </c>
      <c r="D2349" t="s">
        <v>26</v>
      </c>
      <c r="E2349" t="s">
        <v>42</v>
      </c>
      <c r="F2349">
        <v>1</v>
      </c>
      <c r="G2349" s="3" t="s">
        <v>4</v>
      </c>
      <c r="H2349" s="44" t="s">
        <v>15</v>
      </c>
      <c r="I2349" s="17">
        <v>7200.01</v>
      </c>
      <c r="J2349" s="17">
        <f>IF(Gastos[[#This Row],[Divisa]]="$", I2349*1, IF(Gastos[[#This Row],[Divisa]]="U$D", I2349*$N$1, IF(Gastos[[#This Row],[Divisa]]="EUR", I2349*$N$2, 0)))</f>
        <v>7200.01</v>
      </c>
      <c r="K2349" s="54">
        <f>Gastos[[#This Row],[Importe AR$]]/$N$1</f>
        <v>4.615391025641026</v>
      </c>
      <c r="M2349" s="69"/>
      <c r="N2349" s="43" t="str">
        <f>IF(Gastos[[#This Row],[Fecha_Cheque]]&gt;0,WEEKNUM(Gastos[[#This Row],[Fecha_Cheque]]),MID(Gastos[[#This Row],[Semana]],6,2))</f>
        <v>36</v>
      </c>
      <c r="O2349" t="s">
        <v>4180</v>
      </c>
      <c r="P2349" t="s">
        <v>27</v>
      </c>
    </row>
    <row r="2350" spans="1:16" hidden="1" x14ac:dyDescent="0.25">
      <c r="A2350" s="3" t="s">
        <v>4211</v>
      </c>
      <c r="B2350" t="s">
        <v>3024</v>
      </c>
      <c r="C2350" t="s">
        <v>1948</v>
      </c>
      <c r="D2350" t="s">
        <v>26</v>
      </c>
      <c r="E2350" t="s">
        <v>42</v>
      </c>
      <c r="F2350">
        <v>1</v>
      </c>
      <c r="G2350" s="3" t="s">
        <v>4</v>
      </c>
      <c r="H2350" s="44" t="s">
        <v>15</v>
      </c>
      <c r="I2350" s="17">
        <v>16299.99</v>
      </c>
      <c r="J2350" s="17">
        <f>IF(Gastos[[#This Row],[Divisa]]="$", I2350*1, IF(Gastos[[#This Row],[Divisa]]="U$D", I2350*$N$1, IF(Gastos[[#This Row],[Divisa]]="EUR", I2350*$N$2, 0)))</f>
        <v>16299.99</v>
      </c>
      <c r="K2350" s="54">
        <f>Gastos[[#This Row],[Importe AR$]]/$N$1</f>
        <v>10.448711538461538</v>
      </c>
      <c r="M2350" s="69"/>
      <c r="N2350" s="43" t="str">
        <f>IF(Gastos[[#This Row],[Fecha_Cheque]]&gt;0,WEEKNUM(Gastos[[#This Row],[Fecha_Cheque]]),MID(Gastos[[#This Row],[Semana]],6,2))</f>
        <v>37</v>
      </c>
      <c r="O2350" t="s">
        <v>4222</v>
      </c>
      <c r="P2350" t="s">
        <v>27</v>
      </c>
    </row>
    <row r="2351" spans="1:16" hidden="1" x14ac:dyDescent="0.25">
      <c r="A2351" s="3" t="s">
        <v>4211</v>
      </c>
      <c r="B2351" t="s">
        <v>3024</v>
      </c>
      <c r="C2351" t="s">
        <v>3619</v>
      </c>
      <c r="D2351" t="s">
        <v>26</v>
      </c>
      <c r="E2351" t="s">
        <v>42</v>
      </c>
      <c r="F2351">
        <v>1</v>
      </c>
      <c r="G2351" s="3" t="s">
        <v>4</v>
      </c>
      <c r="H2351" s="44" t="s">
        <v>15</v>
      </c>
      <c r="I2351" s="17">
        <v>148099.95000000001</v>
      </c>
      <c r="J2351" s="17">
        <f>IF(Gastos[[#This Row],[Divisa]]="$", I2351*1, IF(Gastos[[#This Row],[Divisa]]="U$D", I2351*$N$1, IF(Gastos[[#This Row],[Divisa]]="EUR", I2351*$N$2, 0)))</f>
        <v>148099.95000000001</v>
      </c>
      <c r="K2351" s="54">
        <f>Gastos[[#This Row],[Importe AR$]]/$N$1</f>
        <v>94.935865384615397</v>
      </c>
      <c r="M2351" s="69"/>
      <c r="N2351" s="43" t="str">
        <f>IF(Gastos[[#This Row],[Fecha_Cheque]]&gt;0,WEEKNUM(Gastos[[#This Row],[Fecha_Cheque]]),MID(Gastos[[#This Row],[Semana]],6,2))</f>
        <v>37</v>
      </c>
      <c r="O2351" t="s">
        <v>4304</v>
      </c>
      <c r="P2351" t="s">
        <v>27</v>
      </c>
    </row>
    <row r="2352" spans="1:16" hidden="1" x14ac:dyDescent="0.25">
      <c r="A2352" s="3" t="s">
        <v>4447</v>
      </c>
      <c r="B2352" t="s">
        <v>3024</v>
      </c>
      <c r="C2352" t="s">
        <v>1948</v>
      </c>
      <c r="D2352" t="s">
        <v>26</v>
      </c>
      <c r="E2352" t="s">
        <v>42</v>
      </c>
      <c r="F2352">
        <v>1</v>
      </c>
      <c r="G2352" s="3" t="s">
        <v>4</v>
      </c>
      <c r="H2352" s="44" t="s">
        <v>15</v>
      </c>
      <c r="I2352" s="17">
        <v>4400</v>
      </c>
      <c r="J2352" s="17">
        <f>IF(Gastos[[#This Row],[Divisa]]="$", I2352*1, IF(Gastos[[#This Row],[Divisa]]="U$D", I2352*$N$1, IF(Gastos[[#This Row],[Divisa]]="EUR", I2352*$N$2, 0)))</f>
        <v>4400</v>
      </c>
      <c r="K2352" s="54">
        <f>Gastos[[#This Row],[Importe AR$]]/$N$1</f>
        <v>2.8205128205128207</v>
      </c>
      <c r="M2352" s="69"/>
      <c r="N2352" s="43" t="str">
        <f>IF(Gastos[[#This Row],[Fecha_Cheque]]&gt;0,WEEKNUM(Gastos[[#This Row],[Fecha_Cheque]]),MID(Gastos[[#This Row],[Semana]],6,2))</f>
        <v>41</v>
      </c>
      <c r="O2352" t="s">
        <v>4462</v>
      </c>
      <c r="P2352" t="s">
        <v>27</v>
      </c>
    </row>
    <row r="2353" spans="1:16" hidden="1" x14ac:dyDescent="0.25">
      <c r="A2353" s="3" t="s">
        <v>4447</v>
      </c>
      <c r="B2353" t="s">
        <v>3024</v>
      </c>
      <c r="C2353" t="s">
        <v>1948</v>
      </c>
      <c r="D2353" t="s">
        <v>26</v>
      </c>
      <c r="E2353" t="s">
        <v>42</v>
      </c>
      <c r="F2353">
        <v>1</v>
      </c>
      <c r="G2353" s="3" t="s">
        <v>4</v>
      </c>
      <c r="H2353" s="44" t="s">
        <v>15</v>
      </c>
      <c r="I2353" s="17">
        <v>16299.99</v>
      </c>
      <c r="J2353" s="17">
        <f>IF(Gastos[[#This Row],[Divisa]]="$", I2353*1, IF(Gastos[[#This Row],[Divisa]]="U$D", I2353*$N$1, IF(Gastos[[#This Row],[Divisa]]="EUR", I2353*$N$2, 0)))</f>
        <v>16299.99</v>
      </c>
      <c r="K2353" s="54">
        <f>Gastos[[#This Row],[Importe AR$]]/$N$1</f>
        <v>10.448711538461538</v>
      </c>
      <c r="M2353" s="69"/>
      <c r="N2353" s="43" t="str">
        <f>IF(Gastos[[#This Row],[Fecha_Cheque]]&gt;0,WEEKNUM(Gastos[[#This Row],[Fecha_Cheque]]),MID(Gastos[[#This Row],[Semana]],6,2))</f>
        <v>41</v>
      </c>
      <c r="O2353" t="s">
        <v>4463</v>
      </c>
      <c r="P2353" t="s">
        <v>27</v>
      </c>
    </row>
    <row r="2354" spans="1:16" hidden="1" x14ac:dyDescent="0.25">
      <c r="A2354" s="3" t="s">
        <v>4409</v>
      </c>
      <c r="B2354" t="s">
        <v>4433</v>
      </c>
      <c r="C2354" t="s">
        <v>4436</v>
      </c>
      <c r="D2354" t="s">
        <v>26</v>
      </c>
      <c r="E2354" t="s">
        <v>31</v>
      </c>
      <c r="F2354">
        <v>1</v>
      </c>
      <c r="G2354" s="3" t="s">
        <v>5</v>
      </c>
      <c r="H2354" s="44" t="s">
        <v>15</v>
      </c>
      <c r="I2354" s="17">
        <v>560000</v>
      </c>
      <c r="J2354" s="17">
        <f>IF(Gastos[[#This Row],[Divisa]]="$", I2354*1, IF(Gastos[[#This Row],[Divisa]]="U$D", I2354*$N$1, IF(Gastos[[#This Row],[Divisa]]="EUR", I2354*$N$2, 0)))</f>
        <v>560000</v>
      </c>
      <c r="K2354" s="54">
        <f>Gastos[[#This Row],[Importe AR$]]/$N$1</f>
        <v>358.97435897435895</v>
      </c>
      <c r="M2354" s="69"/>
      <c r="N2354" s="43" t="str">
        <f>IF(Gastos[[#This Row],[Fecha_Cheque]]&gt;0,WEEKNUM(Gastos[[#This Row],[Fecha_Cheque]]),MID(Gastos[[#This Row],[Semana]],6,2))</f>
        <v>40</v>
      </c>
      <c r="O2354" t="s">
        <v>4434</v>
      </c>
      <c r="P2354" t="s">
        <v>27</v>
      </c>
    </row>
    <row r="2355" spans="1:16" hidden="1" x14ac:dyDescent="0.25">
      <c r="A2355" s="3" t="s">
        <v>52</v>
      </c>
      <c r="B2355" t="s">
        <v>1414</v>
      </c>
      <c r="C2355" t="s">
        <v>1415</v>
      </c>
      <c r="D2355" t="s">
        <v>26</v>
      </c>
      <c r="E2355" t="s">
        <v>31</v>
      </c>
      <c r="F2355">
        <v>1</v>
      </c>
      <c r="G2355" s="3" t="s">
        <v>5</v>
      </c>
      <c r="H2355" s="46" t="s">
        <v>15</v>
      </c>
      <c r="I2355" s="17">
        <v>1694000</v>
      </c>
      <c r="J2355" s="17">
        <f>IF(Gastos[[#This Row],[Divisa]]="$", I2355*1, IF(Gastos[[#This Row],[Divisa]]="U$D", I2355*$N$1, IF(Gastos[[#This Row],[Divisa]]="EUR", I2355*$N$2, 0)))</f>
        <v>1694000</v>
      </c>
      <c r="K2355" s="54">
        <f>Gastos[[#This Row],[Importe AR$]]/$N$1</f>
        <v>1085.8974358974358</v>
      </c>
      <c r="L2355" t="s">
        <v>1416</v>
      </c>
      <c r="M2355" s="69"/>
      <c r="N2355" s="43" t="str">
        <f>IF(Gastos[[#This Row],[Fecha_Cheque]]&gt;0,WEEKNUM(Gastos[[#This Row],[Fecha_Cheque]]),MID(Gastos[[#This Row],[Semana]],6,2))</f>
        <v>12</v>
      </c>
      <c r="O2355" t="s">
        <v>1417</v>
      </c>
      <c r="P2355" t="s">
        <v>27</v>
      </c>
    </row>
    <row r="2356" spans="1:16" hidden="1" x14ac:dyDescent="0.25">
      <c r="A2356" s="3" t="s">
        <v>144</v>
      </c>
      <c r="B2356" t="s">
        <v>1414</v>
      </c>
      <c r="C2356" t="s">
        <v>1418</v>
      </c>
      <c r="D2356" t="s">
        <v>26</v>
      </c>
      <c r="E2356" t="s">
        <v>31</v>
      </c>
      <c r="F2356">
        <v>1</v>
      </c>
      <c r="G2356" s="3" t="s">
        <v>32</v>
      </c>
      <c r="H2356" s="46" t="s">
        <v>15</v>
      </c>
      <c r="I2356" s="17">
        <v>2040000</v>
      </c>
      <c r="J2356" s="17">
        <f>IF(Gastos[[#This Row],[Divisa]]="$", I2356*1, IF(Gastos[[#This Row],[Divisa]]="U$D", I2356*$N$1, IF(Gastos[[#This Row],[Divisa]]="EUR", I2356*$N$2, 0)))</f>
        <v>2040000</v>
      </c>
      <c r="K2356" s="54">
        <f>Gastos[[#This Row],[Importe AR$]]/$N$1</f>
        <v>1307.6923076923076</v>
      </c>
      <c r="L2356" t="s">
        <v>1419</v>
      </c>
      <c r="M2356" s="69"/>
      <c r="N2356" s="43" t="str">
        <f>IF(Gastos[[#This Row],[Fecha_Cheque]]&gt;0,WEEKNUM(Gastos[[#This Row],[Fecha_Cheque]]),MID(Gastos[[#This Row],[Semana]],6,2))</f>
        <v>16</v>
      </c>
      <c r="O2356" t="s">
        <v>1420</v>
      </c>
      <c r="P2356" t="s">
        <v>27</v>
      </c>
    </row>
    <row r="2357" spans="1:16" hidden="1" x14ac:dyDescent="0.25">
      <c r="A2357" s="3" t="s">
        <v>147</v>
      </c>
      <c r="B2357" t="s">
        <v>1414</v>
      </c>
      <c r="C2357" s="17" t="s">
        <v>186</v>
      </c>
      <c r="D2357" t="s">
        <v>26</v>
      </c>
      <c r="E2357" t="s">
        <v>31</v>
      </c>
      <c r="F2357" s="23">
        <v>1</v>
      </c>
      <c r="G2357" s="46" t="s">
        <v>32</v>
      </c>
      <c r="H2357" s="46" t="s">
        <v>15</v>
      </c>
      <c r="I2357" s="17">
        <v>3847800</v>
      </c>
      <c r="J2357" s="17">
        <f>IF(Gastos[[#This Row],[Divisa]]="$", I2357*1, IF(Gastos[[#This Row],[Divisa]]="U$D", I2357*$N$1, IF(Gastos[[#This Row],[Divisa]]="EUR", I2357*$N$2, 0)))</f>
        <v>3847800</v>
      </c>
      <c r="K2357" s="54">
        <f>Gastos[[#This Row],[Importe AR$]]/$N$1</f>
        <v>2466.5384615384614</v>
      </c>
      <c r="L2357" t="s">
        <v>1244</v>
      </c>
      <c r="M2357" s="69"/>
      <c r="N2357" s="43" t="str">
        <f>IF(Gastos[[#This Row],[Fecha_Cheque]]&gt;0,WEEKNUM(Gastos[[#This Row],[Fecha_Cheque]]),MID(Gastos[[#This Row],[Semana]],6,2))</f>
        <v>17</v>
      </c>
      <c r="O2357" t="s">
        <v>1421</v>
      </c>
      <c r="P2357" t="s">
        <v>27</v>
      </c>
    </row>
    <row r="2358" spans="1:16" hidden="1" x14ac:dyDescent="0.25">
      <c r="A2358" s="3" t="s">
        <v>3754</v>
      </c>
      <c r="B2358" t="s">
        <v>3791</v>
      </c>
      <c r="C2358" t="s">
        <v>3792</v>
      </c>
      <c r="D2358" t="s">
        <v>26</v>
      </c>
      <c r="E2358" t="s">
        <v>42</v>
      </c>
      <c r="F2358">
        <v>1</v>
      </c>
      <c r="G2358" s="3" t="s">
        <v>4</v>
      </c>
      <c r="H2358" s="44" t="s">
        <v>15</v>
      </c>
      <c r="I2358" s="17">
        <v>2800</v>
      </c>
      <c r="J2358" s="17">
        <f>IF(Gastos[[#This Row],[Divisa]]="$", I2358*1, IF(Gastos[[#This Row],[Divisa]]="U$D", I2358*$N$1, IF(Gastos[[#This Row],[Divisa]]="EUR", I2358*$N$2, 0)))</f>
        <v>2800</v>
      </c>
      <c r="K2358" s="54">
        <f>Gastos[[#This Row],[Importe AR$]]/$N$1</f>
        <v>1.7948717948717949</v>
      </c>
      <c r="M2358" s="69"/>
      <c r="N2358" s="43" t="str">
        <f>IF(Gastos[[#This Row],[Fecha_Cheque]]&gt;0,WEEKNUM(Gastos[[#This Row],[Fecha_Cheque]]),MID(Gastos[[#This Row],[Semana]],6,2))</f>
        <v>29</v>
      </c>
      <c r="O2358" t="s">
        <v>3793</v>
      </c>
      <c r="P2358" t="s">
        <v>27</v>
      </c>
    </row>
    <row r="2359" spans="1:16" hidden="1" x14ac:dyDescent="0.25">
      <c r="A2359" s="3" t="s">
        <v>3754</v>
      </c>
      <c r="B2359" t="s">
        <v>3791</v>
      </c>
      <c r="C2359" t="s">
        <v>3792</v>
      </c>
      <c r="D2359" t="s">
        <v>26</v>
      </c>
      <c r="E2359" t="s">
        <v>42</v>
      </c>
      <c r="F2359">
        <v>1</v>
      </c>
      <c r="G2359" s="3" t="s">
        <v>4</v>
      </c>
      <c r="H2359" s="44" t="s">
        <v>15</v>
      </c>
      <c r="I2359" s="17">
        <v>23800</v>
      </c>
      <c r="J2359" s="17">
        <f>IF(Gastos[[#This Row],[Divisa]]="$", I2359*1, IF(Gastos[[#This Row],[Divisa]]="U$D", I2359*$N$1, IF(Gastos[[#This Row],[Divisa]]="EUR", I2359*$N$2, 0)))</f>
        <v>23800</v>
      </c>
      <c r="K2359" s="54">
        <f>Gastos[[#This Row],[Importe AR$]]/$N$1</f>
        <v>15.256410256410257</v>
      </c>
      <c r="M2359" s="69"/>
      <c r="N2359" s="43" t="str">
        <f>IF(Gastos[[#This Row],[Fecha_Cheque]]&gt;0,WEEKNUM(Gastos[[#This Row],[Fecha_Cheque]]),MID(Gastos[[#This Row],[Semana]],6,2))</f>
        <v>29</v>
      </c>
      <c r="O2359" t="s">
        <v>3794</v>
      </c>
      <c r="P2359" t="s">
        <v>27</v>
      </c>
    </row>
    <row r="2360" spans="1:16" hidden="1" x14ac:dyDescent="0.25">
      <c r="A2360" s="3" t="s">
        <v>50</v>
      </c>
      <c r="B2360" t="s">
        <v>1422</v>
      </c>
      <c r="C2360" t="s">
        <v>1423</v>
      </c>
      <c r="D2360" t="s">
        <v>26</v>
      </c>
      <c r="E2360" t="s">
        <v>31</v>
      </c>
      <c r="F2360">
        <v>1</v>
      </c>
      <c r="G2360" s="3" t="s">
        <v>32</v>
      </c>
      <c r="H2360" s="46" t="s">
        <v>15</v>
      </c>
      <c r="I2360" s="17">
        <v>343007.17</v>
      </c>
      <c r="J2360" s="17">
        <f>IF(Gastos[[#This Row],[Divisa]]="$", I2360*1, IF(Gastos[[#This Row],[Divisa]]="U$D", I2360*$N$1, IF(Gastos[[#This Row],[Divisa]]="EUR", I2360*$N$2, 0)))</f>
        <v>343007.17</v>
      </c>
      <c r="K2360" s="54">
        <f>Gastos[[#This Row],[Importe AR$]]/$N$1</f>
        <v>219.87639102564103</v>
      </c>
      <c r="L2360" t="s">
        <v>150</v>
      </c>
      <c r="M2360" s="69">
        <v>45849</v>
      </c>
      <c r="N2360" s="43">
        <f>IF(Gastos[[#This Row],[Fecha_Cheque]]&gt;0,WEEKNUM(Gastos[[#This Row],[Fecha_Cheque]]),MID(Gastos[[#This Row],[Semana]],6,2))</f>
        <v>28</v>
      </c>
      <c r="O2360" t="s">
        <v>1424</v>
      </c>
      <c r="P2360" t="s">
        <v>27</v>
      </c>
    </row>
    <row r="2361" spans="1:16" hidden="1" x14ac:dyDescent="0.25">
      <c r="A2361" s="3" t="s">
        <v>147</v>
      </c>
      <c r="B2361" t="s">
        <v>1422</v>
      </c>
      <c r="C2361" t="s">
        <v>1425</v>
      </c>
      <c r="D2361" t="s">
        <v>26</v>
      </c>
      <c r="E2361" t="s">
        <v>31</v>
      </c>
      <c r="F2361">
        <v>1</v>
      </c>
      <c r="G2361" s="3" t="s">
        <v>32</v>
      </c>
      <c r="H2361" s="46" t="s">
        <v>15</v>
      </c>
      <c r="I2361" s="17">
        <v>639890.35</v>
      </c>
      <c r="J2361" s="17">
        <f>IF(Gastos[[#This Row],[Divisa]]="$", I2361*1, IF(Gastos[[#This Row],[Divisa]]="U$D", I2361*$N$1, IF(Gastos[[#This Row],[Divisa]]="EUR", I2361*$N$2, 0)))</f>
        <v>639890.35</v>
      </c>
      <c r="K2361" s="54">
        <f>Gastos[[#This Row],[Importe AR$]]/$N$1</f>
        <v>410.18612179487178</v>
      </c>
      <c r="L2361" t="s">
        <v>1426</v>
      </c>
      <c r="M2361" s="69"/>
      <c r="N2361" s="43" t="str">
        <f>IF(Gastos[[#This Row],[Fecha_Cheque]]&gt;0,WEEKNUM(Gastos[[#This Row],[Fecha_Cheque]]),MID(Gastos[[#This Row],[Semana]],6,2))</f>
        <v>17</v>
      </c>
      <c r="O2361" t="s">
        <v>1427</v>
      </c>
      <c r="P2361" t="s">
        <v>27</v>
      </c>
    </row>
    <row r="2362" spans="1:16" hidden="1" x14ac:dyDescent="0.25">
      <c r="A2362" s="3" t="s">
        <v>53</v>
      </c>
      <c r="B2362" t="s">
        <v>1422</v>
      </c>
      <c r="C2362" t="s">
        <v>1428</v>
      </c>
      <c r="D2362" t="s">
        <v>26</v>
      </c>
      <c r="E2362" t="s">
        <v>31</v>
      </c>
      <c r="F2362">
        <v>1</v>
      </c>
      <c r="G2362" s="3" t="s">
        <v>32</v>
      </c>
      <c r="H2362" s="46" t="s">
        <v>15</v>
      </c>
      <c r="I2362" s="17">
        <v>474247.4</v>
      </c>
      <c r="J2362" s="17">
        <f>IF(Gastos[[#This Row],[Divisa]]="$", I2362*1, IF(Gastos[[#This Row],[Divisa]]="U$D", I2362*$N$1, IF(Gastos[[#This Row],[Divisa]]="EUR", I2362*$N$2, 0)))</f>
        <v>474247.4</v>
      </c>
      <c r="K2362" s="54">
        <f>Gastos[[#This Row],[Importe AR$]]/$N$1</f>
        <v>304.00474358974361</v>
      </c>
      <c r="M2362" s="69"/>
      <c r="N2362" s="43" t="str">
        <f>IF(Gastos[[#This Row],[Fecha_Cheque]]&gt;0,WEEKNUM(Gastos[[#This Row],[Fecha_Cheque]]),MID(Gastos[[#This Row],[Semana]],6,2))</f>
        <v>34</v>
      </c>
      <c r="O2362" t="s">
        <v>1429</v>
      </c>
      <c r="P2362" t="s">
        <v>27</v>
      </c>
    </row>
    <row r="2363" spans="1:16" hidden="1" x14ac:dyDescent="0.25">
      <c r="A2363" s="3" t="s">
        <v>44</v>
      </c>
      <c r="B2363" t="s">
        <v>1422</v>
      </c>
      <c r="C2363" t="s">
        <v>1430</v>
      </c>
      <c r="D2363" t="s">
        <v>26</v>
      </c>
      <c r="E2363" t="s">
        <v>31</v>
      </c>
      <c r="F2363">
        <v>1</v>
      </c>
      <c r="G2363" s="3" t="s">
        <v>32</v>
      </c>
      <c r="H2363" s="46" t="s">
        <v>15</v>
      </c>
      <c r="I2363" s="17">
        <v>107630</v>
      </c>
      <c r="J2363" s="17">
        <f>IF(Gastos[[#This Row],[Divisa]]="$", I2363*1, IF(Gastos[[#This Row],[Divisa]]="U$D", I2363*$N$1, IF(Gastos[[#This Row],[Divisa]]="EUR", I2363*$N$2, 0)))</f>
        <v>107630</v>
      </c>
      <c r="K2363" s="54">
        <f>Gastos[[#This Row],[Importe AR$]]/$N$1</f>
        <v>68.993589743589737</v>
      </c>
      <c r="M2363" s="69">
        <v>46010</v>
      </c>
      <c r="N2363" s="43">
        <f>IF(Gastos[[#This Row],[Fecha_Cheque]]&gt;0,WEEKNUM(Gastos[[#This Row],[Fecha_Cheque]]),MID(Gastos[[#This Row],[Semana]],6,2))</f>
        <v>51</v>
      </c>
      <c r="O2363" t="s">
        <v>1431</v>
      </c>
      <c r="P2363" t="s">
        <v>27</v>
      </c>
    </row>
    <row r="2364" spans="1:16" hidden="1" x14ac:dyDescent="0.25">
      <c r="A2364" s="3" t="s">
        <v>44</v>
      </c>
      <c r="B2364" t="s">
        <v>1422</v>
      </c>
      <c r="C2364" t="s">
        <v>1430</v>
      </c>
      <c r="D2364" t="s">
        <v>26</v>
      </c>
      <c r="E2364" t="s">
        <v>31</v>
      </c>
      <c r="F2364">
        <v>1</v>
      </c>
      <c r="G2364" s="3" t="s">
        <v>32</v>
      </c>
      <c r="H2364" s="46" t="s">
        <v>15</v>
      </c>
      <c r="I2364" s="17">
        <v>150000</v>
      </c>
      <c r="J2364" s="17">
        <f>IF(Gastos[[#This Row],[Divisa]]="$", I2364*1, IF(Gastos[[#This Row],[Divisa]]="U$D", I2364*$N$1, IF(Gastos[[#This Row],[Divisa]]="EUR", I2364*$N$2, 0)))</f>
        <v>150000</v>
      </c>
      <c r="K2364" s="54">
        <f>Gastos[[#This Row],[Importe AR$]]/$N$1</f>
        <v>96.15384615384616</v>
      </c>
      <c r="M2364" s="69">
        <v>45659</v>
      </c>
      <c r="N2364" s="43">
        <f>IF(Gastos[[#This Row],[Fecha_Cheque]]&gt;0,WEEKNUM(Gastos[[#This Row],[Fecha_Cheque]]),MID(Gastos[[#This Row],[Semana]],6,2))</f>
        <v>1</v>
      </c>
      <c r="O2364" t="s">
        <v>1431</v>
      </c>
      <c r="P2364" t="s">
        <v>27</v>
      </c>
    </row>
    <row r="2365" spans="1:16" hidden="1" x14ac:dyDescent="0.25">
      <c r="A2365" s="3" t="s">
        <v>44</v>
      </c>
      <c r="B2365" t="s">
        <v>1422</v>
      </c>
      <c r="C2365" t="s">
        <v>1430</v>
      </c>
      <c r="D2365" t="s">
        <v>26</v>
      </c>
      <c r="E2365" t="s">
        <v>31</v>
      </c>
      <c r="F2365">
        <v>1</v>
      </c>
      <c r="G2365" s="3" t="s">
        <v>32</v>
      </c>
      <c r="H2365" s="46" t="s">
        <v>15</v>
      </c>
      <c r="I2365" s="17">
        <v>223424.67</v>
      </c>
      <c r="J2365" s="17">
        <f>IF(Gastos[[#This Row],[Divisa]]="$", I2365*1, IF(Gastos[[#This Row],[Divisa]]="U$D", I2365*$N$1, IF(Gastos[[#This Row],[Divisa]]="EUR", I2365*$N$2, 0)))</f>
        <v>223424.67</v>
      </c>
      <c r="K2365" s="54">
        <f>Gastos[[#This Row],[Importe AR$]]/$N$1</f>
        <v>143.22094230769233</v>
      </c>
      <c r="M2365" s="69">
        <v>46007</v>
      </c>
      <c r="N2365" s="43">
        <f>IF(Gastos[[#This Row],[Fecha_Cheque]]&gt;0,WEEKNUM(Gastos[[#This Row],[Fecha_Cheque]]),MID(Gastos[[#This Row],[Semana]],6,2))</f>
        <v>51</v>
      </c>
      <c r="O2365" t="s">
        <v>1431</v>
      </c>
      <c r="P2365" t="s">
        <v>27</v>
      </c>
    </row>
    <row r="2366" spans="1:16" hidden="1" x14ac:dyDescent="0.25">
      <c r="A2366" s="3" t="s">
        <v>44</v>
      </c>
      <c r="B2366" t="s">
        <v>1422</v>
      </c>
      <c r="C2366" t="s">
        <v>1430</v>
      </c>
      <c r="D2366" t="s">
        <v>26</v>
      </c>
      <c r="E2366" t="s">
        <v>31</v>
      </c>
      <c r="F2366">
        <v>1</v>
      </c>
      <c r="G2366" s="3" t="s">
        <v>5</v>
      </c>
      <c r="H2366" s="46" t="s">
        <v>15</v>
      </c>
      <c r="I2366" s="17">
        <v>239699.66</v>
      </c>
      <c r="J2366" s="17">
        <f>IF(Gastos[[#This Row],[Divisa]]="$", I2366*1, IF(Gastos[[#This Row],[Divisa]]="U$D", I2366*$N$1, IF(Gastos[[#This Row],[Divisa]]="EUR", I2366*$N$2, 0)))</f>
        <v>239699.66</v>
      </c>
      <c r="K2366" s="54">
        <f>Gastos[[#This Row],[Importe AR$]]/$N$1</f>
        <v>153.6536282051282</v>
      </c>
      <c r="M2366" s="69"/>
      <c r="N2366" s="43" t="str">
        <f>IF(Gastos[[#This Row],[Fecha_Cheque]]&gt;0,WEEKNUM(Gastos[[#This Row],[Fecha_Cheque]]),MID(Gastos[[#This Row],[Semana]],6,2))</f>
        <v>51</v>
      </c>
      <c r="O2366" t="s">
        <v>1431</v>
      </c>
      <c r="P2366" t="s">
        <v>27</v>
      </c>
    </row>
    <row r="2367" spans="1:16" hidden="1" x14ac:dyDescent="0.25">
      <c r="A2367" s="3" t="s">
        <v>139</v>
      </c>
      <c r="B2367" t="s">
        <v>1422</v>
      </c>
      <c r="C2367" t="s">
        <v>1432</v>
      </c>
      <c r="D2367" t="s">
        <v>26</v>
      </c>
      <c r="E2367" t="s">
        <v>31</v>
      </c>
      <c r="F2367">
        <v>1</v>
      </c>
      <c r="G2367" s="3" t="s">
        <v>32</v>
      </c>
      <c r="H2367" s="46" t="s">
        <v>15</v>
      </c>
      <c r="I2367" s="17">
        <v>1134701.78</v>
      </c>
      <c r="J2367" s="17">
        <f>IF(Gastos[[#This Row],[Divisa]]="$", I2367*1, IF(Gastos[[#This Row],[Divisa]]="U$D", I2367*$N$1, IF(Gastos[[#This Row],[Divisa]]="EUR", I2367*$N$2, 0)))</f>
        <v>1134701.78</v>
      </c>
      <c r="K2367" s="54">
        <f>Gastos[[#This Row],[Importe AR$]]/$N$1</f>
        <v>727.37293589743592</v>
      </c>
      <c r="M2367" s="69">
        <v>46085</v>
      </c>
      <c r="N2367" s="43">
        <f>IF(Gastos[[#This Row],[Fecha_Cheque]]&gt;0,WEEKNUM(Gastos[[#This Row],[Fecha_Cheque]]),MID(Gastos[[#This Row],[Semana]],6,2))</f>
        <v>10</v>
      </c>
      <c r="O2367" t="s">
        <v>1433</v>
      </c>
      <c r="P2367" t="s">
        <v>27</v>
      </c>
    </row>
    <row r="2368" spans="1:16" hidden="1" x14ac:dyDescent="0.25">
      <c r="A2368" s="3" t="s">
        <v>619</v>
      </c>
      <c r="B2368" t="s">
        <v>1422</v>
      </c>
      <c r="C2368" t="s">
        <v>1937</v>
      </c>
      <c r="D2368" t="s">
        <v>26</v>
      </c>
      <c r="E2368" t="s">
        <v>31</v>
      </c>
      <c r="F2368">
        <v>1</v>
      </c>
      <c r="G2368" s="3" t="s">
        <v>32</v>
      </c>
      <c r="H2368" s="46" t="s">
        <v>15</v>
      </c>
      <c r="I2368" s="17">
        <v>825197.12</v>
      </c>
      <c r="J2368" s="17">
        <f>IF(Gastos[[#This Row],[Divisa]]="$", I2368*1, IF(Gastos[[#This Row],[Divisa]]="U$D", I2368*$N$1, IF(Gastos[[#This Row],[Divisa]]="EUR", I2368*$N$2, 0)))</f>
        <v>825197.12</v>
      </c>
      <c r="K2368" s="54">
        <f>Gastos[[#This Row],[Importe AR$]]/$N$1</f>
        <v>528.97251282051286</v>
      </c>
      <c r="M2368" s="69">
        <v>46107</v>
      </c>
      <c r="N2368" s="43">
        <f>IF(Gastos[[#This Row],[Fecha_Cheque]]&gt;0,WEEKNUM(Gastos[[#This Row],[Fecha_Cheque]]),MID(Gastos[[#This Row],[Semana]],6,2))</f>
        <v>13</v>
      </c>
      <c r="O2368" t="s">
        <v>1938</v>
      </c>
      <c r="P2368" t="s">
        <v>27</v>
      </c>
    </row>
    <row r="2369" spans="1:16" hidden="1" x14ac:dyDescent="0.25">
      <c r="A2369" s="3" t="s">
        <v>619</v>
      </c>
      <c r="B2369" t="s">
        <v>1422</v>
      </c>
      <c r="C2369" t="s">
        <v>1937</v>
      </c>
      <c r="D2369" t="s">
        <v>26</v>
      </c>
      <c r="E2369" t="s">
        <v>31</v>
      </c>
      <c r="F2369">
        <v>1</v>
      </c>
      <c r="G2369" s="3" t="s">
        <v>32</v>
      </c>
      <c r="H2369" s="46" t="s">
        <v>15</v>
      </c>
      <c r="I2369" s="17">
        <v>1676765.97</v>
      </c>
      <c r="J2369" s="17">
        <v>825197.11</v>
      </c>
      <c r="K2369" s="54">
        <f>Gastos[[#This Row],[Importe AR$]]/$N$1</f>
        <v>528.97250641025641</v>
      </c>
      <c r="M2369" s="69">
        <v>46118</v>
      </c>
      <c r="N2369" s="43">
        <f>IF(Gastos[[#This Row],[Fecha_Cheque]]&gt;0,WEEKNUM(Gastos[[#This Row],[Fecha_Cheque]]),MID(Gastos[[#This Row],[Semana]],6,2))</f>
        <v>15</v>
      </c>
      <c r="O2369" t="s">
        <v>1938</v>
      </c>
      <c r="P2369" t="s">
        <v>27</v>
      </c>
    </row>
    <row r="2370" spans="1:16" hidden="1" x14ac:dyDescent="0.25">
      <c r="A2370" s="3" t="s">
        <v>2711</v>
      </c>
      <c r="B2370" t="s">
        <v>1422</v>
      </c>
      <c r="C2370" t="s">
        <v>2898</v>
      </c>
      <c r="D2370" t="s">
        <v>26</v>
      </c>
      <c r="E2370" t="s">
        <v>31</v>
      </c>
      <c r="F2370">
        <v>1</v>
      </c>
      <c r="G2370" s="3" t="s">
        <v>32</v>
      </c>
      <c r="H2370" s="44" t="s">
        <v>15</v>
      </c>
      <c r="I2370" s="17">
        <v>799698.39</v>
      </c>
      <c r="J2370" s="17">
        <f>IF(Gastos[[#This Row],[Divisa]]="$", I2370*1, IF(Gastos[[#This Row],[Divisa]]="U$D", I2370*$N$1, IF(Gastos[[#This Row],[Divisa]]="EUR", I2370*$N$2, 0)))</f>
        <v>799698.39</v>
      </c>
      <c r="K2370" s="54">
        <f>Gastos[[#This Row],[Importe AR$]]/$N$1</f>
        <v>512.6271730769231</v>
      </c>
      <c r="M2370" s="69">
        <v>46142</v>
      </c>
      <c r="N2370" s="43">
        <f>IF(Gastos[[#This Row],[Fecha_Cheque]]&gt;0,WEEKNUM(Gastos[[#This Row],[Fecha_Cheque]]),MID(Gastos[[#This Row],[Semana]],6,2))</f>
        <v>18</v>
      </c>
      <c r="O2370" t="s">
        <v>2899</v>
      </c>
      <c r="P2370" t="s">
        <v>27</v>
      </c>
    </row>
    <row r="2371" spans="1:16" hidden="1" x14ac:dyDescent="0.25">
      <c r="A2371" s="3" t="s">
        <v>2711</v>
      </c>
      <c r="B2371" t="s">
        <v>1422</v>
      </c>
      <c r="C2371" t="s">
        <v>2898</v>
      </c>
      <c r="D2371" t="s">
        <v>26</v>
      </c>
      <c r="E2371" t="s">
        <v>31</v>
      </c>
      <c r="F2371">
        <v>1</v>
      </c>
      <c r="G2371" s="3" t="s">
        <v>32</v>
      </c>
      <c r="H2371" s="44" t="s">
        <v>15</v>
      </c>
      <c r="I2371" s="17">
        <v>799698.39</v>
      </c>
      <c r="J2371" s="17">
        <f>IF(Gastos[[#This Row],[Divisa]]="$", I2371*1, IF(Gastos[[#This Row],[Divisa]]="U$D", I2371*$N$1, IF(Gastos[[#This Row],[Divisa]]="EUR", I2371*$N$2, 0)))</f>
        <v>799698.39</v>
      </c>
      <c r="K2371" s="54">
        <f>Gastos[[#This Row],[Importe AR$]]/$N$1</f>
        <v>512.6271730769231</v>
      </c>
      <c r="M2371" s="69">
        <v>46152</v>
      </c>
      <c r="N2371" s="43">
        <f>IF(Gastos[[#This Row],[Fecha_Cheque]]&gt;0,WEEKNUM(Gastos[[#This Row],[Fecha_Cheque]]),MID(Gastos[[#This Row],[Semana]],6,2))</f>
        <v>20</v>
      </c>
      <c r="O2371" t="s">
        <v>2899</v>
      </c>
      <c r="P2371" t="s">
        <v>27</v>
      </c>
    </row>
    <row r="2372" spans="1:16" hidden="1" x14ac:dyDescent="0.25">
      <c r="A2372" s="3" t="s">
        <v>2711</v>
      </c>
      <c r="B2372" t="s">
        <v>1422</v>
      </c>
      <c r="C2372" t="s">
        <v>2898</v>
      </c>
      <c r="D2372" t="s">
        <v>26</v>
      </c>
      <c r="E2372" t="s">
        <v>31</v>
      </c>
      <c r="F2372">
        <v>1</v>
      </c>
      <c r="G2372" s="3" t="s">
        <v>32</v>
      </c>
      <c r="H2372" s="44" t="s">
        <v>15</v>
      </c>
      <c r="I2372" s="17">
        <v>25514.639999999999</v>
      </c>
      <c r="J2372" s="17">
        <f>IF(Gastos[[#This Row],[Divisa]]="$", I2372*1, IF(Gastos[[#This Row],[Divisa]]="U$D", I2372*$N$1, IF(Gastos[[#This Row],[Divisa]]="EUR", I2372*$N$2, 0)))</f>
        <v>25514.639999999999</v>
      </c>
      <c r="K2372" s="54">
        <f>Gastos[[#This Row],[Importe AR$]]/$N$1</f>
        <v>16.355538461538462</v>
      </c>
      <c r="L2372" t="s">
        <v>340</v>
      </c>
      <c r="M2372" s="69"/>
      <c r="N2372" s="43" t="str">
        <f>IF(Gastos[[#This Row],[Fecha_Cheque]]&gt;0,WEEKNUM(Gastos[[#This Row],[Fecha_Cheque]]),MID(Gastos[[#This Row],[Semana]],6,2))</f>
        <v>15</v>
      </c>
      <c r="O2372" t="s">
        <v>2899</v>
      </c>
      <c r="P2372" t="s">
        <v>27</v>
      </c>
    </row>
    <row r="2373" spans="1:16" hidden="1" x14ac:dyDescent="0.25">
      <c r="A2373" s="3" t="s">
        <v>3617</v>
      </c>
      <c r="B2373" t="s">
        <v>1422</v>
      </c>
      <c r="C2373" t="s">
        <v>3644</v>
      </c>
      <c r="D2373" t="s">
        <v>26</v>
      </c>
      <c r="E2373" t="s">
        <v>31</v>
      </c>
      <c r="F2373">
        <v>1</v>
      </c>
      <c r="G2373" s="3" t="s">
        <v>5</v>
      </c>
      <c r="H2373" s="44" t="s">
        <v>15</v>
      </c>
      <c r="I2373" s="17">
        <v>1186719.71</v>
      </c>
      <c r="J2373" s="17">
        <f>IF(Gastos[[#This Row],[Divisa]]="$", I2373*1, IF(Gastos[[#This Row],[Divisa]]="U$D", I2373*$N$1, IF(Gastos[[#This Row],[Divisa]]="EUR", I2373*$N$2, 0)))</f>
        <v>1186719.71</v>
      </c>
      <c r="K2373" s="54">
        <f>Gastos[[#This Row],[Importe AR$]]/$N$1</f>
        <v>760.7177628205128</v>
      </c>
      <c r="M2373" s="69"/>
      <c r="N2373" s="43" t="str">
        <f>IF(Gastos[[#This Row],[Fecha_Cheque]]&gt;0,WEEKNUM(Gastos[[#This Row],[Fecha_Cheque]]),MID(Gastos[[#This Row],[Semana]],6,2))</f>
        <v>27</v>
      </c>
      <c r="O2373" t="s">
        <v>3654</v>
      </c>
      <c r="P2373" t="s">
        <v>27</v>
      </c>
    </row>
    <row r="2374" spans="1:16" hidden="1" x14ac:dyDescent="0.25">
      <c r="A2374" s="3" t="s">
        <v>4074</v>
      </c>
      <c r="B2374" t="s">
        <v>1422</v>
      </c>
      <c r="C2374" t="s">
        <v>4096</v>
      </c>
      <c r="D2374" t="s">
        <v>26</v>
      </c>
      <c r="E2374" t="s">
        <v>31</v>
      </c>
      <c r="F2374">
        <v>1</v>
      </c>
      <c r="G2374" s="3" t="s">
        <v>32</v>
      </c>
      <c r="H2374" s="44" t="s">
        <v>15</v>
      </c>
      <c r="I2374" s="17">
        <v>675018.69</v>
      </c>
      <c r="J2374" s="17">
        <f>IF(Gastos[[#This Row],[Divisa]]="$", I2374*1, IF(Gastos[[#This Row],[Divisa]]="U$D", I2374*$N$1, IF(Gastos[[#This Row],[Divisa]]="EUR", I2374*$N$2, 0)))</f>
        <v>675018.69</v>
      </c>
      <c r="K2374" s="54">
        <f>Gastos[[#This Row],[Importe AR$]]/$N$1</f>
        <v>432.70428846153845</v>
      </c>
      <c r="M2374" s="69">
        <v>46290</v>
      </c>
      <c r="N2374" s="43">
        <f>IF(Gastos[[#This Row],[Fecha_Cheque]]&gt;0,WEEKNUM(Gastos[[#This Row],[Fecha_Cheque]]),MID(Gastos[[#This Row],[Semana]],6,2))</f>
        <v>39</v>
      </c>
      <c r="O2374" t="s">
        <v>4097</v>
      </c>
      <c r="P2374" t="s">
        <v>27</v>
      </c>
    </row>
    <row r="2375" spans="1:16" hidden="1" x14ac:dyDescent="0.25">
      <c r="A2375" s="3" t="s">
        <v>4074</v>
      </c>
      <c r="B2375" t="s">
        <v>1422</v>
      </c>
      <c r="C2375" t="s">
        <v>4096</v>
      </c>
      <c r="D2375" t="s">
        <v>26</v>
      </c>
      <c r="E2375" t="s">
        <v>31</v>
      </c>
      <c r="F2375">
        <v>1</v>
      </c>
      <c r="G2375" s="3" t="s">
        <v>32</v>
      </c>
      <c r="H2375" s="44" t="s">
        <v>15</v>
      </c>
      <c r="I2375" s="17">
        <v>9813.93</v>
      </c>
      <c r="J2375" s="17">
        <f>IF(Gastos[[#This Row],[Divisa]]="$", I2375*1, IF(Gastos[[#This Row],[Divisa]]="U$D", I2375*$N$1, IF(Gastos[[#This Row],[Divisa]]="EUR", I2375*$N$2, 0)))</f>
        <v>9813.93</v>
      </c>
      <c r="K2375" s="54">
        <f>Gastos[[#This Row],[Importe AR$]]/$N$1</f>
        <v>6.2909807692307691</v>
      </c>
      <c r="L2375" t="s">
        <v>340</v>
      </c>
      <c r="M2375" s="69"/>
      <c r="N2375" s="43" t="str">
        <f>IF(Gastos[[#This Row],[Fecha_Cheque]]&gt;0,WEEKNUM(Gastos[[#This Row],[Fecha_Cheque]]),MID(Gastos[[#This Row],[Semana]],6,2))</f>
        <v>34</v>
      </c>
      <c r="O2375" t="s">
        <v>4097</v>
      </c>
      <c r="P2375" t="s">
        <v>27</v>
      </c>
    </row>
    <row r="2376" spans="1:16" hidden="1" x14ac:dyDescent="0.25">
      <c r="A2376" s="3" t="s">
        <v>4447</v>
      </c>
      <c r="B2376" t="s">
        <v>1422</v>
      </c>
      <c r="C2376" t="s">
        <v>4096</v>
      </c>
      <c r="D2376" t="s">
        <v>26</v>
      </c>
      <c r="E2376" t="s">
        <v>62</v>
      </c>
      <c r="F2376">
        <v>1</v>
      </c>
      <c r="G2376" s="3" t="s">
        <v>32</v>
      </c>
      <c r="H2376" s="44" t="s">
        <v>15</v>
      </c>
      <c r="I2376" s="17">
        <v>430180.34</v>
      </c>
      <c r="J2376" s="17">
        <f>IF(Gastos[[#This Row],[Divisa]]="$", I2376*1, IF(Gastos[[#This Row],[Divisa]]="U$D", I2376*$N$1, IF(Gastos[[#This Row],[Divisa]]="EUR", I2376*$N$2, 0)))</f>
        <v>430180.34</v>
      </c>
      <c r="K2376" s="54">
        <f>Gastos[[#This Row],[Importe AR$]]/$N$1</f>
        <v>275.75662820512821</v>
      </c>
      <c r="M2376" s="69"/>
      <c r="N2376" s="43" t="str">
        <f>IF(Gastos[[#This Row],[Fecha_Cheque]]&gt;0,WEEKNUM(Gastos[[#This Row],[Fecha_Cheque]]),MID(Gastos[[#This Row],[Semana]],6,2))</f>
        <v>41</v>
      </c>
      <c r="O2376" t="s">
        <v>4518</v>
      </c>
      <c r="P2376" t="s">
        <v>27</v>
      </c>
    </row>
    <row r="2377" spans="1:16" hidden="1" x14ac:dyDescent="0.25">
      <c r="A2377" s="3" t="s">
        <v>4447</v>
      </c>
      <c r="B2377" t="s">
        <v>1422</v>
      </c>
      <c r="C2377" t="s">
        <v>4096</v>
      </c>
      <c r="D2377" t="s">
        <v>26</v>
      </c>
      <c r="E2377" t="s">
        <v>62</v>
      </c>
      <c r="F2377">
        <v>1</v>
      </c>
      <c r="G2377" s="3" t="s">
        <v>32</v>
      </c>
      <c r="H2377" s="44" t="s">
        <v>15</v>
      </c>
      <c r="I2377" s="17">
        <v>176254.2</v>
      </c>
      <c r="J2377" s="17">
        <f>IF(Gastos[[#This Row],[Divisa]]="$", I2377*1, IF(Gastos[[#This Row],[Divisa]]="U$D", I2377*$N$1, IF(Gastos[[#This Row],[Divisa]]="EUR", I2377*$N$2, 0)))</f>
        <v>176254.2</v>
      </c>
      <c r="K2377" s="54">
        <f>Gastos[[#This Row],[Importe AR$]]/$N$1</f>
        <v>112.98346153846154</v>
      </c>
      <c r="M2377" s="69"/>
      <c r="N2377" s="43" t="str">
        <f>IF(Gastos[[#This Row],[Fecha_Cheque]]&gt;0,WEEKNUM(Gastos[[#This Row],[Fecha_Cheque]]),MID(Gastos[[#This Row],[Semana]],6,2))</f>
        <v>41</v>
      </c>
      <c r="O2377" t="s">
        <v>4518</v>
      </c>
      <c r="P2377" t="s">
        <v>27</v>
      </c>
    </row>
    <row r="2378" spans="1:16" hidden="1" x14ac:dyDescent="0.25">
      <c r="A2378" s="3" t="s">
        <v>4447</v>
      </c>
      <c r="B2378" t="s">
        <v>1422</v>
      </c>
      <c r="C2378" t="s">
        <v>4096</v>
      </c>
      <c r="D2378" t="s">
        <v>26</v>
      </c>
      <c r="E2378" t="s">
        <v>62</v>
      </c>
      <c r="F2378">
        <v>1</v>
      </c>
      <c r="G2378" s="3" t="s">
        <v>32</v>
      </c>
      <c r="H2378" s="44" t="s">
        <v>15</v>
      </c>
      <c r="I2378" s="17">
        <v>14508.97</v>
      </c>
      <c r="J2378" s="17">
        <f>IF(Gastos[[#This Row],[Divisa]]="$", I2378*1, IF(Gastos[[#This Row],[Divisa]]="U$D", I2378*$N$1, IF(Gastos[[#This Row],[Divisa]]="EUR", I2378*$N$2, 0)))</f>
        <v>14508.97</v>
      </c>
      <c r="K2378" s="54">
        <f>Gastos[[#This Row],[Importe AR$]]/$N$1</f>
        <v>9.3006217948717946</v>
      </c>
      <c r="M2378" s="69"/>
      <c r="N2378" s="43" t="str">
        <f>IF(Gastos[[#This Row],[Fecha_Cheque]]&gt;0,WEEKNUM(Gastos[[#This Row],[Fecha_Cheque]]),MID(Gastos[[#This Row],[Semana]],6,2))</f>
        <v>41</v>
      </c>
      <c r="O2378" t="s">
        <v>4518</v>
      </c>
      <c r="P2378" t="s">
        <v>27</v>
      </c>
    </row>
    <row r="2379" spans="1:16" x14ac:dyDescent="0.25">
      <c r="A2379" s="3" t="s">
        <v>4655</v>
      </c>
      <c r="B2379" t="s">
        <v>1298</v>
      </c>
      <c r="C2379" t="s">
        <v>1651</v>
      </c>
      <c r="D2379" t="s">
        <v>26</v>
      </c>
      <c r="E2379" t="s">
        <v>62</v>
      </c>
      <c r="F2379">
        <v>1</v>
      </c>
      <c r="G2379" s="3" t="s">
        <v>32</v>
      </c>
      <c r="H2379" s="44" t="s">
        <v>2</v>
      </c>
      <c r="I2379" s="17">
        <v>67738.342610000007</v>
      </c>
      <c r="J2379" s="17">
        <f>IF(Gastos[[#This Row],[Divisa]]="$", I2379*1, IF(Gastos[[#This Row],[Divisa]]="U$D", I2379*$N$1, IF(Gastos[[#This Row],[Divisa]]="EUR", I2379*$N$2, 0)))</f>
        <v>105671814.47160001</v>
      </c>
      <c r="K2379" s="54">
        <f>Gastos[[#This Row],[Importe AR$]]/$N$1</f>
        <v>67738.342610000007</v>
      </c>
      <c r="L2379">
        <v>67738.342606149337</v>
      </c>
      <c r="M2379" s="69"/>
      <c r="N2379" s="43" t="str">
        <f>IF(Gastos[[#This Row],[Fecha_Cheque]]&gt;0,WEEKNUM(Gastos[[#This Row],[Fecha_Cheque]]),MID(Gastos[[#This Row],[Semana]],6,2))</f>
        <v>44</v>
      </c>
      <c r="P2379" t="s">
        <v>7</v>
      </c>
    </row>
    <row r="2380" spans="1:16" hidden="1" x14ac:dyDescent="0.25">
      <c r="A2380" s="3" t="s">
        <v>147</v>
      </c>
      <c r="B2380" t="s">
        <v>1434</v>
      </c>
      <c r="C2380" s="17" t="s">
        <v>186</v>
      </c>
      <c r="D2380" t="s">
        <v>26</v>
      </c>
      <c r="E2380" t="s">
        <v>31</v>
      </c>
      <c r="F2380" s="23">
        <v>1</v>
      </c>
      <c r="G2380" s="46" t="s">
        <v>32</v>
      </c>
      <c r="H2380" s="46" t="s">
        <v>15</v>
      </c>
      <c r="I2380" s="17">
        <v>1515865</v>
      </c>
      <c r="J2380" s="17">
        <f>IF(Gastos[[#This Row],[Divisa]]="$", I2380*1, IF(Gastos[[#This Row],[Divisa]]="U$D", I2380*$N$1, IF(Gastos[[#This Row],[Divisa]]="EUR", I2380*$N$2, 0)))</f>
        <v>1515865</v>
      </c>
      <c r="K2380" s="54">
        <f>Gastos[[#This Row],[Importe AR$]]/$N$1</f>
        <v>971.70833333333337</v>
      </c>
      <c r="L2380" t="s">
        <v>1244</v>
      </c>
      <c r="M2380" s="69"/>
      <c r="N2380" s="43" t="str">
        <f>IF(Gastos[[#This Row],[Fecha_Cheque]]&gt;0,WEEKNUM(Gastos[[#This Row],[Fecha_Cheque]]),MID(Gastos[[#This Row],[Semana]],6,2))</f>
        <v>17</v>
      </c>
      <c r="O2380" t="s">
        <v>1435</v>
      </c>
      <c r="P2380" t="s">
        <v>27</v>
      </c>
    </row>
    <row r="2381" spans="1:16" hidden="1" x14ac:dyDescent="0.25">
      <c r="A2381" s="3" t="s">
        <v>2740</v>
      </c>
      <c r="B2381" t="s">
        <v>2954</v>
      </c>
      <c r="C2381" t="s">
        <v>2955</v>
      </c>
      <c r="D2381" t="s">
        <v>26</v>
      </c>
      <c r="E2381" t="s">
        <v>31</v>
      </c>
      <c r="F2381">
        <v>1</v>
      </c>
      <c r="G2381" s="3" t="s">
        <v>32</v>
      </c>
      <c r="H2381" s="44" t="s">
        <v>15</v>
      </c>
      <c r="I2381" s="17">
        <v>9804480</v>
      </c>
      <c r="J2381" s="17">
        <f>IF(Gastos[[#This Row],[Divisa]]="$", I2381*1, IF(Gastos[[#This Row],[Divisa]]="U$D", I2381*$N$1, IF(Gastos[[#This Row],[Divisa]]="EUR", I2381*$N$2, 0)))</f>
        <v>9804480</v>
      </c>
      <c r="K2381" s="54">
        <f>Gastos[[#This Row],[Importe AR$]]/$N$1</f>
        <v>6284.9230769230771</v>
      </c>
      <c r="M2381" s="69">
        <v>46148</v>
      </c>
      <c r="N2381" s="43">
        <f>IF(Gastos[[#This Row],[Fecha_Cheque]]&gt;0,WEEKNUM(Gastos[[#This Row],[Fecha_Cheque]]),MID(Gastos[[#This Row],[Semana]],6,2))</f>
        <v>19</v>
      </c>
      <c r="O2381" t="s">
        <v>2956</v>
      </c>
      <c r="P2381" t="s">
        <v>27</v>
      </c>
    </row>
    <row r="2382" spans="1:16" hidden="1" x14ac:dyDescent="0.25">
      <c r="A2382" s="3" t="s">
        <v>2740</v>
      </c>
      <c r="B2382" t="s">
        <v>2954</v>
      </c>
      <c r="C2382" t="s">
        <v>2955</v>
      </c>
      <c r="D2382" t="s">
        <v>26</v>
      </c>
      <c r="E2382" t="s">
        <v>31</v>
      </c>
      <c r="F2382">
        <v>1</v>
      </c>
      <c r="G2382" s="3" t="s">
        <v>32</v>
      </c>
      <c r="H2382" s="44" t="s">
        <v>15</v>
      </c>
      <c r="I2382" s="17">
        <v>195520</v>
      </c>
      <c r="J2382" s="17">
        <f>IF(Gastos[[#This Row],[Divisa]]="$", I2382*1, IF(Gastos[[#This Row],[Divisa]]="U$D", I2382*$N$1, IF(Gastos[[#This Row],[Divisa]]="EUR", I2382*$N$2, 0)))</f>
        <v>195520</v>
      </c>
      <c r="K2382" s="54">
        <f>Gastos[[#This Row],[Importe AR$]]/$N$1</f>
        <v>125.33333333333333</v>
      </c>
      <c r="L2382" t="s">
        <v>340</v>
      </c>
      <c r="M2382" s="69"/>
      <c r="N2382" s="43" t="str">
        <f>IF(Gastos[[#This Row],[Fecha_Cheque]]&gt;0,WEEKNUM(Gastos[[#This Row],[Fecha_Cheque]]),MID(Gastos[[#This Row],[Semana]],6,2))</f>
        <v>16</v>
      </c>
      <c r="O2382" t="s">
        <v>2956</v>
      </c>
      <c r="P2382" t="s">
        <v>27</v>
      </c>
    </row>
    <row r="2383" spans="1:16" hidden="1" x14ac:dyDescent="0.25">
      <c r="A2383" s="3" t="s">
        <v>93</v>
      </c>
      <c r="B2383" t="s">
        <v>1436</v>
      </c>
      <c r="C2383" t="s">
        <v>1437</v>
      </c>
      <c r="D2383" t="s">
        <v>26</v>
      </c>
      <c r="E2383" t="s">
        <v>31</v>
      </c>
      <c r="F2383">
        <v>1</v>
      </c>
      <c r="G2383" s="3" t="s">
        <v>32</v>
      </c>
      <c r="H2383" s="46" t="s">
        <v>15</v>
      </c>
      <c r="I2383" s="17">
        <v>509032.71</v>
      </c>
      <c r="J2383" s="17">
        <f>IF(Gastos[[#This Row],[Divisa]]="$", I2383*1, IF(Gastos[[#This Row],[Divisa]]="U$D", I2383*$N$1, IF(Gastos[[#This Row],[Divisa]]="EUR", I2383*$N$2, 0)))</f>
        <v>509032.71</v>
      </c>
      <c r="K2383" s="54">
        <f>Gastos[[#This Row],[Importe AR$]]/$N$1</f>
        <v>326.30301923076922</v>
      </c>
      <c r="M2383" s="69">
        <v>46001</v>
      </c>
      <c r="N2383" s="43">
        <f>IF(Gastos[[#This Row],[Fecha_Cheque]]&gt;0,WEEKNUM(Gastos[[#This Row],[Fecha_Cheque]]),MID(Gastos[[#This Row],[Semana]],6,2))</f>
        <v>50</v>
      </c>
      <c r="O2383" t="s">
        <v>1438</v>
      </c>
      <c r="P2383" t="s">
        <v>27</v>
      </c>
    </row>
    <row r="2384" spans="1:16" hidden="1" x14ac:dyDescent="0.25">
      <c r="A2384" s="3" t="s">
        <v>93</v>
      </c>
      <c r="B2384" t="s">
        <v>1436</v>
      </c>
      <c r="C2384" t="s">
        <v>1437</v>
      </c>
      <c r="D2384" t="s">
        <v>26</v>
      </c>
      <c r="E2384" t="s">
        <v>31</v>
      </c>
      <c r="F2384">
        <v>1</v>
      </c>
      <c r="G2384" s="3" t="s">
        <v>32</v>
      </c>
      <c r="H2384" s="46" t="s">
        <v>15</v>
      </c>
      <c r="I2384" s="17">
        <v>650000</v>
      </c>
      <c r="J2384" s="17">
        <f>IF(Gastos[[#This Row],[Divisa]]="$", I2384*1, IF(Gastos[[#This Row],[Divisa]]="U$D", I2384*$N$1, IF(Gastos[[#This Row],[Divisa]]="EUR", I2384*$N$2, 0)))</f>
        <v>650000</v>
      </c>
      <c r="K2384" s="54">
        <f>Gastos[[#This Row],[Importe AR$]]/$N$1</f>
        <v>416.66666666666669</v>
      </c>
      <c r="M2384" s="69">
        <v>46000</v>
      </c>
      <c r="N2384" s="43">
        <f>IF(Gastos[[#This Row],[Fecha_Cheque]]&gt;0,WEEKNUM(Gastos[[#This Row],[Fecha_Cheque]]),MID(Gastos[[#This Row],[Semana]],6,2))</f>
        <v>50</v>
      </c>
      <c r="O2384" t="s">
        <v>1438</v>
      </c>
      <c r="P2384" t="s">
        <v>27</v>
      </c>
    </row>
    <row r="2385" spans="1:16" hidden="1" x14ac:dyDescent="0.25">
      <c r="A2385" s="3" t="s">
        <v>93</v>
      </c>
      <c r="B2385" t="s">
        <v>1436</v>
      </c>
      <c r="C2385" t="s">
        <v>1437</v>
      </c>
      <c r="D2385" t="s">
        <v>26</v>
      </c>
      <c r="E2385" t="s">
        <v>31</v>
      </c>
      <c r="F2385">
        <v>1</v>
      </c>
      <c r="G2385" s="3" t="s">
        <v>32</v>
      </c>
      <c r="H2385" s="46" t="s">
        <v>15</v>
      </c>
      <c r="I2385" s="17">
        <v>2500000</v>
      </c>
      <c r="J2385" s="17">
        <f>IF(Gastos[[#This Row],[Divisa]]="$", I2385*1, IF(Gastos[[#This Row],[Divisa]]="U$D", I2385*$N$1, IF(Gastos[[#This Row],[Divisa]]="EUR", I2385*$N$2, 0)))</f>
        <v>2500000</v>
      </c>
      <c r="K2385" s="54">
        <f>Gastos[[#This Row],[Importe AR$]]/$N$1</f>
        <v>1602.5641025641025</v>
      </c>
      <c r="M2385" s="69">
        <v>46004</v>
      </c>
      <c r="N2385" s="43">
        <f>IF(Gastos[[#This Row],[Fecha_Cheque]]&gt;0,WEEKNUM(Gastos[[#This Row],[Fecha_Cheque]]),MID(Gastos[[#This Row],[Semana]],6,2))</f>
        <v>50</v>
      </c>
      <c r="O2385" t="s">
        <v>1438</v>
      </c>
      <c r="P2385" t="s">
        <v>27</v>
      </c>
    </row>
    <row r="2386" spans="1:16" hidden="1" x14ac:dyDescent="0.25">
      <c r="A2386" s="3" t="s">
        <v>93</v>
      </c>
      <c r="B2386" t="s">
        <v>1436</v>
      </c>
      <c r="C2386" t="s">
        <v>1439</v>
      </c>
      <c r="D2386" t="s">
        <v>26</v>
      </c>
      <c r="E2386" t="s">
        <v>42</v>
      </c>
      <c r="F2386">
        <v>1</v>
      </c>
      <c r="G2386" s="3" t="s">
        <v>4</v>
      </c>
      <c r="H2386" s="46" t="s">
        <v>15</v>
      </c>
      <c r="I2386" s="17">
        <v>24000</v>
      </c>
      <c r="J2386" s="17">
        <f>IF(Gastos[[#This Row],[Divisa]]="$", I2386*1, IF(Gastos[[#This Row],[Divisa]]="U$D", I2386*$N$1, IF(Gastos[[#This Row],[Divisa]]="EUR", I2386*$N$2, 0)))</f>
        <v>24000</v>
      </c>
      <c r="K2386" s="54">
        <f>Gastos[[#This Row],[Importe AR$]]/$N$1</f>
        <v>15.384615384615385</v>
      </c>
      <c r="M2386" s="69"/>
      <c r="N2386" s="43" t="str">
        <f>IF(Gastos[[#This Row],[Fecha_Cheque]]&gt;0,WEEKNUM(Gastos[[#This Row],[Fecha_Cheque]]),MID(Gastos[[#This Row],[Semana]],6,2))</f>
        <v>50</v>
      </c>
      <c r="O2386" t="s">
        <v>435</v>
      </c>
      <c r="P2386" t="s">
        <v>27</v>
      </c>
    </row>
    <row r="2387" spans="1:16" hidden="1" x14ac:dyDescent="0.25">
      <c r="A2387" s="3" t="s">
        <v>93</v>
      </c>
      <c r="B2387" t="s">
        <v>1436</v>
      </c>
      <c r="C2387" t="s">
        <v>1440</v>
      </c>
      <c r="D2387" t="s">
        <v>26</v>
      </c>
      <c r="E2387" t="s">
        <v>42</v>
      </c>
      <c r="F2387">
        <v>1</v>
      </c>
      <c r="G2387" s="3" t="s">
        <v>4</v>
      </c>
      <c r="H2387" s="46" t="s">
        <v>15</v>
      </c>
      <c r="I2387" s="17">
        <v>20000</v>
      </c>
      <c r="J2387" s="17">
        <f>IF(Gastos[[#This Row],[Divisa]]="$", I2387*1, IF(Gastos[[#This Row],[Divisa]]="U$D", I2387*$N$1, IF(Gastos[[#This Row],[Divisa]]="EUR", I2387*$N$2, 0)))</f>
        <v>20000</v>
      </c>
      <c r="K2387" s="54">
        <f>Gastos[[#This Row],[Importe AR$]]/$N$1</f>
        <v>12.820512820512821</v>
      </c>
      <c r="M2387" s="69"/>
      <c r="N2387" s="43" t="str">
        <f>IF(Gastos[[#This Row],[Fecha_Cheque]]&gt;0,WEEKNUM(Gastos[[#This Row],[Fecha_Cheque]]),MID(Gastos[[#This Row],[Semana]],6,2))</f>
        <v>50</v>
      </c>
      <c r="O2387" t="s">
        <v>1441</v>
      </c>
      <c r="P2387" t="s">
        <v>27</v>
      </c>
    </row>
    <row r="2388" spans="1:16" hidden="1" x14ac:dyDescent="0.25">
      <c r="A2388" s="3" t="s">
        <v>152</v>
      </c>
      <c r="B2388" t="s">
        <v>1436</v>
      </c>
      <c r="C2388" t="s">
        <v>1442</v>
      </c>
      <c r="D2388" t="s">
        <v>26</v>
      </c>
      <c r="E2388" t="s">
        <v>31</v>
      </c>
      <c r="F2388">
        <v>1</v>
      </c>
      <c r="G2388" s="3" t="s">
        <v>32</v>
      </c>
      <c r="H2388" s="46" t="s">
        <v>15</v>
      </c>
      <c r="I2388" s="17">
        <v>593044.12</v>
      </c>
      <c r="J2388" s="17">
        <f>IF(Gastos[[#This Row],[Divisa]]="$", I2388*1, IF(Gastos[[#This Row],[Divisa]]="U$D", I2388*$N$1, IF(Gastos[[#This Row],[Divisa]]="EUR", I2388*$N$2, 0)))</f>
        <v>593044.12</v>
      </c>
      <c r="K2388" s="54">
        <f>Gastos[[#This Row],[Importe AR$]]/$N$1</f>
        <v>380.15648717948716</v>
      </c>
      <c r="M2388" s="69">
        <v>46067</v>
      </c>
      <c r="N2388" s="43">
        <f>IF(Gastos[[#This Row],[Fecha_Cheque]]&gt;0,WEEKNUM(Gastos[[#This Row],[Fecha_Cheque]]),MID(Gastos[[#This Row],[Semana]],6,2))</f>
        <v>7</v>
      </c>
      <c r="O2388" t="s">
        <v>1443</v>
      </c>
      <c r="P2388" t="s">
        <v>27</v>
      </c>
    </row>
    <row r="2389" spans="1:16" hidden="1" x14ac:dyDescent="0.25">
      <c r="A2389" s="3" t="s">
        <v>152</v>
      </c>
      <c r="B2389" t="s">
        <v>1436</v>
      </c>
      <c r="C2389" t="s">
        <v>1442</v>
      </c>
      <c r="D2389" t="s">
        <v>26</v>
      </c>
      <c r="E2389" t="s">
        <v>31</v>
      </c>
      <c r="F2389">
        <v>1</v>
      </c>
      <c r="G2389" s="3" t="s">
        <v>32</v>
      </c>
      <c r="H2389" s="46" t="s">
        <v>15</v>
      </c>
      <c r="I2389" s="17">
        <v>672835.66</v>
      </c>
      <c r="J2389" s="17">
        <f>IF(Gastos[[#This Row],[Divisa]]="$", I2389*1, IF(Gastos[[#This Row],[Divisa]]="U$D", I2389*$N$1, IF(Gastos[[#This Row],[Divisa]]="EUR", I2389*$N$2, 0)))</f>
        <v>672835.66</v>
      </c>
      <c r="K2389" s="54">
        <f>Gastos[[#This Row],[Importe AR$]]/$N$1</f>
        <v>431.30491025641027</v>
      </c>
      <c r="M2389" s="69">
        <v>46070</v>
      </c>
      <c r="N2389" s="43">
        <f>IF(Gastos[[#This Row],[Fecha_Cheque]]&gt;0,WEEKNUM(Gastos[[#This Row],[Fecha_Cheque]]),MID(Gastos[[#This Row],[Semana]],6,2))</f>
        <v>8</v>
      </c>
      <c r="O2389" t="s">
        <v>1443</v>
      </c>
      <c r="P2389" t="s">
        <v>27</v>
      </c>
    </row>
    <row r="2390" spans="1:16" hidden="1" x14ac:dyDescent="0.25">
      <c r="A2390" s="3" t="s">
        <v>152</v>
      </c>
      <c r="B2390" t="s">
        <v>1436</v>
      </c>
      <c r="C2390" t="s">
        <v>1442</v>
      </c>
      <c r="D2390" t="s">
        <v>26</v>
      </c>
      <c r="E2390" t="s">
        <v>31</v>
      </c>
      <c r="F2390">
        <v>1</v>
      </c>
      <c r="G2390" s="3" t="s">
        <v>32</v>
      </c>
      <c r="H2390" s="46" t="s">
        <v>15</v>
      </c>
      <c r="I2390" s="17">
        <v>672835.66</v>
      </c>
      <c r="J2390" s="17">
        <f>IF(Gastos[[#This Row],[Divisa]]="$", I2390*1, IF(Gastos[[#This Row],[Divisa]]="U$D", I2390*$N$1, IF(Gastos[[#This Row],[Divisa]]="EUR", I2390*$N$2, 0)))</f>
        <v>672835.66</v>
      </c>
      <c r="K2390" s="54">
        <f>Gastos[[#This Row],[Importe AR$]]/$N$1</f>
        <v>431.30491025641027</v>
      </c>
      <c r="M2390" s="69">
        <v>46073</v>
      </c>
      <c r="N2390" s="43">
        <f>IF(Gastos[[#This Row],[Fecha_Cheque]]&gt;0,WEEKNUM(Gastos[[#This Row],[Fecha_Cheque]]),MID(Gastos[[#This Row],[Semana]],6,2))</f>
        <v>8</v>
      </c>
      <c r="O2390" t="s">
        <v>1443</v>
      </c>
      <c r="P2390" t="s">
        <v>27</v>
      </c>
    </row>
    <row r="2391" spans="1:16" hidden="1" x14ac:dyDescent="0.25">
      <c r="A2391" s="3" t="s">
        <v>139</v>
      </c>
      <c r="B2391" t="s">
        <v>1436</v>
      </c>
      <c r="C2391" t="s">
        <v>155</v>
      </c>
      <c r="D2391" t="s">
        <v>26</v>
      </c>
      <c r="E2391" t="s">
        <v>31</v>
      </c>
      <c r="F2391">
        <v>1</v>
      </c>
      <c r="G2391" s="3" t="s">
        <v>32</v>
      </c>
      <c r="H2391" s="46" t="s">
        <v>15</v>
      </c>
      <c r="I2391" s="17">
        <v>2679260</v>
      </c>
      <c r="J2391" s="17">
        <f>IF(Gastos[[#This Row],[Divisa]]="$", I2391*1, IF(Gastos[[#This Row],[Divisa]]="U$D", I2391*$N$1, IF(Gastos[[#This Row],[Divisa]]="EUR", I2391*$N$2, 0)))</f>
        <v>2679260</v>
      </c>
      <c r="K2391" s="54">
        <f>Gastos[[#This Row],[Importe AR$]]/$N$1</f>
        <v>1717.4743589743589</v>
      </c>
      <c r="M2391" s="69">
        <v>46092</v>
      </c>
      <c r="N2391" s="43">
        <f>IF(Gastos[[#This Row],[Fecha_Cheque]]&gt;0,WEEKNUM(Gastos[[#This Row],[Fecha_Cheque]]),MID(Gastos[[#This Row],[Semana]],6,2))</f>
        <v>11</v>
      </c>
      <c r="O2391" t="s">
        <v>1444</v>
      </c>
      <c r="P2391" t="s">
        <v>27</v>
      </c>
    </row>
    <row r="2392" spans="1:16" hidden="1" x14ac:dyDescent="0.25">
      <c r="A2392" s="3" t="s">
        <v>139</v>
      </c>
      <c r="B2392" t="s">
        <v>1436</v>
      </c>
      <c r="C2392" t="s">
        <v>155</v>
      </c>
      <c r="D2392" t="s">
        <v>26</v>
      </c>
      <c r="E2392" t="s">
        <v>31</v>
      </c>
      <c r="F2392">
        <v>1</v>
      </c>
      <c r="G2392" s="3" t="s">
        <v>5</v>
      </c>
      <c r="H2392" s="46" t="s">
        <v>15</v>
      </c>
      <c r="I2392" s="17">
        <v>2679260</v>
      </c>
      <c r="J2392" s="17">
        <f>IF(Gastos[[#This Row],[Divisa]]="$", I2392*1, IF(Gastos[[#This Row],[Divisa]]="U$D", I2392*$N$1, IF(Gastos[[#This Row],[Divisa]]="EUR", I2392*$N$2, 0)))</f>
        <v>2679260</v>
      </c>
      <c r="K2392" s="54">
        <f>Gastos[[#This Row],[Importe AR$]]/$N$1</f>
        <v>1717.4743589743589</v>
      </c>
      <c r="M2392" s="69">
        <v>46094</v>
      </c>
      <c r="N2392" s="43">
        <f>IF(Gastos[[#This Row],[Fecha_Cheque]]&gt;0,WEEKNUM(Gastos[[#This Row],[Fecha_Cheque]]),MID(Gastos[[#This Row],[Semana]],6,2))</f>
        <v>11</v>
      </c>
      <c r="O2392" t="s">
        <v>1444</v>
      </c>
      <c r="P2392" t="s">
        <v>27</v>
      </c>
    </row>
    <row r="2393" spans="1:16" hidden="1" x14ac:dyDescent="0.25">
      <c r="A2393" s="3" t="s">
        <v>397</v>
      </c>
      <c r="B2393" t="s">
        <v>1436</v>
      </c>
      <c r="C2393" t="s">
        <v>155</v>
      </c>
      <c r="D2393" t="s">
        <v>26</v>
      </c>
      <c r="E2393" t="s">
        <v>31</v>
      </c>
      <c r="F2393">
        <v>1</v>
      </c>
      <c r="G2393" s="3" t="s">
        <v>5</v>
      </c>
      <c r="H2393" s="44" t="s">
        <v>15</v>
      </c>
      <c r="I2393" s="17">
        <v>14448000</v>
      </c>
      <c r="J2393" s="17">
        <f>IF(Gastos[[#This Row],[Divisa]]="$", I2393*1, IF(Gastos[[#This Row],[Divisa]]="U$D", I2393*$N$1, IF(Gastos[[#This Row],[Divisa]]="EUR", I2393*$N$2, 0)))</f>
        <v>14448000</v>
      </c>
      <c r="K2393" s="54">
        <f>Gastos[[#This Row],[Importe AR$]]/$N$1</f>
        <v>9261.538461538461</v>
      </c>
      <c r="M2393" s="69"/>
      <c r="N2393" s="43" t="str">
        <f>IF(Gastos[[#This Row],[Fecha_Cheque]]&gt;0,WEEKNUM(Gastos[[#This Row],[Fecha_Cheque]]),MID(Gastos[[#This Row],[Semana]],6,2))</f>
        <v>11</v>
      </c>
      <c r="O2393" t="s">
        <v>2274</v>
      </c>
      <c r="P2393" t="s">
        <v>27</v>
      </c>
    </row>
    <row r="2394" spans="1:16" hidden="1" x14ac:dyDescent="0.25">
      <c r="A2394" s="3" t="s">
        <v>397</v>
      </c>
      <c r="B2394" t="s">
        <v>1436</v>
      </c>
      <c r="C2394" t="s">
        <v>2375</v>
      </c>
      <c r="D2394" t="s">
        <v>26</v>
      </c>
      <c r="E2394" t="s">
        <v>31</v>
      </c>
      <c r="F2394">
        <v>1</v>
      </c>
      <c r="G2394" s="3" t="s">
        <v>32</v>
      </c>
      <c r="H2394" s="44" t="s">
        <v>15</v>
      </c>
      <c r="I2394" s="17">
        <v>7136533.6100000003</v>
      </c>
      <c r="J2394" s="17">
        <f>IF(Gastos[[#This Row],[Divisa]]="$", I2394*1, IF(Gastos[[#This Row],[Divisa]]="U$D", I2394*$N$1, IF(Gastos[[#This Row],[Divisa]]="EUR", I2394*$N$2, 0)))</f>
        <v>7136533.6100000003</v>
      </c>
      <c r="K2394" s="54">
        <f>Gastos[[#This Row],[Importe AR$]]/$N$1</f>
        <v>4574.7010320512827</v>
      </c>
      <c r="M2394" s="69">
        <v>46081</v>
      </c>
      <c r="N2394" s="43">
        <f>IF(Gastos[[#This Row],[Fecha_Cheque]]&gt;0,WEEKNUM(Gastos[[#This Row],[Fecha_Cheque]]),MID(Gastos[[#This Row],[Semana]],6,2))</f>
        <v>9</v>
      </c>
      <c r="O2394" t="s">
        <v>2376</v>
      </c>
      <c r="P2394" t="s">
        <v>27</v>
      </c>
    </row>
    <row r="2395" spans="1:16" hidden="1" x14ac:dyDescent="0.25">
      <c r="A2395" s="3" t="s">
        <v>39</v>
      </c>
      <c r="B2395" t="s">
        <v>1436</v>
      </c>
      <c r="C2395" t="s">
        <v>2331</v>
      </c>
      <c r="D2395" t="s">
        <v>26</v>
      </c>
      <c r="E2395" t="s">
        <v>31</v>
      </c>
      <c r="F2395">
        <v>1</v>
      </c>
      <c r="G2395" s="3" t="s">
        <v>32</v>
      </c>
      <c r="H2395" s="46" t="s">
        <v>15</v>
      </c>
      <c r="I2395" s="17">
        <v>4404623.6500000004</v>
      </c>
      <c r="J2395" s="17">
        <f>IF(Gastos[[#This Row],[Divisa]]="$", I2395*1, IF(Gastos[[#This Row],[Divisa]]="U$D", I2395*$N$1, IF(Gastos[[#This Row],[Divisa]]="EUR", I2395*$N$2, 0)))</f>
        <v>4404623.6500000004</v>
      </c>
      <c r="K2395" s="54">
        <f>Gastos[[#This Row],[Importe AR$]]/$N$1</f>
        <v>2823.4766987179491</v>
      </c>
      <c r="M2395" s="69">
        <v>46132</v>
      </c>
      <c r="N2395" s="43">
        <f>IF(Gastos[[#This Row],[Fecha_Cheque]]&gt;0,WEEKNUM(Gastos[[#This Row],[Fecha_Cheque]]),MID(Gastos[[#This Row],[Semana]],6,2))</f>
        <v>17</v>
      </c>
      <c r="O2395" t="s">
        <v>2638</v>
      </c>
      <c r="P2395" t="s">
        <v>27</v>
      </c>
    </row>
    <row r="2396" spans="1:16" hidden="1" x14ac:dyDescent="0.25">
      <c r="A2396" s="3" t="s">
        <v>39</v>
      </c>
      <c r="B2396" t="s">
        <v>1436</v>
      </c>
      <c r="C2396" t="s">
        <v>2331</v>
      </c>
      <c r="D2396" t="s">
        <v>26</v>
      </c>
      <c r="E2396" t="s">
        <v>31</v>
      </c>
      <c r="F2396">
        <v>1</v>
      </c>
      <c r="G2396" s="3" t="s">
        <v>32</v>
      </c>
      <c r="H2396" s="46" t="s">
        <v>15</v>
      </c>
      <c r="I2396" s="17">
        <v>97376.35</v>
      </c>
      <c r="J2396" s="17">
        <f>IF(Gastos[[#This Row],[Divisa]]="$", I2396*1, IF(Gastos[[#This Row],[Divisa]]="U$D", I2396*$N$1, IF(Gastos[[#This Row],[Divisa]]="EUR", I2396*$N$2, 0)))</f>
        <v>97376.35</v>
      </c>
      <c r="K2396" s="54">
        <f>Gastos[[#This Row],[Importe AR$]]/$N$1</f>
        <v>62.420737179487183</v>
      </c>
      <c r="L2396" t="s">
        <v>340</v>
      </c>
      <c r="M2396" s="69"/>
      <c r="N2396" s="43" t="str">
        <f>IF(Gastos[[#This Row],[Fecha_Cheque]]&gt;0,WEEKNUM(Gastos[[#This Row],[Fecha_Cheque]]),MID(Gastos[[#This Row],[Semana]],6,2))</f>
        <v>14</v>
      </c>
      <c r="O2396" t="s">
        <v>2638</v>
      </c>
      <c r="P2396" t="s">
        <v>27</v>
      </c>
    </row>
    <row r="2397" spans="1:16" hidden="1" x14ac:dyDescent="0.25">
      <c r="A2397" s="3" t="s">
        <v>4074</v>
      </c>
      <c r="B2397" t="s">
        <v>1436</v>
      </c>
      <c r="C2397" t="s">
        <v>1747</v>
      </c>
      <c r="D2397" t="s">
        <v>26</v>
      </c>
      <c r="E2397" t="s">
        <v>31</v>
      </c>
      <c r="F2397">
        <v>1</v>
      </c>
      <c r="G2397" s="3" t="s">
        <v>5</v>
      </c>
      <c r="H2397" s="44" t="s">
        <v>15</v>
      </c>
      <c r="I2397" s="17">
        <v>5000000</v>
      </c>
      <c r="J2397" s="17">
        <f>IF(Gastos[[#This Row],[Divisa]]="$", I2397*1, IF(Gastos[[#This Row],[Divisa]]="U$D", I2397*$N$1, IF(Gastos[[#This Row],[Divisa]]="EUR", I2397*$N$2, 0)))</f>
        <v>5000000</v>
      </c>
      <c r="K2397" s="54">
        <f>Gastos[[#This Row],[Importe AR$]]/$N$1</f>
        <v>3205.1282051282051</v>
      </c>
      <c r="M2397" s="69"/>
      <c r="N2397" s="43" t="str">
        <f>IF(Gastos[[#This Row],[Fecha_Cheque]]&gt;0,WEEKNUM(Gastos[[#This Row],[Fecha_Cheque]]),MID(Gastos[[#This Row],[Semana]],6,2))</f>
        <v>34</v>
      </c>
      <c r="O2397" t="s">
        <v>4099</v>
      </c>
      <c r="P2397" t="s">
        <v>27</v>
      </c>
    </row>
    <row r="2398" spans="1:16" hidden="1" x14ac:dyDescent="0.25">
      <c r="A2398" s="3" t="s">
        <v>4569</v>
      </c>
      <c r="B2398" t="s">
        <v>1436</v>
      </c>
      <c r="C2398" t="s">
        <v>1747</v>
      </c>
      <c r="D2398" t="s">
        <v>26</v>
      </c>
      <c r="E2398" t="s">
        <v>31</v>
      </c>
      <c r="F2398">
        <v>1</v>
      </c>
      <c r="G2398" s="3" t="s">
        <v>5</v>
      </c>
      <c r="H2398" s="44" t="s">
        <v>15</v>
      </c>
      <c r="I2398" s="17">
        <v>6000000</v>
      </c>
      <c r="J2398" s="17">
        <f>IF(Gastos[[#This Row],[Divisa]]="$", I2398*1, IF(Gastos[[#This Row],[Divisa]]="U$D", I2398*$N$1, IF(Gastos[[#This Row],[Divisa]]="EUR", I2398*$N$2, 0)))</f>
        <v>6000000</v>
      </c>
      <c r="K2398" s="54">
        <f>Gastos[[#This Row],[Importe AR$]]/$N$1</f>
        <v>3846.1538461538462</v>
      </c>
      <c r="L2398" t="s">
        <v>4631</v>
      </c>
      <c r="M2398" s="69"/>
      <c r="N2398" s="43" t="str">
        <f>IF(Gastos[[#This Row],[Fecha_Cheque]]&gt;0,WEEKNUM(Gastos[[#This Row],[Fecha_Cheque]]),MID(Gastos[[#This Row],[Semana]],6,2))</f>
        <v>43</v>
      </c>
      <c r="O2398" t="s">
        <v>4630</v>
      </c>
      <c r="P2398" t="s">
        <v>27</v>
      </c>
    </row>
    <row r="2399" spans="1:16" hidden="1" x14ac:dyDescent="0.25">
      <c r="A2399" s="3" t="s">
        <v>2841</v>
      </c>
      <c r="B2399" t="s">
        <v>3353</v>
      </c>
      <c r="C2399" t="s">
        <v>3354</v>
      </c>
      <c r="D2399" t="s">
        <v>26</v>
      </c>
      <c r="E2399" t="s">
        <v>31</v>
      </c>
      <c r="F2399">
        <v>1</v>
      </c>
      <c r="G2399" s="3" t="s">
        <v>32</v>
      </c>
      <c r="H2399" s="44" t="s">
        <v>15</v>
      </c>
      <c r="I2399" s="17">
        <v>2994685.84</v>
      </c>
      <c r="J2399" s="17">
        <f>IF(Gastos[[#This Row],[Divisa]]="$", I2399*1, IF(Gastos[[#This Row],[Divisa]]="U$D", I2399*$N$1, IF(Gastos[[#This Row],[Divisa]]="EUR", I2399*$N$2, 0)))</f>
        <v>2994685.84</v>
      </c>
      <c r="K2399" s="54">
        <f>Gastos[[#This Row],[Importe AR$]]/$N$1</f>
        <v>1919.6704102564102</v>
      </c>
      <c r="M2399" s="69">
        <v>46202</v>
      </c>
      <c r="N2399" s="43">
        <f>IF(Gastos[[#This Row],[Fecha_Cheque]]&gt;0,WEEKNUM(Gastos[[#This Row],[Fecha_Cheque]]),MID(Gastos[[#This Row],[Semana]],6,2))</f>
        <v>27</v>
      </c>
      <c r="O2399" t="s">
        <v>3355</v>
      </c>
      <c r="P2399" t="s">
        <v>27</v>
      </c>
    </row>
    <row r="2400" spans="1:16" hidden="1" x14ac:dyDescent="0.25">
      <c r="A2400" s="3" t="s">
        <v>2841</v>
      </c>
      <c r="B2400" t="s">
        <v>3353</v>
      </c>
      <c r="C2400" t="s">
        <v>3354</v>
      </c>
      <c r="D2400" t="s">
        <v>26</v>
      </c>
      <c r="E2400" t="s">
        <v>31</v>
      </c>
      <c r="F2400">
        <v>1</v>
      </c>
      <c r="G2400" s="3" t="s">
        <v>32</v>
      </c>
      <c r="H2400" s="44" t="s">
        <v>15</v>
      </c>
      <c r="I2400" s="17">
        <v>68714.16</v>
      </c>
      <c r="J2400" s="17">
        <f>IF(Gastos[[#This Row],[Divisa]]="$", I2400*1, IF(Gastos[[#This Row],[Divisa]]="U$D", I2400*$N$1, IF(Gastos[[#This Row],[Divisa]]="EUR", I2400*$N$2, 0)))</f>
        <v>68714.16</v>
      </c>
      <c r="K2400" s="54">
        <f>Gastos[[#This Row],[Importe AR$]]/$N$1</f>
        <v>44.047538461538466</v>
      </c>
      <c r="L2400" t="s">
        <v>340</v>
      </c>
      <c r="M2400" s="69"/>
      <c r="N2400" s="43" t="str">
        <f>IF(Gastos[[#This Row],[Fecha_Cheque]]&gt;0,WEEKNUM(Gastos[[#This Row],[Fecha_Cheque]]),MID(Gastos[[#This Row],[Semana]],6,2))</f>
        <v>22</v>
      </c>
      <c r="O2400" t="s">
        <v>3355</v>
      </c>
      <c r="P2400" t="s">
        <v>27</v>
      </c>
    </row>
    <row r="2401" spans="1:16" hidden="1" x14ac:dyDescent="0.25">
      <c r="A2401" s="3" t="s">
        <v>4322</v>
      </c>
      <c r="B2401" t="s">
        <v>3353</v>
      </c>
      <c r="C2401" t="s">
        <v>4325</v>
      </c>
      <c r="D2401" t="s">
        <v>26</v>
      </c>
      <c r="E2401" t="s">
        <v>42</v>
      </c>
      <c r="F2401">
        <v>1</v>
      </c>
      <c r="G2401" s="3" t="s">
        <v>4</v>
      </c>
      <c r="H2401" s="44" t="s">
        <v>15</v>
      </c>
      <c r="I2401" s="17">
        <v>190000.06</v>
      </c>
      <c r="J2401" s="17">
        <f>IF(Gastos[[#This Row],[Divisa]]="$", I2401*1, IF(Gastos[[#This Row],[Divisa]]="U$D", I2401*$N$1, IF(Gastos[[#This Row],[Divisa]]="EUR", I2401*$N$2, 0)))</f>
        <v>190000.06</v>
      </c>
      <c r="K2401" s="54">
        <f>Gastos[[#This Row],[Importe AR$]]/$N$1</f>
        <v>121.79491025641026</v>
      </c>
      <c r="M2401" s="69"/>
      <c r="N2401" s="43" t="str">
        <f>IF(Gastos[[#This Row],[Fecha_Cheque]]&gt;0,WEEKNUM(Gastos[[#This Row],[Fecha_Cheque]]),MID(Gastos[[#This Row],[Semana]],6,2))</f>
        <v>38</v>
      </c>
      <c r="O2401" t="s">
        <v>4326</v>
      </c>
      <c r="P2401" t="s">
        <v>27</v>
      </c>
    </row>
    <row r="2402" spans="1:16" hidden="1" x14ac:dyDescent="0.25">
      <c r="A2402" s="3" t="s">
        <v>4374</v>
      </c>
      <c r="B2402" t="s">
        <v>3353</v>
      </c>
      <c r="C2402" t="s">
        <v>3979</v>
      </c>
      <c r="D2402" t="s">
        <v>26</v>
      </c>
      <c r="E2402" t="s">
        <v>31</v>
      </c>
      <c r="F2402">
        <v>1</v>
      </c>
      <c r="G2402" s="3" t="s">
        <v>5</v>
      </c>
      <c r="H2402" s="44" t="s">
        <v>15</v>
      </c>
      <c r="I2402" s="17">
        <v>2285149.4300000002</v>
      </c>
      <c r="J2402" s="17">
        <f>IF(Gastos[[#This Row],[Divisa]]="$", I2402*1, IF(Gastos[[#This Row],[Divisa]]="U$D", I2402*$N$1, IF(Gastos[[#This Row],[Divisa]]="EUR", I2402*$N$2, 0)))</f>
        <v>2285149.4300000002</v>
      </c>
      <c r="K2402" s="54">
        <f>Gastos[[#This Row],[Importe AR$]]/$N$1</f>
        <v>1464.8393782051282</v>
      </c>
      <c r="M2402" s="69"/>
      <c r="N2402" s="43" t="str">
        <f>IF(Gastos[[#This Row],[Fecha_Cheque]]&gt;0,WEEKNUM(Gastos[[#This Row],[Fecha_Cheque]]),MID(Gastos[[#This Row],[Semana]],6,2))</f>
        <v>39</v>
      </c>
      <c r="O2402" t="s">
        <v>4389</v>
      </c>
      <c r="P2402" t="s">
        <v>27</v>
      </c>
    </row>
    <row r="2403" spans="1:16" hidden="1" x14ac:dyDescent="0.25">
      <c r="A2403" s="3" t="s">
        <v>4374</v>
      </c>
      <c r="B2403" t="s">
        <v>3353</v>
      </c>
      <c r="C2403" t="s">
        <v>3979</v>
      </c>
      <c r="D2403" t="s">
        <v>26</v>
      </c>
      <c r="E2403" t="s">
        <v>31</v>
      </c>
      <c r="F2403">
        <v>1</v>
      </c>
      <c r="G2403" s="3" t="s">
        <v>5</v>
      </c>
      <c r="H2403" s="44" t="s">
        <v>15</v>
      </c>
      <c r="I2403" s="17">
        <v>33850.58</v>
      </c>
      <c r="J2403" s="17">
        <f>IF(Gastos[[#This Row],[Divisa]]="$", I2403*1, IF(Gastos[[#This Row],[Divisa]]="U$D", I2403*$N$1, IF(Gastos[[#This Row],[Divisa]]="EUR", I2403*$N$2, 0)))</f>
        <v>33850.58</v>
      </c>
      <c r="K2403" s="54">
        <f>Gastos[[#This Row],[Importe AR$]]/$N$1</f>
        <v>21.699089743589745</v>
      </c>
      <c r="M2403" s="69"/>
      <c r="N2403" s="43" t="str">
        <f>IF(Gastos[[#This Row],[Fecha_Cheque]]&gt;0,WEEKNUM(Gastos[[#This Row],[Fecha_Cheque]]),MID(Gastos[[#This Row],[Semana]],6,2))</f>
        <v>39</v>
      </c>
      <c r="O2403" t="s">
        <v>4389</v>
      </c>
      <c r="P2403" t="s">
        <v>27</v>
      </c>
    </row>
    <row r="2404" spans="1:16" hidden="1" x14ac:dyDescent="0.25">
      <c r="A2404" s="3" t="s">
        <v>2726</v>
      </c>
      <c r="B2404" t="s">
        <v>3358</v>
      </c>
      <c r="C2404" t="s">
        <v>3359</v>
      </c>
      <c r="D2404" t="s">
        <v>26</v>
      </c>
      <c r="E2404" t="s">
        <v>31</v>
      </c>
      <c r="F2404">
        <v>1</v>
      </c>
      <c r="G2404" s="3" t="s">
        <v>32</v>
      </c>
      <c r="H2404" s="44" t="s">
        <v>15</v>
      </c>
      <c r="I2404" s="17">
        <v>4651640</v>
      </c>
      <c r="J2404" s="17">
        <f>IF(Gastos[[#This Row],[Divisa]]="$", I2404*1, IF(Gastos[[#This Row],[Divisa]]="U$D", I2404*$N$1, IF(Gastos[[#This Row],[Divisa]]="EUR", I2404*$N$2, 0)))</f>
        <v>4651640</v>
      </c>
      <c r="K2404" s="54">
        <f>Gastos[[#This Row],[Importe AR$]]/$N$1</f>
        <v>2981.8205128205127</v>
      </c>
      <c r="M2404" s="69">
        <v>46202</v>
      </c>
      <c r="N2404" s="43">
        <f>IF(Gastos[[#This Row],[Fecha_Cheque]]&gt;0,WEEKNUM(Gastos[[#This Row],[Fecha_Cheque]]),MID(Gastos[[#This Row],[Semana]],6,2))</f>
        <v>27</v>
      </c>
      <c r="O2404" t="s">
        <v>3360</v>
      </c>
      <c r="P2404" t="s">
        <v>27</v>
      </c>
    </row>
    <row r="2405" spans="1:16" hidden="1" x14ac:dyDescent="0.25">
      <c r="A2405" s="3" t="s">
        <v>2726</v>
      </c>
      <c r="B2405" t="s">
        <v>3358</v>
      </c>
      <c r="C2405" t="s">
        <v>3359</v>
      </c>
      <c r="D2405" t="s">
        <v>26</v>
      </c>
      <c r="E2405" t="s">
        <v>31</v>
      </c>
      <c r="F2405">
        <v>1</v>
      </c>
      <c r="G2405" s="3" t="s">
        <v>32</v>
      </c>
      <c r="H2405" s="44" t="s">
        <v>15</v>
      </c>
      <c r="I2405" s="17">
        <v>90360</v>
      </c>
      <c r="J2405" s="17">
        <f>IF(Gastos[[#This Row],[Divisa]]="$", I2405*1, IF(Gastos[[#This Row],[Divisa]]="U$D", I2405*$N$1, IF(Gastos[[#This Row],[Divisa]]="EUR", I2405*$N$2, 0)))</f>
        <v>90360</v>
      </c>
      <c r="K2405" s="54">
        <f>Gastos[[#This Row],[Importe AR$]]/$N$1</f>
        <v>57.92307692307692</v>
      </c>
      <c r="M2405" s="69"/>
      <c r="N2405" s="43" t="s">
        <v>3370</v>
      </c>
      <c r="O2405" t="s">
        <v>3360</v>
      </c>
      <c r="P2405" t="s">
        <v>27</v>
      </c>
    </row>
    <row r="2406" spans="1:16" hidden="1" x14ac:dyDescent="0.25">
      <c r="A2406" s="3" t="s">
        <v>3439</v>
      </c>
      <c r="B2406" t="s">
        <v>3358</v>
      </c>
      <c r="C2406" t="s">
        <v>3514</v>
      </c>
      <c r="D2406" t="s">
        <v>26</v>
      </c>
      <c r="E2406" t="s">
        <v>31</v>
      </c>
      <c r="F2406">
        <v>1</v>
      </c>
      <c r="G2406" s="3" t="s">
        <v>32</v>
      </c>
      <c r="H2406" s="44" t="s">
        <v>15</v>
      </c>
      <c r="I2406" s="17">
        <v>6970740</v>
      </c>
      <c r="J2406" s="17">
        <f>IF(Gastos[[#This Row],[Divisa]]="$", I2406*1, IF(Gastos[[#This Row],[Divisa]]="U$D", I2406*$N$1, IF(Gastos[[#This Row],[Divisa]]="EUR", I2406*$N$2, 0)))</f>
        <v>6970740</v>
      </c>
      <c r="K2406" s="54">
        <f>Gastos[[#This Row],[Importe AR$]]/$N$1</f>
        <v>4468.4230769230771</v>
      </c>
      <c r="M2406" s="69">
        <v>46203</v>
      </c>
      <c r="N2406" s="43">
        <f>IF(Gastos[[#This Row],[Fecha_Cheque]]&gt;0,WEEKNUM(Gastos[[#This Row],[Fecha_Cheque]]),MID(Gastos[[#This Row],[Semana]],6,2))</f>
        <v>27</v>
      </c>
      <c r="O2406" t="s">
        <v>3515</v>
      </c>
      <c r="P2406" t="s">
        <v>27</v>
      </c>
    </row>
    <row r="2407" spans="1:16" hidden="1" x14ac:dyDescent="0.25">
      <c r="A2407" s="3" t="s">
        <v>3439</v>
      </c>
      <c r="B2407" t="s">
        <v>3358</v>
      </c>
      <c r="C2407" t="s">
        <v>3514</v>
      </c>
      <c r="D2407" t="s">
        <v>26</v>
      </c>
      <c r="E2407" t="s">
        <v>31</v>
      </c>
      <c r="F2407">
        <v>1</v>
      </c>
      <c r="G2407" s="3" t="s">
        <v>32</v>
      </c>
      <c r="H2407" s="44" t="s">
        <v>15</v>
      </c>
      <c r="I2407" s="17">
        <v>142260</v>
      </c>
      <c r="J2407" s="17">
        <f>IF(Gastos[[#This Row],[Divisa]]="$", I2407*1, IF(Gastos[[#This Row],[Divisa]]="U$D", I2407*$N$1, IF(Gastos[[#This Row],[Divisa]]="EUR", I2407*$N$2, 0)))</f>
        <v>142260</v>
      </c>
      <c r="K2407" s="54">
        <f>Gastos[[#This Row],[Importe AR$]]/$N$1</f>
        <v>91.192307692307693</v>
      </c>
      <c r="L2407" t="s">
        <v>340</v>
      </c>
      <c r="M2407" s="69"/>
      <c r="N2407" s="43" t="str">
        <f>IF(Gastos[[#This Row],[Fecha_Cheque]]&gt;0,WEEKNUM(Gastos[[#This Row],[Fecha_Cheque]]),MID(Gastos[[#This Row],[Semana]],6,2))</f>
        <v>25</v>
      </c>
      <c r="O2407" t="s">
        <v>3515</v>
      </c>
      <c r="P2407" t="s">
        <v>27</v>
      </c>
    </row>
    <row r="2408" spans="1:16" hidden="1" x14ac:dyDescent="0.25">
      <c r="A2408" s="3" t="s">
        <v>3617</v>
      </c>
      <c r="B2408" t="s">
        <v>3358</v>
      </c>
      <c r="C2408" t="s">
        <v>3644</v>
      </c>
      <c r="D2408" t="s">
        <v>26</v>
      </c>
      <c r="E2408" t="s">
        <v>31</v>
      </c>
      <c r="F2408">
        <v>1</v>
      </c>
      <c r="G2408" s="3" t="s">
        <v>5</v>
      </c>
      <c r="H2408" s="44" t="s">
        <v>15</v>
      </c>
      <c r="I2408" s="17">
        <v>93032.8</v>
      </c>
      <c r="J2408" s="17">
        <f>IF(Gastos[[#This Row],[Divisa]]="$", I2408*1, IF(Gastos[[#This Row],[Divisa]]="U$D", I2408*$N$1, IF(Gastos[[#This Row],[Divisa]]="EUR", I2408*$N$2, 0)))</f>
        <v>93032.8</v>
      </c>
      <c r="K2408" s="54">
        <f>Gastos[[#This Row],[Importe AR$]]/$N$1</f>
        <v>59.636410256410258</v>
      </c>
      <c r="M2408" s="69"/>
      <c r="N2408" s="43" t="str">
        <f>IF(Gastos[[#This Row],[Fecha_Cheque]]&gt;0,WEEKNUM(Gastos[[#This Row],[Fecha_Cheque]]),MID(Gastos[[#This Row],[Semana]],6,2))</f>
        <v>27</v>
      </c>
      <c r="O2408" t="s">
        <v>3648</v>
      </c>
      <c r="P2408" t="s">
        <v>27</v>
      </c>
    </row>
    <row r="2409" spans="1:16" hidden="1" x14ac:dyDescent="0.25">
      <c r="A2409" s="3" t="s">
        <v>3617</v>
      </c>
      <c r="B2409" t="s">
        <v>3358</v>
      </c>
      <c r="C2409" t="s">
        <v>3644</v>
      </c>
      <c r="D2409" t="s">
        <v>26</v>
      </c>
      <c r="E2409" t="s">
        <v>31</v>
      </c>
      <c r="F2409">
        <v>1</v>
      </c>
      <c r="G2409" s="3" t="s">
        <v>5</v>
      </c>
      <c r="H2409" s="44" t="s">
        <v>15</v>
      </c>
      <c r="I2409" s="17">
        <v>4651640</v>
      </c>
      <c r="J2409" s="17">
        <f>IF(Gastos[[#This Row],[Divisa]]="$", I2409*1, IF(Gastos[[#This Row],[Divisa]]="U$D", I2409*$N$1, IF(Gastos[[#This Row],[Divisa]]="EUR", I2409*$N$2, 0)))</f>
        <v>4651640</v>
      </c>
      <c r="K2409" s="54">
        <f>Gastos[[#This Row],[Importe AR$]]/$N$1</f>
        <v>2981.8205128205127</v>
      </c>
      <c r="M2409" s="69"/>
      <c r="N2409" s="43" t="str">
        <f>IF(Gastos[[#This Row],[Fecha_Cheque]]&gt;0,WEEKNUM(Gastos[[#This Row],[Fecha_Cheque]]),MID(Gastos[[#This Row],[Semana]],6,2))</f>
        <v>27</v>
      </c>
      <c r="O2409" t="s">
        <v>3655</v>
      </c>
      <c r="P2409" t="s">
        <v>27</v>
      </c>
    </row>
    <row r="2410" spans="1:16" hidden="1" x14ac:dyDescent="0.25">
      <c r="A2410" s="3" t="s">
        <v>3617</v>
      </c>
      <c r="B2410" t="s">
        <v>3358</v>
      </c>
      <c r="D2410" t="s">
        <v>26</v>
      </c>
      <c r="E2410" t="s">
        <v>31</v>
      </c>
      <c r="F2410">
        <v>1</v>
      </c>
      <c r="G2410" s="3" t="s">
        <v>32</v>
      </c>
      <c r="H2410" s="44" t="s">
        <v>15</v>
      </c>
      <c r="I2410" s="17">
        <v>4000000</v>
      </c>
      <c r="J2410" s="17">
        <f>IF(Gastos[[#This Row],[Divisa]]="$", I2410*1, IF(Gastos[[#This Row],[Divisa]]="U$D", I2410*$N$1, IF(Gastos[[#This Row],[Divisa]]="EUR", I2410*$N$2, 0)))</f>
        <v>4000000</v>
      </c>
      <c r="K2410" s="54">
        <f>Gastos[[#This Row],[Importe AR$]]/$N$1</f>
        <v>2564.102564102564</v>
      </c>
      <c r="M2410" s="69">
        <v>46196</v>
      </c>
      <c r="N2410" s="43">
        <f>IF(Gastos[[#This Row],[Fecha_Cheque]]&gt;0,WEEKNUM(Gastos[[#This Row],[Fecha_Cheque]]),MID(Gastos[[#This Row],[Semana]],6,2))</f>
        <v>26</v>
      </c>
      <c r="O2410" t="s">
        <v>3672</v>
      </c>
      <c r="P2410" t="s">
        <v>27</v>
      </c>
    </row>
    <row r="2411" spans="1:16" hidden="1" x14ac:dyDescent="0.25">
      <c r="A2411" s="3" t="s">
        <v>3617</v>
      </c>
      <c r="B2411" t="s">
        <v>3358</v>
      </c>
      <c r="D2411" t="s">
        <v>26</v>
      </c>
      <c r="E2411" t="s">
        <v>31</v>
      </c>
      <c r="F2411">
        <v>1</v>
      </c>
      <c r="G2411" s="3" t="s">
        <v>32</v>
      </c>
      <c r="H2411" s="44" t="s">
        <v>15</v>
      </c>
      <c r="I2411" s="17">
        <v>80000</v>
      </c>
      <c r="J2411" s="17">
        <f>IF(Gastos[[#This Row],[Divisa]]="$", I2411*1, IF(Gastos[[#This Row],[Divisa]]="U$D", I2411*$N$1, IF(Gastos[[#This Row],[Divisa]]="EUR", I2411*$N$2, 0)))</f>
        <v>80000</v>
      </c>
      <c r="K2411" s="54">
        <f>Gastos[[#This Row],[Importe AR$]]/$N$1</f>
        <v>51.282051282051285</v>
      </c>
      <c r="L2411" t="s">
        <v>340</v>
      </c>
      <c r="M2411" s="69"/>
      <c r="N2411" s="43" t="str">
        <f>IF(Gastos[[#This Row],[Fecha_Cheque]]&gt;0,WEEKNUM(Gastos[[#This Row],[Fecha_Cheque]]),MID(Gastos[[#This Row],[Semana]],6,2))</f>
        <v>27</v>
      </c>
      <c r="O2411" t="s">
        <v>3672</v>
      </c>
      <c r="P2411" t="s">
        <v>27</v>
      </c>
    </row>
    <row r="2412" spans="1:16" hidden="1" x14ac:dyDescent="0.25">
      <c r="A2412" s="3" t="s">
        <v>3693</v>
      </c>
      <c r="B2412" t="s">
        <v>3358</v>
      </c>
      <c r="C2412" t="s">
        <v>1747</v>
      </c>
      <c r="D2412" t="s">
        <v>26</v>
      </c>
      <c r="E2412" t="s">
        <v>31</v>
      </c>
      <c r="F2412">
        <v>1</v>
      </c>
      <c r="G2412" s="3" t="s">
        <v>32</v>
      </c>
      <c r="H2412" s="44" t="s">
        <v>15</v>
      </c>
      <c r="I2412" s="17">
        <v>6973682.2699999996</v>
      </c>
      <c r="J2412" s="17">
        <f>IF(Gastos[[#This Row],[Divisa]]="$", I2412*1, IF(Gastos[[#This Row],[Divisa]]="U$D", I2412*$N$1, IF(Gastos[[#This Row],[Divisa]]="EUR", I2412*$N$2, 0)))</f>
        <v>6973682.2699999996</v>
      </c>
      <c r="K2412" s="54">
        <f>Gastos[[#This Row],[Importe AR$]]/$N$1</f>
        <v>4470.3091474358971</v>
      </c>
      <c r="M2412" s="69">
        <v>46230</v>
      </c>
      <c r="N2412" s="43">
        <f>IF(Gastos[[#This Row],[Fecha_Cheque]]&gt;0,WEEKNUM(Gastos[[#This Row],[Fecha_Cheque]]),MID(Gastos[[#This Row],[Semana]],6,2))</f>
        <v>31</v>
      </c>
      <c r="O2412" t="s">
        <v>3720</v>
      </c>
      <c r="P2412" t="s">
        <v>27</v>
      </c>
    </row>
    <row r="2413" spans="1:16" hidden="1" x14ac:dyDescent="0.25">
      <c r="A2413" s="3" t="s">
        <v>3693</v>
      </c>
      <c r="B2413" t="s">
        <v>3358</v>
      </c>
      <c r="C2413" t="s">
        <v>1747</v>
      </c>
      <c r="D2413" t="s">
        <v>26</v>
      </c>
      <c r="E2413" t="s">
        <v>31</v>
      </c>
      <c r="F2413">
        <v>1</v>
      </c>
      <c r="G2413" s="3" t="s">
        <v>32</v>
      </c>
      <c r="H2413" s="44" t="s">
        <v>15</v>
      </c>
      <c r="I2413" s="17">
        <v>139317.73000000001</v>
      </c>
      <c r="J2413" s="17">
        <f>IF(Gastos[[#This Row],[Divisa]]="$", I2413*1, IF(Gastos[[#This Row],[Divisa]]="U$D", I2413*$N$1, IF(Gastos[[#This Row],[Divisa]]="EUR", I2413*$N$2, 0)))</f>
        <v>139317.73000000001</v>
      </c>
      <c r="K2413" s="54">
        <f>Gastos[[#This Row],[Importe AR$]]/$N$1</f>
        <v>89.306237179487184</v>
      </c>
      <c r="L2413" t="s">
        <v>340</v>
      </c>
      <c r="M2413" s="69"/>
      <c r="N2413" s="43" t="str">
        <f>IF(Gastos[[#This Row],[Fecha_Cheque]]&gt;0,WEEKNUM(Gastos[[#This Row],[Fecha_Cheque]]),MID(Gastos[[#This Row],[Semana]],6,2))</f>
        <v>28</v>
      </c>
      <c r="O2413" t="s">
        <v>3720</v>
      </c>
      <c r="P2413" t="s">
        <v>27</v>
      </c>
    </row>
    <row r="2414" spans="1:16" hidden="1" x14ac:dyDescent="0.25">
      <c r="A2414" s="3" t="s">
        <v>3882</v>
      </c>
      <c r="B2414" t="s">
        <v>3358</v>
      </c>
      <c r="C2414" t="s">
        <v>1747</v>
      </c>
      <c r="D2414" t="s">
        <v>26</v>
      </c>
      <c r="E2414" t="s">
        <v>42</v>
      </c>
      <c r="F2414">
        <v>1</v>
      </c>
      <c r="G2414" s="3" t="s">
        <v>4</v>
      </c>
      <c r="H2414" s="44" t="s">
        <v>15</v>
      </c>
      <c r="I2414" s="17">
        <v>500000</v>
      </c>
      <c r="J2414" s="17">
        <f>IF(Gastos[[#This Row],[Divisa]]="$", I2414*1, IF(Gastos[[#This Row],[Divisa]]="U$D", I2414*$N$1, IF(Gastos[[#This Row],[Divisa]]="EUR", I2414*$N$2, 0)))</f>
        <v>500000</v>
      </c>
      <c r="K2414" s="54">
        <f>Gastos[[#This Row],[Importe AR$]]/$N$1</f>
        <v>320.5128205128205</v>
      </c>
      <c r="M2414" s="69"/>
      <c r="N2414" s="43" t="str">
        <f>IF(Gastos[[#This Row],[Fecha_Cheque]]&gt;0,WEEKNUM(Gastos[[#This Row],[Fecha_Cheque]]),MID(Gastos[[#This Row],[Semana]],6,2))</f>
        <v>31</v>
      </c>
      <c r="O2414" t="s">
        <v>3912</v>
      </c>
      <c r="P2414" t="s">
        <v>27</v>
      </c>
    </row>
    <row r="2415" spans="1:16" hidden="1" x14ac:dyDescent="0.25">
      <c r="A2415" s="3" t="s">
        <v>3882</v>
      </c>
      <c r="B2415" t="s">
        <v>3358</v>
      </c>
      <c r="C2415" t="s">
        <v>1747</v>
      </c>
      <c r="D2415" t="s">
        <v>26</v>
      </c>
      <c r="E2415" t="s">
        <v>42</v>
      </c>
      <c r="F2415">
        <v>1</v>
      </c>
      <c r="G2415" s="3" t="s">
        <v>4</v>
      </c>
      <c r="H2415" s="44" t="s">
        <v>15</v>
      </c>
      <c r="I2415" s="17">
        <v>11670.24</v>
      </c>
      <c r="J2415" s="17">
        <f>IF(Gastos[[#This Row],[Divisa]]="$", I2415*1, IF(Gastos[[#This Row],[Divisa]]="U$D", I2415*$N$1, IF(Gastos[[#This Row],[Divisa]]="EUR", I2415*$N$2, 0)))</f>
        <v>11670.24</v>
      </c>
      <c r="K2415" s="54">
        <f>Gastos[[#This Row],[Importe AR$]]/$N$1</f>
        <v>7.4809230769230766</v>
      </c>
      <c r="L2415" t="s">
        <v>340</v>
      </c>
      <c r="M2415" s="69"/>
      <c r="N2415" s="43" t="str">
        <f>IF(Gastos[[#This Row],[Fecha_Cheque]]&gt;0,WEEKNUM(Gastos[[#This Row],[Fecha_Cheque]]),MID(Gastos[[#This Row],[Semana]],6,2))</f>
        <v>31</v>
      </c>
      <c r="O2415" t="s">
        <v>3912</v>
      </c>
      <c r="P2415" t="s">
        <v>27</v>
      </c>
    </row>
    <row r="2416" spans="1:16" hidden="1" x14ac:dyDescent="0.25">
      <c r="A2416" s="3" t="s">
        <v>3963</v>
      </c>
      <c r="B2416" t="s">
        <v>3358</v>
      </c>
      <c r="C2416" t="s">
        <v>3979</v>
      </c>
      <c r="D2416" t="s">
        <v>26</v>
      </c>
      <c r="E2416" t="s">
        <v>31</v>
      </c>
      <c r="F2416">
        <v>1</v>
      </c>
      <c r="G2416" s="3" t="s">
        <v>32</v>
      </c>
      <c r="H2416" s="44" t="s">
        <v>15</v>
      </c>
      <c r="I2416" s="17">
        <v>443526.2</v>
      </c>
      <c r="J2416" s="17">
        <f>IF(Gastos[[#This Row],[Divisa]]="$", I2416*1, IF(Gastos[[#This Row],[Divisa]]="U$D", I2416*$N$1, IF(Gastos[[#This Row],[Divisa]]="EUR", I2416*$N$2, 0)))</f>
        <v>443526.2</v>
      </c>
      <c r="K2416" s="54">
        <f>Gastos[[#This Row],[Importe AR$]]/$N$1</f>
        <v>284.31166666666667</v>
      </c>
      <c r="M2416" s="69">
        <v>46254</v>
      </c>
      <c r="N2416" s="43">
        <f>IF(Gastos[[#This Row],[Fecha_Cheque]]&gt;0,WEEKNUM(Gastos[[#This Row],[Fecha_Cheque]]),MID(Gastos[[#This Row],[Semana]],6,2))</f>
        <v>34</v>
      </c>
      <c r="O2416" t="s">
        <v>3980</v>
      </c>
      <c r="P2416" t="s">
        <v>27</v>
      </c>
    </row>
    <row r="2417" spans="1:16" hidden="1" x14ac:dyDescent="0.25">
      <c r="A2417" s="3" t="s">
        <v>3963</v>
      </c>
      <c r="B2417" t="s">
        <v>3358</v>
      </c>
      <c r="C2417" t="s">
        <v>3979</v>
      </c>
      <c r="D2417" t="s">
        <v>26</v>
      </c>
      <c r="E2417" t="s">
        <v>31</v>
      </c>
      <c r="F2417">
        <v>1</v>
      </c>
      <c r="G2417" s="3" t="s">
        <v>32</v>
      </c>
      <c r="H2417" s="44" t="s">
        <v>15</v>
      </c>
      <c r="I2417" s="17">
        <v>1466400</v>
      </c>
      <c r="J2417" s="17">
        <f>IF(Gastos[[#This Row],[Divisa]]="$", I2417*1, IF(Gastos[[#This Row],[Divisa]]="U$D", I2417*$N$1, IF(Gastos[[#This Row],[Divisa]]="EUR", I2417*$N$2, 0)))</f>
        <v>1466400</v>
      </c>
      <c r="K2417" s="54">
        <f>Gastos[[#This Row],[Importe AR$]]/$N$1</f>
        <v>940</v>
      </c>
      <c r="M2417" s="69">
        <v>46248</v>
      </c>
      <c r="N2417" s="43">
        <f>IF(Gastos[[#This Row],[Fecha_Cheque]]&gt;0,WEEKNUM(Gastos[[#This Row],[Fecha_Cheque]]),MID(Gastos[[#This Row],[Semana]],6,2))</f>
        <v>33</v>
      </c>
      <c r="O2417" t="s">
        <v>3980</v>
      </c>
      <c r="P2417" t="s">
        <v>27</v>
      </c>
    </row>
    <row r="2418" spans="1:16" hidden="1" x14ac:dyDescent="0.25">
      <c r="A2418" s="3" t="s">
        <v>3963</v>
      </c>
      <c r="B2418" t="s">
        <v>3358</v>
      </c>
      <c r="C2418" t="s">
        <v>3979</v>
      </c>
      <c r="D2418" t="s">
        <v>26</v>
      </c>
      <c r="E2418" t="s">
        <v>31</v>
      </c>
      <c r="F2418">
        <v>1</v>
      </c>
      <c r="G2418" s="3" t="s">
        <v>32</v>
      </c>
      <c r="H2418" s="44" t="s">
        <v>15</v>
      </c>
      <c r="I2418" s="17">
        <v>33718.519999999997</v>
      </c>
      <c r="J2418" s="17">
        <f>IF(Gastos[[#This Row],[Divisa]]="$", I2418*1, IF(Gastos[[#This Row],[Divisa]]="U$D", I2418*$N$1, IF(Gastos[[#This Row],[Divisa]]="EUR", I2418*$N$2, 0)))</f>
        <v>33718.519999999997</v>
      </c>
      <c r="K2418" s="54">
        <f>Gastos[[#This Row],[Importe AR$]]/$N$1</f>
        <v>21.614435897435897</v>
      </c>
      <c r="L2418" t="s">
        <v>340</v>
      </c>
      <c r="M2418" s="69"/>
      <c r="N2418" s="43" t="str">
        <f>IF(Gastos[[#This Row],[Fecha_Cheque]]&gt;0,WEEKNUM(Gastos[[#This Row],[Fecha_Cheque]]),MID(Gastos[[#This Row],[Semana]],6,2))</f>
        <v>32</v>
      </c>
      <c r="O2418" t="s">
        <v>3980</v>
      </c>
      <c r="P2418" t="s">
        <v>27</v>
      </c>
    </row>
    <row r="2419" spans="1:16" hidden="1" x14ac:dyDescent="0.25">
      <c r="A2419" s="3" t="s">
        <v>3963</v>
      </c>
      <c r="B2419" t="s">
        <v>3358</v>
      </c>
      <c r="C2419" t="s">
        <v>4019</v>
      </c>
      <c r="D2419" t="s">
        <v>26</v>
      </c>
      <c r="E2419" t="s">
        <v>31</v>
      </c>
      <c r="F2419">
        <v>2</v>
      </c>
      <c r="G2419" s="3" t="s">
        <v>32</v>
      </c>
      <c r="H2419" s="44" t="s">
        <v>15</v>
      </c>
      <c r="I2419" s="17">
        <v>120000</v>
      </c>
      <c r="J2419" s="17">
        <f>IF(Gastos[[#This Row],[Divisa]]="$", I2419*1, IF(Gastos[[#This Row],[Divisa]]="U$D", I2419*$N$1, IF(Gastos[[#This Row],[Divisa]]="EUR", I2419*$N$2, 0)))</f>
        <v>120000</v>
      </c>
      <c r="K2419" s="54">
        <f>Gastos[[#This Row],[Importe AR$]]/$N$1</f>
        <v>76.92307692307692</v>
      </c>
      <c r="M2419" s="69">
        <v>46260</v>
      </c>
      <c r="N2419" s="43">
        <f>IF(Gastos[[#This Row],[Fecha_Cheque]]&gt;0,WEEKNUM(Gastos[[#This Row],[Fecha_Cheque]]),MID(Gastos[[#This Row],[Semana]],6,2))</f>
        <v>35</v>
      </c>
      <c r="O2419" t="s">
        <v>4020</v>
      </c>
      <c r="P2419" t="s">
        <v>27</v>
      </c>
    </row>
    <row r="2420" spans="1:16" hidden="1" x14ac:dyDescent="0.25">
      <c r="A2420" s="3" t="s">
        <v>3963</v>
      </c>
      <c r="B2420" t="s">
        <v>3358</v>
      </c>
      <c r="C2420" t="s">
        <v>4019</v>
      </c>
      <c r="D2420" t="s">
        <v>26</v>
      </c>
      <c r="E2420" t="s">
        <v>31</v>
      </c>
      <c r="F2420">
        <v>2</v>
      </c>
      <c r="G2420" s="3" t="s">
        <v>32</v>
      </c>
      <c r="H2420" s="44" t="s">
        <v>15</v>
      </c>
      <c r="I2420" s="17">
        <v>120000</v>
      </c>
      <c r="J2420" s="17">
        <f>IF(Gastos[[#This Row],[Divisa]]="$", I2420*1, IF(Gastos[[#This Row],[Divisa]]="U$D", I2420*$N$1, IF(Gastos[[#This Row],[Divisa]]="EUR", I2420*$N$2, 0)))</f>
        <v>120000</v>
      </c>
      <c r="K2420" s="54">
        <f>Gastos[[#This Row],[Importe AR$]]/$N$1</f>
        <v>76.92307692307692</v>
      </c>
      <c r="M2420" s="69">
        <v>46243</v>
      </c>
      <c r="N2420" s="43">
        <f>IF(Gastos[[#This Row],[Fecha_Cheque]]&gt;0,WEEKNUM(Gastos[[#This Row],[Fecha_Cheque]]),MID(Gastos[[#This Row],[Semana]],6,2))</f>
        <v>33</v>
      </c>
      <c r="O2420" t="s">
        <v>4020</v>
      </c>
      <c r="P2420" t="s">
        <v>27</v>
      </c>
    </row>
    <row r="2421" spans="1:16" hidden="1" x14ac:dyDescent="0.25">
      <c r="A2421" s="3" t="s">
        <v>4005</v>
      </c>
      <c r="B2421" t="s">
        <v>3358</v>
      </c>
      <c r="C2421" t="s">
        <v>155</v>
      </c>
      <c r="D2421" t="s">
        <v>26</v>
      </c>
      <c r="E2421" t="s">
        <v>31</v>
      </c>
      <c r="F2421">
        <v>1</v>
      </c>
      <c r="G2421" s="3" t="s">
        <v>32</v>
      </c>
      <c r="H2421" s="44" t="s">
        <v>15</v>
      </c>
      <c r="I2421" s="17">
        <v>1420930</v>
      </c>
      <c r="J2421" s="17">
        <f>IF(Gastos[[#This Row],[Divisa]]="$", I2421*1, IF(Gastos[[#This Row],[Divisa]]="U$D", I2421*$N$1, IF(Gastos[[#This Row],[Divisa]]="EUR", I2421*$N$2, 0)))</f>
        <v>1420930</v>
      </c>
      <c r="K2421" s="54">
        <f>Gastos[[#This Row],[Importe AR$]]/$N$1</f>
        <v>910.85256410256409</v>
      </c>
      <c r="M2421" s="69">
        <v>46263</v>
      </c>
      <c r="N2421" s="43">
        <f>IF(Gastos[[#This Row],[Fecha_Cheque]]&gt;0,WEEKNUM(Gastos[[#This Row],[Fecha_Cheque]]),MID(Gastos[[#This Row],[Semana]],6,2))</f>
        <v>35</v>
      </c>
      <c r="O2421" t="s">
        <v>4025</v>
      </c>
      <c r="P2421" t="s">
        <v>27</v>
      </c>
    </row>
    <row r="2422" spans="1:16" hidden="1" x14ac:dyDescent="0.25">
      <c r="A2422" s="3" t="s">
        <v>4005</v>
      </c>
      <c r="B2422" t="s">
        <v>3358</v>
      </c>
      <c r="C2422" t="s">
        <v>155</v>
      </c>
      <c r="D2422" t="s">
        <v>26</v>
      </c>
      <c r="E2422" t="s">
        <v>31</v>
      </c>
      <c r="F2422">
        <v>1</v>
      </c>
      <c r="G2422" s="3" t="s">
        <v>32</v>
      </c>
      <c r="H2422" s="44" t="s">
        <v>15</v>
      </c>
      <c r="I2422" s="17">
        <v>2000000</v>
      </c>
      <c r="J2422" s="17">
        <f>IF(Gastos[[#This Row],[Divisa]]="$", I2422*1, IF(Gastos[[#This Row],[Divisa]]="U$D", I2422*$N$1, IF(Gastos[[#This Row],[Divisa]]="EUR", I2422*$N$2, 0)))</f>
        <v>2000000</v>
      </c>
      <c r="K2422" s="54">
        <f>Gastos[[#This Row],[Importe AR$]]/$N$1</f>
        <v>1282.051282051282</v>
      </c>
      <c r="M2422" s="69">
        <v>46263</v>
      </c>
      <c r="N2422" s="43">
        <f>IF(Gastos[[#This Row],[Fecha_Cheque]]&gt;0,WEEKNUM(Gastos[[#This Row],[Fecha_Cheque]]),MID(Gastos[[#This Row],[Semana]],6,2))</f>
        <v>35</v>
      </c>
      <c r="O2422" t="s">
        <v>4025</v>
      </c>
      <c r="P2422" t="s">
        <v>27</v>
      </c>
    </row>
    <row r="2423" spans="1:16" hidden="1" x14ac:dyDescent="0.25">
      <c r="A2423" s="3" t="s">
        <v>4005</v>
      </c>
      <c r="B2423" t="s">
        <v>3358</v>
      </c>
      <c r="C2423" t="s">
        <v>155</v>
      </c>
      <c r="D2423" t="s">
        <v>26</v>
      </c>
      <c r="E2423" t="s">
        <v>31</v>
      </c>
      <c r="F2423">
        <v>1</v>
      </c>
      <c r="G2423" s="3" t="s">
        <v>32</v>
      </c>
      <c r="H2423" s="44" t="s">
        <v>15</v>
      </c>
      <c r="I2423" s="17">
        <v>68753.03</v>
      </c>
      <c r="J2423" s="17">
        <f>IF(Gastos[[#This Row],[Divisa]]="$", I2423*1, IF(Gastos[[#This Row],[Divisa]]="U$D", I2423*$N$1, IF(Gastos[[#This Row],[Divisa]]="EUR", I2423*$N$2, 0)))</f>
        <v>68753.03</v>
      </c>
      <c r="K2423" s="54">
        <f>Gastos[[#This Row],[Importe AR$]]/$N$1</f>
        <v>44.072455128205128</v>
      </c>
      <c r="L2423" t="s">
        <v>340</v>
      </c>
      <c r="M2423" s="69"/>
      <c r="N2423" s="43" t="str">
        <f>IF(Gastos[[#This Row],[Fecha_Cheque]]&gt;0,WEEKNUM(Gastos[[#This Row],[Fecha_Cheque]]),MID(Gastos[[#This Row],[Semana]],6,2))</f>
        <v>33</v>
      </c>
      <c r="O2423" t="s">
        <v>4025</v>
      </c>
      <c r="P2423" t="s">
        <v>27</v>
      </c>
    </row>
    <row r="2424" spans="1:16" hidden="1" x14ac:dyDescent="0.25">
      <c r="A2424" s="3" t="s">
        <v>3693</v>
      </c>
      <c r="B2424" t="s">
        <v>3358</v>
      </c>
      <c r="C2424" t="s">
        <v>4334</v>
      </c>
      <c r="D2424" t="s">
        <v>26</v>
      </c>
      <c r="E2424" t="s">
        <v>31</v>
      </c>
      <c r="F2424">
        <v>1</v>
      </c>
      <c r="G2424" s="3" t="s">
        <v>32</v>
      </c>
      <c r="H2424" s="44" t="s">
        <v>15</v>
      </c>
      <c r="I2424" s="17">
        <v>101430</v>
      </c>
      <c r="J2424" s="17">
        <f>IF(Gastos[[#This Row],[Divisa]]="$", I2424*1, IF(Gastos[[#This Row],[Divisa]]="U$D", I2424*$N$1, IF(Gastos[[#This Row],[Divisa]]="EUR", I2424*$N$2, 0)))</f>
        <v>101430</v>
      </c>
      <c r="K2424" s="54">
        <f>Gastos[[#This Row],[Importe AR$]]/$N$1</f>
        <v>65.019230769230774</v>
      </c>
      <c r="M2424" s="69">
        <v>46291</v>
      </c>
      <c r="N2424" s="43">
        <f>IF(Gastos[[#This Row],[Fecha_Cheque]]&gt;0,WEEKNUM(Gastos[[#This Row],[Fecha_Cheque]]),MID(Gastos[[#This Row],[Semana]],6,2))</f>
        <v>39</v>
      </c>
      <c r="O2424" t="s">
        <v>4335</v>
      </c>
      <c r="P2424" t="s">
        <v>27</v>
      </c>
    </row>
    <row r="2425" spans="1:16" hidden="1" x14ac:dyDescent="0.25">
      <c r="A2425" s="3" t="s">
        <v>3693</v>
      </c>
      <c r="B2425" t="s">
        <v>3358</v>
      </c>
      <c r="C2425" t="s">
        <v>4334</v>
      </c>
      <c r="D2425" t="s">
        <v>26</v>
      </c>
      <c r="E2425" t="s">
        <v>31</v>
      </c>
      <c r="F2425">
        <v>1</v>
      </c>
      <c r="G2425" s="3" t="s">
        <v>32</v>
      </c>
      <c r="H2425" s="44" t="s">
        <v>15</v>
      </c>
      <c r="I2425" s="17">
        <v>142260</v>
      </c>
      <c r="J2425" s="17">
        <f>IF(Gastos[[#This Row],[Divisa]]="$", I2425*1, IF(Gastos[[#This Row],[Divisa]]="U$D", I2425*$N$1, IF(Gastos[[#This Row],[Divisa]]="EUR", I2425*$N$2, 0)))</f>
        <v>142260</v>
      </c>
      <c r="K2425" s="54">
        <f>Gastos[[#This Row],[Importe AR$]]/$N$1</f>
        <v>91.192307692307693</v>
      </c>
      <c r="M2425" s="69">
        <v>46288</v>
      </c>
      <c r="N2425" s="43">
        <f>IF(Gastos[[#This Row],[Fecha_Cheque]]&gt;0,WEEKNUM(Gastos[[#This Row],[Fecha_Cheque]]),MID(Gastos[[#This Row],[Semana]],6,2))</f>
        <v>39</v>
      </c>
      <c r="O2425" t="s">
        <v>4335</v>
      </c>
      <c r="P2425" t="s">
        <v>27</v>
      </c>
    </row>
    <row r="2426" spans="1:16" hidden="1" x14ac:dyDescent="0.25">
      <c r="A2426" s="3" t="s">
        <v>3693</v>
      </c>
      <c r="B2426" t="s">
        <v>3358</v>
      </c>
      <c r="C2426" t="s">
        <v>4334</v>
      </c>
      <c r="D2426" t="s">
        <v>26</v>
      </c>
      <c r="E2426" t="s">
        <v>31</v>
      </c>
      <c r="F2426">
        <v>1</v>
      </c>
      <c r="G2426" s="3" t="s">
        <v>32</v>
      </c>
      <c r="H2426" s="44" t="s">
        <v>15</v>
      </c>
      <c r="I2426" s="17">
        <v>238180</v>
      </c>
      <c r="J2426" s="17">
        <f>IF(Gastos[[#This Row],[Divisa]]="$", I2426*1, IF(Gastos[[#This Row],[Divisa]]="U$D", I2426*$N$1, IF(Gastos[[#This Row],[Divisa]]="EUR", I2426*$N$2, 0)))</f>
        <v>238180</v>
      </c>
      <c r="K2426" s="54">
        <f>Gastos[[#This Row],[Importe AR$]]/$N$1</f>
        <v>152.67948717948718</v>
      </c>
      <c r="M2426" s="69">
        <v>46290</v>
      </c>
      <c r="N2426" s="43">
        <f>IF(Gastos[[#This Row],[Fecha_Cheque]]&gt;0,WEEKNUM(Gastos[[#This Row],[Fecha_Cheque]]),MID(Gastos[[#This Row],[Semana]],6,2))</f>
        <v>39</v>
      </c>
      <c r="O2426" t="s">
        <v>4335</v>
      </c>
      <c r="P2426" t="s">
        <v>27</v>
      </c>
    </row>
    <row r="2427" spans="1:16" hidden="1" x14ac:dyDescent="0.25">
      <c r="A2427" s="3" t="s">
        <v>3693</v>
      </c>
      <c r="B2427" t="s">
        <v>3358</v>
      </c>
      <c r="C2427" t="s">
        <v>4334</v>
      </c>
      <c r="D2427" t="s">
        <v>26</v>
      </c>
      <c r="E2427" t="s">
        <v>31</v>
      </c>
      <c r="F2427">
        <v>1</v>
      </c>
      <c r="G2427" s="3" t="s">
        <v>32</v>
      </c>
      <c r="H2427" s="44" t="s">
        <v>15</v>
      </c>
      <c r="I2427" s="17">
        <v>238180</v>
      </c>
      <c r="J2427" s="17">
        <f>IF(Gastos[[#This Row],[Divisa]]="$", I2427*1, IF(Gastos[[#This Row],[Divisa]]="U$D", I2427*$N$1, IF(Gastos[[#This Row],[Divisa]]="EUR", I2427*$N$2, 0)))</f>
        <v>238180</v>
      </c>
      <c r="K2427" s="54">
        <f>Gastos[[#This Row],[Importe AR$]]/$N$1</f>
        <v>152.67948717948718</v>
      </c>
      <c r="M2427" s="69">
        <v>46292</v>
      </c>
      <c r="N2427" s="43">
        <f>IF(Gastos[[#This Row],[Fecha_Cheque]]&gt;0,WEEKNUM(Gastos[[#This Row],[Fecha_Cheque]]),MID(Gastos[[#This Row],[Semana]],6,2))</f>
        <v>40</v>
      </c>
      <c r="O2427" t="s">
        <v>4335</v>
      </c>
      <c r="P2427" t="s">
        <v>27</v>
      </c>
    </row>
    <row r="2428" spans="1:16" hidden="1" x14ac:dyDescent="0.25">
      <c r="A2428" s="3" t="s">
        <v>3693</v>
      </c>
      <c r="B2428" t="s">
        <v>3358</v>
      </c>
      <c r="C2428" t="s">
        <v>4334</v>
      </c>
      <c r="D2428" t="s">
        <v>26</v>
      </c>
      <c r="E2428" t="s">
        <v>31</v>
      </c>
      <c r="F2428">
        <v>1</v>
      </c>
      <c r="G2428" s="3" t="s">
        <v>32</v>
      </c>
      <c r="H2428" s="44" t="s">
        <v>15</v>
      </c>
      <c r="I2428" s="17">
        <v>9921</v>
      </c>
      <c r="J2428" s="17">
        <f>IF(Gastos[[#This Row],[Divisa]]="$", I2428*1, IF(Gastos[[#This Row],[Divisa]]="U$D", I2428*$N$1, IF(Gastos[[#This Row],[Divisa]]="EUR", I2428*$N$2, 0)))</f>
        <v>9921</v>
      </c>
      <c r="K2428" s="54">
        <f>Gastos[[#This Row],[Importe AR$]]/$N$1</f>
        <v>6.3596153846153847</v>
      </c>
      <c r="L2428" t="s">
        <v>340</v>
      </c>
      <c r="M2428" s="69"/>
      <c r="N2428" s="43" t="str">
        <f>IF(Gastos[[#This Row],[Fecha_Cheque]]&gt;0,WEEKNUM(Gastos[[#This Row],[Fecha_Cheque]]),MID(Gastos[[#This Row],[Semana]],6,2))</f>
        <v>28</v>
      </c>
      <c r="O2428" t="s">
        <v>4335</v>
      </c>
      <c r="P2428" t="s">
        <v>27</v>
      </c>
    </row>
    <row r="2429" spans="1:16" hidden="1" x14ac:dyDescent="0.25">
      <c r="A2429" s="3" t="s">
        <v>28</v>
      </c>
      <c r="B2429" t="s">
        <v>1445</v>
      </c>
      <c r="C2429" t="s">
        <v>1446</v>
      </c>
      <c r="D2429" t="s">
        <v>26</v>
      </c>
      <c r="E2429" t="s">
        <v>31</v>
      </c>
      <c r="F2429">
        <v>1</v>
      </c>
      <c r="G2429" s="3" t="s">
        <v>5</v>
      </c>
      <c r="H2429" s="46" t="s">
        <v>15</v>
      </c>
      <c r="I2429" s="17">
        <v>615000</v>
      </c>
      <c r="J2429" s="17">
        <f>IF(Gastos[[#This Row],[Divisa]]="$", I2429*1, IF(Gastos[[#This Row],[Divisa]]="U$D", I2429*$N$1, IF(Gastos[[#This Row],[Divisa]]="EUR", I2429*$N$2, 0)))</f>
        <v>615000</v>
      </c>
      <c r="K2429" s="54">
        <f>Gastos[[#This Row],[Importe AR$]]/$N$1</f>
        <v>394.23076923076923</v>
      </c>
      <c r="M2429" s="69"/>
      <c r="N2429" s="43" t="str">
        <f>IF(Gastos[[#This Row],[Fecha_Cheque]]&gt;0,WEEKNUM(Gastos[[#This Row],[Fecha_Cheque]]),MID(Gastos[[#This Row],[Semana]],6,2))</f>
        <v>21</v>
      </c>
      <c r="P2429" t="s">
        <v>27</v>
      </c>
    </row>
    <row r="2430" spans="1:16" hidden="1" x14ac:dyDescent="0.25">
      <c r="A2430" s="3" t="s">
        <v>28</v>
      </c>
      <c r="B2430" t="s">
        <v>1447</v>
      </c>
      <c r="C2430" t="s">
        <v>159</v>
      </c>
      <c r="D2430" t="s">
        <v>26</v>
      </c>
      <c r="E2430" t="s">
        <v>31</v>
      </c>
      <c r="F2430">
        <v>1</v>
      </c>
      <c r="G2430" s="3" t="s">
        <v>32</v>
      </c>
      <c r="H2430" s="46" t="s">
        <v>15</v>
      </c>
      <c r="I2430" s="17">
        <v>4229011.71</v>
      </c>
      <c r="J2430" s="17">
        <f>IF(Gastos[[#This Row],[Divisa]]="$", I2430*1, IF(Gastos[[#This Row],[Divisa]]="U$D", I2430*$N$1, IF(Gastos[[#This Row],[Divisa]]="EUR", I2430*$N$2, 0)))</f>
        <v>4229011.71</v>
      </c>
      <c r="K2430" s="54">
        <f>Gastos[[#This Row],[Importe AR$]]/$N$1</f>
        <v>2710.9049423076922</v>
      </c>
      <c r="L2430" t="s">
        <v>957</v>
      </c>
      <c r="M2430" s="69"/>
      <c r="N2430" s="43" t="str">
        <f>IF(Gastos[[#This Row],[Fecha_Cheque]]&gt;0,WEEKNUM(Gastos[[#This Row],[Fecha_Cheque]]),MID(Gastos[[#This Row],[Semana]],6,2))</f>
        <v>21</v>
      </c>
      <c r="P2430" t="s">
        <v>27</v>
      </c>
    </row>
    <row r="2431" spans="1:16" hidden="1" x14ac:dyDescent="0.25">
      <c r="A2431" s="3" t="s">
        <v>64</v>
      </c>
      <c r="B2431" t="s">
        <v>1447</v>
      </c>
      <c r="C2431" t="s">
        <v>1448</v>
      </c>
      <c r="D2431" t="s">
        <v>26</v>
      </c>
      <c r="E2431" t="s">
        <v>31</v>
      </c>
      <c r="F2431">
        <v>1</v>
      </c>
      <c r="G2431" s="3" t="s">
        <v>32</v>
      </c>
      <c r="H2431" s="46" t="s">
        <v>15</v>
      </c>
      <c r="I2431" s="17">
        <v>317331</v>
      </c>
      <c r="J2431" s="17">
        <f>IF(Gastos[[#This Row],[Divisa]]="$", I2431*1, IF(Gastos[[#This Row],[Divisa]]="U$D", I2431*$N$1, IF(Gastos[[#This Row],[Divisa]]="EUR", I2431*$N$2, 0)))</f>
        <v>317331</v>
      </c>
      <c r="K2431" s="54">
        <f>Gastos[[#This Row],[Importe AR$]]/$N$1</f>
        <v>203.4173076923077</v>
      </c>
      <c r="L2431" t="s">
        <v>215</v>
      </c>
      <c r="M2431" s="69">
        <v>45899</v>
      </c>
      <c r="N2431" s="43">
        <f>IF(Gastos[[#This Row],[Fecha_Cheque]]&gt;0,WEEKNUM(Gastos[[#This Row],[Fecha_Cheque]]),MID(Gastos[[#This Row],[Semana]],6,2))</f>
        <v>35</v>
      </c>
      <c r="P2431" t="s">
        <v>27</v>
      </c>
    </row>
    <row r="2432" spans="1:16" x14ac:dyDescent="0.25">
      <c r="A2432" s="3" t="s">
        <v>4655</v>
      </c>
      <c r="B2432" t="s">
        <v>1328</v>
      </c>
      <c r="C2432" t="s">
        <v>118</v>
      </c>
      <c r="D2432" t="s">
        <v>26</v>
      </c>
      <c r="E2432" t="s">
        <v>3929</v>
      </c>
      <c r="F2432">
        <v>1</v>
      </c>
      <c r="G2432" s="3" t="s">
        <v>32</v>
      </c>
      <c r="H2432" s="44" t="s">
        <v>2</v>
      </c>
      <c r="I2432" s="8">
        <v>25354</v>
      </c>
      <c r="J2432" s="17">
        <f>IF(Gastos[[#This Row],[Divisa]]="$", I2432*1, IF(Gastos[[#This Row],[Divisa]]="U$D", I2432*$N$1, IF(Gastos[[#This Row],[Divisa]]="EUR", I2432*$N$2, 0)))</f>
        <v>39552240</v>
      </c>
      <c r="K2432" s="54">
        <f>Gastos[[#This Row],[Importe AR$]]/$N$1</f>
        <v>25354</v>
      </c>
      <c r="L2432" s="8"/>
      <c r="M2432" s="69"/>
      <c r="N2432" s="43" t="str">
        <f>IF(Gastos[[#This Row],[Fecha_Cheque]]&gt;0,WEEKNUM(Gastos[[#This Row],[Fecha_Cheque]]),MID(Gastos[[#This Row],[Semana]],6,2))</f>
        <v>44</v>
      </c>
    </row>
    <row r="2433" spans="1:16" hidden="1" x14ac:dyDescent="0.25">
      <c r="A2433" s="3" t="s">
        <v>147</v>
      </c>
      <c r="B2433" t="s">
        <v>1449</v>
      </c>
      <c r="C2433" t="s">
        <v>1450</v>
      </c>
      <c r="D2433" t="s">
        <v>26</v>
      </c>
      <c r="E2433" t="s">
        <v>31</v>
      </c>
      <c r="F2433">
        <v>1</v>
      </c>
      <c r="G2433" s="3" t="s">
        <v>5</v>
      </c>
      <c r="H2433" s="46" t="s">
        <v>15</v>
      </c>
      <c r="I2433" s="17">
        <v>5152301</v>
      </c>
      <c r="J2433" s="17">
        <f>IF(Gastos[[#This Row],[Divisa]]="$", I2433*1, IF(Gastos[[#This Row],[Divisa]]="U$D", I2433*$N$1, IF(Gastos[[#This Row],[Divisa]]="EUR", I2433*$N$2, 0)))</f>
        <v>5152301</v>
      </c>
      <c r="K2433" s="54">
        <f>Gastos[[#This Row],[Importe AR$]]/$N$1</f>
        <v>3302.7570512820512</v>
      </c>
      <c r="M2433" s="69"/>
      <c r="N2433" s="43" t="str">
        <f>IF(Gastos[[#This Row],[Fecha_Cheque]]&gt;0,WEEKNUM(Gastos[[#This Row],[Fecha_Cheque]]),MID(Gastos[[#This Row],[Semana]],6,2))</f>
        <v>17</v>
      </c>
      <c r="P2433" t="s">
        <v>27</v>
      </c>
    </row>
    <row r="2434" spans="1:16" hidden="1" x14ac:dyDescent="0.25">
      <c r="A2434" s="3" t="s">
        <v>217</v>
      </c>
      <c r="B2434" t="s">
        <v>1449</v>
      </c>
      <c r="C2434" t="s">
        <v>1451</v>
      </c>
      <c r="D2434" t="s">
        <v>26</v>
      </c>
      <c r="E2434" t="s">
        <v>31</v>
      </c>
      <c r="F2434">
        <v>1</v>
      </c>
      <c r="G2434" s="3" t="s">
        <v>32</v>
      </c>
      <c r="H2434" s="46" t="s">
        <v>15</v>
      </c>
      <c r="I2434" s="17">
        <v>4449036.2699999996</v>
      </c>
      <c r="J2434" s="17">
        <f>IF(Gastos[[#This Row],[Divisa]]="$", I2434*1, IF(Gastos[[#This Row],[Divisa]]="U$D", I2434*$N$1, IF(Gastos[[#This Row],[Divisa]]="EUR", I2434*$N$2, 0)))</f>
        <v>4449036.2699999996</v>
      </c>
      <c r="K2434" s="54">
        <f>Gastos[[#This Row],[Importe AR$]]/$N$1</f>
        <v>2851.9463269230764</v>
      </c>
      <c r="L2434" t="s">
        <v>1452</v>
      </c>
      <c r="M2434" s="69">
        <v>45880</v>
      </c>
      <c r="N2434" s="43">
        <f>IF(Gastos[[#This Row],[Fecha_Cheque]]&gt;0,WEEKNUM(Gastos[[#This Row],[Fecha_Cheque]]),MID(Gastos[[#This Row],[Semana]],6,2))</f>
        <v>33</v>
      </c>
      <c r="O2434" t="s">
        <v>1453</v>
      </c>
      <c r="P2434" t="s">
        <v>27</v>
      </c>
    </row>
    <row r="2435" spans="1:16" hidden="1" x14ac:dyDescent="0.25">
      <c r="A2435" s="3" t="s">
        <v>44</v>
      </c>
      <c r="B2435" t="s">
        <v>1454</v>
      </c>
      <c r="C2435" t="s">
        <v>962</v>
      </c>
      <c r="D2435" t="s">
        <v>26</v>
      </c>
      <c r="E2435" t="s">
        <v>31</v>
      </c>
      <c r="F2435">
        <v>1</v>
      </c>
      <c r="G2435" s="3" t="s">
        <v>5</v>
      </c>
      <c r="H2435" s="46" t="s">
        <v>15</v>
      </c>
      <c r="I2435" s="17">
        <v>109906.96</v>
      </c>
      <c r="J2435" s="17">
        <f>IF(Gastos[[#This Row],[Divisa]]="$", I2435*1, IF(Gastos[[#This Row],[Divisa]]="U$D", I2435*$N$1, IF(Gastos[[#This Row],[Divisa]]="EUR", I2435*$N$2, 0)))</f>
        <v>109906.96</v>
      </c>
      <c r="K2435" s="54">
        <f>Gastos[[#This Row],[Importe AR$]]/$N$1</f>
        <v>70.453179487179497</v>
      </c>
      <c r="M2435" s="69"/>
      <c r="N2435" s="43" t="str">
        <f>IF(Gastos[[#This Row],[Fecha_Cheque]]&gt;0,WEEKNUM(Gastos[[#This Row],[Fecha_Cheque]]),MID(Gastos[[#This Row],[Semana]],6,2))</f>
        <v>51</v>
      </c>
      <c r="O2435" t="s">
        <v>1455</v>
      </c>
      <c r="P2435" t="s">
        <v>27</v>
      </c>
    </row>
    <row r="2436" spans="1:16" hidden="1" x14ac:dyDescent="0.25">
      <c r="A2436" s="3" t="s">
        <v>44</v>
      </c>
      <c r="B2436" t="s">
        <v>1454</v>
      </c>
      <c r="C2436" t="s">
        <v>962</v>
      </c>
      <c r="D2436" t="s">
        <v>26</v>
      </c>
      <c r="E2436" t="s">
        <v>31</v>
      </c>
      <c r="F2436">
        <v>1</v>
      </c>
      <c r="G2436" s="3" t="s">
        <v>32</v>
      </c>
      <c r="H2436" s="46" t="s">
        <v>15</v>
      </c>
      <c r="I2436" s="17">
        <v>450762.96</v>
      </c>
      <c r="J2436" s="17">
        <f>IF(Gastos[[#This Row],[Divisa]]="$", I2436*1, IF(Gastos[[#This Row],[Divisa]]="U$D", I2436*$N$1, IF(Gastos[[#This Row],[Divisa]]="EUR", I2436*$N$2, 0)))</f>
        <v>450762.96</v>
      </c>
      <c r="K2436" s="54">
        <f>Gastos[[#This Row],[Importe AR$]]/$N$1</f>
        <v>288.95061538461539</v>
      </c>
      <c r="M2436" s="69">
        <v>46014</v>
      </c>
      <c r="N2436" s="43">
        <f>IF(Gastos[[#This Row],[Fecha_Cheque]]&gt;0,WEEKNUM(Gastos[[#This Row],[Fecha_Cheque]]),MID(Gastos[[#This Row],[Semana]],6,2))</f>
        <v>52</v>
      </c>
      <c r="O2436" t="s">
        <v>1455</v>
      </c>
      <c r="P2436" t="s">
        <v>27</v>
      </c>
    </row>
    <row r="2437" spans="1:16" hidden="1" x14ac:dyDescent="0.25">
      <c r="A2437" s="3" t="s">
        <v>378</v>
      </c>
      <c r="B2437" t="s">
        <v>1454</v>
      </c>
      <c r="C2437" t="s">
        <v>1456</v>
      </c>
      <c r="D2437" t="s">
        <v>26</v>
      </c>
      <c r="E2437" t="s">
        <v>31</v>
      </c>
      <c r="F2437">
        <v>1</v>
      </c>
      <c r="G2437" s="3" t="s">
        <v>5</v>
      </c>
      <c r="H2437" s="46" t="s">
        <v>15</v>
      </c>
      <c r="I2437" s="17">
        <v>704312.14</v>
      </c>
      <c r="J2437" s="17">
        <f>IF(Gastos[[#This Row],[Divisa]]="$", I2437*1, IF(Gastos[[#This Row],[Divisa]]="U$D", I2437*$N$1, IF(Gastos[[#This Row],[Divisa]]="EUR", I2437*$N$2, 0)))</f>
        <v>704312.14</v>
      </c>
      <c r="K2437" s="54">
        <f>Gastos[[#This Row],[Importe AR$]]/$N$1</f>
        <v>451.48214102564106</v>
      </c>
      <c r="M2437" s="69"/>
      <c r="N2437" s="43" t="str">
        <f>IF(Gastos[[#This Row],[Fecha_Cheque]]&gt;0,WEEKNUM(Gastos[[#This Row],[Fecha_Cheque]]),MID(Gastos[[#This Row],[Semana]],6,2))</f>
        <v>03</v>
      </c>
      <c r="O2437" t="s">
        <v>1457</v>
      </c>
      <c r="P2437" t="s">
        <v>27</v>
      </c>
    </row>
    <row r="2438" spans="1:16" hidden="1" x14ac:dyDescent="0.25">
      <c r="A2438" s="3" t="s">
        <v>152</v>
      </c>
      <c r="B2438" t="s">
        <v>1454</v>
      </c>
      <c r="C2438" t="s">
        <v>1458</v>
      </c>
      <c r="D2438" t="s">
        <v>26</v>
      </c>
      <c r="E2438" t="s">
        <v>31</v>
      </c>
      <c r="F2438">
        <v>1</v>
      </c>
      <c r="G2438" s="3" t="s">
        <v>32</v>
      </c>
      <c r="H2438" s="46" t="s">
        <v>15</v>
      </c>
      <c r="I2438" s="17">
        <v>1286236.8600000001</v>
      </c>
      <c r="J2438" s="17">
        <f>IF(Gastos[[#This Row],[Divisa]]="$", I2438*1, IF(Gastos[[#This Row],[Divisa]]="U$D", I2438*$N$1, IF(Gastos[[#This Row],[Divisa]]="EUR", I2438*$N$2, 0)))</f>
        <v>1286236.8600000001</v>
      </c>
      <c r="K2438" s="54">
        <f>Gastos[[#This Row],[Importe AR$]]/$N$1</f>
        <v>824.51080769230771</v>
      </c>
      <c r="M2438" s="69">
        <v>46064</v>
      </c>
      <c r="N2438" s="43">
        <f>IF(Gastos[[#This Row],[Fecha_Cheque]]&gt;0,WEEKNUM(Gastos[[#This Row],[Fecha_Cheque]]),MID(Gastos[[#This Row],[Semana]],6,2))</f>
        <v>7</v>
      </c>
      <c r="O2438" t="s">
        <v>1459</v>
      </c>
      <c r="P2438" t="s">
        <v>27</v>
      </c>
    </row>
    <row r="2439" spans="1:16" hidden="1" x14ac:dyDescent="0.25">
      <c r="A2439" s="3" t="s">
        <v>68</v>
      </c>
      <c r="B2439" t="s">
        <v>1454</v>
      </c>
      <c r="C2439" t="s">
        <v>1460</v>
      </c>
      <c r="D2439" t="s">
        <v>26</v>
      </c>
      <c r="E2439" t="s">
        <v>31</v>
      </c>
      <c r="F2439">
        <v>1</v>
      </c>
      <c r="G2439" s="3" t="s">
        <v>32</v>
      </c>
      <c r="H2439" s="46" t="s">
        <v>15</v>
      </c>
      <c r="I2439" s="17">
        <v>905719.24</v>
      </c>
      <c r="J2439" s="17">
        <f>IF(Gastos[[#This Row],[Divisa]]="$", I2439*1, IF(Gastos[[#This Row],[Divisa]]="U$D", I2439*$N$1, IF(Gastos[[#This Row],[Divisa]]="EUR", I2439*$N$2, 0)))</f>
        <v>905719.24</v>
      </c>
      <c r="K2439" s="54">
        <f>Gastos[[#This Row],[Importe AR$]]/$N$1</f>
        <v>580.58925641025644</v>
      </c>
      <c r="M2439" s="69">
        <v>46073</v>
      </c>
      <c r="N2439" s="43">
        <f>IF(Gastos[[#This Row],[Fecha_Cheque]]&gt;0,WEEKNUM(Gastos[[#This Row],[Fecha_Cheque]]),MID(Gastos[[#This Row],[Semana]],6,2))</f>
        <v>8</v>
      </c>
      <c r="O2439" t="s">
        <v>1461</v>
      </c>
      <c r="P2439" t="s">
        <v>27</v>
      </c>
    </row>
    <row r="2440" spans="1:16" hidden="1" x14ac:dyDescent="0.25">
      <c r="A2440" s="3" t="s">
        <v>619</v>
      </c>
      <c r="B2440" t="s">
        <v>1454</v>
      </c>
      <c r="C2440" t="s">
        <v>1940</v>
      </c>
      <c r="D2440" t="s">
        <v>26</v>
      </c>
      <c r="E2440" t="s">
        <v>31</v>
      </c>
      <c r="F2440">
        <v>1</v>
      </c>
      <c r="G2440" s="3" t="s">
        <v>32</v>
      </c>
      <c r="H2440" s="46" t="s">
        <v>15</v>
      </c>
      <c r="I2440" s="17">
        <v>351932.25</v>
      </c>
      <c r="J2440" s="17">
        <f>IF(Gastos[[#This Row],[Divisa]]="$", I2440*1, IF(Gastos[[#This Row],[Divisa]]="U$D", I2440*$N$1, IF(Gastos[[#This Row],[Divisa]]="EUR", I2440*$N$2, 0)))</f>
        <v>351932.25</v>
      </c>
      <c r="K2440" s="54">
        <f>Gastos[[#This Row],[Importe AR$]]/$N$1</f>
        <v>225.59759615384615</v>
      </c>
      <c r="M2440" s="69"/>
      <c r="N2440" s="43" t="str">
        <f>IF(Gastos[[#This Row],[Fecha_Cheque]]&gt;0,WEEKNUM(Gastos[[#This Row],[Fecha_Cheque]]),MID(Gastos[[#This Row],[Semana]],6,2))</f>
        <v>10</v>
      </c>
      <c r="O2440" t="s">
        <v>1941</v>
      </c>
      <c r="P2440" t="s">
        <v>27</v>
      </c>
    </row>
    <row r="2441" spans="1:16" hidden="1" x14ac:dyDescent="0.25">
      <c r="A2441" s="3" t="s">
        <v>2711</v>
      </c>
      <c r="B2441" t="s">
        <v>1454</v>
      </c>
      <c r="C2441" t="s">
        <v>2900</v>
      </c>
      <c r="D2441" t="s">
        <v>26</v>
      </c>
      <c r="E2441" t="s">
        <v>31</v>
      </c>
      <c r="F2441">
        <v>1</v>
      </c>
      <c r="G2441" s="3" t="s">
        <v>32</v>
      </c>
      <c r="H2441" s="44" t="s">
        <v>15</v>
      </c>
      <c r="I2441" s="17">
        <v>1271252.81</v>
      </c>
      <c r="J2441" s="17">
        <f>IF(Gastos[[#This Row],[Divisa]]="$", I2441*1, IF(Gastos[[#This Row],[Divisa]]="U$D", I2441*$N$1, IF(Gastos[[#This Row],[Divisa]]="EUR", I2441*$N$2, 0)))</f>
        <v>1271252.81</v>
      </c>
      <c r="K2441" s="54">
        <f>Gastos[[#This Row],[Importe AR$]]/$N$1</f>
        <v>814.90564743589744</v>
      </c>
      <c r="M2441" s="69">
        <v>46152</v>
      </c>
      <c r="N2441" s="43">
        <f>IF(Gastos[[#This Row],[Fecha_Cheque]]&gt;0,WEEKNUM(Gastos[[#This Row],[Fecha_Cheque]]),MID(Gastos[[#This Row],[Semana]],6,2))</f>
        <v>20</v>
      </c>
      <c r="O2441" t="s">
        <v>2901</v>
      </c>
      <c r="P2441" t="s">
        <v>27</v>
      </c>
    </row>
    <row r="2442" spans="1:16" hidden="1" x14ac:dyDescent="0.25">
      <c r="A2442" s="3" t="s">
        <v>2711</v>
      </c>
      <c r="B2442" t="s">
        <v>1454</v>
      </c>
      <c r="C2442" t="s">
        <v>2900</v>
      </c>
      <c r="D2442" t="s">
        <v>26</v>
      </c>
      <c r="E2442" t="s">
        <v>31</v>
      </c>
      <c r="F2442">
        <v>1</v>
      </c>
      <c r="G2442" s="3" t="s">
        <v>32</v>
      </c>
      <c r="H2442" s="44" t="s">
        <v>15</v>
      </c>
      <c r="I2442" s="17">
        <v>16810.39</v>
      </c>
      <c r="J2442" s="17">
        <f>IF(Gastos[[#This Row],[Divisa]]="$", I2442*1, IF(Gastos[[#This Row],[Divisa]]="U$D", I2442*$N$1, IF(Gastos[[#This Row],[Divisa]]="EUR", I2442*$N$2, 0)))</f>
        <v>16810.39</v>
      </c>
      <c r="K2442" s="54">
        <f>Gastos[[#This Row],[Importe AR$]]/$N$1</f>
        <v>10.775891025641025</v>
      </c>
      <c r="L2442" t="s">
        <v>340</v>
      </c>
      <c r="M2442" s="69"/>
      <c r="N2442" s="43" t="str">
        <f>IF(Gastos[[#This Row],[Fecha_Cheque]]&gt;0,WEEKNUM(Gastos[[#This Row],[Fecha_Cheque]]),MID(Gastos[[#This Row],[Semana]],6,2))</f>
        <v>15</v>
      </c>
      <c r="O2442" t="s">
        <v>2901</v>
      </c>
      <c r="P2442" t="s">
        <v>27</v>
      </c>
    </row>
    <row r="2443" spans="1:16" hidden="1" x14ac:dyDescent="0.25">
      <c r="A2443" s="3" t="s">
        <v>3439</v>
      </c>
      <c r="B2443" t="s">
        <v>1454</v>
      </c>
      <c r="C2443" t="s">
        <v>3562</v>
      </c>
      <c r="D2443" t="s">
        <v>26</v>
      </c>
      <c r="E2443" t="s">
        <v>31</v>
      </c>
      <c r="F2443">
        <v>1</v>
      </c>
      <c r="G2443" s="3" t="s">
        <v>32</v>
      </c>
      <c r="H2443" s="44" t="s">
        <v>15</v>
      </c>
      <c r="I2443" s="17">
        <v>701221.78</v>
      </c>
      <c r="J2443" s="17">
        <f>IF(Gastos[[#This Row],[Divisa]]="$", I2443*1, IF(Gastos[[#This Row],[Divisa]]="U$D", I2443*$N$1, IF(Gastos[[#This Row],[Divisa]]="EUR", I2443*$N$2, 0)))</f>
        <v>701221.78</v>
      </c>
      <c r="K2443" s="54">
        <f>Gastos[[#This Row],[Importe AR$]]/$N$1</f>
        <v>449.50114102564106</v>
      </c>
      <c r="M2443" s="69">
        <v>46222</v>
      </c>
      <c r="N2443" s="43">
        <f>IF(Gastos[[#This Row],[Fecha_Cheque]]&gt;0,WEEKNUM(Gastos[[#This Row],[Fecha_Cheque]]),MID(Gastos[[#This Row],[Semana]],6,2))</f>
        <v>30</v>
      </c>
      <c r="O2443" t="s">
        <v>3563</v>
      </c>
      <c r="P2443" t="s">
        <v>27</v>
      </c>
    </row>
    <row r="2444" spans="1:16" hidden="1" x14ac:dyDescent="0.25">
      <c r="A2444" s="3" t="s">
        <v>3439</v>
      </c>
      <c r="B2444" t="s">
        <v>1454</v>
      </c>
      <c r="C2444" t="s">
        <v>3562</v>
      </c>
      <c r="D2444" t="s">
        <v>26</v>
      </c>
      <c r="E2444" t="s">
        <v>31</v>
      </c>
      <c r="F2444">
        <v>1</v>
      </c>
      <c r="G2444" s="3" t="s">
        <v>32</v>
      </c>
      <c r="H2444" s="44" t="s">
        <v>15</v>
      </c>
      <c r="I2444" s="17">
        <v>7230.02</v>
      </c>
      <c r="J2444" s="17">
        <f>IF(Gastos[[#This Row],[Divisa]]="$", I2444*1, IF(Gastos[[#This Row],[Divisa]]="U$D", I2444*$N$1, IF(Gastos[[#This Row],[Divisa]]="EUR", I2444*$N$2, 0)))</f>
        <v>7230.02</v>
      </c>
      <c r="K2444" s="54">
        <f>Gastos[[#This Row],[Importe AR$]]/$N$1</f>
        <v>4.6346282051282053</v>
      </c>
      <c r="L2444" t="s">
        <v>340</v>
      </c>
      <c r="M2444" s="69"/>
      <c r="N2444" s="43" t="str">
        <f>IF(Gastos[[#This Row],[Fecha_Cheque]]&gt;0,WEEKNUM(Gastos[[#This Row],[Fecha_Cheque]]),MID(Gastos[[#This Row],[Semana]],6,2))</f>
        <v>25</v>
      </c>
      <c r="O2444" t="s">
        <v>3563</v>
      </c>
      <c r="P2444" t="s">
        <v>27</v>
      </c>
    </row>
    <row r="2445" spans="1:16" hidden="1" x14ac:dyDescent="0.25">
      <c r="A2445" s="3" t="s">
        <v>4569</v>
      </c>
      <c r="B2445" t="s">
        <v>4641</v>
      </c>
      <c r="C2445" t="s">
        <v>422</v>
      </c>
      <c r="D2445" t="s">
        <v>26</v>
      </c>
      <c r="E2445" t="s">
        <v>62</v>
      </c>
      <c r="F2445">
        <v>1</v>
      </c>
      <c r="G2445" s="3" t="s">
        <v>5</v>
      </c>
      <c r="H2445" s="44" t="s">
        <v>15</v>
      </c>
      <c r="I2445" s="17">
        <v>1452000</v>
      </c>
      <c r="J2445" s="17">
        <f>IF(Gastos[[#This Row],[Divisa]]="$", I2445*1, IF(Gastos[[#This Row],[Divisa]]="U$D", I2445*$N$1, IF(Gastos[[#This Row],[Divisa]]="EUR", I2445*$N$2, 0)))</f>
        <v>1452000</v>
      </c>
      <c r="K2445" s="54">
        <f>Gastos[[#This Row],[Importe AR$]]/$N$1</f>
        <v>930.76923076923072</v>
      </c>
      <c r="M2445" s="69"/>
      <c r="N2445" s="43" t="str">
        <f>IF(Gastos[[#This Row],[Fecha_Cheque]]&gt;0,WEEKNUM(Gastos[[#This Row],[Fecha_Cheque]]),MID(Gastos[[#This Row],[Semana]],6,2))</f>
        <v>43</v>
      </c>
      <c r="O2445" t="s">
        <v>4642</v>
      </c>
      <c r="P2445" t="s">
        <v>27</v>
      </c>
    </row>
    <row r="2446" spans="1:16" hidden="1" x14ac:dyDescent="0.25">
      <c r="A2446" s="3" t="s">
        <v>50</v>
      </c>
      <c r="B2446" t="s">
        <v>1462</v>
      </c>
      <c r="C2446" t="s">
        <v>422</v>
      </c>
      <c r="D2446" t="s">
        <v>26</v>
      </c>
      <c r="E2446" t="s">
        <v>91</v>
      </c>
      <c r="F2446">
        <v>1</v>
      </c>
      <c r="G2446" s="3" t="s">
        <v>5</v>
      </c>
      <c r="H2446" s="46" t="s">
        <v>15</v>
      </c>
      <c r="I2446" s="17">
        <f>519090</f>
        <v>519090</v>
      </c>
      <c r="J2446" s="17">
        <f>IF(Gastos[[#This Row],[Divisa]]="$", I2446*1, IF(Gastos[[#This Row],[Divisa]]="U$D", I2446*$N$1, IF(Gastos[[#This Row],[Divisa]]="EUR", I2446*$N$2, 0)))</f>
        <v>519090</v>
      </c>
      <c r="K2446" s="54">
        <f>Gastos[[#This Row],[Importe AR$]]/$N$1</f>
        <v>332.75</v>
      </c>
      <c r="M2446" s="69"/>
      <c r="N2446" s="43" t="str">
        <f>IF(Gastos[[#This Row],[Fecha_Cheque]]&gt;0,WEEKNUM(Gastos[[#This Row],[Fecha_Cheque]]),MID(Gastos[[#This Row],[Semana]],6,2))</f>
        <v>25</v>
      </c>
      <c r="O2446" t="s">
        <v>1463</v>
      </c>
      <c r="P2446" t="s">
        <v>27</v>
      </c>
    </row>
    <row r="2447" spans="1:16" hidden="1" x14ac:dyDescent="0.25">
      <c r="A2447" s="3" t="s">
        <v>144</v>
      </c>
      <c r="B2447" t="s">
        <v>1462</v>
      </c>
      <c r="C2447" t="s">
        <v>155</v>
      </c>
      <c r="D2447" t="s">
        <v>26</v>
      </c>
      <c r="E2447" t="s">
        <v>31</v>
      </c>
      <c r="F2447">
        <v>1</v>
      </c>
      <c r="G2447" s="3" t="s">
        <v>4</v>
      </c>
      <c r="H2447" s="46" t="s">
        <v>15</v>
      </c>
      <c r="I2447" s="17">
        <v>60000</v>
      </c>
      <c r="J2447" s="17">
        <f>IF(Gastos[[#This Row],[Divisa]]="$", I2447*1, IF(Gastos[[#This Row],[Divisa]]="U$D", I2447*$N$1, IF(Gastos[[#This Row],[Divisa]]="EUR", I2447*$N$2, 0)))</f>
        <v>60000</v>
      </c>
      <c r="K2447" s="54">
        <f>Gastos[[#This Row],[Importe AR$]]/$N$1</f>
        <v>38.46153846153846</v>
      </c>
      <c r="M2447" s="69"/>
      <c r="N2447" s="43" t="str">
        <f>IF(Gastos[[#This Row],[Fecha_Cheque]]&gt;0,WEEKNUM(Gastos[[#This Row],[Fecha_Cheque]]),MID(Gastos[[#This Row],[Semana]],6,2))</f>
        <v>16</v>
      </c>
      <c r="P2447" t="s">
        <v>27</v>
      </c>
    </row>
    <row r="2448" spans="1:16" hidden="1" x14ac:dyDescent="0.25">
      <c r="A2448" s="3" t="s">
        <v>719</v>
      </c>
      <c r="B2448" t="s">
        <v>1462</v>
      </c>
      <c r="C2448" t="s">
        <v>155</v>
      </c>
      <c r="D2448" t="s">
        <v>26</v>
      </c>
      <c r="E2448" t="s">
        <v>31</v>
      </c>
      <c r="F2448">
        <v>1</v>
      </c>
      <c r="G2448" s="3" t="s">
        <v>4</v>
      </c>
      <c r="H2448" s="46" t="s">
        <v>15</v>
      </c>
      <c r="I2448" s="17">
        <v>60000</v>
      </c>
      <c r="J2448" s="17">
        <f>IF(Gastos[[#This Row],[Divisa]]="$", I2448*1, IF(Gastos[[#This Row],[Divisa]]="U$D", I2448*$N$1, IF(Gastos[[#This Row],[Divisa]]="EUR", I2448*$N$2, 0)))</f>
        <v>60000</v>
      </c>
      <c r="K2448" s="54">
        <f>Gastos[[#This Row],[Importe AR$]]/$N$1</f>
        <v>38.46153846153846</v>
      </c>
      <c r="M2448" s="69"/>
      <c r="N2448" s="43" t="str">
        <f>IF(Gastos[[#This Row],[Fecha_Cheque]]&gt;0,WEEKNUM(Gastos[[#This Row],[Fecha_Cheque]]),MID(Gastos[[#This Row],[Semana]],6,2))</f>
        <v>20</v>
      </c>
      <c r="O2448" t="s">
        <v>1464</v>
      </c>
      <c r="P2448" t="s">
        <v>27</v>
      </c>
    </row>
    <row r="2449" spans="1:16" hidden="1" x14ac:dyDescent="0.25">
      <c r="A2449" s="3" t="s">
        <v>290</v>
      </c>
      <c r="B2449" t="s">
        <v>1462</v>
      </c>
      <c r="C2449" t="s">
        <v>422</v>
      </c>
      <c r="D2449" t="s">
        <v>26</v>
      </c>
      <c r="E2449" t="s">
        <v>91</v>
      </c>
      <c r="F2449">
        <v>1</v>
      </c>
      <c r="G2449" s="3" t="s">
        <v>5</v>
      </c>
      <c r="H2449" s="46" t="s">
        <v>15</v>
      </c>
      <c r="I2449" s="17">
        <f>519090</f>
        <v>519090</v>
      </c>
      <c r="J2449" s="17">
        <f>IF(Gastos[[#This Row],[Divisa]]="$", I2449*1, IF(Gastos[[#This Row],[Divisa]]="U$D", I2449*$N$1, IF(Gastos[[#This Row],[Divisa]]="EUR", I2449*$N$2, 0)))</f>
        <v>519090</v>
      </c>
      <c r="K2449" s="54">
        <f>Gastos[[#This Row],[Importe AR$]]/$N$1</f>
        <v>332.75</v>
      </c>
      <c r="M2449" s="69"/>
      <c r="N2449" s="43" t="str">
        <f>IF(Gastos[[#This Row],[Fecha_Cheque]]&gt;0,WEEKNUM(Gastos[[#This Row],[Fecha_Cheque]]),MID(Gastos[[#This Row],[Semana]],6,2))</f>
        <v>23</v>
      </c>
      <c r="O2449" t="s">
        <v>1465</v>
      </c>
      <c r="P2449" t="s">
        <v>27</v>
      </c>
    </row>
    <row r="2450" spans="1:16" hidden="1" x14ac:dyDescent="0.25">
      <c r="A2450" s="3" t="s">
        <v>99</v>
      </c>
      <c r="B2450" t="s">
        <v>1462</v>
      </c>
      <c r="C2450" t="s">
        <v>155</v>
      </c>
      <c r="D2450" t="s">
        <v>26</v>
      </c>
      <c r="E2450" t="s">
        <v>42</v>
      </c>
      <c r="F2450">
        <v>1</v>
      </c>
      <c r="G2450" s="3" t="s">
        <v>4</v>
      </c>
      <c r="H2450" s="46" t="s">
        <v>15</v>
      </c>
      <c r="I2450" s="17">
        <v>60000</v>
      </c>
      <c r="J2450" s="17">
        <f>IF(Gastos[[#This Row],[Divisa]]="$", I2450*1, IF(Gastos[[#This Row],[Divisa]]="U$D", I2450*$N$1, IF(Gastos[[#This Row],[Divisa]]="EUR", I2450*$N$2, 0)))</f>
        <v>60000</v>
      </c>
      <c r="K2450" s="54">
        <f>Gastos[[#This Row],[Importe AR$]]/$N$1</f>
        <v>38.46153846153846</v>
      </c>
      <c r="M2450" s="69"/>
      <c r="N2450" s="43" t="str">
        <f>IF(Gastos[[#This Row],[Fecha_Cheque]]&gt;0,WEEKNUM(Gastos[[#This Row],[Fecha_Cheque]]),MID(Gastos[[#This Row],[Semana]],6,2))</f>
        <v>28</v>
      </c>
      <c r="O2450" t="s">
        <v>1466</v>
      </c>
      <c r="P2450" t="s">
        <v>27</v>
      </c>
    </row>
    <row r="2451" spans="1:16" hidden="1" x14ac:dyDescent="0.25">
      <c r="A2451" s="3" t="s">
        <v>99</v>
      </c>
      <c r="B2451" t="s">
        <v>1462</v>
      </c>
      <c r="C2451" t="s">
        <v>155</v>
      </c>
      <c r="D2451" t="s">
        <v>26</v>
      </c>
      <c r="E2451" t="s">
        <v>42</v>
      </c>
      <c r="F2451">
        <v>1</v>
      </c>
      <c r="G2451" s="3" t="s">
        <v>4</v>
      </c>
      <c r="H2451" s="46" t="s">
        <v>15</v>
      </c>
      <c r="I2451" s="17">
        <v>60000</v>
      </c>
      <c r="J2451" s="17">
        <f>IF(Gastos[[#This Row],[Divisa]]="$", I2451*1, IF(Gastos[[#This Row],[Divisa]]="U$D", I2451*$N$1, IF(Gastos[[#This Row],[Divisa]]="EUR", I2451*$N$2, 0)))</f>
        <v>60000</v>
      </c>
      <c r="K2451" s="54">
        <f>Gastos[[#This Row],[Importe AR$]]/$N$1</f>
        <v>38.46153846153846</v>
      </c>
      <c r="M2451" s="69"/>
      <c r="N2451" s="43" t="str">
        <f>IF(Gastos[[#This Row],[Fecha_Cheque]]&gt;0,WEEKNUM(Gastos[[#This Row],[Fecha_Cheque]]),MID(Gastos[[#This Row],[Semana]],6,2))</f>
        <v>28</v>
      </c>
      <c r="O2451" t="s">
        <v>1467</v>
      </c>
      <c r="P2451" t="s">
        <v>27</v>
      </c>
    </row>
    <row r="2452" spans="1:16" hidden="1" x14ac:dyDescent="0.25">
      <c r="A2452" s="3" t="s">
        <v>114</v>
      </c>
      <c r="B2452" t="s">
        <v>1462</v>
      </c>
      <c r="C2452" t="s">
        <v>422</v>
      </c>
      <c r="D2452" t="s">
        <v>26</v>
      </c>
      <c r="E2452" t="s">
        <v>91</v>
      </c>
      <c r="F2452">
        <v>1</v>
      </c>
      <c r="G2452" s="3" t="s">
        <v>5</v>
      </c>
      <c r="H2452" s="46" t="s">
        <v>15</v>
      </c>
      <c r="I2452" s="17">
        <v>519090</v>
      </c>
      <c r="J2452" s="17">
        <f>IF(Gastos[[#This Row],[Divisa]]="$", I2452*1, IF(Gastos[[#This Row],[Divisa]]="U$D", I2452*$N$1, IF(Gastos[[#This Row],[Divisa]]="EUR", I2452*$N$2, 0)))</f>
        <v>519090</v>
      </c>
      <c r="K2452" s="54">
        <f>Gastos[[#This Row],[Importe AR$]]/$N$1</f>
        <v>332.75</v>
      </c>
      <c r="M2452" s="69"/>
      <c r="N2452" s="43" t="str">
        <f>IF(Gastos[[#This Row],[Fecha_Cheque]]&gt;0,WEEKNUM(Gastos[[#This Row],[Fecha_Cheque]]),MID(Gastos[[#This Row],[Semana]],6,2))</f>
        <v>29</v>
      </c>
      <c r="O2452" t="s">
        <v>1468</v>
      </c>
      <c r="P2452" t="s">
        <v>27</v>
      </c>
    </row>
    <row r="2453" spans="1:16" hidden="1" x14ac:dyDescent="0.25">
      <c r="A2453" s="3" t="s">
        <v>217</v>
      </c>
      <c r="B2453" t="s">
        <v>1462</v>
      </c>
      <c r="C2453" t="s">
        <v>155</v>
      </c>
      <c r="D2453" t="s">
        <v>26</v>
      </c>
      <c r="E2453" t="s">
        <v>42</v>
      </c>
      <c r="F2453">
        <v>1</v>
      </c>
      <c r="G2453" s="3" t="s">
        <v>4</v>
      </c>
      <c r="H2453" s="46" t="s">
        <v>15</v>
      </c>
      <c r="I2453" s="17">
        <v>60000</v>
      </c>
      <c r="J2453" s="17">
        <f>IF(Gastos[[#This Row],[Divisa]]="$", I2453*1, IF(Gastos[[#This Row],[Divisa]]="U$D", I2453*$N$1, IF(Gastos[[#This Row],[Divisa]]="EUR", I2453*$N$2, 0)))</f>
        <v>60000</v>
      </c>
      <c r="K2453" s="54">
        <f>Gastos[[#This Row],[Importe AR$]]/$N$1</f>
        <v>38.46153846153846</v>
      </c>
      <c r="M2453" s="69"/>
      <c r="N2453" s="43" t="str">
        <f>IF(Gastos[[#This Row],[Fecha_Cheque]]&gt;0,WEEKNUM(Gastos[[#This Row],[Fecha_Cheque]]),MID(Gastos[[#This Row],[Semana]],6,2))</f>
        <v>30</v>
      </c>
      <c r="O2453" t="s">
        <v>1469</v>
      </c>
      <c r="P2453" t="s">
        <v>27</v>
      </c>
    </row>
    <row r="2454" spans="1:16" hidden="1" x14ac:dyDescent="0.25">
      <c r="A2454" s="3" t="s">
        <v>53</v>
      </c>
      <c r="B2454" t="s">
        <v>1462</v>
      </c>
      <c r="C2454" t="s">
        <v>693</v>
      </c>
      <c r="D2454" t="s">
        <v>26</v>
      </c>
      <c r="E2454" t="s">
        <v>91</v>
      </c>
      <c r="F2454">
        <v>1</v>
      </c>
      <c r="G2454" s="3" t="s">
        <v>5</v>
      </c>
      <c r="H2454" s="46" t="s">
        <v>15</v>
      </c>
      <c r="I2454" s="17">
        <v>511853.4</v>
      </c>
      <c r="J2454" s="17">
        <f>IF(Gastos[[#This Row],[Divisa]]="$", I2454*1, IF(Gastos[[#This Row],[Divisa]]="U$D", I2454*$N$1, IF(Gastos[[#This Row],[Divisa]]="EUR", I2454*$N$2, 0)))</f>
        <v>511853.4</v>
      </c>
      <c r="K2454" s="54">
        <f>Gastos[[#This Row],[Importe AR$]]/$N$1</f>
        <v>328.11115384615385</v>
      </c>
      <c r="M2454" s="69"/>
      <c r="N2454" s="43" t="str">
        <f>IF(Gastos[[#This Row],[Fecha_Cheque]]&gt;0,WEEKNUM(Gastos[[#This Row],[Fecha_Cheque]]),MID(Gastos[[#This Row],[Semana]],6,2))</f>
        <v>34</v>
      </c>
      <c r="O2454" t="s">
        <v>1470</v>
      </c>
      <c r="P2454" t="s">
        <v>27</v>
      </c>
    </row>
    <row r="2455" spans="1:16" hidden="1" x14ac:dyDescent="0.25">
      <c r="A2455" s="3" t="s">
        <v>117</v>
      </c>
      <c r="B2455" t="s">
        <v>1462</v>
      </c>
      <c r="C2455" t="s">
        <v>155</v>
      </c>
      <c r="D2455" t="s">
        <v>26</v>
      </c>
      <c r="E2455" t="s">
        <v>42</v>
      </c>
      <c r="F2455">
        <v>1</v>
      </c>
      <c r="G2455" s="3" t="s">
        <v>4</v>
      </c>
      <c r="H2455" s="46" t="s">
        <v>15</v>
      </c>
      <c r="I2455" s="17">
        <v>68029.5</v>
      </c>
      <c r="J2455" s="17">
        <f>IF(Gastos[[#This Row],[Divisa]]="$", I2455*1, IF(Gastos[[#This Row],[Divisa]]="U$D", I2455*$N$1, IF(Gastos[[#This Row],[Divisa]]="EUR", I2455*$N$2, 0)))</f>
        <v>68029.5</v>
      </c>
      <c r="K2455" s="54">
        <f>Gastos[[#This Row],[Importe AR$]]/$N$1</f>
        <v>43.60865384615385</v>
      </c>
      <c r="M2455" s="69"/>
      <c r="N2455" s="43" t="str">
        <f>IF(Gastos[[#This Row],[Fecha_Cheque]]&gt;0,WEEKNUM(Gastos[[#This Row],[Fecha_Cheque]]),MID(Gastos[[#This Row],[Semana]],6,2))</f>
        <v>35</v>
      </c>
      <c r="O2455" t="s">
        <v>123</v>
      </c>
      <c r="P2455" t="s">
        <v>27</v>
      </c>
    </row>
    <row r="2456" spans="1:16" hidden="1" x14ac:dyDescent="0.25">
      <c r="A2456" s="3" t="s">
        <v>89</v>
      </c>
      <c r="B2456" t="s">
        <v>1462</v>
      </c>
      <c r="C2456" t="s">
        <v>693</v>
      </c>
      <c r="D2456" t="s">
        <v>26</v>
      </c>
      <c r="E2456" t="s">
        <v>91</v>
      </c>
      <c r="F2456">
        <v>1</v>
      </c>
      <c r="G2456" s="3" t="s">
        <v>5</v>
      </c>
      <c r="H2456" s="46" t="s">
        <v>15</v>
      </c>
      <c r="I2456" s="17">
        <v>519090</v>
      </c>
      <c r="J2456" s="17">
        <f>IF(Gastos[[#This Row],[Divisa]]="$", I2456*1, IF(Gastos[[#This Row],[Divisa]]="U$D", I2456*$N$1, IF(Gastos[[#This Row],[Divisa]]="EUR", I2456*$N$2, 0)))</f>
        <v>519090</v>
      </c>
      <c r="K2456" s="54">
        <f>Gastos[[#This Row],[Importe AR$]]/$N$1</f>
        <v>332.75</v>
      </c>
      <c r="M2456" s="69"/>
      <c r="N2456" s="43" t="str">
        <f>IF(Gastos[[#This Row],[Fecha_Cheque]]&gt;0,WEEKNUM(Gastos[[#This Row],[Fecha_Cheque]]),MID(Gastos[[#This Row],[Semana]],6,2))</f>
        <v>39</v>
      </c>
      <c r="O2456" t="s">
        <v>1471</v>
      </c>
      <c r="P2456" t="s">
        <v>27</v>
      </c>
    </row>
    <row r="2457" spans="1:16" hidden="1" x14ac:dyDescent="0.25">
      <c r="A2457" s="3" t="s">
        <v>56</v>
      </c>
      <c r="B2457" t="s">
        <v>1462</v>
      </c>
      <c r="C2457" t="s">
        <v>693</v>
      </c>
      <c r="D2457" t="s">
        <v>26</v>
      </c>
      <c r="E2457" t="s">
        <v>91</v>
      </c>
      <c r="F2457">
        <v>1</v>
      </c>
      <c r="G2457" s="3" t="s">
        <v>5</v>
      </c>
      <c r="H2457" s="46" t="s">
        <v>15</v>
      </c>
      <c r="I2457" s="17">
        <v>519090</v>
      </c>
      <c r="J2457" s="17">
        <f>IF(Gastos[[#This Row],[Divisa]]="$", I2457*1, IF(Gastos[[#This Row],[Divisa]]="U$D", I2457*$N$1, IF(Gastos[[#This Row],[Divisa]]="EUR", I2457*$N$2, 0)))</f>
        <v>519090</v>
      </c>
      <c r="K2457" s="54">
        <f>Gastos[[#This Row],[Importe AR$]]/$N$1</f>
        <v>332.75</v>
      </c>
      <c r="M2457" s="69"/>
      <c r="N2457" s="43" t="str">
        <f>IF(Gastos[[#This Row],[Fecha_Cheque]]&gt;0,WEEKNUM(Gastos[[#This Row],[Fecha_Cheque]]),MID(Gastos[[#This Row],[Semana]],6,2))</f>
        <v>41</v>
      </c>
      <c r="O2457" t="s">
        <v>1472</v>
      </c>
      <c r="P2457" t="s">
        <v>27</v>
      </c>
    </row>
    <row r="2458" spans="1:16" hidden="1" x14ac:dyDescent="0.25">
      <c r="A2458" s="3" t="s">
        <v>79</v>
      </c>
      <c r="B2458" t="s">
        <v>1462</v>
      </c>
      <c r="C2458" t="s">
        <v>155</v>
      </c>
      <c r="D2458" t="s">
        <v>26</v>
      </c>
      <c r="E2458" t="s">
        <v>42</v>
      </c>
      <c r="F2458">
        <v>1</v>
      </c>
      <c r="G2458" s="3" t="s">
        <v>4</v>
      </c>
      <c r="H2458" s="46" t="s">
        <v>15</v>
      </c>
      <c r="I2458" s="17">
        <v>72600</v>
      </c>
      <c r="J2458" s="17">
        <f>IF(Gastos[[#This Row],[Divisa]]="$", I2458*1, IF(Gastos[[#This Row],[Divisa]]="U$D", I2458*$N$1, IF(Gastos[[#This Row],[Divisa]]="EUR", I2458*$N$2, 0)))</f>
        <v>72600</v>
      </c>
      <c r="K2458" s="54">
        <f>Gastos[[#This Row],[Importe AR$]]/$N$1</f>
        <v>46.53846153846154</v>
      </c>
      <c r="M2458" s="69"/>
      <c r="N2458" s="43" t="str">
        <f>IF(Gastos[[#This Row],[Fecha_Cheque]]&gt;0,WEEKNUM(Gastos[[#This Row],[Fecha_Cheque]]),MID(Gastos[[#This Row],[Semana]],6,2))</f>
        <v>47</v>
      </c>
      <c r="O2458" t="s">
        <v>1473</v>
      </c>
      <c r="P2458" t="s">
        <v>27</v>
      </c>
    </row>
    <row r="2459" spans="1:16" hidden="1" x14ac:dyDescent="0.25">
      <c r="A2459" s="3" t="s">
        <v>93</v>
      </c>
      <c r="B2459" t="s">
        <v>1462</v>
      </c>
      <c r="D2459" t="s">
        <v>26</v>
      </c>
      <c r="E2459" t="s">
        <v>91</v>
      </c>
      <c r="F2459">
        <v>1</v>
      </c>
      <c r="G2459" s="3" t="s">
        <v>5</v>
      </c>
      <c r="H2459" s="46" t="s">
        <v>15</v>
      </c>
      <c r="I2459" s="17">
        <v>511853.4</v>
      </c>
      <c r="J2459" s="17">
        <f>IF(Gastos[[#This Row],[Divisa]]="$", I2459*1, IF(Gastos[[#This Row],[Divisa]]="U$D", I2459*$N$1, IF(Gastos[[#This Row],[Divisa]]="EUR", I2459*$N$2, 0)))</f>
        <v>511853.4</v>
      </c>
      <c r="K2459" s="54">
        <f>Gastos[[#This Row],[Importe AR$]]/$N$1</f>
        <v>328.11115384615385</v>
      </c>
      <c r="M2459" s="69"/>
      <c r="N2459" s="43" t="str">
        <f>IF(Gastos[[#This Row],[Fecha_Cheque]]&gt;0,WEEKNUM(Gastos[[#This Row],[Fecha_Cheque]]),MID(Gastos[[#This Row],[Semana]],6,2))</f>
        <v>50</v>
      </c>
      <c r="O2459" t="s">
        <v>1474</v>
      </c>
      <c r="P2459" t="s">
        <v>27</v>
      </c>
    </row>
    <row r="2460" spans="1:16" hidden="1" x14ac:dyDescent="0.25">
      <c r="A2460" s="3" t="s">
        <v>44</v>
      </c>
      <c r="B2460" t="s">
        <v>1462</v>
      </c>
      <c r="C2460" t="s">
        <v>1475</v>
      </c>
      <c r="D2460" t="s">
        <v>26</v>
      </c>
      <c r="E2460" t="s">
        <v>42</v>
      </c>
      <c r="F2460">
        <v>1</v>
      </c>
      <c r="G2460" s="3" t="s">
        <v>4</v>
      </c>
      <c r="H2460" s="46" t="s">
        <v>15</v>
      </c>
      <c r="I2460" s="17">
        <v>80000</v>
      </c>
      <c r="J2460" s="17">
        <f>IF(Gastos[[#This Row],[Divisa]]="$", I2460*1, IF(Gastos[[#This Row],[Divisa]]="U$D", I2460*$N$1, IF(Gastos[[#This Row],[Divisa]]="EUR", I2460*$N$2, 0)))</f>
        <v>80000</v>
      </c>
      <c r="K2460" s="54">
        <f>Gastos[[#This Row],[Importe AR$]]/$N$1</f>
        <v>51.282051282051285</v>
      </c>
      <c r="M2460" s="69"/>
      <c r="N2460" s="43" t="str">
        <f>IF(Gastos[[#This Row],[Fecha_Cheque]]&gt;0,WEEKNUM(Gastos[[#This Row],[Fecha_Cheque]]),MID(Gastos[[#This Row],[Semana]],6,2))</f>
        <v>51</v>
      </c>
      <c r="O2460" t="s">
        <v>1476</v>
      </c>
      <c r="P2460" t="s">
        <v>27</v>
      </c>
    </row>
    <row r="2461" spans="1:16" hidden="1" x14ac:dyDescent="0.25">
      <c r="A2461" s="3" t="s">
        <v>44</v>
      </c>
      <c r="B2461" t="s">
        <v>1462</v>
      </c>
      <c r="C2461" t="s">
        <v>1475</v>
      </c>
      <c r="D2461" t="s">
        <v>26</v>
      </c>
      <c r="E2461" t="s">
        <v>42</v>
      </c>
      <c r="F2461">
        <v>1</v>
      </c>
      <c r="G2461" s="3" t="s">
        <v>4</v>
      </c>
      <c r="H2461" s="46" t="s">
        <v>15</v>
      </c>
      <c r="I2461" s="17">
        <f>78000</f>
        <v>78000</v>
      </c>
      <c r="J2461" s="17">
        <f>IF(Gastos[[#This Row],[Divisa]]="$", I2461*1, IF(Gastos[[#This Row],[Divisa]]="U$D", I2461*$N$1, IF(Gastos[[#This Row],[Divisa]]="EUR", I2461*$N$2, 0)))</f>
        <v>78000</v>
      </c>
      <c r="K2461" s="54">
        <f>Gastos[[#This Row],[Importe AR$]]/$N$1</f>
        <v>50</v>
      </c>
      <c r="M2461" s="69"/>
      <c r="N2461" s="43" t="str">
        <f>IF(Gastos[[#This Row],[Fecha_Cheque]]&gt;0,WEEKNUM(Gastos[[#This Row],[Fecha_Cheque]]),MID(Gastos[[#This Row],[Semana]],6,2))</f>
        <v>51</v>
      </c>
      <c r="O2461" t="s">
        <v>1477</v>
      </c>
      <c r="P2461" t="s">
        <v>27</v>
      </c>
    </row>
    <row r="2462" spans="1:16" hidden="1" x14ac:dyDescent="0.25">
      <c r="A2462" s="3" t="s">
        <v>44</v>
      </c>
      <c r="B2462" t="s">
        <v>1462</v>
      </c>
      <c r="C2462" t="s">
        <v>693</v>
      </c>
      <c r="D2462" t="s">
        <v>26</v>
      </c>
      <c r="E2462" t="s">
        <v>91</v>
      </c>
      <c r="F2462">
        <v>1</v>
      </c>
      <c r="G2462" s="3" t="s">
        <v>5</v>
      </c>
      <c r="H2462" s="46" t="s">
        <v>15</v>
      </c>
      <c r="I2462" s="17">
        <v>726000</v>
      </c>
      <c r="J2462" s="17">
        <f>IF(Gastos[[#This Row],[Divisa]]="$", I2462*1, IF(Gastos[[#This Row],[Divisa]]="U$D", I2462*$N$1, IF(Gastos[[#This Row],[Divisa]]="EUR", I2462*$N$2, 0)))</f>
        <v>726000</v>
      </c>
      <c r="K2462" s="54">
        <f>Gastos[[#This Row],[Importe AR$]]/$N$1</f>
        <v>465.38461538461536</v>
      </c>
      <c r="M2462" s="69"/>
      <c r="N2462" s="43" t="str">
        <f>IF(Gastos[[#This Row],[Fecha_Cheque]]&gt;0,WEEKNUM(Gastos[[#This Row],[Fecha_Cheque]]),MID(Gastos[[#This Row],[Semana]],6,2))</f>
        <v>51</v>
      </c>
      <c r="O2462" t="s">
        <v>1478</v>
      </c>
      <c r="P2462" t="s">
        <v>27</v>
      </c>
    </row>
    <row r="2463" spans="1:16" hidden="1" x14ac:dyDescent="0.25">
      <c r="A2463" s="3" t="s">
        <v>75</v>
      </c>
      <c r="B2463" t="s">
        <v>1462</v>
      </c>
      <c r="C2463" t="s">
        <v>639</v>
      </c>
      <c r="D2463" t="s">
        <v>26</v>
      </c>
      <c r="E2463" t="s">
        <v>91</v>
      </c>
      <c r="F2463">
        <v>1</v>
      </c>
      <c r="G2463" s="3" t="s">
        <v>5</v>
      </c>
      <c r="H2463" s="46" t="s">
        <v>15</v>
      </c>
      <c r="I2463" s="17">
        <v>726000</v>
      </c>
      <c r="J2463" s="17">
        <f>IF(Gastos[[#This Row],[Divisa]]="$", I2463*1, IF(Gastos[[#This Row],[Divisa]]="U$D", I2463*$N$1, IF(Gastos[[#This Row],[Divisa]]="EUR", I2463*$N$2, 0)))</f>
        <v>726000</v>
      </c>
      <c r="K2463" s="54">
        <f>Gastos[[#This Row],[Importe AR$]]/$N$1</f>
        <v>465.38461538461536</v>
      </c>
      <c r="M2463" s="69"/>
      <c r="N2463" s="43" t="str">
        <f>IF(Gastos[[#This Row],[Fecha_Cheque]]&gt;0,WEEKNUM(Gastos[[#This Row],[Fecha_Cheque]]),MID(Gastos[[#This Row],[Semana]],6,2))</f>
        <v>07</v>
      </c>
      <c r="O2463" t="s">
        <v>1479</v>
      </c>
      <c r="P2463" t="s">
        <v>27</v>
      </c>
    </row>
    <row r="2464" spans="1:16" hidden="1" x14ac:dyDescent="0.25">
      <c r="A2464" s="3" t="s">
        <v>619</v>
      </c>
      <c r="B2464" t="s">
        <v>1462</v>
      </c>
      <c r="C2464" t="s">
        <v>155</v>
      </c>
      <c r="D2464" t="s">
        <v>26</v>
      </c>
      <c r="E2464" t="s">
        <v>91</v>
      </c>
      <c r="F2464">
        <v>1</v>
      </c>
      <c r="G2464" s="3" t="s">
        <v>4</v>
      </c>
      <c r="H2464" s="46" t="s">
        <v>15</v>
      </c>
      <c r="I2464" s="17">
        <v>80520.009999999995</v>
      </c>
      <c r="J2464" s="17">
        <f>IF(Gastos[[#This Row],[Divisa]]="$", I2464*1, IF(Gastos[[#This Row],[Divisa]]="U$D", I2464*$N$1, IF(Gastos[[#This Row],[Divisa]]="EUR", I2464*$N$2, 0)))</f>
        <v>80520.009999999995</v>
      </c>
      <c r="K2464" s="54">
        <f>Gastos[[#This Row],[Importe AR$]]/$N$1</f>
        <v>51.615391025641024</v>
      </c>
      <c r="M2464" s="69"/>
      <c r="N2464" s="43" t="str">
        <f>IF(Gastos[[#This Row],[Fecha_Cheque]]&gt;0,WEEKNUM(Gastos[[#This Row],[Fecha_Cheque]]),MID(Gastos[[#This Row],[Semana]],6,2))</f>
        <v>10</v>
      </c>
      <c r="O2464" t="s">
        <v>1946</v>
      </c>
      <c r="P2464" t="s">
        <v>27</v>
      </c>
    </row>
    <row r="2465" spans="1:16" hidden="1" x14ac:dyDescent="0.25">
      <c r="A2465" s="3" t="s">
        <v>619</v>
      </c>
      <c r="B2465" t="s">
        <v>1462</v>
      </c>
      <c r="C2465" t="s">
        <v>155</v>
      </c>
      <c r="D2465" t="s">
        <v>26</v>
      </c>
      <c r="E2465" t="s">
        <v>91</v>
      </c>
      <c r="F2465">
        <v>1</v>
      </c>
      <c r="G2465" s="3" t="s">
        <v>4</v>
      </c>
      <c r="H2465" s="46" t="s">
        <v>15</v>
      </c>
      <c r="I2465" s="17">
        <v>82029.75</v>
      </c>
      <c r="J2465" s="17">
        <f>IF(Gastos[[#This Row],[Divisa]]="$", I2465*1, IF(Gastos[[#This Row],[Divisa]]="U$D", I2465*$N$1, IF(Gastos[[#This Row],[Divisa]]="EUR", I2465*$N$2, 0)))</f>
        <v>82029.75</v>
      </c>
      <c r="K2465" s="54">
        <f>Gastos[[#This Row],[Importe AR$]]/$N$1</f>
        <v>52.583173076923075</v>
      </c>
      <c r="M2465" s="69"/>
      <c r="N2465" s="43" t="str">
        <f>IF(Gastos[[#This Row],[Fecha_Cheque]]&gt;0,WEEKNUM(Gastos[[#This Row],[Fecha_Cheque]]),MID(Gastos[[#This Row],[Semana]],6,2))</f>
        <v>10</v>
      </c>
      <c r="O2465" t="s">
        <v>1947</v>
      </c>
      <c r="P2465" t="s">
        <v>27</v>
      </c>
    </row>
    <row r="2466" spans="1:16" hidden="1" x14ac:dyDescent="0.25">
      <c r="A2466" s="3" t="s">
        <v>828</v>
      </c>
      <c r="B2466" t="s">
        <v>1462</v>
      </c>
      <c r="C2466" t="s">
        <v>155</v>
      </c>
      <c r="D2466" t="s">
        <v>26</v>
      </c>
      <c r="E2466" t="s">
        <v>91</v>
      </c>
      <c r="F2466">
        <v>1</v>
      </c>
      <c r="G2466" s="3" t="s">
        <v>5</v>
      </c>
      <c r="H2466" s="44" t="s">
        <v>15</v>
      </c>
      <c r="I2466" s="17">
        <v>93006.52</v>
      </c>
      <c r="J2466" s="17">
        <f>IF(Gastos[[#This Row],[Divisa]]="$", I2466*1, IF(Gastos[[#This Row],[Divisa]]="U$D", I2466*$N$1, IF(Gastos[[#This Row],[Divisa]]="EUR", I2466*$N$2, 0)))</f>
        <v>93006.52</v>
      </c>
      <c r="K2466" s="54">
        <f>Gastos[[#This Row],[Importe AR$]]/$N$1</f>
        <v>59.619564102564105</v>
      </c>
      <c r="M2466" s="69"/>
      <c r="N2466" s="43" t="str">
        <f>IF(Gastos[[#This Row],[Fecha_Cheque]]&gt;0,WEEKNUM(Gastos[[#This Row],[Fecha_Cheque]]),MID(Gastos[[#This Row],[Semana]],6,2))</f>
        <v>13</v>
      </c>
      <c r="O2466" t="s">
        <v>2642</v>
      </c>
      <c r="P2466" t="s">
        <v>27</v>
      </c>
    </row>
    <row r="2467" spans="1:16" hidden="1" x14ac:dyDescent="0.25">
      <c r="A2467" s="3" t="s">
        <v>39</v>
      </c>
      <c r="B2467" t="s">
        <v>1462</v>
      </c>
      <c r="C2467" t="s">
        <v>421</v>
      </c>
      <c r="D2467" t="s">
        <v>26</v>
      </c>
      <c r="E2467" t="s">
        <v>91</v>
      </c>
      <c r="F2467">
        <v>1</v>
      </c>
      <c r="G2467" s="3" t="s">
        <v>5</v>
      </c>
      <c r="H2467" s="44" t="s">
        <v>15</v>
      </c>
      <c r="I2467" s="17">
        <v>726000</v>
      </c>
      <c r="J2467" s="17">
        <f>IF(Gastos[[#This Row],[Divisa]]="$", I2467*1, IF(Gastos[[#This Row],[Divisa]]="U$D", I2467*$N$1, IF(Gastos[[#This Row],[Divisa]]="EUR", I2467*$N$2, 0)))</f>
        <v>726000</v>
      </c>
      <c r="K2467" s="54">
        <f>Gastos[[#This Row],[Importe AR$]]/$N$1</f>
        <v>465.38461538461536</v>
      </c>
      <c r="M2467" s="69"/>
      <c r="N2467" s="43" t="str">
        <f>IF(Gastos[[#This Row],[Fecha_Cheque]]&gt;0,WEEKNUM(Gastos[[#This Row],[Fecha_Cheque]]),MID(Gastos[[#This Row],[Semana]],6,2))</f>
        <v>14</v>
      </c>
      <c r="O2467" t="s">
        <v>1479</v>
      </c>
      <c r="P2467" t="s">
        <v>27</v>
      </c>
    </row>
    <row r="2468" spans="1:16" hidden="1" x14ac:dyDescent="0.25">
      <c r="A2468" s="3" t="s">
        <v>2711</v>
      </c>
      <c r="B2468" t="s">
        <v>1462</v>
      </c>
      <c r="C2468" t="s">
        <v>2838</v>
      </c>
      <c r="D2468" t="s">
        <v>26</v>
      </c>
      <c r="E2468" t="s">
        <v>91</v>
      </c>
      <c r="F2468">
        <v>1</v>
      </c>
      <c r="G2468" s="3" t="s">
        <v>5</v>
      </c>
      <c r="H2468" s="44" t="s">
        <v>15</v>
      </c>
      <c r="I2468" s="17">
        <v>715343.4</v>
      </c>
      <c r="J2468" s="17">
        <f>IF(Gastos[[#This Row],[Divisa]]="$", I2468*1, IF(Gastos[[#This Row],[Divisa]]="U$D", I2468*$N$1, IF(Gastos[[#This Row],[Divisa]]="EUR", I2468*$N$2, 0)))</f>
        <v>715343.4</v>
      </c>
      <c r="K2468" s="54">
        <f>Gastos[[#This Row],[Importe AR$]]/$N$1</f>
        <v>458.55346153846153</v>
      </c>
      <c r="M2468" s="69"/>
      <c r="N2468" s="43" t="str">
        <f>IF(Gastos[[#This Row],[Fecha_Cheque]]&gt;0,WEEKNUM(Gastos[[#This Row],[Fecha_Cheque]]),MID(Gastos[[#This Row],[Semana]],6,2))</f>
        <v>15</v>
      </c>
      <c r="O2468" t="s">
        <v>2902</v>
      </c>
      <c r="P2468" t="s">
        <v>27</v>
      </c>
    </row>
    <row r="2469" spans="1:16" hidden="1" x14ac:dyDescent="0.25">
      <c r="A2469" s="3" t="s">
        <v>2763</v>
      </c>
      <c r="B2469" t="s">
        <v>1462</v>
      </c>
      <c r="C2469" t="s">
        <v>2867</v>
      </c>
      <c r="D2469" t="s">
        <v>26</v>
      </c>
      <c r="E2469" t="s">
        <v>91</v>
      </c>
      <c r="F2469">
        <v>1</v>
      </c>
      <c r="G2469" s="3" t="s">
        <v>5</v>
      </c>
      <c r="H2469" s="44" t="s">
        <v>15</v>
      </c>
      <c r="I2469" s="17">
        <v>715343.4</v>
      </c>
      <c r="J2469" s="17">
        <f>IF(Gastos[[#This Row],[Divisa]]="$", I2469*1, IF(Gastos[[#This Row],[Divisa]]="U$D", I2469*$N$1, IF(Gastos[[#This Row],[Divisa]]="EUR", I2469*$N$2, 0)))</f>
        <v>715343.4</v>
      </c>
      <c r="K2469" s="54">
        <f>Gastos[[#This Row],[Importe AR$]]/$N$1</f>
        <v>458.55346153846153</v>
      </c>
      <c r="M2469" s="69"/>
      <c r="N2469" s="43" t="str">
        <f>IF(Gastos[[#This Row],[Fecha_Cheque]]&gt;0,WEEKNUM(Gastos[[#This Row],[Fecha_Cheque]]),MID(Gastos[[#This Row],[Semana]],6,2))</f>
        <v>23</v>
      </c>
      <c r="O2469" t="s">
        <v>3325</v>
      </c>
      <c r="P2469" t="s">
        <v>27</v>
      </c>
    </row>
    <row r="2470" spans="1:16" hidden="1" x14ac:dyDescent="0.25">
      <c r="A2470" s="3" t="s">
        <v>2763</v>
      </c>
      <c r="B2470" t="s">
        <v>1462</v>
      </c>
      <c r="C2470" t="s">
        <v>2867</v>
      </c>
      <c r="D2470" t="s">
        <v>26</v>
      </c>
      <c r="E2470" t="s">
        <v>91</v>
      </c>
      <c r="F2470">
        <v>1</v>
      </c>
      <c r="G2470" s="3" t="s">
        <v>5</v>
      </c>
      <c r="H2470" s="44" t="s">
        <v>15</v>
      </c>
      <c r="I2470" s="17">
        <v>10656.6</v>
      </c>
      <c r="J2470" s="17">
        <f>IF(Gastos[[#This Row],[Divisa]]="$", I2470*1, IF(Gastos[[#This Row],[Divisa]]="U$D", I2470*$N$1, IF(Gastos[[#This Row],[Divisa]]="EUR", I2470*$N$2, 0)))</f>
        <v>10656.6</v>
      </c>
      <c r="K2470" s="54">
        <f>Gastos[[#This Row],[Importe AR$]]/$N$1</f>
        <v>6.8311538461538461</v>
      </c>
      <c r="L2470" t="s">
        <v>340</v>
      </c>
      <c r="M2470" s="69"/>
      <c r="N2470" s="43" t="str">
        <f>IF(Gastos[[#This Row],[Fecha_Cheque]]&gt;0,WEEKNUM(Gastos[[#This Row],[Fecha_Cheque]]),MID(Gastos[[#This Row],[Semana]],6,2))</f>
        <v>23</v>
      </c>
      <c r="O2470" t="s">
        <v>3325</v>
      </c>
      <c r="P2470" t="s">
        <v>27</v>
      </c>
    </row>
    <row r="2471" spans="1:16" hidden="1" x14ac:dyDescent="0.25">
      <c r="A2471" s="3" t="s">
        <v>3617</v>
      </c>
      <c r="B2471" t="s">
        <v>1462</v>
      </c>
      <c r="C2471" t="s">
        <v>155</v>
      </c>
      <c r="D2471" t="s">
        <v>26</v>
      </c>
      <c r="E2471" t="s">
        <v>42</v>
      </c>
      <c r="F2471">
        <v>1</v>
      </c>
      <c r="G2471" s="3" t="s">
        <v>4</v>
      </c>
      <c r="H2471" s="44" t="s">
        <v>15</v>
      </c>
      <c r="I2471" s="17">
        <v>97960.01</v>
      </c>
      <c r="J2471" s="17">
        <f>IF(Gastos[[#This Row],[Divisa]]="$", I2471*1, IF(Gastos[[#This Row],[Divisa]]="U$D", I2471*$N$1, IF(Gastos[[#This Row],[Divisa]]="EUR", I2471*$N$2, 0)))</f>
        <v>97960.01</v>
      </c>
      <c r="K2471" s="54">
        <f>Gastos[[#This Row],[Importe AR$]]/$N$1</f>
        <v>62.7948782051282</v>
      </c>
      <c r="M2471" s="69"/>
      <c r="N2471" s="43" t="str">
        <f>IF(Gastos[[#This Row],[Fecha_Cheque]]&gt;0,WEEKNUM(Gastos[[#This Row],[Fecha_Cheque]]),MID(Gastos[[#This Row],[Semana]],6,2))</f>
        <v>27</v>
      </c>
      <c r="O2471" t="s">
        <v>3674</v>
      </c>
      <c r="P2471" t="s">
        <v>27</v>
      </c>
    </row>
    <row r="2472" spans="1:16" hidden="1" x14ac:dyDescent="0.25">
      <c r="A2472" s="3" t="s">
        <v>3617</v>
      </c>
      <c r="B2472" t="s">
        <v>1462</v>
      </c>
      <c r="C2472" t="s">
        <v>155</v>
      </c>
      <c r="D2472" t="s">
        <v>26</v>
      </c>
      <c r="E2472" t="s">
        <v>42</v>
      </c>
      <c r="F2472">
        <v>1</v>
      </c>
      <c r="G2472" s="3" t="s">
        <v>4</v>
      </c>
      <c r="H2472" s="44" t="s">
        <v>15</v>
      </c>
      <c r="I2472" s="17">
        <v>97800</v>
      </c>
      <c r="J2472" s="17">
        <f>IF(Gastos[[#This Row],[Divisa]]="$", I2472*1, IF(Gastos[[#This Row],[Divisa]]="U$D", I2472*$N$1, IF(Gastos[[#This Row],[Divisa]]="EUR", I2472*$N$2, 0)))</f>
        <v>97800</v>
      </c>
      <c r="K2472" s="54">
        <f>Gastos[[#This Row],[Importe AR$]]/$N$1</f>
        <v>62.692307692307693</v>
      </c>
      <c r="M2472" s="69"/>
      <c r="N2472" s="43" t="str">
        <f>IF(Gastos[[#This Row],[Fecha_Cheque]]&gt;0,WEEKNUM(Gastos[[#This Row],[Fecha_Cheque]]),MID(Gastos[[#This Row],[Semana]],6,2))</f>
        <v>27</v>
      </c>
      <c r="O2472" t="s">
        <v>3675</v>
      </c>
      <c r="P2472" t="s">
        <v>27</v>
      </c>
    </row>
    <row r="2473" spans="1:16" hidden="1" x14ac:dyDescent="0.25">
      <c r="A2473" s="3" t="s">
        <v>3617</v>
      </c>
      <c r="B2473" t="s">
        <v>1462</v>
      </c>
      <c r="C2473" t="s">
        <v>155</v>
      </c>
      <c r="D2473" t="s">
        <v>26</v>
      </c>
      <c r="E2473" t="s">
        <v>42</v>
      </c>
      <c r="F2473">
        <v>1</v>
      </c>
      <c r="G2473" s="3" t="s">
        <v>4</v>
      </c>
      <c r="H2473" s="44" t="s">
        <v>15</v>
      </c>
      <c r="I2473" s="17">
        <v>98160</v>
      </c>
      <c r="J2473" s="17">
        <f>IF(Gastos[[#This Row],[Divisa]]="$", I2473*1, IF(Gastos[[#This Row],[Divisa]]="U$D", I2473*$N$1, IF(Gastos[[#This Row],[Divisa]]="EUR", I2473*$N$2, 0)))</f>
        <v>98160</v>
      </c>
      <c r="K2473" s="54">
        <f>Gastos[[#This Row],[Importe AR$]]/$N$1</f>
        <v>62.92307692307692</v>
      </c>
      <c r="M2473" s="69"/>
      <c r="N2473" s="43" t="str">
        <f>IF(Gastos[[#This Row],[Fecha_Cheque]]&gt;0,WEEKNUM(Gastos[[#This Row],[Fecha_Cheque]]),MID(Gastos[[#This Row],[Semana]],6,2))</f>
        <v>27</v>
      </c>
      <c r="O2473" t="s">
        <v>3676</v>
      </c>
      <c r="P2473" t="s">
        <v>27</v>
      </c>
    </row>
    <row r="2474" spans="1:16" hidden="1" x14ac:dyDescent="0.25">
      <c r="A2474" s="3" t="s">
        <v>3693</v>
      </c>
      <c r="B2474" t="s">
        <v>1462</v>
      </c>
      <c r="C2474" t="s">
        <v>155</v>
      </c>
      <c r="D2474" t="s">
        <v>26</v>
      </c>
      <c r="E2474" t="s">
        <v>42</v>
      </c>
      <c r="F2474">
        <v>1</v>
      </c>
      <c r="G2474" s="3" t="s">
        <v>4</v>
      </c>
      <c r="H2474" s="44" t="s">
        <v>15</v>
      </c>
      <c r="I2474" s="17">
        <v>149509.01999999999</v>
      </c>
      <c r="J2474" s="17">
        <f>IF(Gastos[[#This Row],[Divisa]]="$", I2474*1, IF(Gastos[[#This Row],[Divisa]]="U$D", I2474*$N$1, IF(Gastos[[#This Row],[Divisa]]="EUR", I2474*$N$2, 0)))</f>
        <v>149509.01999999999</v>
      </c>
      <c r="K2474" s="54">
        <f>Gastos[[#This Row],[Importe AR$]]/$N$1</f>
        <v>95.839115384615383</v>
      </c>
      <c r="M2474" s="69"/>
      <c r="N2474" s="43" t="str">
        <f>IF(Gastos[[#This Row],[Fecha_Cheque]]&gt;0,WEEKNUM(Gastos[[#This Row],[Fecha_Cheque]]),MID(Gastos[[#This Row],[Semana]],6,2))</f>
        <v>28</v>
      </c>
      <c r="O2474" t="s">
        <v>3697</v>
      </c>
      <c r="P2474" t="s">
        <v>27</v>
      </c>
    </row>
    <row r="2475" spans="1:16" hidden="1" x14ac:dyDescent="0.25">
      <c r="A2475" s="3" t="s">
        <v>3693</v>
      </c>
      <c r="B2475" t="s">
        <v>1462</v>
      </c>
      <c r="C2475" t="s">
        <v>155</v>
      </c>
      <c r="D2475" t="s">
        <v>26</v>
      </c>
      <c r="E2475" t="s">
        <v>42</v>
      </c>
      <c r="F2475">
        <v>1</v>
      </c>
      <c r="G2475" s="3" t="s">
        <v>4</v>
      </c>
      <c r="H2475" s="44" t="s">
        <v>15</v>
      </c>
      <c r="I2475" s="17">
        <v>49060</v>
      </c>
      <c r="J2475" s="17">
        <f>IF(Gastos[[#This Row],[Divisa]]="$", I2475*1, IF(Gastos[[#This Row],[Divisa]]="U$D", I2475*$N$1, IF(Gastos[[#This Row],[Divisa]]="EUR", I2475*$N$2, 0)))</f>
        <v>49060</v>
      </c>
      <c r="K2475" s="54">
        <f>Gastos[[#This Row],[Importe AR$]]/$N$1</f>
        <v>31.448717948717949</v>
      </c>
      <c r="M2475" s="69"/>
      <c r="N2475" s="43" t="str">
        <f>IF(Gastos[[#This Row],[Fecha_Cheque]]&gt;0,WEEKNUM(Gastos[[#This Row],[Fecha_Cheque]]),MID(Gastos[[#This Row],[Semana]],6,2))</f>
        <v>28</v>
      </c>
      <c r="O2475" t="s">
        <v>3752</v>
      </c>
      <c r="P2475" t="s">
        <v>27</v>
      </c>
    </row>
    <row r="2476" spans="1:16" hidden="1" x14ac:dyDescent="0.25">
      <c r="A2476" s="3" t="s">
        <v>3817</v>
      </c>
      <c r="B2476" t="s">
        <v>1462</v>
      </c>
      <c r="C2476" t="s">
        <v>155</v>
      </c>
      <c r="D2476" t="s">
        <v>26</v>
      </c>
      <c r="E2476" t="s">
        <v>42</v>
      </c>
      <c r="F2476">
        <v>1</v>
      </c>
      <c r="G2476" s="3" t="s">
        <v>4</v>
      </c>
      <c r="H2476" s="44" t="s">
        <v>15</v>
      </c>
      <c r="I2476" s="17">
        <v>98520</v>
      </c>
      <c r="J2476" s="17">
        <f>IF(Gastos[[#This Row],[Divisa]]="$", I2476*1, IF(Gastos[[#This Row],[Divisa]]="U$D", I2476*$N$1, IF(Gastos[[#This Row],[Divisa]]="EUR", I2476*$N$2, 0)))</f>
        <v>98520</v>
      </c>
      <c r="K2476" s="54">
        <f>Gastos[[#This Row],[Importe AR$]]/$N$1</f>
        <v>63.153846153846153</v>
      </c>
      <c r="M2476" s="69"/>
      <c r="N2476" s="43" t="str">
        <f>IF(Gastos[[#This Row],[Fecha_Cheque]]&gt;0,WEEKNUM(Gastos[[#This Row],[Fecha_Cheque]]),MID(Gastos[[#This Row],[Semana]],6,2))</f>
        <v>30</v>
      </c>
      <c r="O2476" t="s">
        <v>3851</v>
      </c>
      <c r="P2476" t="s">
        <v>27</v>
      </c>
    </row>
    <row r="2477" spans="1:16" hidden="1" x14ac:dyDescent="0.25">
      <c r="A2477" s="3" t="s">
        <v>4157</v>
      </c>
      <c r="B2477" t="s">
        <v>1462</v>
      </c>
      <c r="C2477" t="s">
        <v>155</v>
      </c>
      <c r="D2477" t="s">
        <v>26</v>
      </c>
      <c r="E2477" t="s">
        <v>42</v>
      </c>
      <c r="F2477">
        <v>1</v>
      </c>
      <c r="G2477" s="3" t="s">
        <v>4</v>
      </c>
      <c r="H2477" s="44" t="s">
        <v>15</v>
      </c>
      <c r="I2477" s="17">
        <f>99999.93+100000.09</f>
        <v>200000.02</v>
      </c>
      <c r="J2477" s="17">
        <f>IF(Gastos[[#This Row],[Divisa]]="$", I2477*1, IF(Gastos[[#This Row],[Divisa]]="U$D", I2477*$N$1, IF(Gastos[[#This Row],[Divisa]]="EUR", I2477*$N$2, 0)))</f>
        <v>200000.02</v>
      </c>
      <c r="K2477" s="54">
        <f>Gastos[[#This Row],[Importe AR$]]/$N$1</f>
        <v>128.20514102564101</v>
      </c>
      <c r="M2477" s="69"/>
      <c r="N2477" s="43" t="str">
        <f>IF(Gastos[[#This Row],[Fecha_Cheque]]&gt;0,WEEKNUM(Gastos[[#This Row],[Fecha_Cheque]]),MID(Gastos[[#This Row],[Semana]],6,2))</f>
        <v>36</v>
      </c>
      <c r="O2477" t="s">
        <v>4198</v>
      </c>
      <c r="P2477" t="s">
        <v>27</v>
      </c>
    </row>
    <row r="2478" spans="1:16" hidden="1" x14ac:dyDescent="0.25">
      <c r="A2478" s="3" t="s">
        <v>4322</v>
      </c>
      <c r="B2478" t="s">
        <v>1462</v>
      </c>
      <c r="C2478" t="s">
        <v>422</v>
      </c>
      <c r="D2478" t="s">
        <v>26</v>
      </c>
      <c r="E2478" t="s">
        <v>91</v>
      </c>
      <c r="F2478">
        <v>1</v>
      </c>
      <c r="G2478" s="3" t="s">
        <v>5</v>
      </c>
      <c r="H2478" s="44" t="s">
        <v>15</v>
      </c>
      <c r="I2478" s="17">
        <v>726000</v>
      </c>
      <c r="J2478" s="17">
        <f>IF(Gastos[[#This Row],[Divisa]]="$", I2478*1, IF(Gastos[[#This Row],[Divisa]]="U$D", I2478*$N$1, IF(Gastos[[#This Row],[Divisa]]="EUR", I2478*$N$2, 0)))</f>
        <v>726000</v>
      </c>
      <c r="K2478" s="54">
        <f>Gastos[[#This Row],[Importe AR$]]/$N$1</f>
        <v>465.38461538461536</v>
      </c>
      <c r="M2478" s="69"/>
      <c r="N2478" s="43" t="str">
        <f>IF(Gastos[[#This Row],[Fecha_Cheque]]&gt;0,WEEKNUM(Gastos[[#This Row],[Fecha_Cheque]]),MID(Gastos[[#This Row],[Semana]],6,2))</f>
        <v>38</v>
      </c>
      <c r="O2478" t="s">
        <v>4332</v>
      </c>
      <c r="P2478" t="s">
        <v>27</v>
      </c>
    </row>
    <row r="2479" spans="1:16" hidden="1" x14ac:dyDescent="0.25">
      <c r="A2479" s="3" t="s">
        <v>4409</v>
      </c>
      <c r="B2479" t="s">
        <v>1462</v>
      </c>
      <c r="C2479" t="s">
        <v>155</v>
      </c>
      <c r="D2479" t="s">
        <v>26</v>
      </c>
      <c r="E2479" t="s">
        <v>42</v>
      </c>
      <c r="F2479">
        <v>1</v>
      </c>
      <c r="G2479" s="3" t="s">
        <v>4</v>
      </c>
      <c r="H2479" s="44" t="s">
        <v>15</v>
      </c>
      <c r="I2479" s="17">
        <v>93018.52</v>
      </c>
      <c r="J2479" s="17">
        <f>IF(Gastos[[#This Row],[Divisa]]="$", I2479*1, IF(Gastos[[#This Row],[Divisa]]="U$D", I2479*$N$1, IF(Gastos[[#This Row],[Divisa]]="EUR", I2479*$N$2, 0)))</f>
        <v>93018.52</v>
      </c>
      <c r="K2479" s="54">
        <f>Gastos[[#This Row],[Importe AR$]]/$N$1</f>
        <v>59.627256410256415</v>
      </c>
      <c r="M2479" s="69"/>
      <c r="N2479" s="43" t="str">
        <f>IF(Gastos[[#This Row],[Fecha_Cheque]]&gt;0,WEEKNUM(Gastos[[#This Row],[Fecha_Cheque]]),MID(Gastos[[#This Row],[Semana]],6,2))</f>
        <v>40</v>
      </c>
      <c r="O2479" t="s">
        <v>4413</v>
      </c>
      <c r="P2479" t="s">
        <v>27</v>
      </c>
    </row>
    <row r="2480" spans="1:16" hidden="1" x14ac:dyDescent="0.25">
      <c r="A2480" s="3" t="s">
        <v>4409</v>
      </c>
      <c r="B2480" t="s">
        <v>1462</v>
      </c>
      <c r="C2480" t="s">
        <v>155</v>
      </c>
      <c r="D2480" t="s">
        <v>26</v>
      </c>
      <c r="E2480" t="s">
        <v>42</v>
      </c>
      <c r="F2480">
        <v>1</v>
      </c>
      <c r="G2480" s="3" t="s">
        <v>4</v>
      </c>
      <c r="H2480" s="44" t="s">
        <v>15</v>
      </c>
      <c r="I2480" s="17">
        <v>100007.82</v>
      </c>
      <c r="J2480" s="17">
        <f>IF(Gastos[[#This Row],[Divisa]]="$", I2480*1, IF(Gastos[[#This Row],[Divisa]]="U$D", I2480*$N$1, IF(Gastos[[#This Row],[Divisa]]="EUR", I2480*$N$2, 0)))</f>
        <v>100007.82</v>
      </c>
      <c r="K2480" s="54">
        <f>Gastos[[#This Row],[Importe AR$]]/$N$1</f>
        <v>64.107576923076934</v>
      </c>
      <c r="M2480" s="69"/>
      <c r="N2480" s="43" t="str">
        <f>IF(Gastos[[#This Row],[Fecha_Cheque]]&gt;0,WEEKNUM(Gastos[[#This Row],[Fecha_Cheque]]),MID(Gastos[[#This Row],[Semana]],6,2))</f>
        <v>40</v>
      </c>
      <c r="O2480" t="s">
        <v>4414</v>
      </c>
      <c r="P2480" t="s">
        <v>27</v>
      </c>
    </row>
    <row r="2481" spans="1:16" hidden="1" x14ac:dyDescent="0.25">
      <c r="A2481" s="3" t="s">
        <v>4513</v>
      </c>
      <c r="B2481" t="s">
        <v>1462</v>
      </c>
      <c r="C2481" t="s">
        <v>4551</v>
      </c>
      <c r="D2481" t="s">
        <v>26</v>
      </c>
      <c r="E2481" t="s">
        <v>91</v>
      </c>
      <c r="F2481">
        <v>1</v>
      </c>
      <c r="G2481" s="3" t="s">
        <v>5</v>
      </c>
      <c r="H2481" s="44" t="s">
        <v>15</v>
      </c>
      <c r="I2481" s="17">
        <v>1822800</v>
      </c>
      <c r="J2481" s="17">
        <f>IF(Gastos[[#This Row],[Divisa]]="$", I2481*1, IF(Gastos[[#This Row],[Divisa]]="U$D", I2481*$N$1, IF(Gastos[[#This Row],[Divisa]]="EUR", I2481*$N$2, 0)))</f>
        <v>1822800</v>
      </c>
      <c r="K2481" s="54">
        <f>Gastos[[#This Row],[Importe AR$]]/$N$1</f>
        <v>1168.4615384615386</v>
      </c>
      <c r="M2481" s="69">
        <v>46329</v>
      </c>
      <c r="N2481" s="43">
        <f>IF(Gastos[[#This Row],[Fecha_Cheque]]&gt;0,WEEKNUM(Gastos[[#This Row],[Fecha_Cheque]]),MID(Gastos[[#This Row],[Semana]],6,2))</f>
        <v>45</v>
      </c>
      <c r="O2481" t="s">
        <v>4552</v>
      </c>
      <c r="P2481" t="s">
        <v>27</v>
      </c>
    </row>
    <row r="2482" spans="1:16" hidden="1" x14ac:dyDescent="0.25">
      <c r="A2482" s="3" t="s">
        <v>4513</v>
      </c>
      <c r="B2482" t="s">
        <v>1462</v>
      </c>
      <c r="C2482" t="s">
        <v>4551</v>
      </c>
      <c r="D2482" t="s">
        <v>26</v>
      </c>
      <c r="E2482" t="s">
        <v>91</v>
      </c>
      <c r="F2482">
        <v>1</v>
      </c>
      <c r="G2482" s="3" t="s">
        <v>5</v>
      </c>
      <c r="H2482" s="44" t="s">
        <v>15</v>
      </c>
      <c r="I2482" s="17">
        <v>28785.53</v>
      </c>
      <c r="J2482" s="17">
        <f>IF(Gastos[[#This Row],[Divisa]]="$", I2482*1, IF(Gastos[[#This Row],[Divisa]]="U$D", I2482*$N$1, IF(Gastos[[#This Row],[Divisa]]="EUR", I2482*$N$2, 0)))</f>
        <v>28785.53</v>
      </c>
      <c r="K2482" s="54">
        <f>Gastos[[#This Row],[Importe AR$]]/$N$1</f>
        <v>18.452262820512821</v>
      </c>
      <c r="L2482" t="s">
        <v>340</v>
      </c>
      <c r="M2482" s="69"/>
      <c r="N2482" s="43" t="str">
        <f>IF(Gastos[[#This Row],[Fecha_Cheque]]&gt;0,WEEKNUM(Gastos[[#This Row],[Fecha_Cheque]]),MID(Gastos[[#This Row],[Semana]],6,2))</f>
        <v>42</v>
      </c>
      <c r="O2482" t="s">
        <v>4552</v>
      </c>
      <c r="P2482" t="s">
        <v>27</v>
      </c>
    </row>
    <row r="2483" spans="1:16" hidden="1" x14ac:dyDescent="0.25">
      <c r="A2483" s="3" t="s">
        <v>4513</v>
      </c>
      <c r="B2483" t="s">
        <v>1462</v>
      </c>
      <c r="C2483" t="s">
        <v>4551</v>
      </c>
      <c r="D2483" t="s">
        <v>26</v>
      </c>
      <c r="E2483" t="s">
        <v>91</v>
      </c>
      <c r="F2483">
        <v>1</v>
      </c>
      <c r="G2483" s="3" t="s">
        <v>5</v>
      </c>
      <c r="H2483" s="44" t="s">
        <v>15</v>
      </c>
      <c r="I2483" s="17">
        <v>2400000</v>
      </c>
      <c r="J2483" s="17">
        <f>IF(Gastos[[#This Row],[Divisa]]="$", I2483*1, IF(Gastos[[#This Row],[Divisa]]="U$D", I2483*$N$1, IF(Gastos[[#This Row],[Divisa]]="EUR", I2483*$N$2, 0)))</f>
        <v>2400000</v>
      </c>
      <c r="K2483" s="54">
        <f>Gastos[[#This Row],[Importe AR$]]/$N$1</f>
        <v>1538.4615384615386</v>
      </c>
      <c r="M2483" s="69">
        <v>46353</v>
      </c>
      <c r="N2483" s="43">
        <f>IF(Gastos[[#This Row],[Fecha_Cheque]]&gt;0,WEEKNUM(Gastos[[#This Row],[Fecha_Cheque]]),MID(Gastos[[#This Row],[Semana]],6,2))</f>
        <v>48</v>
      </c>
      <c r="O2483" t="s">
        <v>4553</v>
      </c>
      <c r="P2483" t="s">
        <v>27</v>
      </c>
    </row>
    <row r="2484" spans="1:16" hidden="1" x14ac:dyDescent="0.25">
      <c r="A2484" s="3" t="s">
        <v>4513</v>
      </c>
      <c r="B2484" t="s">
        <v>1462</v>
      </c>
      <c r="C2484" t="s">
        <v>4551</v>
      </c>
      <c r="D2484" t="s">
        <v>26</v>
      </c>
      <c r="E2484" t="s">
        <v>91</v>
      </c>
      <c r="F2484">
        <v>1</v>
      </c>
      <c r="G2484" s="3" t="s">
        <v>5</v>
      </c>
      <c r="H2484" s="44" t="s">
        <v>15</v>
      </c>
      <c r="I2484" s="17">
        <v>40145.21</v>
      </c>
      <c r="J2484" s="17">
        <f>IF(Gastos[[#This Row],[Divisa]]="$", I2484*1, IF(Gastos[[#This Row],[Divisa]]="U$D", I2484*$N$1, IF(Gastos[[#This Row],[Divisa]]="EUR", I2484*$N$2, 0)))</f>
        <v>40145.21</v>
      </c>
      <c r="K2484" s="54">
        <f>Gastos[[#This Row],[Importe AR$]]/$N$1</f>
        <v>25.734108974358975</v>
      </c>
      <c r="L2484" t="s">
        <v>340</v>
      </c>
      <c r="M2484" s="69"/>
      <c r="N2484" s="43" t="str">
        <f>IF(Gastos[[#This Row],[Fecha_Cheque]]&gt;0,WEEKNUM(Gastos[[#This Row],[Fecha_Cheque]]),MID(Gastos[[#This Row],[Semana]],6,2))</f>
        <v>42</v>
      </c>
      <c r="O2484" t="s">
        <v>4553</v>
      </c>
      <c r="P2484" t="s">
        <v>27</v>
      </c>
    </row>
    <row r="2485" spans="1:16" x14ac:dyDescent="0.25">
      <c r="A2485" s="3" t="s">
        <v>4655</v>
      </c>
      <c r="B2485" t="s">
        <v>1363</v>
      </c>
      <c r="C2485" t="s">
        <v>3346</v>
      </c>
      <c r="D2485" t="s">
        <v>26</v>
      </c>
      <c r="E2485" t="s">
        <v>91</v>
      </c>
      <c r="F2485">
        <v>1</v>
      </c>
      <c r="G2485" s="3" t="s">
        <v>5</v>
      </c>
      <c r="H2485" s="44" t="s">
        <v>15</v>
      </c>
      <c r="I2485" s="17">
        <f>14673*3</f>
        <v>44019</v>
      </c>
      <c r="J2485" s="17">
        <f>IF(Gastos[[#This Row],[Divisa]]="$", I2485*1, IF(Gastos[[#This Row],[Divisa]]="U$D", I2485*$N$1, IF(Gastos[[#This Row],[Divisa]]="EUR", I2485*$N$2, 0)))</f>
        <v>44019</v>
      </c>
      <c r="K2485" s="54">
        <f>Gastos[[#This Row],[Importe AR$]]/$N$1</f>
        <v>28.217307692307692</v>
      </c>
      <c r="M2485" s="69"/>
      <c r="N2485" s="43" t="str">
        <f>IF(Gastos[[#This Row],[Fecha_Cheque]]&gt;0,WEEKNUM(Gastos[[#This Row],[Fecha_Cheque]]),MID(Gastos[[#This Row],[Semana]],6,2))</f>
        <v>44</v>
      </c>
      <c r="P2485" t="s">
        <v>7</v>
      </c>
    </row>
    <row r="2486" spans="1:16" x14ac:dyDescent="0.25">
      <c r="A2486" s="3" t="s">
        <v>4655</v>
      </c>
      <c r="B2486" t="s">
        <v>1370</v>
      </c>
      <c r="C2486" t="s">
        <v>3894</v>
      </c>
      <c r="D2486" t="s">
        <v>26</v>
      </c>
      <c r="E2486" t="s">
        <v>62</v>
      </c>
      <c r="F2486">
        <v>1</v>
      </c>
      <c r="G2486" s="3" t="s">
        <v>32</v>
      </c>
      <c r="H2486" s="46" t="s">
        <v>15</v>
      </c>
      <c r="I2486" s="17">
        <v>3507894.19</v>
      </c>
      <c r="J2486" s="17">
        <f>IF(Gastos[[#This Row],[Divisa]]="$", I2486*1, IF(Gastos[[#This Row],[Divisa]]="U$D", I2486*$N$1, IF(Gastos[[#This Row],[Divisa]]="EUR", I2486*$N$2, 0)))</f>
        <v>3507894.19</v>
      </c>
      <c r="K2486" s="54">
        <f>Gastos[[#This Row],[Importe AR$]]/$N$1</f>
        <v>2248.6501217948717</v>
      </c>
      <c r="M2486" s="69"/>
      <c r="N2486" s="43" t="str">
        <f>IF(Gastos[[#This Row],[Fecha_Cheque]]&gt;0,WEEKNUM(Gastos[[#This Row],[Fecha_Cheque]]),MID(Gastos[[#This Row],[Semana]],6,2))</f>
        <v>44</v>
      </c>
    </row>
    <row r="2487" spans="1:16" x14ac:dyDescent="0.25">
      <c r="A2487" s="3" t="s">
        <v>4655</v>
      </c>
      <c r="B2487" t="s">
        <v>3149</v>
      </c>
      <c r="C2487" t="s">
        <v>3178</v>
      </c>
      <c r="D2487" t="s">
        <v>26</v>
      </c>
      <c r="E2487" t="s">
        <v>62</v>
      </c>
      <c r="F2487">
        <v>1</v>
      </c>
      <c r="G2487" s="3" t="s">
        <v>32</v>
      </c>
      <c r="H2487" s="44" t="s">
        <v>2</v>
      </c>
      <c r="I2487" s="17">
        <v>0</v>
      </c>
      <c r="J2487" s="17">
        <f>IF(Gastos[[#This Row],[Divisa]]="$", I2487*1, IF(Gastos[[#This Row],[Divisa]]="U$D", I2487*$N$1, IF(Gastos[[#This Row],[Divisa]]="EUR", I2487*$N$2, 0)))</f>
        <v>0</v>
      </c>
      <c r="K2487" s="54">
        <f>Gastos[[#This Row],[Importe AR$]]/$N$1</f>
        <v>0</v>
      </c>
      <c r="M2487" s="69"/>
      <c r="N2487" s="43" t="str">
        <f>IF(Gastos[[#This Row],[Fecha_Cheque]]&gt;0,WEEKNUM(Gastos[[#This Row],[Fecha_Cheque]]),MID(Gastos[[#This Row],[Semana]],6,2))</f>
        <v>44</v>
      </c>
    </row>
    <row r="2488" spans="1:16" x14ac:dyDescent="0.25">
      <c r="A2488" s="3" t="s">
        <v>4655</v>
      </c>
      <c r="B2488" t="s">
        <v>3909</v>
      </c>
      <c r="C2488" t="s">
        <v>3908</v>
      </c>
      <c r="D2488" t="s">
        <v>26</v>
      </c>
      <c r="E2488" t="s">
        <v>62</v>
      </c>
      <c r="F2488">
        <v>1</v>
      </c>
      <c r="G2488" s="3" t="s">
        <v>32</v>
      </c>
      <c r="H2488" s="44" t="s">
        <v>15</v>
      </c>
      <c r="I2488" s="17">
        <v>2500000</v>
      </c>
      <c r="J2488" s="17">
        <f>IF(Gastos[[#This Row],[Divisa]]="$", I2488*1, IF(Gastos[[#This Row],[Divisa]]="U$D", I2488*$N$1, IF(Gastos[[#This Row],[Divisa]]="EUR", I2488*$N$2, 0)))</f>
        <v>2500000</v>
      </c>
      <c r="K2488" s="54">
        <f>Gastos[[#This Row],[Importe AR$]]/$N$1</f>
        <v>1602.5641025641025</v>
      </c>
      <c r="M2488" s="69"/>
      <c r="N2488" s="43" t="str">
        <f>IF(Gastos[[#This Row],[Fecha_Cheque]]&gt;0,WEEKNUM(Gastos[[#This Row],[Fecha_Cheque]]),MID(Gastos[[#This Row],[Semana]],6,2))</f>
        <v>44</v>
      </c>
    </row>
    <row r="2489" spans="1:16" hidden="1" x14ac:dyDescent="0.25">
      <c r="A2489" s="3" t="s">
        <v>114</v>
      </c>
      <c r="B2489" t="s">
        <v>1480</v>
      </c>
      <c r="C2489" t="s">
        <v>1481</v>
      </c>
      <c r="D2489" t="s">
        <v>26</v>
      </c>
      <c r="E2489" t="s">
        <v>31</v>
      </c>
      <c r="F2489">
        <v>1</v>
      </c>
      <c r="G2489" s="3" t="s">
        <v>5</v>
      </c>
      <c r="H2489" s="46" t="s">
        <v>15</v>
      </c>
      <c r="I2489" s="17">
        <f>1472000/2</f>
        <v>736000</v>
      </c>
      <c r="J2489" s="17">
        <f>IF(Gastos[[#This Row],[Divisa]]="$", I2489*1, IF(Gastos[[#This Row],[Divisa]]="U$D", I2489*$N$1, IF(Gastos[[#This Row],[Divisa]]="EUR", I2489*$N$2, 0)))</f>
        <v>736000</v>
      </c>
      <c r="K2489" s="54">
        <f>Gastos[[#This Row],[Importe AR$]]/$N$1</f>
        <v>471.79487179487177</v>
      </c>
      <c r="M2489" s="69">
        <v>45877</v>
      </c>
      <c r="N2489" s="43">
        <f>IF(Gastos[[#This Row],[Fecha_Cheque]]&gt;0,WEEKNUM(Gastos[[#This Row],[Fecha_Cheque]]),MID(Gastos[[#This Row],[Semana]],6,2))</f>
        <v>32</v>
      </c>
      <c r="O2489" t="s">
        <v>1482</v>
      </c>
      <c r="P2489" t="s">
        <v>27</v>
      </c>
    </row>
    <row r="2490" spans="1:16" hidden="1" x14ac:dyDescent="0.25">
      <c r="A2490" s="3" t="s">
        <v>114</v>
      </c>
      <c r="B2490" t="s">
        <v>1480</v>
      </c>
      <c r="C2490" t="s">
        <v>1481</v>
      </c>
      <c r="D2490" t="s">
        <v>26</v>
      </c>
      <c r="E2490" t="s">
        <v>31</v>
      </c>
      <c r="F2490">
        <v>1</v>
      </c>
      <c r="G2490" s="3" t="s">
        <v>5</v>
      </c>
      <c r="H2490" s="46" t="s">
        <v>15</v>
      </c>
      <c r="I2490" s="17">
        <f>1472000/2</f>
        <v>736000</v>
      </c>
      <c r="J2490" s="17">
        <f>IF(Gastos[[#This Row],[Divisa]]="$", I2490*1, IF(Gastos[[#This Row],[Divisa]]="U$D", I2490*$N$1, IF(Gastos[[#This Row],[Divisa]]="EUR", I2490*$N$2, 0)))</f>
        <v>736000</v>
      </c>
      <c r="K2490" s="54">
        <f>Gastos[[#This Row],[Importe AR$]]/$N$1</f>
        <v>471.79487179487177</v>
      </c>
      <c r="M2490" s="69">
        <v>45897</v>
      </c>
      <c r="N2490" s="43">
        <f>IF(Gastos[[#This Row],[Fecha_Cheque]]&gt;0,WEEKNUM(Gastos[[#This Row],[Fecha_Cheque]]),MID(Gastos[[#This Row],[Semana]],6,2))</f>
        <v>35</v>
      </c>
      <c r="O2490" t="s">
        <v>1482</v>
      </c>
      <c r="P2490" t="s">
        <v>27</v>
      </c>
    </row>
    <row r="2491" spans="1:16" hidden="1" x14ac:dyDescent="0.25">
      <c r="A2491" s="3" t="s">
        <v>232</v>
      </c>
      <c r="B2491" t="s">
        <v>1480</v>
      </c>
      <c r="C2491" t="s">
        <v>1483</v>
      </c>
      <c r="D2491" t="s">
        <v>26</v>
      </c>
      <c r="E2491" t="s">
        <v>31</v>
      </c>
      <c r="F2491">
        <v>1</v>
      </c>
      <c r="G2491" s="3" t="s">
        <v>32</v>
      </c>
      <c r="H2491" s="46" t="s">
        <v>15</v>
      </c>
      <c r="I2491" s="17">
        <v>142446.20000000001</v>
      </c>
      <c r="J2491" s="17">
        <f>IF(Gastos[[#This Row],[Divisa]]="$", I2491*1, IF(Gastos[[#This Row],[Divisa]]="U$D", I2491*$N$1, IF(Gastos[[#This Row],[Divisa]]="EUR", I2491*$N$2, 0)))</f>
        <v>142446.20000000001</v>
      </c>
      <c r="K2491" s="54">
        <f>Gastos[[#This Row],[Importe AR$]]/$N$1</f>
        <v>91.311666666666667</v>
      </c>
      <c r="M2491" s="69">
        <v>45990</v>
      </c>
      <c r="N2491" s="43">
        <f>IF(Gastos[[#This Row],[Fecha_Cheque]]&gt;0,WEEKNUM(Gastos[[#This Row],[Fecha_Cheque]]),MID(Gastos[[#This Row],[Semana]],6,2))</f>
        <v>48</v>
      </c>
      <c r="O2491" t="s">
        <v>1484</v>
      </c>
      <c r="P2491" t="s">
        <v>27</v>
      </c>
    </row>
    <row r="2492" spans="1:16" hidden="1" x14ac:dyDescent="0.25">
      <c r="A2492" s="3" t="s">
        <v>232</v>
      </c>
      <c r="B2492" t="s">
        <v>1480</v>
      </c>
      <c r="C2492" t="s">
        <v>1483</v>
      </c>
      <c r="D2492" t="s">
        <v>26</v>
      </c>
      <c r="E2492" t="s">
        <v>31</v>
      </c>
      <c r="F2492">
        <v>1</v>
      </c>
      <c r="G2492" s="3" t="s">
        <v>32</v>
      </c>
      <c r="H2492" s="46" t="s">
        <v>15</v>
      </c>
      <c r="I2492" s="17">
        <v>675824.16</v>
      </c>
      <c r="J2492" s="17">
        <f>IF(Gastos[[#This Row],[Divisa]]="$", I2492*1, IF(Gastos[[#This Row],[Divisa]]="U$D", I2492*$N$1, IF(Gastos[[#This Row],[Divisa]]="EUR", I2492*$N$2, 0)))</f>
        <v>675824.16</v>
      </c>
      <c r="K2492" s="54">
        <f>Gastos[[#This Row],[Importe AR$]]/$N$1</f>
        <v>433.22061538461543</v>
      </c>
      <c r="M2492" s="69">
        <v>45993</v>
      </c>
      <c r="N2492" s="43">
        <f>IF(Gastos[[#This Row],[Fecha_Cheque]]&gt;0,WEEKNUM(Gastos[[#This Row],[Fecha_Cheque]]),MID(Gastos[[#This Row],[Semana]],6,2))</f>
        <v>49</v>
      </c>
      <c r="O2492" t="s">
        <v>1484</v>
      </c>
      <c r="P2492" t="s">
        <v>27</v>
      </c>
    </row>
    <row r="2493" spans="1:16" hidden="1" x14ac:dyDescent="0.25">
      <c r="A2493" s="3" t="s">
        <v>232</v>
      </c>
      <c r="B2493" t="s">
        <v>1480</v>
      </c>
      <c r="C2493" t="s">
        <v>1483</v>
      </c>
      <c r="D2493" t="s">
        <v>26</v>
      </c>
      <c r="E2493" t="s">
        <v>31</v>
      </c>
      <c r="F2493">
        <v>1</v>
      </c>
      <c r="G2493" s="3" t="s">
        <v>5</v>
      </c>
      <c r="H2493" s="46" t="s">
        <v>15</v>
      </c>
      <c r="I2493" s="17">
        <v>41829.480000000003</v>
      </c>
      <c r="J2493" s="17">
        <f>IF(Gastos[[#This Row],[Divisa]]="$", I2493*1, IF(Gastos[[#This Row],[Divisa]]="U$D", I2493*$N$1, IF(Gastos[[#This Row],[Divisa]]="EUR", I2493*$N$2, 0)))</f>
        <v>41829.480000000003</v>
      </c>
      <c r="K2493" s="54">
        <f>Gastos[[#This Row],[Importe AR$]]/$N$1</f>
        <v>26.813769230769232</v>
      </c>
      <c r="M2493" s="69"/>
      <c r="N2493" s="43" t="str">
        <f>IF(Gastos[[#This Row],[Fecha_Cheque]]&gt;0,WEEKNUM(Gastos[[#This Row],[Fecha_Cheque]]),MID(Gastos[[#This Row],[Semana]],6,2))</f>
        <v>44</v>
      </c>
      <c r="O2493" t="s">
        <v>1484</v>
      </c>
      <c r="P2493" t="s">
        <v>27</v>
      </c>
    </row>
    <row r="2494" spans="1:16" hidden="1" x14ac:dyDescent="0.25">
      <c r="A2494" s="3" t="s">
        <v>378</v>
      </c>
      <c r="B2494" t="s">
        <v>1485</v>
      </c>
      <c r="C2494" t="s">
        <v>1486</v>
      </c>
      <c r="D2494" t="s">
        <v>26</v>
      </c>
      <c r="E2494" t="s">
        <v>31</v>
      </c>
      <c r="F2494">
        <v>1</v>
      </c>
      <c r="G2494" s="3" t="s">
        <v>5</v>
      </c>
      <c r="H2494" s="46" t="s">
        <v>15</v>
      </c>
      <c r="I2494" s="17">
        <v>67128</v>
      </c>
      <c r="J2494" s="17">
        <f>IF(Gastos[[#This Row],[Divisa]]="$", I2494*1, IF(Gastos[[#This Row],[Divisa]]="U$D", I2494*$N$1, IF(Gastos[[#This Row],[Divisa]]="EUR", I2494*$N$2, 0)))</f>
        <v>67128</v>
      </c>
      <c r="K2494" s="54">
        <f>Gastos[[#This Row],[Importe AR$]]/$N$1</f>
        <v>43.030769230769231</v>
      </c>
      <c r="M2494" s="69"/>
      <c r="N2494" s="43" t="str">
        <f>IF(Gastos[[#This Row],[Fecha_Cheque]]&gt;0,WEEKNUM(Gastos[[#This Row],[Fecha_Cheque]]),MID(Gastos[[#This Row],[Semana]],6,2))</f>
        <v>03</v>
      </c>
      <c r="O2494" t="s">
        <v>1487</v>
      </c>
      <c r="P2494" t="s">
        <v>27</v>
      </c>
    </row>
    <row r="2495" spans="1:16" hidden="1" x14ac:dyDescent="0.25">
      <c r="A2495" s="3" t="s">
        <v>2804</v>
      </c>
      <c r="B2495" t="s">
        <v>1485</v>
      </c>
      <c r="C2495" t="s">
        <v>3119</v>
      </c>
      <c r="D2495" t="s">
        <v>26</v>
      </c>
      <c r="E2495" t="s">
        <v>42</v>
      </c>
      <c r="F2495">
        <v>1</v>
      </c>
      <c r="G2495" s="3" t="s">
        <v>4</v>
      </c>
      <c r="H2495" s="44" t="s">
        <v>15</v>
      </c>
      <c r="I2495" s="17">
        <v>22500</v>
      </c>
      <c r="J2495" s="17">
        <f>IF(Gastos[[#This Row],[Divisa]]="$", I2495*1, IF(Gastos[[#This Row],[Divisa]]="U$D", I2495*$N$1, IF(Gastos[[#This Row],[Divisa]]="EUR", I2495*$N$2, 0)))</f>
        <v>22500</v>
      </c>
      <c r="K2495" s="54">
        <f>Gastos[[#This Row],[Importe AR$]]/$N$1</f>
        <v>14.423076923076923</v>
      </c>
      <c r="M2495" s="69"/>
      <c r="N2495" s="43" t="str">
        <f>IF(Gastos[[#This Row],[Fecha_Cheque]]&gt;0,WEEKNUM(Gastos[[#This Row],[Fecha_Cheque]]),MID(Gastos[[#This Row],[Semana]],6,2))</f>
        <v>19</v>
      </c>
      <c r="O2495" t="s">
        <v>3120</v>
      </c>
      <c r="P2495" t="s">
        <v>27</v>
      </c>
    </row>
    <row r="2496" spans="1:16" x14ac:dyDescent="0.25">
      <c r="A2496" s="3" t="s">
        <v>4655</v>
      </c>
      <c r="B2496" t="s">
        <v>3024</v>
      </c>
      <c r="C2496" t="s">
        <v>4661</v>
      </c>
      <c r="D2496" t="s">
        <v>26</v>
      </c>
      <c r="E2496" t="s">
        <v>42</v>
      </c>
      <c r="F2496">
        <v>1</v>
      </c>
      <c r="G2496" s="3" t="s">
        <v>4</v>
      </c>
      <c r="H2496" s="44" t="s">
        <v>15</v>
      </c>
      <c r="I2496" s="17">
        <v>43000.01</v>
      </c>
      <c r="J2496" s="17">
        <f>IF(Gastos[[#This Row],[Divisa]]="$", I2496*1, IF(Gastos[[#This Row],[Divisa]]="U$D", I2496*$N$1, IF(Gastos[[#This Row],[Divisa]]="EUR", I2496*$N$2, 0)))</f>
        <v>43000.01</v>
      </c>
      <c r="K2496" s="54">
        <f>Gastos[[#This Row],[Importe AR$]]/$N$1</f>
        <v>27.564108974358977</v>
      </c>
      <c r="M2496" s="69"/>
      <c r="N2496" s="43" t="str">
        <f>IF(Gastos[[#This Row],[Fecha_Cheque]]&gt;0,WEEKNUM(Gastos[[#This Row],[Fecha_Cheque]]),MID(Gastos[[#This Row],[Semana]],6,2))</f>
        <v>44</v>
      </c>
      <c r="O2496" t="s">
        <v>4662</v>
      </c>
      <c r="P2496" t="s">
        <v>27</v>
      </c>
    </row>
    <row r="2497" spans="1:16" hidden="1" x14ac:dyDescent="0.25">
      <c r="A2497" s="3" t="s">
        <v>180</v>
      </c>
      <c r="B2497" t="s">
        <v>1887</v>
      </c>
      <c r="C2497" t="s">
        <v>1888</v>
      </c>
      <c r="D2497" t="s">
        <v>26</v>
      </c>
      <c r="E2497" t="s">
        <v>31</v>
      </c>
      <c r="F2497">
        <v>1</v>
      </c>
      <c r="G2497" s="3" t="s">
        <v>5</v>
      </c>
      <c r="H2497" s="46" t="s">
        <v>15</v>
      </c>
      <c r="I2497" s="17">
        <v>261000</v>
      </c>
      <c r="J2497" s="17">
        <f>IF(Gastos[[#This Row],[Divisa]]="$", I2497*1, IF(Gastos[[#This Row],[Divisa]]="U$D", I2497*$N$1, IF(Gastos[[#This Row],[Divisa]]="EUR", I2497*$N$2, 0)))</f>
        <v>261000</v>
      </c>
      <c r="K2497" s="54">
        <f>Gastos[[#This Row],[Importe AR$]]/$N$1</f>
        <v>167.30769230769232</v>
      </c>
      <c r="M2497" s="69"/>
      <c r="N2497" s="43" t="str">
        <f>IF(Gastos[[#This Row],[Fecha_Cheque]]&gt;0,WEEKNUM(Gastos[[#This Row],[Fecha_Cheque]]),MID(Gastos[[#This Row],[Semana]],6,2))</f>
        <v>09</v>
      </c>
      <c r="O2497" t="s">
        <v>1889</v>
      </c>
      <c r="P2497" t="s">
        <v>27</v>
      </c>
    </row>
    <row r="2498" spans="1:16" hidden="1" x14ac:dyDescent="0.25">
      <c r="A2498" s="3" t="s">
        <v>53</v>
      </c>
      <c r="B2498" t="s">
        <v>1491</v>
      </c>
      <c r="C2498" t="s">
        <v>1492</v>
      </c>
      <c r="D2498" t="s">
        <v>26</v>
      </c>
      <c r="E2498" t="s">
        <v>31</v>
      </c>
      <c r="F2498">
        <v>1</v>
      </c>
      <c r="G2498" s="3" t="s">
        <v>5</v>
      </c>
      <c r="H2498" s="46" t="s">
        <v>15</v>
      </c>
      <c r="I2498" s="17">
        <v>37757.74</v>
      </c>
      <c r="J2498" s="17">
        <f>IF(Gastos[[#This Row],[Divisa]]="$", I2498*1, IF(Gastos[[#This Row],[Divisa]]="U$D", I2498*$N$1, IF(Gastos[[#This Row],[Divisa]]="EUR", I2498*$N$2, 0)))</f>
        <v>37757.74</v>
      </c>
      <c r="K2498" s="54">
        <f>Gastos[[#This Row],[Importe AR$]]/$N$1</f>
        <v>24.203679487179485</v>
      </c>
      <c r="M2498" s="69"/>
      <c r="N2498" s="43" t="str">
        <f>IF(Gastos[[#This Row],[Fecha_Cheque]]&gt;0,WEEKNUM(Gastos[[#This Row],[Fecha_Cheque]]),MID(Gastos[[#This Row],[Semana]],6,2))</f>
        <v>34</v>
      </c>
      <c r="O2498" t="s">
        <v>1493</v>
      </c>
      <c r="P2498" t="s">
        <v>27</v>
      </c>
    </row>
    <row r="2499" spans="1:16" hidden="1" x14ac:dyDescent="0.25">
      <c r="A2499" s="3" t="s">
        <v>53</v>
      </c>
      <c r="B2499" t="s">
        <v>1491</v>
      </c>
      <c r="C2499" t="s">
        <v>1492</v>
      </c>
      <c r="D2499" t="s">
        <v>26</v>
      </c>
      <c r="E2499" t="s">
        <v>31</v>
      </c>
      <c r="F2499">
        <v>1</v>
      </c>
      <c r="G2499" s="3" t="s">
        <v>32</v>
      </c>
      <c r="H2499" s="46" t="s">
        <v>15</v>
      </c>
      <c r="I2499" s="17">
        <v>82443.509999999995</v>
      </c>
      <c r="J2499" s="17">
        <f>IF(Gastos[[#This Row],[Divisa]]="$", I2499*1, IF(Gastos[[#This Row],[Divisa]]="U$D", I2499*$N$1, IF(Gastos[[#This Row],[Divisa]]="EUR", I2499*$N$2, 0)))</f>
        <v>82443.509999999995</v>
      </c>
      <c r="K2499" s="54">
        <f>Gastos[[#This Row],[Importe AR$]]/$N$1</f>
        <v>52.848403846153843</v>
      </c>
      <c r="M2499" s="69">
        <v>45885</v>
      </c>
      <c r="N2499" s="43">
        <f>IF(Gastos[[#This Row],[Fecha_Cheque]]&gt;0,WEEKNUM(Gastos[[#This Row],[Fecha_Cheque]]),MID(Gastos[[#This Row],[Semana]],6,2))</f>
        <v>33</v>
      </c>
      <c r="O2499" t="s">
        <v>1493</v>
      </c>
      <c r="P2499" t="s">
        <v>27</v>
      </c>
    </row>
    <row r="2500" spans="1:16" hidden="1" x14ac:dyDescent="0.25">
      <c r="A2500" s="3" t="s">
        <v>53</v>
      </c>
      <c r="B2500" t="s">
        <v>1491</v>
      </c>
      <c r="C2500" t="s">
        <v>1492</v>
      </c>
      <c r="D2500" t="s">
        <v>26</v>
      </c>
      <c r="E2500" t="s">
        <v>31</v>
      </c>
      <c r="F2500">
        <v>1</v>
      </c>
      <c r="G2500" s="3" t="s">
        <v>32</v>
      </c>
      <c r="H2500" s="46" t="s">
        <v>15</v>
      </c>
      <c r="I2500" s="17">
        <v>213798.75</v>
      </c>
      <c r="J2500" s="17">
        <f>IF(Gastos[[#This Row],[Divisa]]="$", I2500*1, IF(Gastos[[#This Row],[Divisa]]="U$D", I2500*$N$1, IF(Gastos[[#This Row],[Divisa]]="EUR", I2500*$N$2, 0)))</f>
        <v>213798.75</v>
      </c>
      <c r="K2500" s="54">
        <f>Gastos[[#This Row],[Importe AR$]]/$N$1</f>
        <v>137.05048076923077</v>
      </c>
      <c r="M2500" s="69">
        <v>45894</v>
      </c>
      <c r="N2500" s="43">
        <f>IF(Gastos[[#This Row],[Fecha_Cheque]]&gt;0,WEEKNUM(Gastos[[#This Row],[Fecha_Cheque]]),MID(Gastos[[#This Row],[Semana]],6,2))</f>
        <v>35</v>
      </c>
      <c r="O2500" t="s">
        <v>1493</v>
      </c>
      <c r="P2500" t="s">
        <v>27</v>
      </c>
    </row>
    <row r="2501" spans="1:16" hidden="1" x14ac:dyDescent="0.25">
      <c r="A2501" s="3" t="s">
        <v>378</v>
      </c>
      <c r="B2501" t="s">
        <v>1494</v>
      </c>
      <c r="D2501" t="s">
        <v>26</v>
      </c>
      <c r="E2501" t="s">
        <v>31</v>
      </c>
      <c r="F2501">
        <v>1</v>
      </c>
      <c r="G2501" s="3" t="s">
        <v>5</v>
      </c>
      <c r="H2501" s="46" t="s">
        <v>15</v>
      </c>
      <c r="I2501" s="17">
        <v>774806.3</v>
      </c>
      <c r="J2501" s="17">
        <f>IF(Gastos[[#This Row],[Divisa]]="$", I2501*1, IF(Gastos[[#This Row],[Divisa]]="U$D", I2501*$N$1, IF(Gastos[[#This Row],[Divisa]]="EUR", I2501*$N$2, 0)))</f>
        <v>774806.3</v>
      </c>
      <c r="K2501" s="54">
        <f>Gastos[[#This Row],[Importe AR$]]/$N$1</f>
        <v>496.67070512820516</v>
      </c>
      <c r="M2501" s="69"/>
      <c r="N2501" s="43" t="str">
        <f>IF(Gastos[[#This Row],[Fecha_Cheque]]&gt;0,WEEKNUM(Gastos[[#This Row],[Fecha_Cheque]]),MID(Gastos[[#This Row],[Semana]],6,2))</f>
        <v>03</v>
      </c>
      <c r="O2501" t="s">
        <v>1495</v>
      </c>
      <c r="P2501" t="s">
        <v>27</v>
      </c>
    </row>
    <row r="2502" spans="1:16" hidden="1" x14ac:dyDescent="0.25">
      <c r="A2502" s="3" t="s">
        <v>2763</v>
      </c>
      <c r="B2502" t="s">
        <v>3326</v>
      </c>
      <c r="C2502" t="s">
        <v>3281</v>
      </c>
      <c r="D2502" t="s">
        <v>26</v>
      </c>
      <c r="E2502" t="s">
        <v>42</v>
      </c>
      <c r="F2502">
        <v>1</v>
      </c>
      <c r="G2502" s="3" t="s">
        <v>4</v>
      </c>
      <c r="H2502" s="44" t="s">
        <v>15</v>
      </c>
      <c r="I2502" s="17">
        <v>188821.25</v>
      </c>
      <c r="J2502" s="17">
        <f>IF(Gastos[[#This Row],[Divisa]]="$", I2502*1, IF(Gastos[[#This Row],[Divisa]]="U$D", I2502*$N$1, IF(Gastos[[#This Row],[Divisa]]="EUR", I2502*$N$2, 0)))</f>
        <v>188821.25</v>
      </c>
      <c r="K2502" s="54">
        <f>Gastos[[#This Row],[Importe AR$]]/$N$1</f>
        <v>121.03926282051282</v>
      </c>
      <c r="M2502" s="69"/>
      <c r="N2502" s="43" t="str">
        <f>IF(Gastos[[#This Row],[Fecha_Cheque]]&gt;0,WEEKNUM(Gastos[[#This Row],[Fecha_Cheque]]),MID(Gastos[[#This Row],[Semana]],6,2))</f>
        <v>23</v>
      </c>
      <c r="O2502" t="s">
        <v>3327</v>
      </c>
      <c r="P2502" t="s">
        <v>27</v>
      </c>
    </row>
    <row r="2503" spans="1:16" hidden="1" x14ac:dyDescent="0.25">
      <c r="A2503" s="3" t="s">
        <v>2763</v>
      </c>
      <c r="B2503" t="s">
        <v>3326</v>
      </c>
      <c r="C2503" t="s">
        <v>3281</v>
      </c>
      <c r="D2503" t="s">
        <v>26</v>
      </c>
      <c r="E2503" t="s">
        <v>42</v>
      </c>
      <c r="F2503">
        <v>1</v>
      </c>
      <c r="G2503" s="3" t="s">
        <v>4</v>
      </c>
      <c r="H2503" s="44" t="s">
        <v>15</v>
      </c>
      <c r="I2503" s="17">
        <v>174599</v>
      </c>
      <c r="J2503" s="17">
        <f>IF(Gastos[[#This Row],[Divisa]]="$", I2503*1, IF(Gastos[[#This Row],[Divisa]]="U$D", I2503*$N$1, IF(Gastos[[#This Row],[Divisa]]="EUR", I2503*$N$2, 0)))</f>
        <v>174599</v>
      </c>
      <c r="K2503" s="54">
        <f>Gastos[[#This Row],[Importe AR$]]/$N$1</f>
        <v>111.9224358974359</v>
      </c>
      <c r="M2503" s="69"/>
      <c r="N2503" s="43" t="str">
        <f>IF(Gastos[[#This Row],[Fecha_Cheque]]&gt;0,WEEKNUM(Gastos[[#This Row],[Fecha_Cheque]]),MID(Gastos[[#This Row],[Semana]],6,2))</f>
        <v>23</v>
      </c>
      <c r="O2503" t="s">
        <v>3328</v>
      </c>
      <c r="P2503" t="s">
        <v>27</v>
      </c>
    </row>
    <row r="2504" spans="1:16" hidden="1" x14ac:dyDescent="0.25">
      <c r="A2504" s="3" t="s">
        <v>3377</v>
      </c>
      <c r="B2504" t="s">
        <v>3326</v>
      </c>
      <c r="C2504" t="s">
        <v>1948</v>
      </c>
      <c r="D2504" t="s">
        <v>26</v>
      </c>
      <c r="E2504" t="s">
        <v>42</v>
      </c>
      <c r="F2504">
        <v>1</v>
      </c>
      <c r="G2504" s="3" t="s">
        <v>4</v>
      </c>
      <c r="H2504" s="44" t="s">
        <v>15</v>
      </c>
      <c r="I2504" s="17">
        <v>159041</v>
      </c>
      <c r="J2504" s="17">
        <f>IF(Gastos[[#This Row],[Divisa]]="$", I2504*1, IF(Gastos[[#This Row],[Divisa]]="U$D", I2504*$N$1, IF(Gastos[[#This Row],[Divisa]]="EUR", I2504*$N$2, 0)))</f>
        <v>159041</v>
      </c>
      <c r="K2504" s="54">
        <f>Gastos[[#This Row],[Importe AR$]]/$N$1</f>
        <v>101.94935897435897</v>
      </c>
      <c r="M2504" s="69"/>
      <c r="N2504" s="43" t="str">
        <f>IF(Gastos[[#This Row],[Fecha_Cheque]]&gt;0,WEEKNUM(Gastos[[#This Row],[Fecha_Cheque]]),MID(Gastos[[#This Row],[Semana]],6,2))</f>
        <v>24</v>
      </c>
      <c r="O2504" t="s">
        <v>3378</v>
      </c>
      <c r="P2504" t="s">
        <v>27</v>
      </c>
    </row>
    <row r="2505" spans="1:16" hidden="1" x14ac:dyDescent="0.25">
      <c r="A2505" s="3" t="s">
        <v>2711</v>
      </c>
      <c r="B2505" t="s">
        <v>2908</v>
      </c>
      <c r="C2505" t="s">
        <v>2909</v>
      </c>
      <c r="D2505" t="s">
        <v>26</v>
      </c>
      <c r="E2505" t="s">
        <v>42</v>
      </c>
      <c r="F2505">
        <v>1</v>
      </c>
      <c r="G2505" s="3" t="s">
        <v>4</v>
      </c>
      <c r="H2505" s="44" t="s">
        <v>15</v>
      </c>
      <c r="I2505" s="17">
        <v>84896</v>
      </c>
      <c r="J2505" s="17">
        <f>IF(Gastos[[#This Row],[Divisa]]="$", I2505*1, IF(Gastos[[#This Row],[Divisa]]="U$D", I2505*$N$1, IF(Gastos[[#This Row],[Divisa]]="EUR", I2505*$N$2, 0)))</f>
        <v>84896</v>
      </c>
      <c r="K2505" s="54">
        <f>Gastos[[#This Row],[Importe AR$]]/$N$1</f>
        <v>54.420512820512819</v>
      </c>
      <c r="M2505" s="69"/>
      <c r="N2505" s="43" t="str">
        <f>IF(Gastos[[#This Row],[Fecha_Cheque]]&gt;0,WEEKNUM(Gastos[[#This Row],[Fecha_Cheque]]),MID(Gastos[[#This Row],[Semana]],6,2))</f>
        <v>15</v>
      </c>
      <c r="O2505" t="s">
        <v>2910</v>
      </c>
      <c r="P2505" t="s">
        <v>27</v>
      </c>
    </row>
    <row r="2506" spans="1:16" hidden="1" x14ac:dyDescent="0.25">
      <c r="A2506" s="3" t="s">
        <v>2740</v>
      </c>
      <c r="B2506" t="s">
        <v>2908</v>
      </c>
      <c r="C2506" t="s">
        <v>2957</v>
      </c>
      <c r="D2506" t="s">
        <v>26</v>
      </c>
      <c r="E2506" t="s">
        <v>42</v>
      </c>
      <c r="F2506">
        <v>1</v>
      </c>
      <c r="G2506" s="3" t="s">
        <v>4</v>
      </c>
      <c r="H2506" s="44" t="s">
        <v>15</v>
      </c>
      <c r="I2506" s="17">
        <v>138484.5</v>
      </c>
      <c r="J2506" s="17">
        <f>IF(Gastos[[#This Row],[Divisa]]="$", I2506*1, IF(Gastos[[#This Row],[Divisa]]="U$D", I2506*$N$1, IF(Gastos[[#This Row],[Divisa]]="EUR", I2506*$N$2, 0)))</f>
        <v>138484.5</v>
      </c>
      <c r="K2506" s="54">
        <f>Gastos[[#This Row],[Importe AR$]]/$N$1</f>
        <v>88.77211538461539</v>
      </c>
      <c r="M2506" s="69"/>
      <c r="N2506" s="43" t="str">
        <f>IF(Gastos[[#This Row],[Fecha_Cheque]]&gt;0,WEEKNUM(Gastos[[#This Row],[Fecha_Cheque]]),MID(Gastos[[#This Row],[Semana]],6,2))</f>
        <v>16</v>
      </c>
      <c r="O2506" t="s">
        <v>2958</v>
      </c>
      <c r="P2506" t="s">
        <v>27</v>
      </c>
    </row>
    <row r="2507" spans="1:16" hidden="1" x14ac:dyDescent="0.25">
      <c r="A2507" s="3" t="s">
        <v>2731</v>
      </c>
      <c r="B2507" t="s">
        <v>2908</v>
      </c>
      <c r="C2507" t="s">
        <v>1948</v>
      </c>
      <c r="D2507" t="s">
        <v>26</v>
      </c>
      <c r="E2507" t="s">
        <v>42</v>
      </c>
      <c r="F2507">
        <v>1</v>
      </c>
      <c r="G2507" s="3" t="s">
        <v>4</v>
      </c>
      <c r="H2507" s="44" t="s">
        <v>15</v>
      </c>
      <c r="I2507" s="17">
        <v>133567</v>
      </c>
      <c r="J2507" s="17">
        <f>IF(Gastos[[#This Row],[Divisa]]="$", I2507*1, IF(Gastos[[#This Row],[Divisa]]="U$D", I2507*$N$1, IF(Gastos[[#This Row],[Divisa]]="EUR", I2507*$N$2, 0)))</f>
        <v>133567</v>
      </c>
      <c r="K2507" s="54">
        <f>Gastos[[#This Row],[Importe AR$]]/$N$1</f>
        <v>85.619871794871798</v>
      </c>
      <c r="M2507" s="69"/>
      <c r="N2507" s="43" t="str">
        <f>IF(Gastos[[#This Row],[Fecha_Cheque]]&gt;0,WEEKNUM(Gastos[[#This Row],[Fecha_Cheque]]),MID(Gastos[[#This Row],[Semana]],6,2))</f>
        <v>17</v>
      </c>
      <c r="O2507" t="s">
        <v>3035</v>
      </c>
      <c r="P2507" t="s">
        <v>27</v>
      </c>
    </row>
    <row r="2508" spans="1:16" hidden="1" x14ac:dyDescent="0.25">
      <c r="A2508" s="3" t="s">
        <v>2731</v>
      </c>
      <c r="B2508" t="s">
        <v>2908</v>
      </c>
      <c r="C2508" t="s">
        <v>1948</v>
      </c>
      <c r="D2508" t="s">
        <v>26</v>
      </c>
      <c r="E2508" t="s">
        <v>42</v>
      </c>
      <c r="F2508">
        <v>1</v>
      </c>
      <c r="G2508" s="3" t="s">
        <v>4</v>
      </c>
      <c r="H2508" s="44" t="s">
        <v>15</v>
      </c>
      <c r="I2508" s="17">
        <v>127699.98</v>
      </c>
      <c r="J2508" s="17">
        <f>IF(Gastos[[#This Row],[Divisa]]="$", I2508*1, IF(Gastos[[#This Row],[Divisa]]="U$D", I2508*$N$1, IF(Gastos[[#This Row],[Divisa]]="EUR", I2508*$N$2, 0)))</f>
        <v>127699.98</v>
      </c>
      <c r="K2508" s="54">
        <f>Gastos[[#This Row],[Importe AR$]]/$N$1</f>
        <v>81.858961538461543</v>
      </c>
      <c r="M2508" s="69"/>
      <c r="N2508" s="43" t="str">
        <f>IF(Gastos[[#This Row],[Fecha_Cheque]]&gt;0,WEEKNUM(Gastos[[#This Row],[Fecha_Cheque]]),MID(Gastos[[#This Row],[Semana]],6,2))</f>
        <v>17</v>
      </c>
      <c r="O2508" t="s">
        <v>3036</v>
      </c>
      <c r="P2508" t="s">
        <v>27</v>
      </c>
    </row>
    <row r="2509" spans="1:16" hidden="1" x14ac:dyDescent="0.25">
      <c r="A2509" s="3" t="s">
        <v>2751</v>
      </c>
      <c r="B2509" t="s">
        <v>2908</v>
      </c>
      <c r="C2509" t="s">
        <v>1948</v>
      </c>
      <c r="D2509" t="s">
        <v>26</v>
      </c>
      <c r="E2509" t="s">
        <v>42</v>
      </c>
      <c r="F2509">
        <v>1</v>
      </c>
      <c r="G2509" s="3" t="s">
        <v>4</v>
      </c>
      <c r="H2509" s="44" t="s">
        <v>15</v>
      </c>
      <c r="I2509" s="17">
        <v>800</v>
      </c>
      <c r="J2509" s="17">
        <f>IF(Gastos[[#This Row],[Divisa]]="$", I2509*1, IF(Gastos[[#This Row],[Divisa]]="U$D", I2509*$N$1, IF(Gastos[[#This Row],[Divisa]]="EUR", I2509*$N$2, 0)))</f>
        <v>800</v>
      </c>
      <c r="K2509" s="54">
        <f>Gastos[[#This Row],[Importe AR$]]/$N$1</f>
        <v>0.51282051282051277</v>
      </c>
      <c r="M2509" s="69"/>
      <c r="N2509" s="43" t="str">
        <f>IF(Gastos[[#This Row],[Fecha_Cheque]]&gt;0,WEEKNUM(Gastos[[#This Row],[Fecha_Cheque]]),MID(Gastos[[#This Row],[Semana]],6,2))</f>
        <v>18</v>
      </c>
      <c r="O2509" t="s">
        <v>3092</v>
      </c>
      <c r="P2509" t="s">
        <v>27</v>
      </c>
    </row>
    <row r="2510" spans="1:16" hidden="1" x14ac:dyDescent="0.25">
      <c r="A2510" s="3" t="s">
        <v>2792</v>
      </c>
      <c r="B2510" t="s">
        <v>2908</v>
      </c>
      <c r="C2510" t="s">
        <v>1948</v>
      </c>
      <c r="D2510" t="s">
        <v>26</v>
      </c>
      <c r="E2510" t="s">
        <v>42</v>
      </c>
      <c r="F2510">
        <v>1</v>
      </c>
      <c r="G2510" s="3" t="s">
        <v>4</v>
      </c>
      <c r="H2510" s="44" t="s">
        <v>15</v>
      </c>
      <c r="I2510" s="17">
        <v>211451.5</v>
      </c>
      <c r="J2510" s="17">
        <f>IF(Gastos[[#This Row],[Divisa]]="$", I2510*1, IF(Gastos[[#This Row],[Divisa]]="U$D", I2510*$N$1, IF(Gastos[[#This Row],[Divisa]]="EUR", I2510*$N$2, 0)))</f>
        <v>211451.5</v>
      </c>
      <c r="K2510" s="54">
        <f>Gastos[[#This Row],[Importe AR$]]/$N$1</f>
        <v>135.54583333333332</v>
      </c>
      <c r="M2510" s="69"/>
      <c r="N2510" s="43" t="str">
        <f>IF(Gastos[[#This Row],[Fecha_Cheque]]&gt;0,WEEKNUM(Gastos[[#This Row],[Fecha_Cheque]]),MID(Gastos[[#This Row],[Semana]],6,2))</f>
        <v>21</v>
      </c>
      <c r="O2510" t="s">
        <v>3200</v>
      </c>
      <c r="P2510" t="s">
        <v>27</v>
      </c>
    </row>
    <row r="2511" spans="1:16" hidden="1" x14ac:dyDescent="0.25">
      <c r="A2511" s="3" t="s">
        <v>3439</v>
      </c>
      <c r="B2511" t="s">
        <v>2908</v>
      </c>
      <c r="C2511" t="s">
        <v>1948</v>
      </c>
      <c r="D2511" t="s">
        <v>26</v>
      </c>
      <c r="E2511" t="s">
        <v>42</v>
      </c>
      <c r="F2511">
        <v>1</v>
      </c>
      <c r="G2511" s="3" t="s">
        <v>4</v>
      </c>
      <c r="H2511" s="44" t="s">
        <v>15</v>
      </c>
      <c r="I2511" s="17">
        <v>84370</v>
      </c>
      <c r="J2511" s="17">
        <f>IF(Gastos[[#This Row],[Divisa]]="$", I2511*1, IF(Gastos[[#This Row],[Divisa]]="U$D", I2511*$N$1, IF(Gastos[[#This Row],[Divisa]]="EUR", I2511*$N$2, 0)))</f>
        <v>84370</v>
      </c>
      <c r="K2511" s="54">
        <f>Gastos[[#This Row],[Importe AR$]]/$N$1</f>
        <v>54.083333333333336</v>
      </c>
      <c r="M2511" s="69"/>
      <c r="N2511" s="43" t="str">
        <f>IF(Gastos[[#This Row],[Fecha_Cheque]]&gt;0,WEEKNUM(Gastos[[#This Row],[Fecha_Cheque]]),MID(Gastos[[#This Row],[Semana]],6,2))</f>
        <v>25</v>
      </c>
      <c r="O2511" t="s">
        <v>3526</v>
      </c>
      <c r="P2511" t="s">
        <v>27</v>
      </c>
    </row>
    <row r="2512" spans="1:16" hidden="1" x14ac:dyDescent="0.25">
      <c r="A2512" s="3" t="s">
        <v>2726</v>
      </c>
      <c r="B2512" t="s">
        <v>2908</v>
      </c>
      <c r="C2512" t="s">
        <v>1211</v>
      </c>
      <c r="D2512" t="s">
        <v>26</v>
      </c>
      <c r="E2512" t="s">
        <v>42</v>
      </c>
      <c r="F2512">
        <v>1</v>
      </c>
      <c r="G2512" s="3" t="s">
        <v>4</v>
      </c>
      <c r="H2512" s="44" t="s">
        <v>15</v>
      </c>
      <c r="I2512" s="17">
        <v>27427.5</v>
      </c>
      <c r="J2512" s="17">
        <f>IF(Gastos[[#This Row],[Divisa]]="$", I2512*1, IF(Gastos[[#This Row],[Divisa]]="U$D", I2512*$N$1, IF(Gastos[[#This Row],[Divisa]]="EUR", I2512*$N$2, 0)))</f>
        <v>27427.5</v>
      </c>
      <c r="K2512" s="54">
        <f>Gastos[[#This Row],[Importe AR$]]/$N$1</f>
        <v>17.58173076923077</v>
      </c>
      <c r="M2512" s="69"/>
      <c r="N2512" s="43" t="str">
        <f>IF(Gastos[[#This Row],[Fecha_Cheque]]&gt;0,WEEKNUM(Gastos[[#This Row],[Fecha_Cheque]]),MID(Gastos[[#This Row],[Semana]],6,2))</f>
        <v>24</v>
      </c>
      <c r="O2512" t="s">
        <v>3457</v>
      </c>
      <c r="P2512" t="s">
        <v>27</v>
      </c>
    </row>
    <row r="2513" spans="1:16" hidden="1" x14ac:dyDescent="0.25">
      <c r="A2513" s="3" t="s">
        <v>3567</v>
      </c>
      <c r="B2513" t="s">
        <v>2908</v>
      </c>
      <c r="C2513" t="s">
        <v>1948</v>
      </c>
      <c r="D2513" t="s">
        <v>26</v>
      </c>
      <c r="E2513" t="s">
        <v>42</v>
      </c>
      <c r="F2513">
        <v>1</v>
      </c>
      <c r="G2513" s="3" t="s">
        <v>4</v>
      </c>
      <c r="H2513" s="44" t="s">
        <v>15</v>
      </c>
      <c r="I2513" s="17">
        <v>179895</v>
      </c>
      <c r="J2513" s="17">
        <f>IF(Gastos[[#This Row],[Divisa]]="$", I2513*1, IF(Gastos[[#This Row],[Divisa]]="U$D", I2513*$N$1, IF(Gastos[[#This Row],[Divisa]]="EUR", I2513*$N$2, 0)))</f>
        <v>179895</v>
      </c>
      <c r="K2513" s="54">
        <f>Gastos[[#This Row],[Importe AR$]]/$N$1</f>
        <v>115.31730769230769</v>
      </c>
      <c r="M2513" s="69"/>
      <c r="N2513" s="43" t="str">
        <f>IF(Gastos[[#This Row],[Fecha_Cheque]]&gt;0,WEEKNUM(Gastos[[#This Row],[Fecha_Cheque]]),MID(Gastos[[#This Row],[Semana]],6,2))</f>
        <v>26</v>
      </c>
      <c r="O2513" t="s">
        <v>3569</v>
      </c>
      <c r="P2513" t="s">
        <v>27</v>
      </c>
    </row>
    <row r="2514" spans="1:16" hidden="1" x14ac:dyDescent="0.25">
      <c r="A2514" s="3" t="s">
        <v>3617</v>
      </c>
      <c r="B2514" t="s">
        <v>2908</v>
      </c>
      <c r="C2514" t="s">
        <v>1948</v>
      </c>
      <c r="D2514" t="s">
        <v>26</v>
      </c>
      <c r="E2514" t="s">
        <v>42</v>
      </c>
      <c r="F2514">
        <v>1</v>
      </c>
      <c r="G2514" s="3" t="s">
        <v>4</v>
      </c>
      <c r="H2514" s="44" t="s">
        <v>15</v>
      </c>
      <c r="I2514" s="17">
        <v>112050.25</v>
      </c>
      <c r="J2514" s="17">
        <f>IF(Gastos[[#This Row],[Divisa]]="$", I2514*1, IF(Gastos[[#This Row],[Divisa]]="U$D", I2514*$N$1, IF(Gastos[[#This Row],[Divisa]]="EUR", I2514*$N$2, 0)))</f>
        <v>112050.25</v>
      </c>
      <c r="K2514" s="54">
        <f>Gastos[[#This Row],[Importe AR$]]/$N$1</f>
        <v>71.827083333333334</v>
      </c>
      <c r="M2514" s="69"/>
      <c r="N2514" s="43" t="str">
        <f>IF(Gastos[[#This Row],[Fecha_Cheque]]&gt;0,WEEKNUM(Gastos[[#This Row],[Fecha_Cheque]]),MID(Gastos[[#This Row],[Semana]],6,2))</f>
        <v>27</v>
      </c>
      <c r="O2514" t="s">
        <v>3629</v>
      </c>
      <c r="P2514" t="s">
        <v>27</v>
      </c>
    </row>
    <row r="2515" spans="1:16" hidden="1" x14ac:dyDescent="0.25">
      <c r="A2515" s="3" t="s">
        <v>3693</v>
      </c>
      <c r="B2515" t="s">
        <v>2908</v>
      </c>
      <c r="C2515" t="s">
        <v>1948</v>
      </c>
      <c r="D2515" t="s">
        <v>26</v>
      </c>
      <c r="E2515" t="s">
        <v>42</v>
      </c>
      <c r="F2515">
        <v>1</v>
      </c>
      <c r="G2515" s="3" t="s">
        <v>4</v>
      </c>
      <c r="H2515" s="44" t="s">
        <v>15</v>
      </c>
      <c r="I2515" s="17">
        <v>110828.25</v>
      </c>
      <c r="J2515" s="17">
        <f>IF(Gastos[[#This Row],[Divisa]]="$", I2515*1, IF(Gastos[[#This Row],[Divisa]]="U$D", I2515*$N$1, IF(Gastos[[#This Row],[Divisa]]="EUR", I2515*$N$2, 0)))</f>
        <v>110828.25</v>
      </c>
      <c r="K2515" s="54">
        <f>Gastos[[#This Row],[Importe AR$]]/$N$1</f>
        <v>71.043750000000003</v>
      </c>
      <c r="M2515" s="69"/>
      <c r="N2515" s="43" t="str">
        <f>IF(Gastos[[#This Row],[Fecha_Cheque]]&gt;0,WEEKNUM(Gastos[[#This Row],[Fecha_Cheque]]),MID(Gastos[[#This Row],[Semana]],6,2))</f>
        <v>28</v>
      </c>
      <c r="O2515" t="s">
        <v>3733</v>
      </c>
      <c r="P2515" t="s">
        <v>27</v>
      </c>
    </row>
    <row r="2516" spans="1:16" hidden="1" x14ac:dyDescent="0.25">
      <c r="A2516" s="3" t="s">
        <v>3693</v>
      </c>
      <c r="B2516" t="s">
        <v>2908</v>
      </c>
      <c r="C2516" t="s">
        <v>1948</v>
      </c>
      <c r="D2516" t="s">
        <v>26</v>
      </c>
      <c r="E2516" t="s">
        <v>42</v>
      </c>
      <c r="F2516">
        <v>1</v>
      </c>
      <c r="G2516" s="3" t="s">
        <v>4</v>
      </c>
      <c r="H2516" s="44" t="s">
        <v>15</v>
      </c>
      <c r="I2516" s="17">
        <v>68779.5</v>
      </c>
      <c r="J2516" s="17">
        <f>IF(Gastos[[#This Row],[Divisa]]="$", I2516*1, IF(Gastos[[#This Row],[Divisa]]="U$D", I2516*$N$1, IF(Gastos[[#This Row],[Divisa]]="EUR", I2516*$N$2, 0)))</f>
        <v>68779.5</v>
      </c>
      <c r="K2516" s="54">
        <f>Gastos[[#This Row],[Importe AR$]]/$N$1</f>
        <v>44.089423076923076</v>
      </c>
      <c r="M2516" s="69"/>
      <c r="N2516" s="43" t="str">
        <f>IF(Gastos[[#This Row],[Fecha_Cheque]]&gt;0,WEEKNUM(Gastos[[#This Row],[Fecha_Cheque]]),MID(Gastos[[#This Row],[Semana]],6,2))</f>
        <v>28</v>
      </c>
      <c r="O2516" t="s">
        <v>3734</v>
      </c>
      <c r="P2516" t="s">
        <v>27</v>
      </c>
    </row>
    <row r="2517" spans="1:16" hidden="1" x14ac:dyDescent="0.25">
      <c r="A2517" s="3" t="s">
        <v>3693</v>
      </c>
      <c r="B2517" t="s">
        <v>2908</v>
      </c>
      <c r="C2517" t="s">
        <v>1948</v>
      </c>
      <c r="D2517" t="s">
        <v>26</v>
      </c>
      <c r="E2517" t="s">
        <v>42</v>
      </c>
      <c r="F2517">
        <v>1</v>
      </c>
      <c r="G2517" s="3" t="s">
        <v>4</v>
      </c>
      <c r="H2517" s="44" t="s">
        <v>15</v>
      </c>
      <c r="I2517" s="17">
        <v>202313.75</v>
      </c>
      <c r="J2517" s="17">
        <f>IF(Gastos[[#This Row],[Divisa]]="$", I2517*1, IF(Gastos[[#This Row],[Divisa]]="U$D", I2517*$N$1, IF(Gastos[[#This Row],[Divisa]]="EUR", I2517*$N$2, 0)))</f>
        <v>202313.75</v>
      </c>
      <c r="K2517" s="54">
        <f>Gastos[[#This Row],[Importe AR$]]/$N$1</f>
        <v>129.68830128205127</v>
      </c>
      <c r="M2517" s="69"/>
      <c r="N2517" s="43" t="str">
        <f>IF(Gastos[[#This Row],[Fecha_Cheque]]&gt;0,WEEKNUM(Gastos[[#This Row],[Fecha_Cheque]]),MID(Gastos[[#This Row],[Semana]],6,2))</f>
        <v>28</v>
      </c>
      <c r="O2517" t="s">
        <v>3735</v>
      </c>
      <c r="P2517" t="s">
        <v>27</v>
      </c>
    </row>
    <row r="2518" spans="1:16" hidden="1" x14ac:dyDescent="0.25">
      <c r="A2518" s="3" t="s">
        <v>3754</v>
      </c>
      <c r="B2518" t="s">
        <v>2908</v>
      </c>
      <c r="C2518" t="s">
        <v>3760</v>
      </c>
      <c r="D2518" t="s">
        <v>26</v>
      </c>
      <c r="E2518" t="s">
        <v>42</v>
      </c>
      <c r="F2518">
        <v>1</v>
      </c>
      <c r="G2518" s="3" t="s">
        <v>4</v>
      </c>
      <c r="H2518" s="44" t="s">
        <v>15</v>
      </c>
      <c r="I2518" s="17">
        <v>3700</v>
      </c>
      <c r="J2518" s="17">
        <f>IF(Gastos[[#This Row],[Divisa]]="$", I2518*1, IF(Gastos[[#This Row],[Divisa]]="U$D", I2518*$N$1, IF(Gastos[[#This Row],[Divisa]]="EUR", I2518*$N$2, 0)))</f>
        <v>3700</v>
      </c>
      <c r="K2518" s="54">
        <f>Gastos[[#This Row],[Importe AR$]]/$N$1</f>
        <v>2.3717948717948718</v>
      </c>
      <c r="M2518" s="69"/>
      <c r="N2518" s="43" t="str">
        <f>IF(Gastos[[#This Row],[Fecha_Cheque]]&gt;0,WEEKNUM(Gastos[[#This Row],[Fecha_Cheque]]),MID(Gastos[[#This Row],[Semana]],6,2))</f>
        <v>29</v>
      </c>
      <c r="O2518" t="s">
        <v>3762</v>
      </c>
      <c r="P2518" t="s">
        <v>27</v>
      </c>
    </row>
    <row r="2519" spans="1:16" hidden="1" x14ac:dyDescent="0.25">
      <c r="A2519" s="3" t="s">
        <v>3754</v>
      </c>
      <c r="B2519" t="s">
        <v>2908</v>
      </c>
      <c r="C2519" t="s">
        <v>1948</v>
      </c>
      <c r="D2519" t="s">
        <v>26</v>
      </c>
      <c r="E2519" t="s">
        <v>42</v>
      </c>
      <c r="F2519">
        <v>1</v>
      </c>
      <c r="G2519" s="3" t="s">
        <v>4</v>
      </c>
      <c r="H2519" s="44" t="s">
        <v>15</v>
      </c>
      <c r="I2519" s="17">
        <v>124120</v>
      </c>
      <c r="J2519" s="17">
        <f>IF(Gastos[[#This Row],[Divisa]]="$", I2519*1, IF(Gastos[[#This Row],[Divisa]]="U$D", I2519*$N$1, IF(Gastos[[#This Row],[Divisa]]="EUR", I2519*$N$2, 0)))</f>
        <v>124120</v>
      </c>
      <c r="K2519" s="54">
        <f>Gastos[[#This Row],[Importe AR$]]/$N$1</f>
        <v>79.564102564102569</v>
      </c>
      <c r="M2519" s="69"/>
      <c r="N2519" s="43" t="str">
        <f>IF(Gastos[[#This Row],[Fecha_Cheque]]&gt;0,WEEKNUM(Gastos[[#This Row],[Fecha_Cheque]]),MID(Gastos[[#This Row],[Semana]],6,2))</f>
        <v>29</v>
      </c>
      <c r="O2519" t="s">
        <v>3785</v>
      </c>
      <c r="P2519" t="s">
        <v>27</v>
      </c>
    </row>
    <row r="2520" spans="1:16" hidden="1" x14ac:dyDescent="0.25">
      <c r="A2520" s="3" t="s">
        <v>3882</v>
      </c>
      <c r="B2520" t="s">
        <v>2908</v>
      </c>
      <c r="C2520" t="s">
        <v>1948</v>
      </c>
      <c r="D2520" t="s">
        <v>26</v>
      </c>
      <c r="E2520" t="s">
        <v>42</v>
      </c>
      <c r="F2520">
        <v>1</v>
      </c>
      <c r="G2520" s="3" t="s">
        <v>4</v>
      </c>
      <c r="H2520" s="44" t="s">
        <v>15</v>
      </c>
      <c r="I2520" s="17">
        <v>159844</v>
      </c>
      <c r="J2520" s="17">
        <f>IF(Gastos[[#This Row],[Divisa]]="$", I2520*1, IF(Gastos[[#This Row],[Divisa]]="U$D", I2520*$N$1, IF(Gastos[[#This Row],[Divisa]]="EUR", I2520*$N$2, 0)))</f>
        <v>159844</v>
      </c>
      <c r="K2520" s="54">
        <f>Gastos[[#This Row],[Importe AR$]]/$N$1</f>
        <v>102.46410256410256</v>
      </c>
      <c r="M2520" s="69"/>
      <c r="N2520" s="43" t="str">
        <f>IF(Gastos[[#This Row],[Fecha_Cheque]]&gt;0,WEEKNUM(Gastos[[#This Row],[Fecha_Cheque]]),MID(Gastos[[#This Row],[Semana]],6,2))</f>
        <v>31</v>
      </c>
      <c r="O2520" t="s">
        <v>3884</v>
      </c>
      <c r="P2520" t="s">
        <v>27</v>
      </c>
    </row>
    <row r="2521" spans="1:16" hidden="1" x14ac:dyDescent="0.25">
      <c r="A2521" s="3" t="s">
        <v>3963</v>
      </c>
      <c r="B2521" t="s">
        <v>2908</v>
      </c>
      <c r="C2521" t="s">
        <v>1948</v>
      </c>
      <c r="D2521" t="s">
        <v>26</v>
      </c>
      <c r="E2521" t="s">
        <v>42</v>
      </c>
      <c r="F2521">
        <v>1</v>
      </c>
      <c r="G2521" s="3" t="s">
        <v>4</v>
      </c>
      <c r="H2521" s="44" t="s">
        <v>15</v>
      </c>
      <c r="I2521" s="17">
        <v>142657</v>
      </c>
      <c r="J2521" s="17">
        <f>IF(Gastos[[#This Row],[Divisa]]="$", I2521*1, IF(Gastos[[#This Row],[Divisa]]="U$D", I2521*$N$1, IF(Gastos[[#This Row],[Divisa]]="EUR", I2521*$N$2, 0)))</f>
        <v>142657</v>
      </c>
      <c r="K2521" s="54">
        <f>Gastos[[#This Row],[Importe AR$]]/$N$1</f>
        <v>91.446794871794879</v>
      </c>
      <c r="M2521" s="69"/>
      <c r="N2521" s="43" t="str">
        <f>IF(Gastos[[#This Row],[Fecha_Cheque]]&gt;0,WEEKNUM(Gastos[[#This Row],[Fecha_Cheque]]),MID(Gastos[[#This Row],[Semana]],6,2))</f>
        <v>32</v>
      </c>
      <c r="O2521" t="s">
        <v>3967</v>
      </c>
      <c r="P2521" t="s">
        <v>27</v>
      </c>
    </row>
    <row r="2522" spans="1:16" hidden="1" x14ac:dyDescent="0.25">
      <c r="A2522" s="3" t="s">
        <v>3963</v>
      </c>
      <c r="B2522" t="s">
        <v>2908</v>
      </c>
      <c r="C2522" t="s">
        <v>1948</v>
      </c>
      <c r="D2522" t="s">
        <v>26</v>
      </c>
      <c r="E2522" t="s">
        <v>42</v>
      </c>
      <c r="F2522">
        <v>1</v>
      </c>
      <c r="G2522" s="3" t="s">
        <v>4</v>
      </c>
      <c r="H2522" s="44" t="s">
        <v>15</v>
      </c>
      <c r="I2522" s="17">
        <v>143108</v>
      </c>
      <c r="J2522" s="17">
        <f>IF(Gastos[[#This Row],[Divisa]]="$", I2522*1, IF(Gastos[[#This Row],[Divisa]]="U$D", I2522*$N$1, IF(Gastos[[#This Row],[Divisa]]="EUR", I2522*$N$2, 0)))</f>
        <v>143108</v>
      </c>
      <c r="K2522" s="54">
        <f>Gastos[[#This Row],[Importe AR$]]/$N$1</f>
        <v>91.735897435897442</v>
      </c>
      <c r="M2522" s="69"/>
      <c r="N2522" s="43" t="str">
        <f>IF(Gastos[[#This Row],[Fecha_Cheque]]&gt;0,WEEKNUM(Gastos[[#This Row],[Fecha_Cheque]]),MID(Gastos[[#This Row],[Semana]],6,2))</f>
        <v>32</v>
      </c>
      <c r="O2522" t="s">
        <v>3973</v>
      </c>
      <c r="P2522" t="s">
        <v>27</v>
      </c>
    </row>
    <row r="2523" spans="1:16" hidden="1" x14ac:dyDescent="0.25">
      <c r="A2523" s="3" t="s">
        <v>4005</v>
      </c>
      <c r="B2523" t="s">
        <v>2908</v>
      </c>
      <c r="C2523" t="s">
        <v>1948</v>
      </c>
      <c r="D2523" t="s">
        <v>26</v>
      </c>
      <c r="E2523" t="s">
        <v>42</v>
      </c>
      <c r="F2523">
        <v>1</v>
      </c>
      <c r="G2523" s="3" t="s">
        <v>4</v>
      </c>
      <c r="H2523" s="44" t="s">
        <v>15</v>
      </c>
      <c r="I2523" s="17">
        <v>131899.5</v>
      </c>
      <c r="J2523" s="17">
        <f>IF(Gastos[[#This Row],[Divisa]]="$", I2523*1, IF(Gastos[[#This Row],[Divisa]]="U$D", I2523*$N$1, IF(Gastos[[#This Row],[Divisa]]="EUR", I2523*$N$2, 0)))</f>
        <v>131899.5</v>
      </c>
      <c r="K2523" s="54">
        <f>Gastos[[#This Row],[Importe AR$]]/$N$1</f>
        <v>84.550961538461536</v>
      </c>
      <c r="M2523" s="69"/>
      <c r="N2523" s="43" t="str">
        <f>IF(Gastos[[#This Row],[Fecha_Cheque]]&gt;0,WEEKNUM(Gastos[[#This Row],[Fecha_Cheque]]),MID(Gastos[[#This Row],[Semana]],6,2))</f>
        <v>33</v>
      </c>
      <c r="O2523" t="s">
        <v>4048</v>
      </c>
      <c r="P2523" t="s">
        <v>27</v>
      </c>
    </row>
    <row r="2524" spans="1:16" hidden="1" x14ac:dyDescent="0.25">
      <c r="A2524" s="3" t="s">
        <v>4074</v>
      </c>
      <c r="B2524" t="s">
        <v>2908</v>
      </c>
      <c r="C2524" t="s">
        <v>1948</v>
      </c>
      <c r="D2524" t="s">
        <v>26</v>
      </c>
      <c r="E2524" t="s">
        <v>31</v>
      </c>
      <c r="F2524">
        <v>1</v>
      </c>
      <c r="G2524" s="3" t="s">
        <v>5</v>
      </c>
      <c r="H2524" s="44" t="s">
        <v>15</v>
      </c>
      <c r="I2524" s="17">
        <v>193833</v>
      </c>
      <c r="J2524" s="17">
        <f>IF(Gastos[[#This Row],[Divisa]]="$", I2524*1, IF(Gastos[[#This Row],[Divisa]]="U$D", I2524*$N$1, IF(Gastos[[#This Row],[Divisa]]="EUR", I2524*$N$2, 0)))</f>
        <v>193833</v>
      </c>
      <c r="K2524" s="54">
        <f>Gastos[[#This Row],[Importe AR$]]/$N$1</f>
        <v>124.25192307692308</v>
      </c>
      <c r="M2524" s="69"/>
      <c r="N2524" s="43" t="str">
        <f>IF(Gastos[[#This Row],[Fecha_Cheque]]&gt;0,WEEKNUM(Gastos[[#This Row],[Fecha_Cheque]]),MID(Gastos[[#This Row],[Semana]],6,2))</f>
        <v>34</v>
      </c>
      <c r="O2524" t="s">
        <v>4098</v>
      </c>
      <c r="P2524" t="s">
        <v>27</v>
      </c>
    </row>
    <row r="2525" spans="1:16" hidden="1" x14ac:dyDescent="0.25">
      <c r="A2525" s="3" t="s">
        <v>4119</v>
      </c>
      <c r="B2525" t="s">
        <v>2908</v>
      </c>
      <c r="C2525" t="s">
        <v>1948</v>
      </c>
      <c r="D2525" t="s">
        <v>26</v>
      </c>
      <c r="E2525" t="s">
        <v>42</v>
      </c>
      <c r="F2525">
        <v>1</v>
      </c>
      <c r="G2525" s="3" t="s">
        <v>4</v>
      </c>
      <c r="H2525" s="44" t="s">
        <v>15</v>
      </c>
      <c r="I2525" s="17">
        <v>99104.25</v>
      </c>
      <c r="J2525" s="17">
        <f>IF(Gastos[[#This Row],[Divisa]]="$", I2525*1, IF(Gastos[[#This Row],[Divisa]]="U$D", I2525*$N$1, IF(Gastos[[#This Row],[Divisa]]="EUR", I2525*$N$2, 0)))</f>
        <v>99104.25</v>
      </c>
      <c r="K2525" s="54">
        <f>Gastos[[#This Row],[Importe AR$]]/$N$1</f>
        <v>63.528365384615384</v>
      </c>
      <c r="M2525" s="69"/>
      <c r="N2525" s="43" t="str">
        <f>IF(Gastos[[#This Row],[Fecha_Cheque]]&gt;0,WEEKNUM(Gastos[[#This Row],[Fecha_Cheque]]),MID(Gastos[[#This Row],[Semana]],6,2))</f>
        <v>35</v>
      </c>
      <c r="O2525" t="s">
        <v>4121</v>
      </c>
      <c r="P2525" t="s">
        <v>27</v>
      </c>
    </row>
    <row r="2526" spans="1:16" hidden="1" x14ac:dyDescent="0.25">
      <c r="A2526" s="3" t="s">
        <v>4119</v>
      </c>
      <c r="B2526" t="s">
        <v>2908</v>
      </c>
      <c r="C2526" t="s">
        <v>1948</v>
      </c>
      <c r="D2526" t="s">
        <v>26</v>
      </c>
      <c r="E2526" t="s">
        <v>42</v>
      </c>
      <c r="F2526">
        <v>1</v>
      </c>
      <c r="G2526" s="3" t="s">
        <v>4</v>
      </c>
      <c r="H2526" s="44" t="s">
        <v>15</v>
      </c>
      <c r="I2526" s="17">
        <v>85807.5</v>
      </c>
      <c r="J2526" s="17">
        <f>IF(Gastos[[#This Row],[Divisa]]="$", I2526*1, IF(Gastos[[#This Row],[Divisa]]="U$D", I2526*$N$1, IF(Gastos[[#This Row],[Divisa]]="EUR", I2526*$N$2, 0)))</f>
        <v>85807.5</v>
      </c>
      <c r="K2526" s="54">
        <f>Gastos[[#This Row],[Importe AR$]]/$N$1</f>
        <v>55.004807692307693</v>
      </c>
      <c r="M2526" s="69"/>
      <c r="N2526" s="43" t="str">
        <f>IF(Gastos[[#This Row],[Fecha_Cheque]]&gt;0,WEEKNUM(Gastos[[#This Row],[Fecha_Cheque]]),MID(Gastos[[#This Row],[Semana]],6,2))</f>
        <v>35</v>
      </c>
      <c r="O2526" t="s">
        <v>4140</v>
      </c>
      <c r="P2526" t="s">
        <v>27</v>
      </c>
    </row>
    <row r="2527" spans="1:16" hidden="1" x14ac:dyDescent="0.25">
      <c r="A2527" s="3" t="s">
        <v>4157</v>
      </c>
      <c r="B2527" t="s">
        <v>2908</v>
      </c>
      <c r="C2527" t="s">
        <v>1948</v>
      </c>
      <c r="D2527" t="s">
        <v>26</v>
      </c>
      <c r="E2527" t="s">
        <v>42</v>
      </c>
      <c r="F2527">
        <v>1</v>
      </c>
      <c r="G2527" s="3" t="s">
        <v>4</v>
      </c>
      <c r="H2527" s="44" t="s">
        <v>15</v>
      </c>
      <c r="I2527" s="17">
        <v>134500.5</v>
      </c>
      <c r="J2527" s="17">
        <f>IF(Gastos[[#This Row],[Divisa]]="$", I2527*1, IF(Gastos[[#This Row],[Divisa]]="U$D", I2527*$N$1, IF(Gastos[[#This Row],[Divisa]]="EUR", I2527*$N$2, 0)))</f>
        <v>134500.5</v>
      </c>
      <c r="K2527" s="54">
        <f>Gastos[[#This Row],[Importe AR$]]/$N$1</f>
        <v>86.218269230769238</v>
      </c>
      <c r="M2527" s="69"/>
      <c r="N2527" s="43" t="str">
        <f>IF(Gastos[[#This Row],[Fecha_Cheque]]&gt;0,WEEKNUM(Gastos[[#This Row],[Fecha_Cheque]]),MID(Gastos[[#This Row],[Semana]],6,2))</f>
        <v>36</v>
      </c>
      <c r="O2527" t="s">
        <v>4182</v>
      </c>
      <c r="P2527" t="s">
        <v>27</v>
      </c>
    </row>
    <row r="2528" spans="1:16" hidden="1" x14ac:dyDescent="0.25">
      <c r="A2528" s="3" t="s">
        <v>4211</v>
      </c>
      <c r="B2528" t="s">
        <v>2908</v>
      </c>
      <c r="C2528" t="s">
        <v>1948</v>
      </c>
      <c r="D2528" t="s">
        <v>26</v>
      </c>
      <c r="E2528" t="s">
        <v>42</v>
      </c>
      <c r="F2528">
        <v>1</v>
      </c>
      <c r="G2528" s="3" t="s">
        <v>4</v>
      </c>
      <c r="H2528" s="44" t="s">
        <v>15</v>
      </c>
      <c r="I2528" s="17">
        <v>112763.5</v>
      </c>
      <c r="J2528" s="17">
        <f>IF(Gastos[[#This Row],[Divisa]]="$", I2528*1, IF(Gastos[[#This Row],[Divisa]]="U$D", I2528*$N$1, IF(Gastos[[#This Row],[Divisa]]="EUR", I2528*$N$2, 0)))</f>
        <v>112763.5</v>
      </c>
      <c r="K2528" s="54">
        <f>Gastos[[#This Row],[Importe AR$]]/$N$1</f>
        <v>72.28429487179487</v>
      </c>
      <c r="M2528" s="69"/>
      <c r="N2528" s="43" t="str">
        <f>IF(Gastos[[#This Row],[Fecha_Cheque]]&gt;0,WEEKNUM(Gastos[[#This Row],[Fecha_Cheque]]),MID(Gastos[[#This Row],[Semana]],6,2))</f>
        <v>37</v>
      </c>
      <c r="O2528" t="s">
        <v>4222</v>
      </c>
      <c r="P2528" t="s">
        <v>27</v>
      </c>
    </row>
    <row r="2529" spans="1:16" hidden="1" x14ac:dyDescent="0.25">
      <c r="A2529" s="3" t="s">
        <v>4322</v>
      </c>
      <c r="B2529" t="s">
        <v>2908</v>
      </c>
      <c r="C2529" t="s">
        <v>4366</v>
      </c>
      <c r="D2529" t="s">
        <v>26</v>
      </c>
      <c r="E2529" t="s">
        <v>42</v>
      </c>
      <c r="F2529">
        <v>1</v>
      </c>
      <c r="G2529" s="3" t="s">
        <v>4</v>
      </c>
      <c r="H2529" s="44" t="s">
        <v>15</v>
      </c>
      <c r="I2529" s="17">
        <v>135945.25</v>
      </c>
      <c r="J2529" s="17">
        <f>IF(Gastos[[#This Row],[Divisa]]="$", I2529*1, IF(Gastos[[#This Row],[Divisa]]="U$D", I2529*$N$1, IF(Gastos[[#This Row],[Divisa]]="EUR", I2529*$N$2, 0)))</f>
        <v>135945.25</v>
      </c>
      <c r="K2529" s="54">
        <f>Gastos[[#This Row],[Importe AR$]]/$N$1</f>
        <v>87.144391025641028</v>
      </c>
      <c r="M2529" s="69"/>
      <c r="N2529" s="43" t="str">
        <f>IF(Gastos[[#This Row],[Fecha_Cheque]]&gt;0,WEEKNUM(Gastos[[#This Row],[Fecha_Cheque]]),MID(Gastos[[#This Row],[Semana]],6,2))</f>
        <v>38</v>
      </c>
      <c r="O2529" t="s">
        <v>4367</v>
      </c>
      <c r="P2529" t="s">
        <v>27</v>
      </c>
    </row>
    <row r="2530" spans="1:16" hidden="1" x14ac:dyDescent="0.25">
      <c r="A2530" s="3" t="s">
        <v>4374</v>
      </c>
      <c r="B2530" t="s">
        <v>2908</v>
      </c>
      <c r="C2530" t="s">
        <v>1948</v>
      </c>
      <c r="D2530" t="s">
        <v>26</v>
      </c>
      <c r="E2530" t="s">
        <v>42</v>
      </c>
      <c r="F2530">
        <v>1</v>
      </c>
      <c r="G2530" s="3" t="s">
        <v>4</v>
      </c>
      <c r="H2530" s="44" t="s">
        <v>15</v>
      </c>
      <c r="I2530" s="17">
        <v>132129</v>
      </c>
      <c r="J2530" s="17">
        <f>IF(Gastos[[#This Row],[Divisa]]="$", I2530*1, IF(Gastos[[#This Row],[Divisa]]="U$D", I2530*$N$1, IF(Gastos[[#This Row],[Divisa]]="EUR", I2530*$N$2, 0)))</f>
        <v>132129</v>
      </c>
      <c r="K2530" s="54">
        <f>Gastos[[#This Row],[Importe AR$]]/$N$1</f>
        <v>84.698076923076925</v>
      </c>
      <c r="M2530" s="69"/>
      <c r="N2530" s="43" t="str">
        <f>IF(Gastos[[#This Row],[Fecha_Cheque]]&gt;0,WEEKNUM(Gastos[[#This Row],[Fecha_Cheque]]),MID(Gastos[[#This Row],[Semana]],6,2))</f>
        <v>39</v>
      </c>
      <c r="O2530" t="s">
        <v>4388</v>
      </c>
      <c r="P2530" t="s">
        <v>27</v>
      </c>
    </row>
    <row r="2531" spans="1:16" hidden="1" x14ac:dyDescent="0.25">
      <c r="A2531" s="3" t="s">
        <v>4447</v>
      </c>
      <c r="B2531" t="s">
        <v>2908</v>
      </c>
      <c r="C2531" t="s">
        <v>1948</v>
      </c>
      <c r="D2531" t="s">
        <v>26</v>
      </c>
      <c r="E2531" t="s">
        <v>42</v>
      </c>
      <c r="F2531">
        <v>1</v>
      </c>
      <c r="G2531" s="3" t="s">
        <v>4</v>
      </c>
      <c r="H2531" s="44" t="s">
        <v>15</v>
      </c>
      <c r="I2531" s="17">
        <v>119152</v>
      </c>
      <c r="J2531" s="17">
        <f>IF(Gastos[[#This Row],[Divisa]]="$", I2531*1, IF(Gastos[[#This Row],[Divisa]]="U$D", I2531*$N$1, IF(Gastos[[#This Row],[Divisa]]="EUR", I2531*$N$2, 0)))</f>
        <v>119152</v>
      </c>
      <c r="K2531" s="54">
        <f>Gastos[[#This Row],[Importe AR$]]/$N$1</f>
        <v>76.379487179487185</v>
      </c>
      <c r="M2531" s="69"/>
      <c r="N2531" s="43" t="str">
        <f>IF(Gastos[[#This Row],[Fecha_Cheque]]&gt;0,WEEKNUM(Gastos[[#This Row],[Fecha_Cheque]]),MID(Gastos[[#This Row],[Semana]],6,2))</f>
        <v>41</v>
      </c>
      <c r="O2531" t="s">
        <v>4458</v>
      </c>
      <c r="P2531" t="s">
        <v>27</v>
      </c>
    </row>
    <row r="2532" spans="1:16" hidden="1" x14ac:dyDescent="0.25">
      <c r="A2532" s="3" t="s">
        <v>4447</v>
      </c>
      <c r="B2532" t="s">
        <v>2908</v>
      </c>
      <c r="C2532" t="s">
        <v>1948</v>
      </c>
      <c r="D2532" t="s">
        <v>26</v>
      </c>
      <c r="E2532" t="s">
        <v>42</v>
      </c>
      <c r="F2532">
        <v>1</v>
      </c>
      <c r="G2532" s="3" t="s">
        <v>4</v>
      </c>
      <c r="H2532" s="44" t="s">
        <v>15</v>
      </c>
      <c r="I2532" s="17">
        <v>199484</v>
      </c>
      <c r="J2532" s="17">
        <f>IF(Gastos[[#This Row],[Divisa]]="$", I2532*1, IF(Gastos[[#This Row],[Divisa]]="U$D", I2532*$N$1, IF(Gastos[[#This Row],[Divisa]]="EUR", I2532*$N$2, 0)))</f>
        <v>199484</v>
      </c>
      <c r="K2532" s="54">
        <f>Gastos[[#This Row],[Importe AR$]]/$N$1</f>
        <v>127.87435897435897</v>
      </c>
      <c r="M2532" s="69"/>
      <c r="N2532" s="43" t="str">
        <f>IF(Gastos[[#This Row],[Fecha_Cheque]]&gt;0,WEEKNUM(Gastos[[#This Row],[Fecha_Cheque]]),MID(Gastos[[#This Row],[Semana]],6,2))</f>
        <v>41</v>
      </c>
      <c r="O2532" t="s">
        <v>4468</v>
      </c>
      <c r="P2532" t="s">
        <v>27</v>
      </c>
    </row>
    <row r="2533" spans="1:16" hidden="1" x14ac:dyDescent="0.25">
      <c r="A2533" s="3" t="s">
        <v>4513</v>
      </c>
      <c r="B2533" t="s">
        <v>2908</v>
      </c>
      <c r="C2533" t="s">
        <v>1948</v>
      </c>
      <c r="D2533" t="s">
        <v>26</v>
      </c>
      <c r="E2533" t="s">
        <v>42</v>
      </c>
      <c r="F2533">
        <v>1</v>
      </c>
      <c r="G2533" s="3" t="s">
        <v>5</v>
      </c>
      <c r="H2533" s="44" t="s">
        <v>15</v>
      </c>
      <c r="I2533" s="17">
        <v>95385.5</v>
      </c>
      <c r="J2533" s="17">
        <f>IF(Gastos[[#This Row],[Divisa]]="$", I2533*1, IF(Gastos[[#This Row],[Divisa]]="U$D", I2533*$N$1, IF(Gastos[[#This Row],[Divisa]]="EUR", I2533*$N$2, 0)))</f>
        <v>95385.5</v>
      </c>
      <c r="K2533" s="54">
        <f>Gastos[[#This Row],[Importe AR$]]/$N$1</f>
        <v>61.144551282051282</v>
      </c>
      <c r="M2533" s="69"/>
      <c r="N2533" s="43" t="str">
        <f>IF(Gastos[[#This Row],[Fecha_Cheque]]&gt;0,WEEKNUM(Gastos[[#This Row],[Fecha_Cheque]]),MID(Gastos[[#This Row],[Semana]],6,2))</f>
        <v>42</v>
      </c>
      <c r="O2533" t="s">
        <v>4528</v>
      </c>
      <c r="P2533" t="s">
        <v>27</v>
      </c>
    </row>
    <row r="2534" spans="1:16" hidden="1" x14ac:dyDescent="0.25">
      <c r="A2534" s="3" t="s">
        <v>4569</v>
      </c>
      <c r="B2534" t="s">
        <v>2908</v>
      </c>
      <c r="C2534" t="s">
        <v>1948</v>
      </c>
      <c r="D2534" t="s">
        <v>26</v>
      </c>
      <c r="E2534" t="s">
        <v>42</v>
      </c>
      <c r="F2534">
        <v>1</v>
      </c>
      <c r="G2534" s="3" t="s">
        <v>4</v>
      </c>
      <c r="H2534" s="44" t="s">
        <v>15</v>
      </c>
      <c r="I2534" s="17">
        <v>177971</v>
      </c>
      <c r="J2534" s="17">
        <f>IF(Gastos[[#This Row],[Divisa]]="$", I2534*1, IF(Gastos[[#This Row],[Divisa]]="U$D", I2534*$N$1, IF(Gastos[[#This Row],[Divisa]]="EUR", I2534*$N$2, 0)))</f>
        <v>177971</v>
      </c>
      <c r="K2534" s="54">
        <f>Gastos[[#This Row],[Importe AR$]]/$N$1</f>
        <v>114.08397435897436</v>
      </c>
      <c r="M2534" s="69"/>
      <c r="N2534" s="43" t="str">
        <f>IF(Gastos[[#This Row],[Fecha_Cheque]]&gt;0,WEEKNUM(Gastos[[#This Row],[Fecha_Cheque]]),MID(Gastos[[#This Row],[Semana]],6,2))</f>
        <v>43</v>
      </c>
      <c r="O2534" t="s">
        <v>4574</v>
      </c>
      <c r="P2534" t="s">
        <v>27</v>
      </c>
    </row>
    <row r="2535" spans="1:16" hidden="1" x14ac:dyDescent="0.25">
      <c r="A2535" s="3" t="s">
        <v>2731</v>
      </c>
      <c r="B2535" t="s">
        <v>3040</v>
      </c>
      <c r="C2535" t="s">
        <v>1948</v>
      </c>
      <c r="D2535" t="s">
        <v>26</v>
      </c>
      <c r="E2535" t="s">
        <v>42</v>
      </c>
      <c r="F2535">
        <v>1</v>
      </c>
      <c r="G2535" s="3" t="s">
        <v>4</v>
      </c>
      <c r="H2535" s="44" t="s">
        <v>15</v>
      </c>
      <c r="I2535" s="17">
        <v>17600</v>
      </c>
      <c r="J2535" s="17">
        <f>IF(Gastos[[#This Row],[Divisa]]="$", I2535*1, IF(Gastos[[#This Row],[Divisa]]="U$D", I2535*$N$1, IF(Gastos[[#This Row],[Divisa]]="EUR", I2535*$N$2, 0)))</f>
        <v>17600</v>
      </c>
      <c r="K2535" s="54">
        <f>Gastos[[#This Row],[Importe AR$]]/$N$1</f>
        <v>11.282051282051283</v>
      </c>
      <c r="M2535" s="69"/>
      <c r="N2535" s="43" t="str">
        <f>IF(Gastos[[#This Row],[Fecha_Cheque]]&gt;0,WEEKNUM(Gastos[[#This Row],[Fecha_Cheque]]),MID(Gastos[[#This Row],[Semana]],6,2))</f>
        <v>17</v>
      </c>
      <c r="O2535" t="s">
        <v>3041</v>
      </c>
      <c r="P2535" t="s">
        <v>27</v>
      </c>
    </row>
    <row r="2536" spans="1:16" hidden="1" x14ac:dyDescent="0.25">
      <c r="A2536" s="3" t="s">
        <v>3617</v>
      </c>
      <c r="B2536" t="s">
        <v>3040</v>
      </c>
      <c r="C2536" t="s">
        <v>1948</v>
      </c>
      <c r="D2536" t="s">
        <v>26</v>
      </c>
      <c r="E2536" t="s">
        <v>42</v>
      </c>
      <c r="F2536">
        <v>1</v>
      </c>
      <c r="G2536" s="3" t="s">
        <v>4</v>
      </c>
      <c r="H2536" s="44" t="s">
        <v>15</v>
      </c>
      <c r="I2536" s="17">
        <v>30825</v>
      </c>
      <c r="J2536" s="17">
        <f>IF(Gastos[[#This Row],[Divisa]]="$", I2536*1, IF(Gastos[[#This Row],[Divisa]]="U$D", I2536*$N$1, IF(Gastos[[#This Row],[Divisa]]="EUR", I2536*$N$2, 0)))</f>
        <v>30825</v>
      </c>
      <c r="K2536" s="54">
        <f>Gastos[[#This Row],[Importe AR$]]/$N$1</f>
        <v>19.759615384615383</v>
      </c>
      <c r="M2536" s="69"/>
      <c r="N2536" s="43" t="str">
        <f>IF(Gastos[[#This Row],[Fecha_Cheque]]&gt;0,WEEKNUM(Gastos[[#This Row],[Fecha_Cheque]]),MID(Gastos[[#This Row],[Semana]],6,2))</f>
        <v>27</v>
      </c>
      <c r="O2536" t="s">
        <v>3628</v>
      </c>
      <c r="P2536" t="s">
        <v>27</v>
      </c>
    </row>
    <row r="2537" spans="1:16" hidden="1" x14ac:dyDescent="0.25">
      <c r="A2537" s="3" t="s">
        <v>3754</v>
      </c>
      <c r="B2537" t="s">
        <v>3040</v>
      </c>
      <c r="C2537" t="s">
        <v>3760</v>
      </c>
      <c r="D2537" t="s">
        <v>26</v>
      </c>
      <c r="E2537" t="s">
        <v>42</v>
      </c>
      <c r="F2537">
        <v>1</v>
      </c>
      <c r="G2537" s="3" t="s">
        <v>4</v>
      </c>
      <c r="H2537" s="44" t="s">
        <v>15</v>
      </c>
      <c r="I2537" s="17">
        <v>100375</v>
      </c>
      <c r="J2537" s="17">
        <f>IF(Gastos[[#This Row],[Divisa]]="$", I2537*1, IF(Gastos[[#This Row],[Divisa]]="U$D", I2537*$N$1, IF(Gastos[[#This Row],[Divisa]]="EUR", I2537*$N$2, 0)))</f>
        <v>100375</v>
      </c>
      <c r="K2537" s="54">
        <f>Gastos[[#This Row],[Importe AR$]]/$N$1</f>
        <v>64.342948717948715</v>
      </c>
      <c r="M2537" s="69"/>
      <c r="N2537" s="43" t="str">
        <f>IF(Gastos[[#This Row],[Fecha_Cheque]]&gt;0,WEEKNUM(Gastos[[#This Row],[Fecha_Cheque]]),MID(Gastos[[#This Row],[Semana]],6,2))</f>
        <v>29</v>
      </c>
      <c r="O2537" t="s">
        <v>3761</v>
      </c>
      <c r="P2537" t="s">
        <v>27</v>
      </c>
    </row>
    <row r="2538" spans="1:16" hidden="1" x14ac:dyDescent="0.25">
      <c r="A2538" s="3" t="s">
        <v>3882</v>
      </c>
      <c r="B2538" t="s">
        <v>3040</v>
      </c>
      <c r="C2538" t="s">
        <v>1211</v>
      </c>
      <c r="D2538" t="s">
        <v>26</v>
      </c>
      <c r="E2538" t="s">
        <v>42</v>
      </c>
      <c r="F2538">
        <v>1</v>
      </c>
      <c r="G2538" s="3" t="s">
        <v>4</v>
      </c>
      <c r="H2538" s="44" t="s">
        <v>15</v>
      </c>
      <c r="I2538" s="17">
        <v>79135</v>
      </c>
      <c r="J2538" s="17">
        <f>IF(Gastos[[#This Row],[Divisa]]="$", I2538*1, IF(Gastos[[#This Row],[Divisa]]="U$D", I2538*$N$1, IF(Gastos[[#This Row],[Divisa]]="EUR", I2538*$N$2, 0)))</f>
        <v>79135</v>
      </c>
      <c r="K2538" s="54">
        <f>Gastos[[#This Row],[Importe AR$]]/$N$1</f>
        <v>50.727564102564102</v>
      </c>
      <c r="M2538" s="69"/>
      <c r="N2538" s="43" t="str">
        <f>IF(Gastos[[#This Row],[Fecha_Cheque]]&gt;0,WEEKNUM(Gastos[[#This Row],[Fecha_Cheque]]),MID(Gastos[[#This Row],[Semana]],6,2))</f>
        <v>31</v>
      </c>
      <c r="O2538" t="s">
        <v>3941</v>
      </c>
      <c r="P2538" t="s">
        <v>27</v>
      </c>
    </row>
    <row r="2539" spans="1:16" hidden="1" x14ac:dyDescent="0.25">
      <c r="A2539" s="3" t="s">
        <v>4005</v>
      </c>
      <c r="B2539" t="s">
        <v>3040</v>
      </c>
      <c r="C2539" t="s">
        <v>1948</v>
      </c>
      <c r="D2539" t="s">
        <v>26</v>
      </c>
      <c r="E2539" t="s">
        <v>42</v>
      </c>
      <c r="F2539">
        <v>1</v>
      </c>
      <c r="G2539" s="3" t="s">
        <v>4</v>
      </c>
      <c r="H2539" s="44" t="s">
        <v>15</v>
      </c>
      <c r="I2539" s="17">
        <v>90400</v>
      </c>
      <c r="J2539" s="17">
        <f>IF(Gastos[[#This Row],[Divisa]]="$", I2539*1, IF(Gastos[[#This Row],[Divisa]]="U$D", I2539*$N$1, IF(Gastos[[#This Row],[Divisa]]="EUR", I2539*$N$2, 0)))</f>
        <v>90400</v>
      </c>
      <c r="K2539" s="54">
        <f>Gastos[[#This Row],[Importe AR$]]/$N$1</f>
        <v>57.948717948717949</v>
      </c>
      <c r="M2539" s="69"/>
      <c r="N2539" s="43" t="str">
        <f>IF(Gastos[[#This Row],[Fecha_Cheque]]&gt;0,WEEKNUM(Gastos[[#This Row],[Fecha_Cheque]]),MID(Gastos[[#This Row],[Semana]],6,2))</f>
        <v>33</v>
      </c>
      <c r="O2539" t="s">
        <v>4056</v>
      </c>
      <c r="P2539" t="s">
        <v>27</v>
      </c>
    </row>
    <row r="2540" spans="1:16" hidden="1" x14ac:dyDescent="0.25">
      <c r="A2540" s="3" t="s">
        <v>72</v>
      </c>
      <c r="B2540" t="s">
        <v>1496</v>
      </c>
      <c r="C2540" t="s">
        <v>1497</v>
      </c>
      <c r="D2540" t="s">
        <v>26</v>
      </c>
      <c r="E2540" t="s">
        <v>31</v>
      </c>
      <c r="F2540">
        <v>1</v>
      </c>
      <c r="G2540" s="3" t="s">
        <v>5</v>
      </c>
      <c r="H2540" s="46" t="s">
        <v>15</v>
      </c>
      <c r="I2540" s="17">
        <v>302123</v>
      </c>
      <c r="J2540" s="17">
        <f>IF(Gastos[[#This Row],[Divisa]]="$", I2540*1, IF(Gastos[[#This Row],[Divisa]]="U$D", I2540*$N$1, IF(Gastos[[#This Row],[Divisa]]="EUR", I2540*$N$2, 0)))</f>
        <v>302123</v>
      </c>
      <c r="K2540" s="54">
        <f>Gastos[[#This Row],[Importe AR$]]/$N$1</f>
        <v>193.66858974358973</v>
      </c>
      <c r="M2540" s="69"/>
      <c r="N2540" s="43" t="str">
        <f>IF(Gastos[[#This Row],[Fecha_Cheque]]&gt;0,WEEKNUM(Gastos[[#This Row],[Fecha_Cheque]]),MID(Gastos[[#This Row],[Semana]],6,2))</f>
        <v>48</v>
      </c>
      <c r="O2540" t="s">
        <v>1498</v>
      </c>
      <c r="P2540" t="s">
        <v>27</v>
      </c>
    </row>
    <row r="2541" spans="1:16" hidden="1" x14ac:dyDescent="0.25">
      <c r="A2541" s="3" t="s">
        <v>93</v>
      </c>
      <c r="B2541" t="s">
        <v>1496</v>
      </c>
      <c r="C2541" t="s">
        <v>1499</v>
      </c>
      <c r="D2541" t="s">
        <v>26</v>
      </c>
      <c r="E2541" t="s">
        <v>31</v>
      </c>
      <c r="F2541">
        <v>1</v>
      </c>
      <c r="G2541" s="3" t="s">
        <v>5</v>
      </c>
      <c r="H2541" s="46" t="s">
        <v>15</v>
      </c>
      <c r="I2541" s="17">
        <v>1762397.99</v>
      </c>
      <c r="J2541" s="17">
        <f>IF(Gastos[[#This Row],[Divisa]]="$", I2541*1, IF(Gastos[[#This Row],[Divisa]]="U$D", I2541*$N$1, IF(Gastos[[#This Row],[Divisa]]="EUR", I2541*$N$2, 0)))</f>
        <v>1762397.99</v>
      </c>
      <c r="K2541" s="54">
        <f>Gastos[[#This Row],[Importe AR$]]/$N$1</f>
        <v>1129.7423012820514</v>
      </c>
      <c r="M2541" s="69"/>
      <c r="N2541" s="43" t="str">
        <f>IF(Gastos[[#This Row],[Fecha_Cheque]]&gt;0,WEEKNUM(Gastos[[#This Row],[Fecha_Cheque]]),MID(Gastos[[#This Row],[Semana]],6,2))</f>
        <v>50</v>
      </c>
      <c r="O2541" t="s">
        <v>1500</v>
      </c>
      <c r="P2541" t="s">
        <v>27</v>
      </c>
    </row>
    <row r="2542" spans="1:16" hidden="1" x14ac:dyDescent="0.25">
      <c r="A2542" s="3" t="s">
        <v>44</v>
      </c>
      <c r="B2542" t="s">
        <v>1496</v>
      </c>
      <c r="C2542" t="s">
        <v>1501</v>
      </c>
      <c r="D2542" t="s">
        <v>26</v>
      </c>
      <c r="E2542" t="s">
        <v>31</v>
      </c>
      <c r="F2542">
        <v>1</v>
      </c>
      <c r="G2542" s="3" t="s">
        <v>5</v>
      </c>
      <c r="H2542" s="46" t="s">
        <v>15</v>
      </c>
      <c r="I2542" s="17">
        <v>109600</v>
      </c>
      <c r="J2542" s="17">
        <f>IF(Gastos[[#This Row],[Divisa]]="$", I2542*1, IF(Gastos[[#This Row],[Divisa]]="U$D", I2542*$N$1, IF(Gastos[[#This Row],[Divisa]]="EUR", I2542*$N$2, 0)))</f>
        <v>109600</v>
      </c>
      <c r="K2542" s="54">
        <f>Gastos[[#This Row],[Importe AR$]]/$N$1</f>
        <v>70.256410256410263</v>
      </c>
      <c r="M2542" s="69"/>
      <c r="N2542" s="43" t="str">
        <f>IF(Gastos[[#This Row],[Fecha_Cheque]]&gt;0,WEEKNUM(Gastos[[#This Row],[Fecha_Cheque]]),MID(Gastos[[#This Row],[Semana]],6,2))</f>
        <v>51</v>
      </c>
      <c r="O2542" t="s">
        <v>1502</v>
      </c>
      <c r="P2542" t="s">
        <v>27</v>
      </c>
    </row>
    <row r="2543" spans="1:16" hidden="1" x14ac:dyDescent="0.25">
      <c r="A2543" s="3" t="s">
        <v>619</v>
      </c>
      <c r="B2543" t="s">
        <v>1496</v>
      </c>
      <c r="C2543" t="s">
        <v>1948</v>
      </c>
      <c r="D2543" t="s">
        <v>26</v>
      </c>
      <c r="E2543" t="s">
        <v>42</v>
      </c>
      <c r="F2543">
        <v>1</v>
      </c>
      <c r="G2543" s="3" t="s">
        <v>4</v>
      </c>
      <c r="H2543" s="46" t="s">
        <v>15</v>
      </c>
      <c r="I2543" s="17">
        <v>152000.01999999999</v>
      </c>
      <c r="J2543" s="17">
        <f>IF(Gastos[[#This Row],[Divisa]]="$", I2543*1, IF(Gastos[[#This Row],[Divisa]]="U$D", I2543*$N$1, IF(Gastos[[#This Row],[Divisa]]="EUR", I2543*$N$2, 0)))</f>
        <v>152000.01999999999</v>
      </c>
      <c r="K2543" s="54">
        <f>Gastos[[#This Row],[Importe AR$]]/$N$1</f>
        <v>97.435910256410253</v>
      </c>
      <c r="M2543" s="69"/>
      <c r="N2543" s="43" t="str">
        <f>IF(Gastos[[#This Row],[Fecha_Cheque]]&gt;0,WEEKNUM(Gastos[[#This Row],[Fecha_Cheque]]),MID(Gastos[[#This Row],[Semana]],6,2))</f>
        <v>10</v>
      </c>
      <c r="O2543" t="s">
        <v>1949</v>
      </c>
      <c r="P2543" t="s">
        <v>27</v>
      </c>
    </row>
    <row r="2544" spans="1:16" hidden="1" x14ac:dyDescent="0.25">
      <c r="A2544" s="3" t="s">
        <v>2726</v>
      </c>
      <c r="B2544" t="s">
        <v>3379</v>
      </c>
      <c r="C2544" t="s">
        <v>3380</v>
      </c>
      <c r="D2544" t="s">
        <v>26</v>
      </c>
      <c r="E2544" t="s">
        <v>31</v>
      </c>
      <c r="F2544">
        <v>1</v>
      </c>
      <c r="G2544" s="3" t="s">
        <v>32</v>
      </c>
      <c r="H2544" s="44" t="s">
        <v>15</v>
      </c>
      <c r="I2544" s="17">
        <v>465010</v>
      </c>
      <c r="J2544" s="17">
        <f>IF(Gastos[[#This Row],[Divisa]]="$", I2544*1, IF(Gastos[[#This Row],[Divisa]]="U$D", I2544*$N$1, IF(Gastos[[#This Row],[Divisa]]="EUR", I2544*$N$2, 0)))</f>
        <v>465010</v>
      </c>
      <c r="K2544" s="54">
        <f>Gastos[[#This Row],[Importe AR$]]/$N$1</f>
        <v>298.08333333333331</v>
      </c>
      <c r="M2544" s="69"/>
      <c r="N2544" s="43" t="str">
        <f>IF(Gastos[[#This Row],[Fecha_Cheque]]&gt;0,WEEKNUM(Gastos[[#This Row],[Fecha_Cheque]]),MID(Gastos[[#This Row],[Semana]],6,2))</f>
        <v>24</v>
      </c>
      <c r="O2544" t="s">
        <v>3381</v>
      </c>
      <c r="P2544" t="s">
        <v>27</v>
      </c>
    </row>
    <row r="2545" spans="1:16" hidden="1" x14ac:dyDescent="0.25">
      <c r="A2545" s="3" t="s">
        <v>2726</v>
      </c>
      <c r="B2545" t="s">
        <v>3379</v>
      </c>
      <c r="C2545" t="s">
        <v>3380</v>
      </c>
      <c r="D2545" t="s">
        <v>26</v>
      </c>
      <c r="E2545" t="s">
        <v>31</v>
      </c>
      <c r="F2545">
        <v>1</v>
      </c>
      <c r="G2545" s="3" t="s">
        <v>32</v>
      </c>
      <c r="H2545" s="44" t="s">
        <v>15</v>
      </c>
      <c r="I2545" s="17">
        <v>3260</v>
      </c>
      <c r="J2545" s="17">
        <f>IF(Gastos[[#This Row],[Divisa]]="$", I2545*1, IF(Gastos[[#This Row],[Divisa]]="U$D", I2545*$N$1, IF(Gastos[[#This Row],[Divisa]]="EUR", I2545*$N$2, 0)))</f>
        <v>3260</v>
      </c>
      <c r="K2545" s="54">
        <f>Gastos[[#This Row],[Importe AR$]]/$N$1</f>
        <v>2.0897435897435899</v>
      </c>
      <c r="L2545" t="s">
        <v>340</v>
      </c>
      <c r="M2545" s="69"/>
      <c r="N2545" s="43" t="str">
        <f>IF(Gastos[[#This Row],[Fecha_Cheque]]&gt;0,WEEKNUM(Gastos[[#This Row],[Fecha_Cheque]]),MID(Gastos[[#This Row],[Semana]],6,2))</f>
        <v>24</v>
      </c>
      <c r="O2545" t="s">
        <v>3381</v>
      </c>
      <c r="P2545" t="s">
        <v>27</v>
      </c>
    </row>
    <row r="2546" spans="1:16" hidden="1" x14ac:dyDescent="0.25">
      <c r="A2546" s="3" t="s">
        <v>3439</v>
      </c>
      <c r="B2546" t="s">
        <v>3379</v>
      </c>
      <c r="C2546" t="s">
        <v>3542</v>
      </c>
      <c r="D2546" t="s">
        <v>26</v>
      </c>
      <c r="E2546" t="s">
        <v>31</v>
      </c>
      <c r="F2546">
        <v>1</v>
      </c>
      <c r="G2546" s="3" t="s">
        <v>5</v>
      </c>
      <c r="H2546" s="44" t="s">
        <v>15</v>
      </c>
      <c r="I2546" s="17">
        <v>460530</v>
      </c>
      <c r="J2546" s="17">
        <f>IF(Gastos[[#This Row],[Divisa]]="$", I2546*1, IF(Gastos[[#This Row],[Divisa]]="U$D", I2546*$N$1, IF(Gastos[[#This Row],[Divisa]]="EUR", I2546*$N$2, 0)))</f>
        <v>460530</v>
      </c>
      <c r="K2546" s="54">
        <f>Gastos[[#This Row],[Importe AR$]]/$N$1</f>
        <v>295.21153846153845</v>
      </c>
      <c r="M2546" s="69"/>
      <c r="N2546" s="43" t="str">
        <f>IF(Gastos[[#This Row],[Fecha_Cheque]]&gt;0,WEEKNUM(Gastos[[#This Row],[Fecha_Cheque]]),MID(Gastos[[#This Row],[Semana]],6,2))</f>
        <v>25</v>
      </c>
      <c r="O2546" t="s">
        <v>3543</v>
      </c>
      <c r="P2546" t="s">
        <v>27</v>
      </c>
    </row>
    <row r="2547" spans="1:16" hidden="1" x14ac:dyDescent="0.25">
      <c r="A2547" s="3" t="s">
        <v>3439</v>
      </c>
      <c r="B2547" t="s">
        <v>3379</v>
      </c>
      <c r="C2547" t="s">
        <v>3542</v>
      </c>
      <c r="D2547" t="s">
        <v>26</v>
      </c>
      <c r="E2547" t="s">
        <v>31</v>
      </c>
      <c r="F2547">
        <v>1</v>
      </c>
      <c r="G2547" s="3" t="s">
        <v>5</v>
      </c>
      <c r="H2547" s="44" t="s">
        <v>15</v>
      </c>
      <c r="I2547" s="17">
        <v>7740</v>
      </c>
      <c r="J2547" s="17">
        <f>IF(Gastos[[#This Row],[Divisa]]="$", I2547*1, IF(Gastos[[#This Row],[Divisa]]="U$D", I2547*$N$1, IF(Gastos[[#This Row],[Divisa]]="EUR", I2547*$N$2, 0)))</f>
        <v>7740</v>
      </c>
      <c r="K2547" s="54">
        <f>Gastos[[#This Row],[Importe AR$]]/$N$1</f>
        <v>4.9615384615384617</v>
      </c>
      <c r="L2547" t="s">
        <v>340</v>
      </c>
      <c r="M2547" s="69"/>
      <c r="N2547" s="43" t="str">
        <f>IF(Gastos[[#This Row],[Fecha_Cheque]]&gt;0,WEEKNUM(Gastos[[#This Row],[Fecha_Cheque]]),MID(Gastos[[#This Row],[Semana]],6,2))</f>
        <v>25</v>
      </c>
      <c r="O2547" t="s">
        <v>3543</v>
      </c>
      <c r="P2547" t="s">
        <v>27</v>
      </c>
    </row>
    <row r="2548" spans="1:16" hidden="1" x14ac:dyDescent="0.25">
      <c r="A2548" s="3" t="s">
        <v>3817</v>
      </c>
      <c r="B2548" t="s">
        <v>3379</v>
      </c>
      <c r="C2548" t="s">
        <v>3822</v>
      </c>
      <c r="D2548" t="s">
        <v>26</v>
      </c>
      <c r="E2548" t="s">
        <v>31</v>
      </c>
      <c r="F2548">
        <v>1</v>
      </c>
      <c r="G2548" s="3" t="s">
        <v>5</v>
      </c>
      <c r="H2548" s="44" t="s">
        <v>15</v>
      </c>
      <c r="I2548" s="17">
        <v>742083.31</v>
      </c>
      <c r="J2548" s="17">
        <f>IF(Gastos[[#This Row],[Divisa]]="$", I2548*1, IF(Gastos[[#This Row],[Divisa]]="U$D", I2548*$N$1, IF(Gastos[[#This Row],[Divisa]]="EUR", I2548*$N$2, 0)))</f>
        <v>742083.31</v>
      </c>
      <c r="K2548" s="54">
        <f>Gastos[[#This Row],[Importe AR$]]/$N$1</f>
        <v>475.69442948717955</v>
      </c>
      <c r="M2548" s="69"/>
      <c r="N2548" s="43" t="str">
        <f>IF(Gastos[[#This Row],[Fecha_Cheque]]&gt;0,WEEKNUM(Gastos[[#This Row],[Fecha_Cheque]]),MID(Gastos[[#This Row],[Semana]],6,2))</f>
        <v>30</v>
      </c>
      <c r="O2548" t="s">
        <v>3823</v>
      </c>
      <c r="P2548" t="s">
        <v>27</v>
      </c>
    </row>
    <row r="2549" spans="1:16" hidden="1" x14ac:dyDescent="0.25">
      <c r="A2549" s="3" t="s">
        <v>3817</v>
      </c>
      <c r="B2549" t="s">
        <v>3379</v>
      </c>
      <c r="C2549" t="s">
        <v>3822</v>
      </c>
      <c r="D2549" t="s">
        <v>26</v>
      </c>
      <c r="E2549" t="s">
        <v>31</v>
      </c>
      <c r="F2549">
        <v>1</v>
      </c>
      <c r="G2549" s="3" t="s">
        <v>5</v>
      </c>
      <c r="H2549" s="44" t="s">
        <v>15</v>
      </c>
      <c r="I2549" s="17">
        <v>7916.69</v>
      </c>
      <c r="J2549" s="17">
        <f>IF(Gastos[[#This Row],[Divisa]]="$", I2549*1, IF(Gastos[[#This Row],[Divisa]]="U$D", I2549*$N$1, IF(Gastos[[#This Row],[Divisa]]="EUR", I2549*$N$2, 0)))</f>
        <v>7916.69</v>
      </c>
      <c r="K2549" s="54">
        <f>Gastos[[#This Row],[Importe AR$]]/$N$1</f>
        <v>5.0748012820512818</v>
      </c>
      <c r="L2549" t="s">
        <v>340</v>
      </c>
      <c r="M2549" s="69"/>
      <c r="N2549" s="43" t="str">
        <f>IF(Gastos[[#This Row],[Fecha_Cheque]]&gt;0,WEEKNUM(Gastos[[#This Row],[Fecha_Cheque]]),MID(Gastos[[#This Row],[Semana]],6,2))</f>
        <v>30</v>
      </c>
      <c r="O2549" t="s">
        <v>3823</v>
      </c>
      <c r="P2549" t="s">
        <v>27</v>
      </c>
    </row>
    <row r="2550" spans="1:16" hidden="1" x14ac:dyDescent="0.25">
      <c r="A2550" s="3" t="s">
        <v>3882</v>
      </c>
      <c r="B2550" t="s">
        <v>3379</v>
      </c>
      <c r="C2550" t="s">
        <v>3822</v>
      </c>
      <c r="D2550" t="s">
        <v>26</v>
      </c>
      <c r="E2550" t="s">
        <v>31</v>
      </c>
      <c r="F2550">
        <v>1</v>
      </c>
      <c r="G2550" s="3" t="s">
        <v>5</v>
      </c>
      <c r="H2550" s="44" t="s">
        <v>15</v>
      </c>
      <c r="I2550" s="17">
        <v>775481.69</v>
      </c>
      <c r="J2550" s="17">
        <f>IF(Gastos[[#This Row],[Divisa]]="$", I2550*1, IF(Gastos[[#This Row],[Divisa]]="U$D", I2550*$N$1, IF(Gastos[[#This Row],[Divisa]]="EUR", I2550*$N$2, 0)))</f>
        <v>775481.69</v>
      </c>
      <c r="K2550" s="54">
        <f>Gastos[[#This Row],[Importe AR$]]/$N$1</f>
        <v>497.10364743589741</v>
      </c>
      <c r="M2550" s="69"/>
      <c r="N2550" s="43" t="str">
        <f>IF(Gastos[[#This Row],[Fecha_Cheque]]&gt;0,WEEKNUM(Gastos[[#This Row],[Fecha_Cheque]]),MID(Gastos[[#This Row],[Semana]],6,2))</f>
        <v>31</v>
      </c>
      <c r="O2550" t="s">
        <v>3933</v>
      </c>
      <c r="P2550" t="s">
        <v>27</v>
      </c>
    </row>
    <row r="2551" spans="1:16" hidden="1" x14ac:dyDescent="0.25">
      <c r="A2551" s="3" t="s">
        <v>3882</v>
      </c>
      <c r="B2551" t="s">
        <v>3379</v>
      </c>
      <c r="C2551" t="s">
        <v>3822</v>
      </c>
      <c r="D2551" t="s">
        <v>26</v>
      </c>
      <c r="E2551" t="s">
        <v>31</v>
      </c>
      <c r="F2551">
        <v>1</v>
      </c>
      <c r="G2551" s="3" t="s">
        <v>5</v>
      </c>
      <c r="H2551" s="44" t="s">
        <v>15</v>
      </c>
      <c r="I2551" s="17">
        <v>13033.31</v>
      </c>
      <c r="J2551" s="17">
        <f>IF(Gastos[[#This Row],[Divisa]]="$", I2551*1, IF(Gastos[[#This Row],[Divisa]]="U$D", I2551*$N$1, IF(Gastos[[#This Row],[Divisa]]="EUR", I2551*$N$2, 0)))</f>
        <v>13033.31</v>
      </c>
      <c r="K2551" s="54">
        <f>Gastos[[#This Row],[Importe AR$]]/$N$1</f>
        <v>8.354685897435898</v>
      </c>
      <c r="L2551" t="s">
        <v>340</v>
      </c>
      <c r="M2551" s="69"/>
      <c r="N2551" s="43" t="str">
        <f>IF(Gastos[[#This Row],[Fecha_Cheque]]&gt;0,WEEKNUM(Gastos[[#This Row],[Fecha_Cheque]]),MID(Gastos[[#This Row],[Semana]],6,2))</f>
        <v>31</v>
      </c>
      <c r="O2551" t="s">
        <v>3933</v>
      </c>
      <c r="P2551" t="s">
        <v>27</v>
      </c>
    </row>
    <row r="2552" spans="1:16" hidden="1" x14ac:dyDescent="0.25">
      <c r="A2552" s="3" t="s">
        <v>44</v>
      </c>
      <c r="B2552" t="s">
        <v>1503</v>
      </c>
      <c r="C2552" t="s">
        <v>1504</v>
      </c>
      <c r="D2552" t="s">
        <v>26</v>
      </c>
      <c r="E2552" t="s">
        <v>31</v>
      </c>
      <c r="F2552">
        <v>1</v>
      </c>
      <c r="G2552" s="3" t="s">
        <v>32</v>
      </c>
      <c r="H2552" s="46" t="s">
        <v>15</v>
      </c>
      <c r="I2552" s="17">
        <v>1950000</v>
      </c>
      <c r="J2552" s="17">
        <f>IF(Gastos[[#This Row],[Divisa]]="$", I2552*1, IF(Gastos[[#This Row],[Divisa]]="U$D", I2552*$N$1, IF(Gastos[[#This Row],[Divisa]]="EUR", I2552*$N$2, 0)))</f>
        <v>1950000</v>
      </c>
      <c r="K2552" s="54">
        <f>Gastos[[#This Row],[Importe AR$]]/$N$1</f>
        <v>1250</v>
      </c>
      <c r="M2552" s="69"/>
      <c r="N2552" s="43" t="str">
        <f>IF(Gastos[[#This Row],[Fecha_Cheque]]&gt;0,WEEKNUM(Gastos[[#This Row],[Fecha_Cheque]]),MID(Gastos[[#This Row],[Semana]],6,2))</f>
        <v>51</v>
      </c>
      <c r="O2552" t="s">
        <v>1505</v>
      </c>
      <c r="P2552" t="s">
        <v>27</v>
      </c>
    </row>
    <row r="2553" spans="1:16" hidden="1" x14ac:dyDescent="0.25">
      <c r="A2553" s="3" t="s">
        <v>44</v>
      </c>
      <c r="B2553" t="s">
        <v>1503</v>
      </c>
      <c r="C2553" t="s">
        <v>1504</v>
      </c>
      <c r="D2553" t="s">
        <v>26</v>
      </c>
      <c r="E2553" t="s">
        <v>31</v>
      </c>
      <c r="F2553">
        <v>1</v>
      </c>
      <c r="G2553" s="3" t="s">
        <v>5</v>
      </c>
      <c r="H2553" s="46" t="s">
        <v>15</v>
      </c>
      <c r="I2553" s="17">
        <v>196480</v>
      </c>
      <c r="J2553" s="17">
        <f>IF(Gastos[[#This Row],[Divisa]]="$", I2553*1, IF(Gastos[[#This Row],[Divisa]]="U$D", I2553*$N$1, IF(Gastos[[#This Row],[Divisa]]="EUR", I2553*$N$2, 0)))</f>
        <v>196480</v>
      </c>
      <c r="K2553" s="54">
        <f>Gastos[[#This Row],[Importe AR$]]/$N$1</f>
        <v>125.94871794871794</v>
      </c>
      <c r="M2553" s="69"/>
      <c r="N2553" s="43" t="str">
        <f>IF(Gastos[[#This Row],[Fecha_Cheque]]&gt;0,WEEKNUM(Gastos[[#This Row],[Fecha_Cheque]]),MID(Gastos[[#This Row],[Semana]],6,2))</f>
        <v>51</v>
      </c>
      <c r="O2553" t="s">
        <v>1505</v>
      </c>
      <c r="P2553" t="s">
        <v>27</v>
      </c>
    </row>
    <row r="2554" spans="1:16" hidden="1" x14ac:dyDescent="0.25">
      <c r="A2554" s="3" t="s">
        <v>290</v>
      </c>
      <c r="B2554" t="s">
        <v>1506</v>
      </c>
      <c r="C2554" t="s">
        <v>1507</v>
      </c>
      <c r="D2554" t="s">
        <v>97</v>
      </c>
      <c r="E2554" t="s">
        <v>31</v>
      </c>
      <c r="F2554">
        <v>1</v>
      </c>
      <c r="G2554" s="3" t="s">
        <v>32</v>
      </c>
      <c r="H2554" s="46" t="s">
        <v>15</v>
      </c>
      <c r="I2554" s="17">
        <v>2678940</v>
      </c>
      <c r="J2554" s="17">
        <f>IF(Gastos[[#This Row],[Divisa]]="$", I2554*1, IF(Gastos[[#This Row],[Divisa]]="U$D", I2554*$N$1, IF(Gastos[[#This Row],[Divisa]]="EUR", I2554*$N$2, 0)))</f>
        <v>2678940</v>
      </c>
      <c r="K2554" s="54">
        <f>Gastos[[#This Row],[Importe AR$]]/$N$1</f>
        <v>1717.2692307692307</v>
      </c>
      <c r="L2554" t="s">
        <v>1508</v>
      </c>
      <c r="M2554" s="69"/>
      <c r="N2554" s="43" t="str">
        <f>IF(Gastos[[#This Row],[Fecha_Cheque]]&gt;0,WEEKNUM(Gastos[[#This Row],[Fecha_Cheque]]),MID(Gastos[[#This Row],[Semana]],6,2))</f>
        <v>23</v>
      </c>
      <c r="P2554" t="s">
        <v>27</v>
      </c>
    </row>
    <row r="2555" spans="1:16" hidden="1" x14ac:dyDescent="0.25">
      <c r="A2555" s="3" t="s">
        <v>2841</v>
      </c>
      <c r="B2555" t="s">
        <v>3238</v>
      </c>
      <c r="C2555" t="s">
        <v>1507</v>
      </c>
      <c r="D2555" t="s">
        <v>26</v>
      </c>
      <c r="E2555" t="s">
        <v>31</v>
      </c>
      <c r="F2555">
        <v>1</v>
      </c>
      <c r="G2555" s="3" t="s">
        <v>32</v>
      </c>
      <c r="H2555" s="44" t="s">
        <v>15</v>
      </c>
      <c r="I2555" s="17">
        <v>563801</v>
      </c>
      <c r="J2555" s="17">
        <f>IF(Gastos[[#This Row],[Divisa]]="$", I2555*1, IF(Gastos[[#This Row],[Divisa]]="U$D", I2555*$N$1, IF(Gastos[[#This Row],[Divisa]]="EUR", I2555*$N$2, 0)))</f>
        <v>563801</v>
      </c>
      <c r="K2555" s="54">
        <f>Gastos[[#This Row],[Importe AR$]]/$N$1</f>
        <v>361.41089743589743</v>
      </c>
      <c r="M2555" s="69">
        <v>46201</v>
      </c>
      <c r="N2555" s="43">
        <f>IF(Gastos[[#This Row],[Fecha_Cheque]]&gt;0,WEEKNUM(Gastos[[#This Row],[Fecha_Cheque]]),MID(Gastos[[#This Row],[Semana]],6,2))</f>
        <v>27</v>
      </c>
      <c r="O2555" t="s">
        <v>3239</v>
      </c>
      <c r="P2555" t="s">
        <v>27</v>
      </c>
    </row>
    <row r="2556" spans="1:16" hidden="1" x14ac:dyDescent="0.25">
      <c r="A2556" s="3" t="s">
        <v>2841</v>
      </c>
      <c r="B2556" t="s">
        <v>3238</v>
      </c>
      <c r="C2556" t="s">
        <v>1507</v>
      </c>
      <c r="D2556" t="s">
        <v>26</v>
      </c>
      <c r="E2556" t="s">
        <v>31</v>
      </c>
      <c r="F2556">
        <v>1</v>
      </c>
      <c r="G2556" s="3" t="s">
        <v>32</v>
      </c>
      <c r="H2556" s="44" t="s">
        <v>15</v>
      </c>
      <c r="I2556" s="17">
        <v>563801</v>
      </c>
      <c r="J2556" s="17">
        <f>IF(Gastos[[#This Row],[Divisa]]="$", I2556*1, IF(Gastos[[#This Row],[Divisa]]="U$D", I2556*$N$1, IF(Gastos[[#This Row],[Divisa]]="EUR", I2556*$N$2, 0)))</f>
        <v>563801</v>
      </c>
      <c r="K2556" s="54">
        <f>Gastos[[#This Row],[Importe AR$]]/$N$1</f>
        <v>361.41089743589743</v>
      </c>
      <c r="M2556" s="69">
        <v>46205</v>
      </c>
      <c r="N2556" s="43">
        <f>IF(Gastos[[#This Row],[Fecha_Cheque]]&gt;0,WEEKNUM(Gastos[[#This Row],[Fecha_Cheque]]),MID(Gastos[[#This Row],[Semana]],6,2))</f>
        <v>27</v>
      </c>
      <c r="O2556" t="s">
        <v>3239</v>
      </c>
      <c r="P2556" t="s">
        <v>27</v>
      </c>
    </row>
    <row r="2557" spans="1:16" hidden="1" x14ac:dyDescent="0.25">
      <c r="A2557" s="3" t="s">
        <v>2841</v>
      </c>
      <c r="B2557" t="s">
        <v>3238</v>
      </c>
      <c r="C2557" t="s">
        <v>1507</v>
      </c>
      <c r="D2557" t="s">
        <v>26</v>
      </c>
      <c r="E2557" t="s">
        <v>31</v>
      </c>
      <c r="F2557">
        <v>1</v>
      </c>
      <c r="G2557" s="3" t="s">
        <v>32</v>
      </c>
      <c r="H2557" s="44" t="s">
        <v>15</v>
      </c>
      <c r="I2557" s="17">
        <v>14396</v>
      </c>
      <c r="J2557" s="17">
        <f>IF(Gastos[[#This Row],[Divisa]]="$", I2557*1, IF(Gastos[[#This Row],[Divisa]]="U$D", I2557*$N$1, IF(Gastos[[#This Row],[Divisa]]="EUR", I2557*$N$2, 0)))</f>
        <v>14396</v>
      </c>
      <c r="K2557" s="54">
        <f>Gastos[[#This Row],[Importe AR$]]/$N$1</f>
        <v>9.2282051282051274</v>
      </c>
      <c r="L2557" t="s">
        <v>340</v>
      </c>
      <c r="M2557" s="69"/>
      <c r="N2557" s="43" t="str">
        <f>IF(Gastos[[#This Row],[Fecha_Cheque]]&gt;0,WEEKNUM(Gastos[[#This Row],[Fecha_Cheque]]),MID(Gastos[[#This Row],[Semana]],6,2))</f>
        <v>22</v>
      </c>
      <c r="O2557" t="s">
        <v>3239</v>
      </c>
      <c r="P2557" t="s">
        <v>27</v>
      </c>
    </row>
    <row r="2558" spans="1:16" hidden="1" x14ac:dyDescent="0.25">
      <c r="A2558" s="3" t="s">
        <v>3617</v>
      </c>
      <c r="B2558" t="s">
        <v>3238</v>
      </c>
      <c r="C2558" t="s">
        <v>3644</v>
      </c>
      <c r="D2558" t="s">
        <v>26</v>
      </c>
      <c r="E2558" t="s">
        <v>31</v>
      </c>
      <c r="F2558">
        <v>1</v>
      </c>
      <c r="G2558" s="3" t="s">
        <v>5</v>
      </c>
      <c r="H2558" s="44" t="s">
        <v>15</v>
      </c>
      <c r="I2558" s="17">
        <v>563801</v>
      </c>
      <c r="J2558" s="17">
        <f>IF(Gastos[[#This Row],[Divisa]]="$", I2558*1, IF(Gastos[[#This Row],[Divisa]]="U$D", I2558*$N$1, IF(Gastos[[#This Row],[Divisa]]="EUR", I2558*$N$2, 0)))</f>
        <v>563801</v>
      </c>
      <c r="K2558" s="54">
        <f>Gastos[[#This Row],[Importe AR$]]/$N$1</f>
        <v>361.41089743589743</v>
      </c>
      <c r="M2558" s="69"/>
      <c r="N2558" s="43" t="str">
        <f>IF(Gastos[[#This Row],[Fecha_Cheque]]&gt;0,WEEKNUM(Gastos[[#This Row],[Fecha_Cheque]]),MID(Gastos[[#This Row],[Semana]],6,2))</f>
        <v>27</v>
      </c>
      <c r="O2558" t="s">
        <v>3656</v>
      </c>
      <c r="P2558" t="s">
        <v>27</v>
      </c>
    </row>
    <row r="2559" spans="1:16" hidden="1" x14ac:dyDescent="0.25">
      <c r="A2559" s="3" t="s">
        <v>72</v>
      </c>
      <c r="B2559" t="s">
        <v>1509</v>
      </c>
      <c r="C2559" t="s">
        <v>1510</v>
      </c>
      <c r="D2559" t="s">
        <v>26</v>
      </c>
      <c r="E2559" t="s">
        <v>31</v>
      </c>
      <c r="F2559">
        <v>1</v>
      </c>
      <c r="G2559" s="3" t="s">
        <v>5</v>
      </c>
      <c r="H2559" s="46" t="s">
        <v>15</v>
      </c>
      <c r="I2559" s="17">
        <v>123904</v>
      </c>
      <c r="J2559" s="17">
        <f>IF(Gastos[[#This Row],[Divisa]]="$", I2559*1, IF(Gastos[[#This Row],[Divisa]]="U$D", I2559*$N$1, IF(Gastos[[#This Row],[Divisa]]="EUR", I2559*$N$2, 0)))</f>
        <v>123904</v>
      </c>
      <c r="K2559" s="54">
        <f>Gastos[[#This Row],[Importe AR$]]/$N$1</f>
        <v>79.425641025641028</v>
      </c>
      <c r="M2559" s="69"/>
      <c r="N2559" s="43" t="str">
        <f>IF(Gastos[[#This Row],[Fecha_Cheque]]&gt;0,WEEKNUM(Gastos[[#This Row],[Fecha_Cheque]]),MID(Gastos[[#This Row],[Semana]],6,2))</f>
        <v>48</v>
      </c>
      <c r="O2559" t="s">
        <v>1511</v>
      </c>
      <c r="P2559" t="s">
        <v>27</v>
      </c>
    </row>
    <row r="2560" spans="1:16" hidden="1" x14ac:dyDescent="0.25">
      <c r="A2560" s="3" t="s">
        <v>85</v>
      </c>
      <c r="B2560" t="s">
        <v>1512</v>
      </c>
      <c r="C2560" t="s">
        <v>1513</v>
      </c>
      <c r="D2560" t="s">
        <v>26</v>
      </c>
      <c r="E2560" t="s">
        <v>31</v>
      </c>
      <c r="F2560">
        <v>1</v>
      </c>
      <c r="G2560" s="3" t="s">
        <v>5</v>
      </c>
      <c r="H2560" s="46" t="s">
        <v>15</v>
      </c>
      <c r="I2560" s="17">
        <v>50000</v>
      </c>
      <c r="J2560" s="17">
        <f>IF(Gastos[[#This Row],[Divisa]]="$", I2560*1, IF(Gastos[[#This Row],[Divisa]]="U$D", I2560*$N$1, IF(Gastos[[#This Row],[Divisa]]="EUR", I2560*$N$2, 0)))</f>
        <v>50000</v>
      </c>
      <c r="K2560" s="54">
        <f>Gastos[[#This Row],[Importe AR$]]/$N$1</f>
        <v>32.051282051282051</v>
      </c>
      <c r="M2560" s="69"/>
      <c r="N2560" s="43" t="str">
        <f>IF(Gastos[[#This Row],[Fecha_Cheque]]&gt;0,WEEKNUM(Gastos[[#This Row],[Fecha_Cheque]]),MID(Gastos[[#This Row],[Semana]],6,2))</f>
        <v>26</v>
      </c>
      <c r="P2560" t="s">
        <v>27</v>
      </c>
    </row>
    <row r="2561" spans="1:16" hidden="1" x14ac:dyDescent="0.25">
      <c r="A2561" s="3" t="s">
        <v>188</v>
      </c>
      <c r="B2561" t="s">
        <v>1514</v>
      </c>
      <c r="C2561" t="s">
        <v>301</v>
      </c>
      <c r="D2561" t="s">
        <v>26</v>
      </c>
      <c r="E2561" t="s">
        <v>31</v>
      </c>
      <c r="F2561">
        <v>1</v>
      </c>
      <c r="G2561" s="3" t="s">
        <v>4</v>
      </c>
      <c r="H2561" s="46" t="s">
        <v>15</v>
      </c>
      <c r="I2561" s="17">
        <v>49500</v>
      </c>
      <c r="J2561" s="17">
        <f>IF(Gastos[[#This Row],[Divisa]]="$", I2561*1, IF(Gastos[[#This Row],[Divisa]]="U$D", I2561*$N$1, IF(Gastos[[#This Row],[Divisa]]="EUR", I2561*$N$2, 0)))</f>
        <v>49500</v>
      </c>
      <c r="K2561" s="54">
        <f>Gastos[[#This Row],[Importe AR$]]/$N$1</f>
        <v>31.73076923076923</v>
      </c>
      <c r="M2561" s="69"/>
      <c r="N2561" s="43" t="str">
        <f>IF(Gastos[[#This Row],[Fecha_Cheque]]&gt;0,WEEKNUM(Gastos[[#This Row],[Fecha_Cheque]]),MID(Gastos[[#This Row],[Semana]],6,2))</f>
        <v>19</v>
      </c>
      <c r="O2561" t="s">
        <v>1515</v>
      </c>
      <c r="P2561" t="s">
        <v>27</v>
      </c>
    </row>
    <row r="2562" spans="1:16" hidden="1" x14ac:dyDescent="0.25">
      <c r="A2562" s="3" t="s">
        <v>1018</v>
      </c>
      <c r="B2562" t="s">
        <v>1514</v>
      </c>
      <c r="C2562" t="s">
        <v>1516</v>
      </c>
      <c r="D2562" t="s">
        <v>26</v>
      </c>
      <c r="E2562" t="s">
        <v>31</v>
      </c>
      <c r="F2562">
        <v>1</v>
      </c>
      <c r="G2562" s="3" t="s">
        <v>5</v>
      </c>
      <c r="H2562" s="46" t="s">
        <v>15</v>
      </c>
      <c r="I2562" s="17">
        <f>233400.05+55300.02+155300.05</f>
        <v>444000.12</v>
      </c>
      <c r="J2562" s="17">
        <f>IF(Gastos[[#This Row],[Divisa]]="$", I2562*1, IF(Gastos[[#This Row],[Divisa]]="U$D", I2562*$N$1, IF(Gastos[[#This Row],[Divisa]]="EUR", I2562*$N$2, 0)))</f>
        <v>444000.12</v>
      </c>
      <c r="K2562" s="54">
        <f>Gastos[[#This Row],[Importe AR$]]/$N$1</f>
        <v>284.61546153846155</v>
      </c>
      <c r="L2562" t="s">
        <v>1517</v>
      </c>
      <c r="M2562" s="69"/>
      <c r="N2562" s="43" t="str">
        <f>IF(Gastos[[#This Row],[Fecha_Cheque]]&gt;0,WEEKNUM(Gastos[[#This Row],[Fecha_Cheque]]),MID(Gastos[[#This Row],[Semana]],6,2))</f>
        <v>14</v>
      </c>
      <c r="P2562" t="s">
        <v>27</v>
      </c>
    </row>
    <row r="2563" spans="1:16" hidden="1" x14ac:dyDescent="0.25">
      <c r="A2563" s="3" t="s">
        <v>718</v>
      </c>
      <c r="B2563" t="s">
        <v>1514</v>
      </c>
      <c r="C2563" t="s">
        <v>1518</v>
      </c>
      <c r="D2563" t="s">
        <v>26</v>
      </c>
      <c r="E2563" t="s">
        <v>31</v>
      </c>
      <c r="F2563">
        <v>1</v>
      </c>
      <c r="G2563" s="3" t="s">
        <v>5</v>
      </c>
      <c r="H2563" s="46" t="s">
        <v>15</v>
      </c>
      <c r="I2563" s="17">
        <v>41800.080000000002</v>
      </c>
      <c r="J2563" s="17">
        <f>IF(Gastos[[#This Row],[Divisa]]="$", I2563*1, IF(Gastos[[#This Row],[Divisa]]="U$D", I2563*$N$1, IF(Gastos[[#This Row],[Divisa]]="EUR", I2563*$N$2, 0)))</f>
        <v>41800.080000000002</v>
      </c>
      <c r="K2563" s="54">
        <f>Gastos[[#This Row],[Importe AR$]]/$N$1</f>
        <v>26.794923076923077</v>
      </c>
      <c r="M2563" s="69"/>
      <c r="N2563" s="43" t="str">
        <f>IF(Gastos[[#This Row],[Fecha_Cheque]]&gt;0,WEEKNUM(Gastos[[#This Row],[Fecha_Cheque]]),MID(Gastos[[#This Row],[Semana]],6,2))</f>
        <v>18</v>
      </c>
      <c r="O2563" t="s">
        <v>1519</v>
      </c>
      <c r="P2563" t="s">
        <v>27</v>
      </c>
    </row>
    <row r="2564" spans="1:16" hidden="1" x14ac:dyDescent="0.25">
      <c r="A2564" s="3" t="s">
        <v>105</v>
      </c>
      <c r="B2564" t="s">
        <v>1514</v>
      </c>
      <c r="C2564" t="s">
        <v>1520</v>
      </c>
      <c r="D2564" t="s">
        <v>26</v>
      </c>
      <c r="E2564" t="s">
        <v>42</v>
      </c>
      <c r="F2564">
        <v>1</v>
      </c>
      <c r="G2564" s="3" t="s">
        <v>4</v>
      </c>
      <c r="H2564" s="46" t="s">
        <v>15</v>
      </c>
      <c r="I2564" s="17">
        <v>35200</v>
      </c>
      <c r="J2564" s="17">
        <f>IF(Gastos[[#This Row],[Divisa]]="$", I2564*1, IF(Gastos[[#This Row],[Divisa]]="U$D", I2564*$N$1, IF(Gastos[[#This Row],[Divisa]]="EUR", I2564*$N$2, 0)))</f>
        <v>35200</v>
      </c>
      <c r="K2564" s="54">
        <f>Gastos[[#This Row],[Importe AR$]]/$N$1</f>
        <v>22.564102564102566</v>
      </c>
      <c r="M2564" s="69"/>
      <c r="N2564" s="43" t="str">
        <f>IF(Gastos[[#This Row],[Fecha_Cheque]]&gt;0,WEEKNUM(Gastos[[#This Row],[Fecha_Cheque]]),MID(Gastos[[#This Row],[Semana]],6,2))</f>
        <v>27</v>
      </c>
      <c r="O2564" t="s">
        <v>1521</v>
      </c>
      <c r="P2564" t="s">
        <v>27</v>
      </c>
    </row>
    <row r="2565" spans="1:16" hidden="1" x14ac:dyDescent="0.25">
      <c r="A2565" s="3" t="s">
        <v>2731</v>
      </c>
      <c r="B2565" t="s">
        <v>3045</v>
      </c>
      <c r="C2565" t="s">
        <v>3046</v>
      </c>
      <c r="D2565" t="s">
        <v>26</v>
      </c>
      <c r="E2565" t="s">
        <v>42</v>
      </c>
      <c r="F2565">
        <v>1</v>
      </c>
      <c r="G2565" s="3" t="s">
        <v>4</v>
      </c>
      <c r="H2565" s="44" t="s">
        <v>15</v>
      </c>
      <c r="I2565" s="17">
        <v>43400.01</v>
      </c>
      <c r="J2565" s="17">
        <f>IF(Gastos[[#This Row],[Divisa]]="$", I2565*1, IF(Gastos[[#This Row],[Divisa]]="U$D", I2565*$N$1, IF(Gastos[[#This Row],[Divisa]]="EUR", I2565*$N$2, 0)))</f>
        <v>43400.01</v>
      </c>
      <c r="K2565" s="54">
        <f>Gastos[[#This Row],[Importe AR$]]/$N$1</f>
        <v>27.820519230769232</v>
      </c>
      <c r="M2565" s="69"/>
      <c r="N2565" s="43" t="str">
        <f>IF(Gastos[[#This Row],[Fecha_Cheque]]&gt;0,WEEKNUM(Gastos[[#This Row],[Fecha_Cheque]]),MID(Gastos[[#This Row],[Semana]],6,2))</f>
        <v>17</v>
      </c>
      <c r="O2565" t="s">
        <v>3047</v>
      </c>
      <c r="P2565" t="s">
        <v>27</v>
      </c>
    </row>
    <row r="2566" spans="1:16" hidden="1" x14ac:dyDescent="0.25">
      <c r="A2566" s="3" t="s">
        <v>210</v>
      </c>
      <c r="B2566" t="s">
        <v>1522</v>
      </c>
      <c r="C2566" t="s">
        <v>1523</v>
      </c>
      <c r="D2566" t="s">
        <v>26</v>
      </c>
      <c r="E2566" t="s">
        <v>31</v>
      </c>
      <c r="F2566">
        <v>1</v>
      </c>
      <c r="G2566" s="3" t="s">
        <v>32</v>
      </c>
      <c r="H2566" s="46" t="s">
        <v>15</v>
      </c>
      <c r="I2566" s="17">
        <v>715638.72</v>
      </c>
      <c r="J2566" s="17">
        <f>IF(Gastos[[#This Row],[Divisa]]="$", I2566*1, IF(Gastos[[#This Row],[Divisa]]="U$D", I2566*$N$1, IF(Gastos[[#This Row],[Divisa]]="EUR", I2566*$N$2, 0)))</f>
        <v>715638.72</v>
      </c>
      <c r="K2566" s="54">
        <f>Gastos[[#This Row],[Importe AR$]]/$N$1</f>
        <v>458.74276923076923</v>
      </c>
      <c r="M2566" s="69">
        <v>45940</v>
      </c>
      <c r="N2566" s="43">
        <f>IF(Gastos[[#This Row],[Fecha_Cheque]]&gt;0,WEEKNUM(Gastos[[#This Row],[Fecha_Cheque]]),MID(Gastos[[#This Row],[Semana]],6,2))</f>
        <v>41</v>
      </c>
      <c r="O2566" t="s">
        <v>1524</v>
      </c>
      <c r="P2566" t="s">
        <v>27</v>
      </c>
    </row>
    <row r="2567" spans="1:16" hidden="1" x14ac:dyDescent="0.25">
      <c r="A2567" s="3" t="s">
        <v>290</v>
      </c>
      <c r="B2567" t="s">
        <v>1525</v>
      </c>
      <c r="C2567" t="s">
        <v>1526</v>
      </c>
      <c r="D2567" t="s">
        <v>26</v>
      </c>
      <c r="E2567" t="s">
        <v>91</v>
      </c>
      <c r="F2567">
        <v>1</v>
      </c>
      <c r="G2567" s="3" t="s">
        <v>5</v>
      </c>
      <c r="H2567" s="46" t="s">
        <v>15</v>
      </c>
      <c r="I2567" s="17">
        <v>245000</v>
      </c>
      <c r="J2567" s="17">
        <f>IF(Gastos[[#This Row],[Divisa]]="$", I2567*1, IF(Gastos[[#This Row],[Divisa]]="U$D", I2567*$N$1, IF(Gastos[[#This Row],[Divisa]]="EUR", I2567*$N$2, 0)))</f>
        <v>245000</v>
      </c>
      <c r="K2567" s="54">
        <f>Gastos[[#This Row],[Importe AR$]]/$N$1</f>
        <v>157.05128205128204</v>
      </c>
      <c r="M2567" s="69"/>
      <c r="N2567" s="43" t="str">
        <f>IF(Gastos[[#This Row],[Fecha_Cheque]]&gt;0,WEEKNUM(Gastos[[#This Row],[Fecha_Cheque]]),MID(Gastos[[#This Row],[Semana]],6,2))</f>
        <v>23</v>
      </c>
      <c r="O2567" t="s">
        <v>1527</v>
      </c>
      <c r="P2567" t="s">
        <v>27</v>
      </c>
    </row>
    <row r="2568" spans="1:16" hidden="1" x14ac:dyDescent="0.25">
      <c r="A2568" s="3" t="s">
        <v>114</v>
      </c>
      <c r="B2568" t="s">
        <v>1525</v>
      </c>
      <c r="C2568" t="s">
        <v>693</v>
      </c>
      <c r="D2568" t="s">
        <v>26</v>
      </c>
      <c r="E2568" t="s">
        <v>91</v>
      </c>
      <c r="F2568">
        <v>1</v>
      </c>
      <c r="G2568" s="3" t="s">
        <v>5</v>
      </c>
      <c r="H2568" s="46" t="s">
        <v>15</v>
      </c>
      <c r="I2568" s="17">
        <v>245000</v>
      </c>
      <c r="J2568" s="17">
        <f>IF(Gastos[[#This Row],[Divisa]]="$", I2568*1, IF(Gastos[[#This Row],[Divisa]]="U$D", I2568*$N$1, IF(Gastos[[#This Row],[Divisa]]="EUR", I2568*$N$2, 0)))</f>
        <v>245000</v>
      </c>
      <c r="K2568" s="54">
        <f>Gastos[[#This Row],[Importe AR$]]/$N$1</f>
        <v>157.05128205128204</v>
      </c>
      <c r="M2568" s="69"/>
      <c r="N2568" s="43" t="str">
        <f>IF(Gastos[[#This Row],[Fecha_Cheque]]&gt;0,WEEKNUM(Gastos[[#This Row],[Fecha_Cheque]]),MID(Gastos[[#This Row],[Semana]],6,2))</f>
        <v>29</v>
      </c>
      <c r="O2568" t="s">
        <v>1528</v>
      </c>
      <c r="P2568" t="s">
        <v>27</v>
      </c>
    </row>
    <row r="2569" spans="1:16" hidden="1" x14ac:dyDescent="0.25">
      <c r="A2569" s="3" t="s">
        <v>53</v>
      </c>
      <c r="B2569" t="s">
        <v>1525</v>
      </c>
      <c r="C2569" t="s">
        <v>1529</v>
      </c>
      <c r="D2569" t="s">
        <v>26</v>
      </c>
      <c r="E2569" t="s">
        <v>91</v>
      </c>
      <c r="F2569">
        <v>1</v>
      </c>
      <c r="G2569" s="3" t="s">
        <v>5</v>
      </c>
      <c r="H2569" s="46" t="s">
        <v>15</v>
      </c>
      <c r="I2569" s="17">
        <v>245000</v>
      </c>
      <c r="J2569" s="17">
        <f>IF(Gastos[[#This Row],[Divisa]]="$", I2569*1, IF(Gastos[[#This Row],[Divisa]]="U$D", I2569*$N$1, IF(Gastos[[#This Row],[Divisa]]="EUR", I2569*$N$2, 0)))</f>
        <v>245000</v>
      </c>
      <c r="K2569" s="54">
        <f>Gastos[[#This Row],[Importe AR$]]/$N$1</f>
        <v>157.05128205128204</v>
      </c>
      <c r="M2569" s="69"/>
      <c r="N2569" s="43" t="str">
        <f>IF(Gastos[[#This Row],[Fecha_Cheque]]&gt;0,WEEKNUM(Gastos[[#This Row],[Fecha_Cheque]]),MID(Gastos[[#This Row],[Semana]],6,2))</f>
        <v>34</v>
      </c>
      <c r="O2569" t="s">
        <v>1530</v>
      </c>
      <c r="P2569" t="s">
        <v>27</v>
      </c>
    </row>
    <row r="2570" spans="1:16" hidden="1" x14ac:dyDescent="0.25">
      <c r="A2570" s="3" t="s">
        <v>89</v>
      </c>
      <c r="B2570" t="s">
        <v>1525</v>
      </c>
      <c r="C2570" t="s">
        <v>1529</v>
      </c>
      <c r="D2570" t="s">
        <v>26</v>
      </c>
      <c r="E2570" t="s">
        <v>91</v>
      </c>
      <c r="F2570">
        <v>1</v>
      </c>
      <c r="G2570" s="3" t="s">
        <v>5</v>
      </c>
      <c r="H2570" s="46" t="s">
        <v>15</v>
      </c>
      <c r="I2570" s="17">
        <v>245000</v>
      </c>
      <c r="J2570" s="17">
        <f>IF(Gastos[[#This Row],[Divisa]]="$", I2570*1, IF(Gastos[[#This Row],[Divisa]]="U$D", I2570*$N$1, IF(Gastos[[#This Row],[Divisa]]="EUR", I2570*$N$2, 0)))</f>
        <v>245000</v>
      </c>
      <c r="K2570" s="54">
        <f>Gastos[[#This Row],[Importe AR$]]/$N$1</f>
        <v>157.05128205128204</v>
      </c>
      <c r="M2570" s="69"/>
      <c r="N2570" s="43" t="str">
        <f>IF(Gastos[[#This Row],[Fecha_Cheque]]&gt;0,WEEKNUM(Gastos[[#This Row],[Fecha_Cheque]]),MID(Gastos[[#This Row],[Semana]],6,2))</f>
        <v>39</v>
      </c>
      <c r="O2570" t="s">
        <v>1531</v>
      </c>
      <c r="P2570" t="s">
        <v>27</v>
      </c>
    </row>
    <row r="2571" spans="1:16" hidden="1" x14ac:dyDescent="0.25">
      <c r="A2571" s="3" t="s">
        <v>128</v>
      </c>
      <c r="B2571" t="s">
        <v>1525</v>
      </c>
      <c r="C2571" t="s">
        <v>1532</v>
      </c>
      <c r="D2571" t="s">
        <v>26</v>
      </c>
      <c r="E2571" t="s">
        <v>91</v>
      </c>
      <c r="F2571">
        <v>1</v>
      </c>
      <c r="G2571" s="3" t="s">
        <v>5</v>
      </c>
      <c r="H2571" s="46" t="s">
        <v>15</v>
      </c>
      <c r="I2571" s="17">
        <v>245000</v>
      </c>
      <c r="J2571" s="17">
        <f>IF(Gastos[[#This Row],[Divisa]]="$", I2571*1, IF(Gastos[[#This Row],[Divisa]]="U$D", I2571*$N$1, IF(Gastos[[#This Row],[Divisa]]="EUR", I2571*$N$2, 0)))</f>
        <v>245000</v>
      </c>
      <c r="K2571" s="54">
        <f>Gastos[[#This Row],[Importe AR$]]/$N$1</f>
        <v>157.05128205128204</v>
      </c>
      <c r="M2571" s="69"/>
      <c r="N2571" s="43" t="str">
        <f>IF(Gastos[[#This Row],[Fecha_Cheque]]&gt;0,WEEKNUM(Gastos[[#This Row],[Fecha_Cheque]]),MID(Gastos[[#This Row],[Semana]],6,2))</f>
        <v>43</v>
      </c>
      <c r="O2571" t="s">
        <v>1533</v>
      </c>
      <c r="P2571" t="s">
        <v>27</v>
      </c>
    </row>
    <row r="2572" spans="1:16" hidden="1" x14ac:dyDescent="0.25">
      <c r="A2572" s="3" t="s">
        <v>60</v>
      </c>
      <c r="B2572" t="s">
        <v>1525</v>
      </c>
      <c r="D2572" t="s">
        <v>26</v>
      </c>
      <c r="E2572" t="s">
        <v>91</v>
      </c>
      <c r="F2572">
        <v>1</v>
      </c>
      <c r="G2572" s="3" t="s">
        <v>5</v>
      </c>
      <c r="H2572" s="46" t="s">
        <v>15</v>
      </c>
      <c r="I2572" s="17">
        <v>245000</v>
      </c>
      <c r="J2572" s="17">
        <f>IF(Gastos[[#This Row],[Divisa]]="$", I2572*1, IF(Gastos[[#This Row],[Divisa]]="U$D", I2572*$N$1, IF(Gastos[[#This Row],[Divisa]]="EUR", I2572*$N$2, 0)))</f>
        <v>245000</v>
      </c>
      <c r="K2572" s="54">
        <f>Gastos[[#This Row],[Importe AR$]]/$N$1</f>
        <v>157.05128205128204</v>
      </c>
      <c r="M2572" s="69"/>
      <c r="N2572" s="43" t="str">
        <f>IF(Gastos[[#This Row],[Fecha_Cheque]]&gt;0,WEEKNUM(Gastos[[#This Row],[Fecha_Cheque]]),MID(Gastos[[#This Row],[Semana]],6,2))</f>
        <v>46</v>
      </c>
      <c r="O2572" t="s">
        <v>1534</v>
      </c>
      <c r="P2572" t="s">
        <v>27</v>
      </c>
    </row>
    <row r="2573" spans="1:16" hidden="1" x14ac:dyDescent="0.25">
      <c r="A2573" s="3" t="s">
        <v>75</v>
      </c>
      <c r="B2573" t="s">
        <v>1525</v>
      </c>
      <c r="D2573" t="s">
        <v>26</v>
      </c>
      <c r="E2573" t="s">
        <v>91</v>
      </c>
      <c r="F2573">
        <v>1</v>
      </c>
      <c r="G2573" s="3" t="s">
        <v>5</v>
      </c>
      <c r="H2573" s="46" t="s">
        <v>15</v>
      </c>
      <c r="I2573" s="17">
        <v>245000</v>
      </c>
      <c r="J2573" s="17">
        <f>IF(Gastos[[#This Row],[Divisa]]="$", I2573*1, IF(Gastos[[#This Row],[Divisa]]="U$D", I2573*$N$1, IF(Gastos[[#This Row],[Divisa]]="EUR", I2573*$N$2, 0)))</f>
        <v>245000</v>
      </c>
      <c r="K2573" s="54">
        <f>Gastos[[#This Row],[Importe AR$]]/$N$1</f>
        <v>157.05128205128204</v>
      </c>
      <c r="M2573" s="69"/>
      <c r="N2573" s="43" t="str">
        <f>IF(Gastos[[#This Row],[Fecha_Cheque]]&gt;0,WEEKNUM(Gastos[[#This Row],[Fecha_Cheque]]),MID(Gastos[[#This Row],[Semana]],6,2))</f>
        <v>07</v>
      </c>
      <c r="O2573" t="s">
        <v>1535</v>
      </c>
      <c r="P2573" t="s">
        <v>27</v>
      </c>
    </row>
    <row r="2574" spans="1:16" hidden="1" x14ac:dyDescent="0.25">
      <c r="A2574" s="3" t="s">
        <v>332</v>
      </c>
      <c r="B2574" t="s">
        <v>1525</v>
      </c>
      <c r="C2574" t="s">
        <v>2636</v>
      </c>
      <c r="D2574" t="s">
        <v>26</v>
      </c>
      <c r="E2574" t="s">
        <v>91</v>
      </c>
      <c r="F2574">
        <v>1</v>
      </c>
      <c r="G2574" s="3" t="s">
        <v>32</v>
      </c>
      <c r="H2574" s="44" t="s">
        <v>15</v>
      </c>
      <c r="I2574" s="17">
        <v>3000000</v>
      </c>
      <c r="J2574" s="17">
        <f>IF(Gastos[[#This Row],[Divisa]]="$", I2574*1, IF(Gastos[[#This Row],[Divisa]]="U$D", I2574*$N$1, IF(Gastos[[#This Row],[Divisa]]="EUR", I2574*$N$2, 0)))</f>
        <v>3000000</v>
      </c>
      <c r="K2574" s="54">
        <f>Gastos[[#This Row],[Importe AR$]]/$N$1</f>
        <v>1923.0769230769231</v>
      </c>
      <c r="M2574" s="69">
        <v>46136</v>
      </c>
      <c r="N2574" s="43">
        <f>IF(Gastos[[#This Row],[Fecha_Cheque]]&gt;0,WEEKNUM(Gastos[[#This Row],[Fecha_Cheque]]),MID(Gastos[[#This Row],[Semana]],6,2))</f>
        <v>17</v>
      </c>
      <c r="O2574" t="s">
        <v>2637</v>
      </c>
      <c r="P2574" t="s">
        <v>27</v>
      </c>
    </row>
    <row r="2575" spans="1:16" hidden="1" x14ac:dyDescent="0.25">
      <c r="A2575" s="3" t="s">
        <v>2711</v>
      </c>
      <c r="B2575" t="s">
        <v>1525</v>
      </c>
      <c r="C2575" t="s">
        <v>693</v>
      </c>
      <c r="D2575" t="s">
        <v>26</v>
      </c>
      <c r="E2575" t="s">
        <v>91</v>
      </c>
      <c r="F2575">
        <v>1</v>
      </c>
      <c r="G2575" s="3" t="s">
        <v>5</v>
      </c>
      <c r="H2575" s="44" t="s">
        <v>15</v>
      </c>
      <c r="I2575" s="17">
        <v>245000</v>
      </c>
      <c r="J2575" s="17">
        <f>IF(Gastos[[#This Row],[Divisa]]="$", I2575*1, IF(Gastos[[#This Row],[Divisa]]="U$D", I2575*$N$1, IF(Gastos[[#This Row],[Divisa]]="EUR", I2575*$N$2, 0)))</f>
        <v>245000</v>
      </c>
      <c r="K2575" s="54">
        <f>Gastos[[#This Row],[Importe AR$]]/$N$1</f>
        <v>157.05128205128204</v>
      </c>
      <c r="M2575" s="69"/>
      <c r="N2575" s="43" t="str">
        <f>IF(Gastos[[#This Row],[Fecha_Cheque]]&gt;0,WEEKNUM(Gastos[[#This Row],[Fecha_Cheque]]),MID(Gastos[[#This Row],[Semana]],6,2))</f>
        <v>15</v>
      </c>
      <c r="O2575" t="s">
        <v>2915</v>
      </c>
      <c r="P2575" t="s">
        <v>27</v>
      </c>
    </row>
    <row r="2576" spans="1:16" hidden="1" x14ac:dyDescent="0.25">
      <c r="A2576" s="3" t="s">
        <v>2763</v>
      </c>
      <c r="B2576" t="s">
        <v>1525</v>
      </c>
      <c r="C2576" t="s">
        <v>693</v>
      </c>
      <c r="D2576" t="s">
        <v>26</v>
      </c>
      <c r="E2576" t="s">
        <v>91</v>
      </c>
      <c r="F2576">
        <v>1</v>
      </c>
      <c r="G2576" s="3" t="s">
        <v>5</v>
      </c>
      <c r="H2576" s="44" t="s">
        <v>15</v>
      </c>
      <c r="I2576" s="17">
        <v>490000</v>
      </c>
      <c r="J2576" s="17">
        <f>IF(Gastos[[#This Row],[Divisa]]="$", I2576*1, IF(Gastos[[#This Row],[Divisa]]="U$D", I2576*$N$1, IF(Gastos[[#This Row],[Divisa]]="EUR", I2576*$N$2, 0)))</f>
        <v>490000</v>
      </c>
      <c r="K2576" s="54">
        <f>Gastos[[#This Row],[Importe AR$]]/$N$1</f>
        <v>314.10256410256409</v>
      </c>
      <c r="M2576" s="69"/>
      <c r="N2576" s="43" t="str">
        <f>IF(Gastos[[#This Row],[Fecha_Cheque]]&gt;0,WEEKNUM(Gastos[[#This Row],[Fecha_Cheque]]),MID(Gastos[[#This Row],[Semana]],6,2))</f>
        <v>23</v>
      </c>
      <c r="O2576" t="s">
        <v>3331</v>
      </c>
      <c r="P2576" t="s">
        <v>27</v>
      </c>
    </row>
    <row r="2577" spans="1:16" hidden="1" x14ac:dyDescent="0.25">
      <c r="A2577" s="3" t="s">
        <v>4322</v>
      </c>
      <c r="B2577" t="s">
        <v>1525</v>
      </c>
      <c r="C2577" t="s">
        <v>693</v>
      </c>
      <c r="D2577" t="s">
        <v>26</v>
      </c>
      <c r="E2577" t="s">
        <v>91</v>
      </c>
      <c r="F2577">
        <v>1</v>
      </c>
      <c r="G2577" s="3" t="s">
        <v>5</v>
      </c>
      <c r="H2577" s="44" t="s">
        <v>15</v>
      </c>
      <c r="I2577" s="17">
        <v>928325.52</v>
      </c>
      <c r="J2577" s="17">
        <f>IF(Gastos[[#This Row],[Divisa]]="$", I2577*1, IF(Gastos[[#This Row],[Divisa]]="U$D", I2577*$N$1, IF(Gastos[[#This Row],[Divisa]]="EUR", I2577*$N$2, 0)))</f>
        <v>928325.52</v>
      </c>
      <c r="K2577" s="54">
        <f>Gastos[[#This Row],[Importe AR$]]/$N$1</f>
        <v>595.08046153846158</v>
      </c>
      <c r="M2577" s="69">
        <v>46312</v>
      </c>
      <c r="N2577" s="43">
        <f>IF(Gastos[[#This Row],[Fecha_Cheque]]&gt;0,WEEKNUM(Gastos[[#This Row],[Fecha_Cheque]]),MID(Gastos[[#This Row],[Semana]],6,2))</f>
        <v>42</v>
      </c>
      <c r="O2577" t="s">
        <v>4340</v>
      </c>
      <c r="P2577" t="s">
        <v>27</v>
      </c>
    </row>
    <row r="2578" spans="1:16" hidden="1" x14ac:dyDescent="0.25">
      <c r="A2578" s="3" t="s">
        <v>4322</v>
      </c>
      <c r="B2578" t="s">
        <v>1525</v>
      </c>
      <c r="C2578" t="s">
        <v>693</v>
      </c>
      <c r="D2578" t="s">
        <v>26</v>
      </c>
      <c r="E2578" t="s">
        <v>91</v>
      </c>
      <c r="F2578">
        <v>1</v>
      </c>
      <c r="G2578" s="3" t="s">
        <v>5</v>
      </c>
      <c r="H2578" s="44" t="s">
        <v>15</v>
      </c>
      <c r="I2578" s="17">
        <v>51674.48</v>
      </c>
      <c r="J2578" s="17">
        <f>IF(Gastos[[#This Row],[Divisa]]="$", I2578*1, IF(Gastos[[#This Row],[Divisa]]="U$D", I2578*$N$1, IF(Gastos[[#This Row],[Divisa]]="EUR", I2578*$N$2, 0)))</f>
        <v>51674.48</v>
      </c>
      <c r="K2578" s="54">
        <f>Gastos[[#This Row],[Importe AR$]]/$N$1</f>
        <v>33.12466666666667</v>
      </c>
      <c r="M2578" s="69"/>
      <c r="N2578" s="43" t="str">
        <f>IF(Gastos[[#This Row],[Fecha_Cheque]]&gt;0,WEEKNUM(Gastos[[#This Row],[Fecha_Cheque]]),MID(Gastos[[#This Row],[Semana]],6,2))</f>
        <v>38</v>
      </c>
      <c r="O2578" t="s">
        <v>4340</v>
      </c>
      <c r="P2578" t="s">
        <v>27</v>
      </c>
    </row>
    <row r="2579" spans="1:16" hidden="1" x14ac:dyDescent="0.25">
      <c r="A2579" s="3" t="s">
        <v>4447</v>
      </c>
      <c r="B2579" t="s">
        <v>1525</v>
      </c>
      <c r="C2579" t="s">
        <v>4110</v>
      </c>
      <c r="D2579" t="s">
        <v>26</v>
      </c>
      <c r="E2579" t="s">
        <v>62</v>
      </c>
      <c r="F2579">
        <v>1</v>
      </c>
      <c r="G2579" s="3" t="s">
        <v>5</v>
      </c>
      <c r="H2579" s="44" t="s">
        <v>15</v>
      </c>
      <c r="I2579" s="17">
        <v>1000000</v>
      </c>
      <c r="J2579" s="17">
        <f>IF(Gastos[[#This Row],[Divisa]]="$", I2579*1, IF(Gastos[[#This Row],[Divisa]]="U$D", I2579*$N$1, IF(Gastos[[#This Row],[Divisa]]="EUR", I2579*$N$2, 0)))</f>
        <v>1000000</v>
      </c>
      <c r="K2579" s="54">
        <f>Gastos[[#This Row],[Importe AR$]]/$N$1</f>
        <v>641.02564102564099</v>
      </c>
      <c r="M2579" s="69"/>
      <c r="N2579" s="43" t="str">
        <f>IF(Gastos[[#This Row],[Fecha_Cheque]]&gt;0,WEEKNUM(Gastos[[#This Row],[Fecha_Cheque]]),MID(Gastos[[#This Row],[Semana]],6,2))</f>
        <v>41</v>
      </c>
      <c r="O2579" t="s">
        <v>4517</v>
      </c>
      <c r="P2579" t="s">
        <v>27</v>
      </c>
    </row>
    <row r="2580" spans="1:16" hidden="1" x14ac:dyDescent="0.25">
      <c r="A2580" s="3" t="s">
        <v>4447</v>
      </c>
      <c r="B2580" t="s">
        <v>1525</v>
      </c>
      <c r="C2580" t="s">
        <v>4110</v>
      </c>
      <c r="D2580" t="s">
        <v>26</v>
      </c>
      <c r="E2580" t="s">
        <v>62</v>
      </c>
      <c r="F2580">
        <v>1</v>
      </c>
      <c r="G2580" s="3" t="s">
        <v>5</v>
      </c>
      <c r="H2580" s="44" t="s">
        <v>15</v>
      </c>
      <c r="I2580" s="17">
        <v>2031307.53</v>
      </c>
      <c r="J2580" s="17">
        <f>IF(Gastos[[#This Row],[Divisa]]="$", I2580*1, IF(Gastos[[#This Row],[Divisa]]="U$D", I2580*$N$1, IF(Gastos[[#This Row],[Divisa]]="EUR", I2580*$N$2, 0)))</f>
        <v>2031307.53</v>
      </c>
      <c r="K2580" s="54">
        <f>Gastos[[#This Row],[Importe AR$]]/$N$1</f>
        <v>1302.1202115384615</v>
      </c>
      <c r="M2580" s="69"/>
      <c r="N2580" s="43" t="str">
        <f>IF(Gastos[[#This Row],[Fecha_Cheque]]&gt;0,WEEKNUM(Gastos[[#This Row],[Fecha_Cheque]]),MID(Gastos[[#This Row],[Semana]],6,2))</f>
        <v>41</v>
      </c>
      <c r="O2580" t="s">
        <v>4517</v>
      </c>
      <c r="P2580" t="s">
        <v>27</v>
      </c>
    </row>
    <row r="2581" spans="1:16" x14ac:dyDescent="0.25">
      <c r="A2581" s="3" t="s">
        <v>4655</v>
      </c>
      <c r="B2581" t="s">
        <v>1422</v>
      </c>
      <c r="C2581" t="s">
        <v>4096</v>
      </c>
      <c r="D2581" t="s">
        <v>26</v>
      </c>
      <c r="E2581" t="s">
        <v>62</v>
      </c>
      <c r="F2581">
        <v>1</v>
      </c>
      <c r="G2581" s="3" t="s">
        <v>32</v>
      </c>
      <c r="H2581" s="44" t="s">
        <v>15</v>
      </c>
      <c r="I2581" s="17">
        <v>176254.2</v>
      </c>
      <c r="J2581" s="17">
        <f>IF(Gastos[[#This Row],[Divisa]]="$", I2581*1, IF(Gastos[[#This Row],[Divisa]]="U$D", I2581*$N$1, IF(Gastos[[#This Row],[Divisa]]="EUR", I2581*$N$2, 0)))</f>
        <v>176254.2</v>
      </c>
      <c r="K2581" s="54">
        <f>Gastos[[#This Row],[Importe AR$]]/$N$1</f>
        <v>112.98346153846154</v>
      </c>
      <c r="M2581" s="69"/>
      <c r="N2581" s="43" t="str">
        <f>IF(Gastos[[#This Row],[Fecha_Cheque]]&gt;0,WEEKNUM(Gastos[[#This Row],[Fecha_Cheque]]),MID(Gastos[[#This Row],[Semana]],6,2))</f>
        <v>44</v>
      </c>
      <c r="P2581" t="s">
        <v>7</v>
      </c>
    </row>
    <row r="2582" spans="1:16" hidden="1" x14ac:dyDescent="0.25">
      <c r="A2582" s="3" t="s">
        <v>4569</v>
      </c>
      <c r="B2582" t="s">
        <v>1525</v>
      </c>
      <c r="C2582" t="s">
        <v>422</v>
      </c>
      <c r="D2582" t="s">
        <v>26</v>
      </c>
      <c r="E2582" t="s">
        <v>62</v>
      </c>
      <c r="F2582">
        <v>1</v>
      </c>
      <c r="G2582" s="3" t="s">
        <v>5</v>
      </c>
      <c r="H2582" s="44" t="s">
        <v>15</v>
      </c>
      <c r="I2582" s="17">
        <v>245000</v>
      </c>
      <c r="J2582" s="17">
        <f>IF(Gastos[[#This Row],[Divisa]]="$", I2582*1, IF(Gastos[[#This Row],[Divisa]]="U$D", I2582*$N$1, IF(Gastos[[#This Row],[Divisa]]="EUR", I2582*$N$2, 0)))</f>
        <v>245000</v>
      </c>
      <c r="K2582" s="54">
        <f>Gastos[[#This Row],[Importe AR$]]/$N$1</f>
        <v>157.05128205128204</v>
      </c>
      <c r="M2582" s="69"/>
      <c r="N2582" s="43" t="str">
        <f>IF(Gastos[[#This Row],[Fecha_Cheque]]&gt;0,WEEKNUM(Gastos[[#This Row],[Fecha_Cheque]]),MID(Gastos[[#This Row],[Semana]],6,2))</f>
        <v>43</v>
      </c>
      <c r="O2582" t="s">
        <v>4638</v>
      </c>
      <c r="P2582" t="s">
        <v>27</v>
      </c>
    </row>
    <row r="2583" spans="1:16" hidden="1" x14ac:dyDescent="0.25">
      <c r="A2583" s="3" t="s">
        <v>171</v>
      </c>
      <c r="B2583" t="s">
        <v>1536</v>
      </c>
      <c r="C2583" t="s">
        <v>1537</v>
      </c>
      <c r="D2583" t="s">
        <v>26</v>
      </c>
      <c r="E2583" t="s">
        <v>31</v>
      </c>
      <c r="F2583">
        <v>1</v>
      </c>
      <c r="G2583" s="3" t="s">
        <v>32</v>
      </c>
      <c r="H2583" s="46" t="s">
        <v>15</v>
      </c>
      <c r="I2583" s="17">
        <v>225927.23</v>
      </c>
      <c r="J2583" s="17">
        <f>IF(Gastos[[#This Row],[Divisa]]="$", I2583*1, IF(Gastos[[#This Row],[Divisa]]="U$D", I2583*$N$1, IF(Gastos[[#This Row],[Divisa]]="EUR", I2583*$N$2, 0)))</f>
        <v>225927.23</v>
      </c>
      <c r="K2583" s="54">
        <f>Gastos[[#This Row],[Importe AR$]]/$N$1</f>
        <v>144.82514743589743</v>
      </c>
      <c r="M2583" s="69">
        <v>45947</v>
      </c>
      <c r="N2583" s="43">
        <f>IF(Gastos[[#This Row],[Fecha_Cheque]]&gt;0,WEEKNUM(Gastos[[#This Row],[Fecha_Cheque]]),MID(Gastos[[#This Row],[Semana]],6,2))</f>
        <v>42</v>
      </c>
      <c r="O2583" t="s">
        <v>1538</v>
      </c>
      <c r="P2583" t="s">
        <v>27</v>
      </c>
    </row>
    <row r="2584" spans="1:16" hidden="1" x14ac:dyDescent="0.25">
      <c r="A2584" s="3" t="s">
        <v>4211</v>
      </c>
      <c r="B2584" t="s">
        <v>4111</v>
      </c>
      <c r="C2584" t="s">
        <v>4112</v>
      </c>
      <c r="D2584" t="s">
        <v>26</v>
      </c>
      <c r="E2584" t="s">
        <v>31</v>
      </c>
      <c r="F2584">
        <v>1</v>
      </c>
      <c r="G2584" s="3" t="s">
        <v>5</v>
      </c>
      <c r="H2584" s="44" t="s">
        <v>15</v>
      </c>
      <c r="I2584" s="17">
        <v>229900</v>
      </c>
      <c r="J2584" s="17">
        <f>IF(Gastos[[#This Row],[Divisa]]="$", I2584*1, IF(Gastos[[#This Row],[Divisa]]="U$D", I2584*$N$1, IF(Gastos[[#This Row],[Divisa]]="EUR", I2584*$N$2, 0)))</f>
        <v>229900</v>
      </c>
      <c r="K2584" s="54">
        <f>Gastos[[#This Row],[Importe AR$]]/$N$1</f>
        <v>147.37179487179486</v>
      </c>
      <c r="M2584" s="69"/>
      <c r="N2584" s="43" t="str">
        <f>IF(Gastos[[#This Row],[Fecha_Cheque]]&gt;0,WEEKNUM(Gastos[[#This Row],[Fecha_Cheque]]),MID(Gastos[[#This Row],[Semana]],6,2))</f>
        <v>37</v>
      </c>
      <c r="O2584" t="s">
        <v>4270</v>
      </c>
      <c r="P2584" t="s">
        <v>27</v>
      </c>
    </row>
    <row r="2585" spans="1:16" hidden="1" x14ac:dyDescent="0.25">
      <c r="A2585" s="3" t="s">
        <v>52</v>
      </c>
      <c r="B2585" t="s">
        <v>1539</v>
      </c>
      <c r="C2585" t="s">
        <v>1540</v>
      </c>
      <c r="D2585" t="s">
        <v>26</v>
      </c>
      <c r="E2585" t="s">
        <v>31</v>
      </c>
      <c r="F2585">
        <v>2</v>
      </c>
      <c r="G2585" s="3" t="s">
        <v>4</v>
      </c>
      <c r="H2585" s="46" t="s">
        <v>15</v>
      </c>
      <c r="I2585" s="19">
        <v>7000000</v>
      </c>
      <c r="J2585" s="17">
        <f>IF(Gastos[[#This Row],[Divisa]]="$", I2585*1, IF(Gastos[[#This Row],[Divisa]]="U$D", I2585*$N$1, IF(Gastos[[#This Row],[Divisa]]="EUR", I2585*$N$2, 0)))</f>
        <v>7000000</v>
      </c>
      <c r="K2585" s="55">
        <f>Gastos[[#This Row],[Importe AR$]]/$N$1</f>
        <v>4487.1794871794873</v>
      </c>
      <c r="M2585" s="69"/>
      <c r="N2585" s="43" t="str">
        <f>IF(Gastos[[#This Row],[Fecha_Cheque]]&gt;0,WEEKNUM(Gastos[[#This Row],[Fecha_Cheque]]),MID(Gastos[[#This Row],[Semana]],6,2))</f>
        <v>12</v>
      </c>
      <c r="P2585" t="s">
        <v>27</v>
      </c>
    </row>
    <row r="2586" spans="1:16" hidden="1" x14ac:dyDescent="0.25">
      <c r="A2586" s="3" t="s">
        <v>538</v>
      </c>
      <c r="B2586" t="s">
        <v>1539</v>
      </c>
      <c r="C2586" t="s">
        <v>1541</v>
      </c>
      <c r="D2586" t="s">
        <v>26</v>
      </c>
      <c r="E2586" t="s">
        <v>31</v>
      </c>
      <c r="F2586">
        <v>2</v>
      </c>
      <c r="G2586" s="3" t="s">
        <v>4</v>
      </c>
      <c r="H2586" s="46" t="s">
        <v>15</v>
      </c>
      <c r="I2586" s="17">
        <v>5000000</v>
      </c>
      <c r="J2586" s="17">
        <f>IF(Gastos[[#This Row],[Divisa]]="$", I2586*1, IF(Gastos[[#This Row],[Divisa]]="U$D", I2586*$N$1, IF(Gastos[[#This Row],[Divisa]]="EUR", I2586*$N$2, 0)))</f>
        <v>5000000</v>
      </c>
      <c r="K2586" s="54">
        <f>Gastos[[#This Row],[Importe AR$]]/$N$1</f>
        <v>3205.1282051282051</v>
      </c>
      <c r="M2586" s="69"/>
      <c r="N2586" s="43" t="str">
        <f>IF(Gastos[[#This Row],[Fecha_Cheque]]&gt;0,WEEKNUM(Gastos[[#This Row],[Fecha_Cheque]]),MID(Gastos[[#This Row],[Semana]],6,2))</f>
        <v>13</v>
      </c>
      <c r="P2586" t="s">
        <v>27</v>
      </c>
    </row>
    <row r="2587" spans="1:16" hidden="1" x14ac:dyDescent="0.25">
      <c r="A2587" s="3" t="s">
        <v>538</v>
      </c>
      <c r="B2587" t="s">
        <v>1539</v>
      </c>
      <c r="C2587" t="s">
        <v>1541</v>
      </c>
      <c r="D2587" t="s">
        <v>26</v>
      </c>
      <c r="E2587" t="s">
        <v>31</v>
      </c>
      <c r="F2587">
        <v>2</v>
      </c>
      <c r="G2587" s="3" t="s">
        <v>32</v>
      </c>
      <c r="H2587" s="46" t="s">
        <v>15</v>
      </c>
      <c r="I2587" s="17">
        <v>5000000</v>
      </c>
      <c r="J2587" s="17">
        <f>IF(Gastos[[#This Row],[Divisa]]="$", I2587*1, IF(Gastos[[#This Row],[Divisa]]="U$D", I2587*$N$1, IF(Gastos[[#This Row],[Divisa]]="EUR", I2587*$N$2, 0)))</f>
        <v>5000000</v>
      </c>
      <c r="K2587" s="54">
        <f>Gastos[[#This Row],[Importe AR$]]/$N$1</f>
        <v>3205.1282051282051</v>
      </c>
      <c r="M2587" s="69"/>
      <c r="N2587" s="43" t="str">
        <f>IF(Gastos[[#This Row],[Fecha_Cheque]]&gt;0,WEEKNUM(Gastos[[#This Row],[Fecha_Cheque]]),MID(Gastos[[#This Row],[Semana]],6,2))</f>
        <v>13</v>
      </c>
      <c r="P2587" t="s">
        <v>27</v>
      </c>
    </row>
    <row r="2588" spans="1:16" hidden="1" x14ac:dyDescent="0.25">
      <c r="A2588" s="3" t="s">
        <v>1018</v>
      </c>
      <c r="B2588" t="s">
        <v>1539</v>
      </c>
      <c r="C2588" t="s">
        <v>1541</v>
      </c>
      <c r="D2588" t="s">
        <v>26</v>
      </c>
      <c r="E2588" t="s">
        <v>31</v>
      </c>
      <c r="F2588">
        <v>2</v>
      </c>
      <c r="G2588" s="3" t="s">
        <v>4</v>
      </c>
      <c r="H2588" s="46" t="s">
        <v>15</v>
      </c>
      <c r="I2588" s="19">
        <v>5000000</v>
      </c>
      <c r="J2588" s="17">
        <f>IF(Gastos[[#This Row],[Divisa]]="$", I2588*1, IF(Gastos[[#This Row],[Divisa]]="U$D", I2588*$N$1, IF(Gastos[[#This Row],[Divisa]]="EUR", I2588*$N$2, 0)))</f>
        <v>5000000</v>
      </c>
      <c r="K2588" s="55">
        <f>Gastos[[#This Row],[Importe AR$]]/$N$1</f>
        <v>3205.1282051282051</v>
      </c>
      <c r="M2588" s="69"/>
      <c r="N2588" s="43" t="str">
        <f>IF(Gastos[[#This Row],[Fecha_Cheque]]&gt;0,WEEKNUM(Gastos[[#This Row],[Fecha_Cheque]]),MID(Gastos[[#This Row],[Semana]],6,2))</f>
        <v>14</v>
      </c>
      <c r="P2588" t="s">
        <v>27</v>
      </c>
    </row>
    <row r="2589" spans="1:16" hidden="1" x14ac:dyDescent="0.25">
      <c r="A2589" s="3" t="s">
        <v>1018</v>
      </c>
      <c r="B2589" t="s">
        <v>1539</v>
      </c>
      <c r="C2589" t="s">
        <v>1541</v>
      </c>
      <c r="D2589" t="s">
        <v>26</v>
      </c>
      <c r="E2589" t="s">
        <v>31</v>
      </c>
      <c r="F2589">
        <v>2</v>
      </c>
      <c r="G2589" s="3" t="s">
        <v>32</v>
      </c>
      <c r="H2589" s="46" t="s">
        <v>15</v>
      </c>
      <c r="I2589" s="17">
        <v>5000000</v>
      </c>
      <c r="J2589" s="17">
        <f>IF(Gastos[[#This Row],[Divisa]]="$", I2589*1, IF(Gastos[[#This Row],[Divisa]]="U$D", I2589*$N$1, IF(Gastos[[#This Row],[Divisa]]="EUR", I2589*$N$2, 0)))</f>
        <v>5000000</v>
      </c>
      <c r="K2589" s="54">
        <f>Gastos[[#This Row],[Importe AR$]]/$N$1</f>
        <v>3205.1282051282051</v>
      </c>
      <c r="M2589" s="69"/>
      <c r="N2589" s="43" t="str">
        <f>IF(Gastos[[#This Row],[Fecha_Cheque]]&gt;0,WEEKNUM(Gastos[[#This Row],[Fecha_Cheque]]),MID(Gastos[[#This Row],[Semana]],6,2))</f>
        <v>14</v>
      </c>
      <c r="P2589" t="s">
        <v>27</v>
      </c>
    </row>
    <row r="2590" spans="1:16" hidden="1" x14ac:dyDescent="0.25">
      <c r="A2590" s="3" t="s">
        <v>28</v>
      </c>
      <c r="B2590" t="s">
        <v>1539</v>
      </c>
      <c r="C2590" t="s">
        <v>1542</v>
      </c>
      <c r="D2590" t="s">
        <v>26</v>
      </c>
      <c r="E2590" t="s">
        <v>31</v>
      </c>
      <c r="F2590">
        <v>2</v>
      </c>
      <c r="G2590" s="3" t="s">
        <v>32</v>
      </c>
      <c r="H2590" s="46" t="s">
        <v>15</v>
      </c>
      <c r="I2590" s="17">
        <f>904000+1084800</f>
        <v>1988800</v>
      </c>
      <c r="J2590" s="17">
        <f>IF(Gastos[[#This Row],[Divisa]]="$", I2590*1, IF(Gastos[[#This Row],[Divisa]]="U$D", I2590*$N$1, IF(Gastos[[#This Row],[Divisa]]="EUR", I2590*$N$2, 0)))</f>
        <v>1988800</v>
      </c>
      <c r="K2590" s="54">
        <f>Gastos[[#This Row],[Importe AR$]]/$N$1</f>
        <v>1274.8717948717949</v>
      </c>
      <c r="M2590" s="69"/>
      <c r="N2590" s="43" t="str">
        <f>IF(Gastos[[#This Row],[Fecha_Cheque]]&gt;0,WEEKNUM(Gastos[[#This Row],[Fecha_Cheque]]),MID(Gastos[[#This Row],[Semana]],6,2))</f>
        <v>21</v>
      </c>
      <c r="P2590" t="s">
        <v>27</v>
      </c>
    </row>
    <row r="2591" spans="1:16" hidden="1" x14ac:dyDescent="0.25">
      <c r="A2591" s="3" t="s">
        <v>290</v>
      </c>
      <c r="B2591" t="s">
        <v>1539</v>
      </c>
      <c r="C2591" t="s">
        <v>1543</v>
      </c>
      <c r="D2591" t="s">
        <v>26</v>
      </c>
      <c r="E2591" t="s">
        <v>62</v>
      </c>
      <c r="F2591">
        <v>2</v>
      </c>
      <c r="G2591" s="3" t="s">
        <v>32</v>
      </c>
      <c r="H2591" s="46" t="s">
        <v>15</v>
      </c>
      <c r="I2591" s="17">
        <v>5910245.2699999996</v>
      </c>
      <c r="J2591" s="17">
        <f>IF(Gastos[[#This Row],[Divisa]]="$", I2591*1, IF(Gastos[[#This Row],[Divisa]]="U$D", I2591*$N$1, IF(Gastos[[#This Row],[Divisa]]="EUR", I2591*$N$2, 0)))</f>
        <v>5910245.2699999996</v>
      </c>
      <c r="K2591" s="54">
        <f>Gastos[[#This Row],[Importe AR$]]/$N$1</f>
        <v>3788.6187628205125</v>
      </c>
      <c r="L2591" t="s">
        <v>1544</v>
      </c>
      <c r="M2591" s="69">
        <v>45811</v>
      </c>
      <c r="N2591" s="43">
        <f>IF(Gastos[[#This Row],[Fecha_Cheque]]&gt;0,WEEKNUM(Gastos[[#This Row],[Fecha_Cheque]]),MID(Gastos[[#This Row],[Semana]],6,2))</f>
        <v>23</v>
      </c>
      <c r="P2591" t="s">
        <v>27</v>
      </c>
    </row>
    <row r="2592" spans="1:16" hidden="1" x14ac:dyDescent="0.25">
      <c r="A2592" s="3" t="s">
        <v>85</v>
      </c>
      <c r="B2592" t="s">
        <v>1539</v>
      </c>
      <c r="C2592" t="s">
        <v>108</v>
      </c>
      <c r="D2592" t="s">
        <v>26</v>
      </c>
      <c r="E2592" t="s">
        <v>132</v>
      </c>
      <c r="F2592">
        <v>2</v>
      </c>
      <c r="G2592" s="3" t="s">
        <v>32</v>
      </c>
      <c r="H2592" s="46" t="s">
        <v>15</v>
      </c>
      <c r="I2592" s="17">
        <v>1100000</v>
      </c>
      <c r="J2592" s="17">
        <f>IF(Gastos[[#This Row],[Divisa]]="$", I2592*1, IF(Gastos[[#This Row],[Divisa]]="U$D", I2592*$N$1, IF(Gastos[[#This Row],[Divisa]]="EUR", I2592*$N$2, 0)))</f>
        <v>1100000</v>
      </c>
      <c r="K2592" s="54">
        <f>Gastos[[#This Row],[Importe AR$]]/$N$1</f>
        <v>705.12820512820508</v>
      </c>
      <c r="M2592" s="70" t="s">
        <v>1545</v>
      </c>
      <c r="N2592" s="43">
        <f>IF(Gastos[[#This Row],[Fecha_Cheque]]&gt;0,WEEKNUM(Gastos[[#This Row],[Fecha_Cheque]]),MID(Gastos[[#This Row],[Semana]],6,2))</f>
        <v>30</v>
      </c>
      <c r="P2592" t="s">
        <v>27</v>
      </c>
    </row>
    <row r="2593" spans="1:16" hidden="1" x14ac:dyDescent="0.25">
      <c r="A2593" s="3" t="s">
        <v>85</v>
      </c>
      <c r="B2593" t="s">
        <v>1539</v>
      </c>
      <c r="C2593" t="s">
        <v>108</v>
      </c>
      <c r="D2593" t="s">
        <v>26</v>
      </c>
      <c r="E2593" t="s">
        <v>132</v>
      </c>
      <c r="F2593">
        <v>2</v>
      </c>
      <c r="G2593" s="3" t="s">
        <v>32</v>
      </c>
      <c r="H2593" s="46" t="s">
        <v>15</v>
      </c>
      <c r="I2593" s="17">
        <v>1684000</v>
      </c>
      <c r="J2593" s="17">
        <f>IF(Gastos[[#This Row],[Divisa]]="$", I2593*1, IF(Gastos[[#This Row],[Divisa]]="U$D", I2593*$N$1, IF(Gastos[[#This Row],[Divisa]]="EUR", I2593*$N$2, 0)))</f>
        <v>1684000</v>
      </c>
      <c r="K2593" s="54">
        <f>Gastos[[#This Row],[Importe AR$]]/$N$1</f>
        <v>1079.4871794871794</v>
      </c>
      <c r="M2593" s="70" t="s">
        <v>811</v>
      </c>
      <c r="N2593" s="43">
        <f>IF(Gastos[[#This Row],[Fecha_Cheque]]&gt;0,WEEKNUM(Gastos[[#This Row],[Fecha_Cheque]]),MID(Gastos[[#This Row],[Semana]],6,2))</f>
        <v>30</v>
      </c>
      <c r="P2593" t="s">
        <v>27</v>
      </c>
    </row>
    <row r="2594" spans="1:16" hidden="1" x14ac:dyDescent="0.25">
      <c r="A2594" s="3" t="s">
        <v>85</v>
      </c>
      <c r="B2594" t="s">
        <v>1539</v>
      </c>
      <c r="C2594" t="s">
        <v>108</v>
      </c>
      <c r="D2594" t="s">
        <v>26</v>
      </c>
      <c r="E2594" t="s">
        <v>132</v>
      </c>
      <c r="F2594">
        <v>2</v>
      </c>
      <c r="G2594" s="3" t="s">
        <v>32</v>
      </c>
      <c r="H2594" s="46" t="s">
        <v>15</v>
      </c>
      <c r="I2594" s="17">
        <v>1700000</v>
      </c>
      <c r="J2594" s="17">
        <f>IF(Gastos[[#This Row],[Divisa]]="$", I2594*1, IF(Gastos[[#This Row],[Divisa]]="U$D", I2594*$N$1, IF(Gastos[[#This Row],[Divisa]]="EUR", I2594*$N$2, 0)))</f>
        <v>1700000</v>
      </c>
      <c r="K2594" s="54">
        <f>Gastos[[#This Row],[Importe AR$]]/$N$1</f>
        <v>1089.7435897435898</v>
      </c>
      <c r="M2594" s="70" t="s">
        <v>925</v>
      </c>
      <c r="N2594" s="43">
        <f>IF(Gastos[[#This Row],[Fecha_Cheque]]&gt;0,WEEKNUM(Gastos[[#This Row],[Fecha_Cheque]]),MID(Gastos[[#This Row],[Semana]],6,2))</f>
        <v>30</v>
      </c>
      <c r="P2594" t="s">
        <v>27</v>
      </c>
    </row>
    <row r="2595" spans="1:16" hidden="1" x14ac:dyDescent="0.25">
      <c r="A2595" s="3" t="s">
        <v>85</v>
      </c>
      <c r="B2595" t="s">
        <v>1539</v>
      </c>
      <c r="C2595" t="s">
        <v>108</v>
      </c>
      <c r="D2595" t="s">
        <v>26</v>
      </c>
      <c r="E2595" t="s">
        <v>132</v>
      </c>
      <c r="F2595">
        <v>2</v>
      </c>
      <c r="G2595" s="3" t="s">
        <v>32</v>
      </c>
      <c r="H2595" s="46" t="s">
        <v>15</v>
      </c>
      <c r="I2595" s="17">
        <v>2224319</v>
      </c>
      <c r="J2595" s="17">
        <f>IF(Gastos[[#This Row],[Divisa]]="$", I2595*1, IF(Gastos[[#This Row],[Divisa]]="U$D", I2595*$N$1, IF(Gastos[[#This Row],[Divisa]]="EUR", I2595*$N$2, 0)))</f>
        <v>2224319</v>
      </c>
      <c r="K2595" s="54">
        <f>Gastos[[#This Row],[Importe AR$]]/$N$1</f>
        <v>1425.8455128205128</v>
      </c>
      <c r="M2595" s="70" t="s">
        <v>811</v>
      </c>
      <c r="N2595" s="43">
        <f>IF(Gastos[[#This Row],[Fecha_Cheque]]&gt;0,WEEKNUM(Gastos[[#This Row],[Fecha_Cheque]]),MID(Gastos[[#This Row],[Semana]],6,2))</f>
        <v>30</v>
      </c>
      <c r="P2595" t="s">
        <v>27</v>
      </c>
    </row>
    <row r="2596" spans="1:16" hidden="1" x14ac:dyDescent="0.25">
      <c r="A2596" s="3" t="s">
        <v>85</v>
      </c>
      <c r="B2596" t="s">
        <v>1539</v>
      </c>
      <c r="C2596" t="s">
        <v>108</v>
      </c>
      <c r="D2596" t="s">
        <v>26</v>
      </c>
      <c r="E2596" t="s">
        <v>132</v>
      </c>
      <c r="F2596">
        <v>2</v>
      </c>
      <c r="G2596" s="3" t="s">
        <v>4</v>
      </c>
      <c r="H2596" s="46" t="s">
        <v>15</v>
      </c>
      <c r="I2596" s="17">
        <v>1500000</v>
      </c>
      <c r="J2596" s="17">
        <f>IF(Gastos[[#This Row],[Divisa]]="$", I2596*1, IF(Gastos[[#This Row],[Divisa]]="U$D", I2596*$N$1, IF(Gastos[[#This Row],[Divisa]]="EUR", I2596*$N$2, 0)))</f>
        <v>1500000</v>
      </c>
      <c r="K2596" s="54">
        <f>Gastos[[#This Row],[Importe AR$]]/$N$1</f>
        <v>961.53846153846155</v>
      </c>
      <c r="M2596" s="69"/>
      <c r="N2596" s="43" t="str">
        <f>IF(Gastos[[#This Row],[Fecha_Cheque]]&gt;0,WEEKNUM(Gastos[[#This Row],[Fecha_Cheque]]),MID(Gastos[[#This Row],[Semana]],6,2))</f>
        <v>26</v>
      </c>
      <c r="O2596" t="s">
        <v>1546</v>
      </c>
      <c r="P2596" t="s">
        <v>27</v>
      </c>
    </row>
    <row r="2597" spans="1:16" hidden="1" x14ac:dyDescent="0.25">
      <c r="A2597" s="3" t="s">
        <v>85</v>
      </c>
      <c r="B2597" t="s">
        <v>1539</v>
      </c>
      <c r="C2597" t="s">
        <v>108</v>
      </c>
      <c r="D2597" t="s">
        <v>26</v>
      </c>
      <c r="E2597" t="s">
        <v>132</v>
      </c>
      <c r="F2597">
        <v>2</v>
      </c>
      <c r="G2597" s="3" t="s">
        <v>5</v>
      </c>
      <c r="H2597" s="46" t="s">
        <v>15</v>
      </c>
      <c r="I2597" s="17">
        <v>1500000</v>
      </c>
      <c r="J2597" s="17">
        <f>IF(Gastos[[#This Row],[Divisa]]="$", I2597*1, IF(Gastos[[#This Row],[Divisa]]="U$D", I2597*$N$1, IF(Gastos[[#This Row],[Divisa]]="EUR", I2597*$N$2, 0)))</f>
        <v>1500000</v>
      </c>
      <c r="K2597" s="54">
        <f>Gastos[[#This Row],[Importe AR$]]/$N$1</f>
        <v>961.53846153846155</v>
      </c>
      <c r="M2597" s="69"/>
      <c r="N2597" s="43" t="str">
        <f>IF(Gastos[[#This Row],[Fecha_Cheque]]&gt;0,WEEKNUM(Gastos[[#This Row],[Fecha_Cheque]]),MID(Gastos[[#This Row],[Semana]],6,2))</f>
        <v>26</v>
      </c>
      <c r="O2597" t="s">
        <v>1547</v>
      </c>
      <c r="P2597" t="s">
        <v>27</v>
      </c>
    </row>
    <row r="2598" spans="1:16" hidden="1" x14ac:dyDescent="0.25">
      <c r="A2598" s="3" t="s">
        <v>85</v>
      </c>
      <c r="B2598" t="s">
        <v>1539</v>
      </c>
      <c r="C2598" t="s">
        <v>108</v>
      </c>
      <c r="D2598" t="s">
        <v>26</v>
      </c>
      <c r="E2598" t="s">
        <v>132</v>
      </c>
      <c r="F2598">
        <v>2</v>
      </c>
      <c r="G2598" s="3" t="s">
        <v>32</v>
      </c>
      <c r="H2598" s="46" t="s">
        <v>15</v>
      </c>
      <c r="I2598" s="17">
        <v>660000</v>
      </c>
      <c r="J2598" s="17">
        <f>IF(Gastos[[#This Row],[Divisa]]="$", I2598*1, IF(Gastos[[#This Row],[Divisa]]="U$D", I2598*$N$1, IF(Gastos[[#This Row],[Divisa]]="EUR", I2598*$N$2, 0)))</f>
        <v>660000</v>
      </c>
      <c r="K2598" s="54">
        <f>Gastos[[#This Row],[Importe AR$]]/$N$1</f>
        <v>423.07692307692309</v>
      </c>
      <c r="M2598" s="69">
        <v>45867</v>
      </c>
      <c r="N2598" s="43">
        <f>IF(Gastos[[#This Row],[Fecha_Cheque]]&gt;0,WEEKNUM(Gastos[[#This Row],[Fecha_Cheque]]),MID(Gastos[[#This Row],[Semana]],6,2))</f>
        <v>31</v>
      </c>
      <c r="O2598" t="s">
        <v>1547</v>
      </c>
      <c r="P2598" t="s">
        <v>27</v>
      </c>
    </row>
    <row r="2599" spans="1:16" hidden="1" x14ac:dyDescent="0.25">
      <c r="A2599" s="3" t="s">
        <v>85</v>
      </c>
      <c r="B2599" t="s">
        <v>1539</v>
      </c>
      <c r="C2599" t="s">
        <v>108</v>
      </c>
      <c r="D2599" t="s">
        <v>26</v>
      </c>
      <c r="E2599" t="s">
        <v>132</v>
      </c>
      <c r="F2599">
        <v>2</v>
      </c>
      <c r="G2599" s="3" t="s">
        <v>32</v>
      </c>
      <c r="H2599" s="46" t="s">
        <v>15</v>
      </c>
      <c r="I2599" s="17">
        <v>2500000</v>
      </c>
      <c r="J2599" s="17">
        <f>IF(Gastos[[#This Row],[Divisa]]="$", I2599*1, IF(Gastos[[#This Row],[Divisa]]="U$D", I2599*$N$1, IF(Gastos[[#This Row],[Divisa]]="EUR", I2599*$N$2, 0)))</f>
        <v>2500000</v>
      </c>
      <c r="K2599" s="54">
        <f>Gastos[[#This Row],[Importe AR$]]/$N$1</f>
        <v>1602.5641025641025</v>
      </c>
      <c r="M2599" s="69">
        <v>45858</v>
      </c>
      <c r="N2599" s="43">
        <f>IF(Gastos[[#This Row],[Fecha_Cheque]]&gt;0,WEEKNUM(Gastos[[#This Row],[Fecha_Cheque]]),MID(Gastos[[#This Row],[Semana]],6,2))</f>
        <v>30</v>
      </c>
      <c r="O2599" t="s">
        <v>1547</v>
      </c>
      <c r="P2599" t="s">
        <v>27</v>
      </c>
    </row>
    <row r="2600" spans="1:16" hidden="1" x14ac:dyDescent="0.25">
      <c r="A2600" s="3" t="s">
        <v>144</v>
      </c>
      <c r="B2600" t="s">
        <v>1539</v>
      </c>
      <c r="C2600" t="s">
        <v>1548</v>
      </c>
      <c r="D2600" t="s">
        <v>26</v>
      </c>
      <c r="E2600" t="s">
        <v>31</v>
      </c>
      <c r="F2600">
        <v>2</v>
      </c>
      <c r="G2600" s="3" t="s">
        <v>4</v>
      </c>
      <c r="H2600" s="46" t="s">
        <v>15</v>
      </c>
      <c r="I2600" s="17">
        <v>5000000</v>
      </c>
      <c r="J2600" s="17">
        <f>IF(Gastos[[#This Row],[Divisa]]="$", I2600*1, IF(Gastos[[#This Row],[Divisa]]="U$D", I2600*$N$1, IF(Gastos[[#This Row],[Divisa]]="EUR", I2600*$N$2, 0)))</f>
        <v>5000000</v>
      </c>
      <c r="K2600" s="54">
        <f>Gastos[[#This Row],[Importe AR$]]/$N$1</f>
        <v>3205.1282051282051</v>
      </c>
      <c r="M2600" s="69"/>
      <c r="N2600" s="43" t="str">
        <f>IF(Gastos[[#This Row],[Fecha_Cheque]]&gt;0,WEEKNUM(Gastos[[#This Row],[Fecha_Cheque]]),MID(Gastos[[#This Row],[Semana]],6,2))</f>
        <v>16</v>
      </c>
      <c r="P2600" t="s">
        <v>27</v>
      </c>
    </row>
    <row r="2601" spans="1:16" hidden="1" x14ac:dyDescent="0.25">
      <c r="A2601" s="3" t="s">
        <v>144</v>
      </c>
      <c r="B2601" t="s">
        <v>1539</v>
      </c>
      <c r="C2601" t="s">
        <v>1548</v>
      </c>
      <c r="D2601" t="s">
        <v>26</v>
      </c>
      <c r="E2601" t="s">
        <v>31</v>
      </c>
      <c r="F2601">
        <v>2</v>
      </c>
      <c r="G2601" s="3" t="s">
        <v>32</v>
      </c>
      <c r="H2601" s="46" t="s">
        <v>15</v>
      </c>
      <c r="I2601" s="17">
        <v>10000000</v>
      </c>
      <c r="J2601" s="17">
        <f>IF(Gastos[[#This Row],[Divisa]]="$", I2601*1, IF(Gastos[[#This Row],[Divisa]]="U$D", I2601*$N$1, IF(Gastos[[#This Row],[Divisa]]="EUR", I2601*$N$2, 0)))</f>
        <v>10000000</v>
      </c>
      <c r="K2601" s="54">
        <f>Gastos[[#This Row],[Importe AR$]]/$N$1</f>
        <v>6410.2564102564102</v>
      </c>
      <c r="M2601" s="69"/>
      <c r="N2601" s="43" t="str">
        <f>IF(Gastos[[#This Row],[Fecha_Cheque]]&gt;0,WEEKNUM(Gastos[[#This Row],[Fecha_Cheque]]),MID(Gastos[[#This Row],[Semana]],6,2))</f>
        <v>16</v>
      </c>
      <c r="P2601" t="s">
        <v>27</v>
      </c>
    </row>
    <row r="2602" spans="1:16" hidden="1" x14ac:dyDescent="0.25">
      <c r="A2602" s="3" t="s">
        <v>147</v>
      </c>
      <c r="B2602" t="s">
        <v>1539</v>
      </c>
      <c r="C2602" t="s">
        <v>1549</v>
      </c>
      <c r="D2602" t="s">
        <v>26</v>
      </c>
      <c r="E2602" t="s">
        <v>31</v>
      </c>
      <c r="F2602">
        <v>1</v>
      </c>
      <c r="G2602" s="3" t="s">
        <v>4</v>
      </c>
      <c r="H2602" s="46" t="s">
        <v>15</v>
      </c>
      <c r="I2602" s="17">
        <v>5000000</v>
      </c>
      <c r="J2602" s="17">
        <f>IF(Gastos[[#This Row],[Divisa]]="$", I2602*1, IF(Gastos[[#This Row],[Divisa]]="U$D", I2602*$N$1, IF(Gastos[[#This Row],[Divisa]]="EUR", I2602*$N$2, 0)))</f>
        <v>5000000</v>
      </c>
      <c r="K2602" s="54">
        <f>Gastos[[#This Row],[Importe AR$]]/$N$1</f>
        <v>3205.1282051282051</v>
      </c>
      <c r="M2602" s="69"/>
      <c r="N2602" s="43" t="str">
        <f>IF(Gastos[[#This Row],[Fecha_Cheque]]&gt;0,WEEKNUM(Gastos[[#This Row],[Fecha_Cheque]]),MID(Gastos[[#This Row],[Semana]],6,2))</f>
        <v>17</v>
      </c>
      <c r="P2602" t="s">
        <v>27</v>
      </c>
    </row>
    <row r="2603" spans="1:16" hidden="1" x14ac:dyDescent="0.25">
      <c r="A2603" s="3" t="s">
        <v>718</v>
      </c>
      <c r="B2603" t="s">
        <v>1539</v>
      </c>
      <c r="C2603" t="s">
        <v>1549</v>
      </c>
      <c r="D2603" t="s">
        <v>26</v>
      </c>
      <c r="E2603" t="s">
        <v>31</v>
      </c>
      <c r="F2603">
        <v>1</v>
      </c>
      <c r="G2603" s="3" t="s">
        <v>4</v>
      </c>
      <c r="H2603" s="46" t="s">
        <v>15</v>
      </c>
      <c r="I2603" s="17">
        <v>1000000</v>
      </c>
      <c r="J2603" s="17">
        <f>IF(Gastos[[#This Row],[Divisa]]="$", I2603*1, IF(Gastos[[#This Row],[Divisa]]="U$D", I2603*$N$1, IF(Gastos[[#This Row],[Divisa]]="EUR", I2603*$N$2, 0)))</f>
        <v>1000000</v>
      </c>
      <c r="K2603" s="54">
        <f>Gastos[[#This Row],[Importe AR$]]/$N$1</f>
        <v>641.02564102564099</v>
      </c>
      <c r="M2603" s="69"/>
      <c r="N2603" s="43" t="str">
        <f>IF(Gastos[[#This Row],[Fecha_Cheque]]&gt;0,WEEKNUM(Gastos[[#This Row],[Fecha_Cheque]]),MID(Gastos[[#This Row],[Semana]],6,2))</f>
        <v>18</v>
      </c>
      <c r="O2603" t="s">
        <v>1550</v>
      </c>
      <c r="P2603" t="s">
        <v>27</v>
      </c>
    </row>
    <row r="2604" spans="1:16" hidden="1" x14ac:dyDescent="0.25">
      <c r="A2604" s="3" t="s">
        <v>718</v>
      </c>
      <c r="B2604" t="s">
        <v>1539</v>
      </c>
      <c r="C2604" t="s">
        <v>1551</v>
      </c>
      <c r="D2604" t="s">
        <v>26</v>
      </c>
      <c r="E2604" t="s">
        <v>31</v>
      </c>
      <c r="F2604">
        <v>2</v>
      </c>
      <c r="G2604" s="3" t="s">
        <v>32</v>
      </c>
      <c r="H2604" s="46" t="s">
        <v>15</v>
      </c>
      <c r="I2604" s="17">
        <v>800000</v>
      </c>
      <c r="J2604" s="17">
        <f>IF(Gastos[[#This Row],[Divisa]]="$", I2604*1, IF(Gastos[[#This Row],[Divisa]]="U$D", I2604*$N$1, IF(Gastos[[#This Row],[Divisa]]="EUR", I2604*$N$2, 0)))</f>
        <v>800000</v>
      </c>
      <c r="K2604" s="54">
        <f>Gastos[[#This Row],[Importe AR$]]/$N$1</f>
        <v>512.82051282051282</v>
      </c>
      <c r="M2604" s="69"/>
      <c r="N2604" s="43" t="str">
        <f>IF(Gastos[[#This Row],[Fecha_Cheque]]&gt;0,WEEKNUM(Gastos[[#This Row],[Fecha_Cheque]]),MID(Gastos[[#This Row],[Semana]],6,2))</f>
        <v>18</v>
      </c>
      <c r="O2604" t="s">
        <v>1550</v>
      </c>
      <c r="P2604" t="s">
        <v>27</v>
      </c>
    </row>
    <row r="2605" spans="1:16" hidden="1" x14ac:dyDescent="0.25">
      <c r="A2605" s="3" t="s">
        <v>253</v>
      </c>
      <c r="B2605" t="s">
        <v>1539</v>
      </c>
      <c r="C2605" t="s">
        <v>1543</v>
      </c>
      <c r="D2605" t="s">
        <v>26</v>
      </c>
      <c r="E2605" t="s">
        <v>31</v>
      </c>
      <c r="F2605">
        <v>2</v>
      </c>
      <c r="G2605" s="3" t="s">
        <v>4</v>
      </c>
      <c r="H2605" s="46" t="s">
        <v>15</v>
      </c>
      <c r="I2605" s="17">
        <v>2000000</v>
      </c>
      <c r="J2605" s="17">
        <f>IF(Gastos[[#This Row],[Divisa]]="$", I2605*1, IF(Gastos[[#This Row],[Divisa]]="U$D", I2605*$N$1, IF(Gastos[[#This Row],[Divisa]]="EUR", I2605*$N$2, 0)))</f>
        <v>2000000</v>
      </c>
      <c r="K2605" s="54">
        <f>Gastos[[#This Row],[Importe AR$]]/$N$1</f>
        <v>1282.051282051282</v>
      </c>
      <c r="M2605" s="69"/>
      <c r="N2605" s="43" t="str">
        <f>IF(Gastos[[#This Row],[Fecha_Cheque]]&gt;0,WEEKNUM(Gastos[[#This Row],[Fecha_Cheque]]),MID(Gastos[[#This Row],[Semana]],6,2))</f>
        <v>24</v>
      </c>
      <c r="O2605" t="s">
        <v>1552</v>
      </c>
      <c r="P2605" t="s">
        <v>27</v>
      </c>
    </row>
    <row r="2606" spans="1:16" hidden="1" x14ac:dyDescent="0.25">
      <c r="A2606" s="3" t="s">
        <v>53</v>
      </c>
      <c r="B2606" t="s">
        <v>1553</v>
      </c>
      <c r="C2606" t="s">
        <v>1554</v>
      </c>
      <c r="D2606" t="s">
        <v>26</v>
      </c>
      <c r="E2606" t="s">
        <v>31</v>
      </c>
      <c r="F2606">
        <v>1</v>
      </c>
      <c r="G2606" s="3" t="s">
        <v>32</v>
      </c>
      <c r="H2606" s="46" t="s">
        <v>15</v>
      </c>
      <c r="I2606" s="17">
        <v>459543</v>
      </c>
      <c r="J2606" s="17">
        <f>IF(Gastos[[#This Row],[Divisa]]="$", I2606*1, IF(Gastos[[#This Row],[Divisa]]="U$D", I2606*$N$1, IF(Gastos[[#This Row],[Divisa]]="EUR", I2606*$N$2, 0)))</f>
        <v>459543</v>
      </c>
      <c r="K2606" s="54">
        <f>Gastos[[#This Row],[Importe AR$]]/$N$1</f>
        <v>294.57884615384614</v>
      </c>
      <c r="M2606" s="69"/>
      <c r="N2606" s="43" t="str">
        <f>IF(Gastos[[#This Row],[Fecha_Cheque]]&gt;0,WEEKNUM(Gastos[[#This Row],[Fecha_Cheque]]),MID(Gastos[[#This Row],[Semana]],6,2))</f>
        <v>34</v>
      </c>
      <c r="O2606" t="s">
        <v>1555</v>
      </c>
      <c r="P2606" t="s">
        <v>27</v>
      </c>
    </row>
    <row r="2607" spans="1:16" hidden="1" x14ac:dyDescent="0.25">
      <c r="A2607" s="3" t="s">
        <v>53</v>
      </c>
      <c r="B2607" t="s">
        <v>1553</v>
      </c>
      <c r="C2607" t="s">
        <v>1554</v>
      </c>
      <c r="D2607" t="s">
        <v>26</v>
      </c>
      <c r="E2607" t="s">
        <v>31</v>
      </c>
      <c r="F2607">
        <v>1</v>
      </c>
      <c r="G2607" s="3" t="s">
        <v>32</v>
      </c>
      <c r="H2607" s="46" t="s">
        <v>15</v>
      </c>
      <c r="I2607" s="17">
        <v>95000</v>
      </c>
      <c r="J2607" s="17">
        <f>IF(Gastos[[#This Row],[Divisa]]="$", I2607*1, IF(Gastos[[#This Row],[Divisa]]="U$D", I2607*$N$1, IF(Gastos[[#This Row],[Divisa]]="EUR", I2607*$N$2, 0)))</f>
        <v>95000</v>
      </c>
      <c r="K2607" s="54">
        <f>Gastos[[#This Row],[Importe AR$]]/$N$1</f>
        <v>60.897435897435898</v>
      </c>
      <c r="M2607" s="69"/>
      <c r="N2607" s="43" t="str">
        <f>IF(Gastos[[#This Row],[Fecha_Cheque]]&gt;0,WEEKNUM(Gastos[[#This Row],[Fecha_Cheque]]),MID(Gastos[[#This Row],[Semana]],6,2))</f>
        <v>34</v>
      </c>
      <c r="O2607" t="s">
        <v>1555</v>
      </c>
      <c r="P2607" t="s">
        <v>27</v>
      </c>
    </row>
    <row r="2608" spans="1:16" hidden="1" x14ac:dyDescent="0.25">
      <c r="A2608" s="3" t="s">
        <v>53</v>
      </c>
      <c r="B2608" t="s">
        <v>1553</v>
      </c>
      <c r="C2608" t="s">
        <v>1554</v>
      </c>
      <c r="D2608" t="s">
        <v>26</v>
      </c>
      <c r="E2608" t="s">
        <v>31</v>
      </c>
      <c r="F2608">
        <v>1</v>
      </c>
      <c r="G2608" s="3" t="s">
        <v>5</v>
      </c>
      <c r="H2608" s="46" t="s">
        <v>15</v>
      </c>
      <c r="I2608" s="17">
        <v>400000</v>
      </c>
      <c r="J2608" s="17">
        <f>IF(Gastos[[#This Row],[Divisa]]="$", I2608*1, IF(Gastos[[#This Row],[Divisa]]="U$D", I2608*$N$1, IF(Gastos[[#This Row],[Divisa]]="EUR", I2608*$N$2, 0)))</f>
        <v>400000</v>
      </c>
      <c r="K2608" s="54">
        <f>Gastos[[#This Row],[Importe AR$]]/$N$1</f>
        <v>256.41025641025641</v>
      </c>
      <c r="M2608" s="69"/>
      <c r="N2608" s="43" t="str">
        <f>IF(Gastos[[#This Row],[Fecha_Cheque]]&gt;0,WEEKNUM(Gastos[[#This Row],[Fecha_Cheque]]),MID(Gastos[[#This Row],[Semana]],6,2))</f>
        <v>34</v>
      </c>
      <c r="O2608" t="s">
        <v>1555</v>
      </c>
      <c r="P2608" t="s">
        <v>27</v>
      </c>
    </row>
    <row r="2609" spans="1:16" hidden="1" x14ac:dyDescent="0.25">
      <c r="A2609" s="3" t="s">
        <v>53</v>
      </c>
      <c r="B2609" t="s">
        <v>1553</v>
      </c>
      <c r="C2609" t="s">
        <v>1554</v>
      </c>
      <c r="D2609" t="s">
        <v>26</v>
      </c>
      <c r="E2609" t="s">
        <v>31</v>
      </c>
      <c r="F2609">
        <v>1</v>
      </c>
      <c r="G2609" s="3" t="s">
        <v>32</v>
      </c>
      <c r="H2609" s="46" t="s">
        <v>15</v>
      </c>
      <c r="I2609" s="17">
        <v>250000</v>
      </c>
      <c r="J2609" s="17">
        <f>IF(Gastos[[#This Row],[Divisa]]="$", I2609*1, IF(Gastos[[#This Row],[Divisa]]="U$D", I2609*$N$1, IF(Gastos[[#This Row],[Divisa]]="EUR", I2609*$N$2, 0)))</f>
        <v>250000</v>
      </c>
      <c r="K2609" s="54">
        <f>Gastos[[#This Row],[Importe AR$]]/$N$1</f>
        <v>160.25641025641025</v>
      </c>
      <c r="M2609" s="69"/>
      <c r="N2609" s="43" t="str">
        <f>IF(Gastos[[#This Row],[Fecha_Cheque]]&gt;0,WEEKNUM(Gastos[[#This Row],[Fecha_Cheque]]),MID(Gastos[[#This Row],[Semana]],6,2))</f>
        <v>34</v>
      </c>
      <c r="O2609" t="s">
        <v>1555</v>
      </c>
      <c r="P2609" t="s">
        <v>27</v>
      </c>
    </row>
    <row r="2610" spans="1:16" hidden="1" x14ac:dyDescent="0.25">
      <c r="A2610" s="3" t="s">
        <v>130</v>
      </c>
      <c r="B2610" t="s">
        <v>1556</v>
      </c>
      <c r="C2610" t="s">
        <v>1557</v>
      </c>
      <c r="D2610" t="s">
        <v>26</v>
      </c>
      <c r="E2610" t="s">
        <v>31</v>
      </c>
      <c r="F2610">
        <v>1</v>
      </c>
      <c r="G2610" s="3" t="s">
        <v>5</v>
      </c>
      <c r="H2610" s="46" t="s">
        <v>15</v>
      </c>
      <c r="I2610" s="17">
        <v>64387</v>
      </c>
      <c r="J2610" s="17">
        <f>IF(Gastos[[#This Row],[Divisa]]="$", I2610*1, IF(Gastos[[#This Row],[Divisa]]="U$D", I2610*$N$1, IF(Gastos[[#This Row],[Divisa]]="EUR", I2610*$N$2, 0)))</f>
        <v>64387</v>
      </c>
      <c r="K2610" s="54">
        <f>Gastos[[#This Row],[Importe AR$]]/$N$1</f>
        <v>41.273717948717952</v>
      </c>
      <c r="M2610" s="69"/>
      <c r="N2610" s="43" t="str">
        <f>IF(Gastos[[#This Row],[Fecha_Cheque]]&gt;0,WEEKNUM(Gastos[[#This Row],[Fecha_Cheque]]),MID(Gastos[[#This Row],[Semana]],6,2))</f>
        <v>45</v>
      </c>
      <c r="O2610" t="s">
        <v>1558</v>
      </c>
      <c r="P2610" t="s">
        <v>27</v>
      </c>
    </row>
    <row r="2611" spans="1:16" hidden="1" x14ac:dyDescent="0.25">
      <c r="A2611" s="3" t="s">
        <v>253</v>
      </c>
      <c r="B2611" t="s">
        <v>1559</v>
      </c>
      <c r="C2611" t="s">
        <v>1560</v>
      </c>
      <c r="D2611" t="s">
        <v>26</v>
      </c>
      <c r="E2611" t="s">
        <v>31</v>
      </c>
      <c r="F2611">
        <v>1</v>
      </c>
      <c r="G2611" s="3" t="s">
        <v>5</v>
      </c>
      <c r="H2611" s="46" t="s">
        <v>15</v>
      </c>
      <c r="I2611" s="17">
        <f>685000/2</f>
        <v>342500</v>
      </c>
      <c r="J2611" s="17">
        <f>IF(Gastos[[#This Row],[Divisa]]="$", I2611*1, IF(Gastos[[#This Row],[Divisa]]="U$D", I2611*$N$1, IF(Gastos[[#This Row],[Divisa]]="EUR", I2611*$N$2, 0)))</f>
        <v>342500</v>
      </c>
      <c r="K2611" s="54">
        <f>Gastos[[#This Row],[Importe AR$]]/$N$1</f>
        <v>219.55128205128204</v>
      </c>
      <c r="M2611" s="69"/>
      <c r="N2611" s="43" t="str">
        <f>IF(Gastos[[#This Row],[Fecha_Cheque]]&gt;0,WEEKNUM(Gastos[[#This Row],[Fecha_Cheque]]),MID(Gastos[[#This Row],[Semana]],6,2))</f>
        <v>24</v>
      </c>
      <c r="P2611" t="s">
        <v>27</v>
      </c>
    </row>
    <row r="2612" spans="1:16" hidden="1" x14ac:dyDescent="0.25">
      <c r="A2612" s="3" t="s">
        <v>718</v>
      </c>
      <c r="B2612" t="s">
        <v>1561</v>
      </c>
      <c r="C2612" t="s">
        <v>1562</v>
      </c>
      <c r="D2612" t="s">
        <v>26</v>
      </c>
      <c r="E2612" t="s">
        <v>31</v>
      </c>
      <c r="F2612">
        <v>1</v>
      </c>
      <c r="G2612" s="3" t="s">
        <v>32</v>
      </c>
      <c r="H2612" s="46" t="s">
        <v>15</v>
      </c>
      <c r="I2612" s="17">
        <v>600000</v>
      </c>
      <c r="J2612" s="17">
        <f>IF(Gastos[[#This Row],[Divisa]]="$", I2612*1, IF(Gastos[[#This Row],[Divisa]]="U$D", I2612*$N$1, IF(Gastos[[#This Row],[Divisa]]="EUR", I2612*$N$2, 0)))</f>
        <v>600000</v>
      </c>
      <c r="K2612" s="54">
        <f>Gastos[[#This Row],[Importe AR$]]/$N$1</f>
        <v>384.61538461538464</v>
      </c>
      <c r="L2612" t="s">
        <v>1426</v>
      </c>
      <c r="M2612" s="69"/>
      <c r="N2612" s="43" t="str">
        <f>IF(Gastos[[#This Row],[Fecha_Cheque]]&gt;0,WEEKNUM(Gastos[[#This Row],[Fecha_Cheque]]),MID(Gastos[[#This Row],[Semana]],6,2))</f>
        <v>18</v>
      </c>
      <c r="O2612" t="s">
        <v>1563</v>
      </c>
      <c r="P2612" t="s">
        <v>27</v>
      </c>
    </row>
    <row r="2613" spans="1:16" hidden="1" x14ac:dyDescent="0.25">
      <c r="A2613" s="3" t="s">
        <v>718</v>
      </c>
      <c r="B2613" t="s">
        <v>1561</v>
      </c>
      <c r="C2613" t="s">
        <v>1562</v>
      </c>
      <c r="D2613" t="s">
        <v>26</v>
      </c>
      <c r="E2613" t="s">
        <v>31</v>
      </c>
      <c r="F2613">
        <v>1</v>
      </c>
      <c r="G2613" s="3" t="s">
        <v>5</v>
      </c>
      <c r="H2613" s="46" t="s">
        <v>15</v>
      </c>
      <c r="I2613" s="17">
        <v>600000</v>
      </c>
      <c r="J2613" s="17">
        <f>IF(Gastos[[#This Row],[Divisa]]="$", I2613*1, IF(Gastos[[#This Row],[Divisa]]="U$D", I2613*$N$1, IF(Gastos[[#This Row],[Divisa]]="EUR", I2613*$N$2, 0)))</f>
        <v>600000</v>
      </c>
      <c r="K2613" s="54">
        <f>Gastos[[#This Row],[Importe AR$]]/$N$1</f>
        <v>384.61538461538464</v>
      </c>
      <c r="M2613" s="69"/>
      <c r="N2613" s="43" t="str">
        <f>IF(Gastos[[#This Row],[Fecha_Cheque]]&gt;0,WEEKNUM(Gastos[[#This Row],[Fecha_Cheque]]),MID(Gastos[[#This Row],[Semana]],6,2))</f>
        <v>18</v>
      </c>
      <c r="O2613" t="s">
        <v>1564</v>
      </c>
      <c r="P2613" t="s">
        <v>27</v>
      </c>
    </row>
    <row r="2614" spans="1:16" hidden="1" x14ac:dyDescent="0.25">
      <c r="A2614" s="3" t="s">
        <v>50</v>
      </c>
      <c r="B2614" t="s">
        <v>1565</v>
      </c>
      <c r="C2614" t="s">
        <v>155</v>
      </c>
      <c r="D2614" t="s">
        <v>26</v>
      </c>
      <c r="E2614" t="s">
        <v>31</v>
      </c>
      <c r="F2614">
        <v>1</v>
      </c>
      <c r="G2614" s="3" t="s">
        <v>4</v>
      </c>
      <c r="H2614" s="46" t="s">
        <v>15</v>
      </c>
      <c r="I2614" s="17">
        <v>108000</v>
      </c>
      <c r="J2614" s="17">
        <f>IF(Gastos[[#This Row],[Divisa]]="$", I2614*1, IF(Gastos[[#This Row],[Divisa]]="U$D", I2614*$N$1, IF(Gastos[[#This Row],[Divisa]]="EUR", I2614*$N$2, 0)))</f>
        <v>108000</v>
      </c>
      <c r="K2614" s="54">
        <f>Gastos[[#This Row],[Importe AR$]]/$N$1</f>
        <v>69.230769230769226</v>
      </c>
      <c r="M2614" s="69"/>
      <c r="N2614" s="43" t="str">
        <f>IF(Gastos[[#This Row],[Fecha_Cheque]]&gt;0,WEEKNUM(Gastos[[#This Row],[Fecha_Cheque]]),MID(Gastos[[#This Row],[Semana]],6,2))</f>
        <v>25</v>
      </c>
      <c r="P2614" t="s">
        <v>27</v>
      </c>
    </row>
    <row r="2615" spans="1:16" hidden="1" x14ac:dyDescent="0.25">
      <c r="A2615" s="3" t="s">
        <v>52</v>
      </c>
      <c r="B2615" t="s">
        <v>1565</v>
      </c>
      <c r="C2615" t="s">
        <v>155</v>
      </c>
      <c r="D2615" t="s">
        <v>26</v>
      </c>
      <c r="E2615" t="s">
        <v>42</v>
      </c>
      <c r="F2615">
        <v>1</v>
      </c>
      <c r="G2615" s="3" t="s">
        <v>4</v>
      </c>
      <c r="H2615" s="46" t="s">
        <v>15</v>
      </c>
      <c r="I2615" s="19">
        <v>120000</v>
      </c>
      <c r="J2615" s="17">
        <f>IF(Gastos[[#This Row],[Divisa]]="$", I2615*1, IF(Gastos[[#This Row],[Divisa]]="U$D", I2615*$N$1, IF(Gastos[[#This Row],[Divisa]]="EUR", I2615*$N$2, 0)))</f>
        <v>120000</v>
      </c>
      <c r="K2615" s="55">
        <f>Gastos[[#This Row],[Importe AR$]]/$N$1</f>
        <v>76.92307692307692</v>
      </c>
      <c r="M2615" s="69"/>
      <c r="N2615" s="43" t="str">
        <f>IF(Gastos[[#This Row],[Fecha_Cheque]]&gt;0,WEEKNUM(Gastos[[#This Row],[Fecha_Cheque]]),MID(Gastos[[#This Row],[Semana]],6,2))</f>
        <v>12</v>
      </c>
      <c r="O2615" t="s">
        <v>21</v>
      </c>
      <c r="P2615" t="s">
        <v>27</v>
      </c>
    </row>
    <row r="2616" spans="1:16" hidden="1" x14ac:dyDescent="0.25">
      <c r="A2616" s="3" t="s">
        <v>1018</v>
      </c>
      <c r="B2616" t="s">
        <v>1565</v>
      </c>
      <c r="C2616" t="s">
        <v>155</v>
      </c>
      <c r="D2616" t="s">
        <v>26</v>
      </c>
      <c r="E2616" t="s">
        <v>42</v>
      </c>
      <c r="F2616">
        <v>1</v>
      </c>
      <c r="G2616" s="3" t="s">
        <v>4</v>
      </c>
      <c r="H2616" s="46" t="s">
        <v>15</v>
      </c>
      <c r="I2616" s="19">
        <v>120000</v>
      </c>
      <c r="J2616" s="17">
        <f>IF(Gastos[[#This Row],[Divisa]]="$", I2616*1, IF(Gastos[[#This Row],[Divisa]]="U$D", I2616*$N$1, IF(Gastos[[#This Row],[Divisa]]="EUR", I2616*$N$2, 0)))</f>
        <v>120000</v>
      </c>
      <c r="K2616" s="55">
        <f>Gastos[[#This Row],[Importe AR$]]/$N$1</f>
        <v>76.92307692307692</v>
      </c>
      <c r="M2616" s="69"/>
      <c r="N2616" s="43" t="str">
        <f>IF(Gastos[[#This Row],[Fecha_Cheque]]&gt;0,WEEKNUM(Gastos[[#This Row],[Fecha_Cheque]]),MID(Gastos[[#This Row],[Semana]],6,2))</f>
        <v>14</v>
      </c>
      <c r="P2616" t="s">
        <v>27</v>
      </c>
    </row>
    <row r="2617" spans="1:16" hidden="1" x14ac:dyDescent="0.25">
      <c r="A2617" s="3" t="s">
        <v>147</v>
      </c>
      <c r="B2617" t="s">
        <v>1565</v>
      </c>
      <c r="C2617" t="s">
        <v>155</v>
      </c>
      <c r="D2617" t="s">
        <v>26</v>
      </c>
      <c r="E2617" t="s">
        <v>42</v>
      </c>
      <c r="F2617">
        <v>1</v>
      </c>
      <c r="G2617" s="3" t="s">
        <v>4</v>
      </c>
      <c r="H2617" s="46" t="s">
        <v>15</v>
      </c>
      <c r="I2617" s="19">
        <v>120000</v>
      </c>
      <c r="J2617" s="17">
        <f>IF(Gastos[[#This Row],[Divisa]]="$", I2617*1, IF(Gastos[[#This Row],[Divisa]]="U$D", I2617*$N$1, IF(Gastos[[#This Row],[Divisa]]="EUR", I2617*$N$2, 0)))</f>
        <v>120000</v>
      </c>
      <c r="K2617" s="55">
        <f>Gastos[[#This Row],[Importe AR$]]/$N$1</f>
        <v>76.92307692307692</v>
      </c>
      <c r="M2617" s="69"/>
      <c r="N2617" s="43" t="str">
        <f>IF(Gastos[[#This Row],[Fecha_Cheque]]&gt;0,WEEKNUM(Gastos[[#This Row],[Fecha_Cheque]]),MID(Gastos[[#This Row],[Semana]],6,2))</f>
        <v>17</v>
      </c>
      <c r="P2617" t="s">
        <v>27</v>
      </c>
    </row>
    <row r="2618" spans="1:16" hidden="1" x14ac:dyDescent="0.25">
      <c r="A2618" s="3" t="s">
        <v>538</v>
      </c>
      <c r="B2618" t="s">
        <v>1565</v>
      </c>
      <c r="C2618" t="s">
        <v>1566</v>
      </c>
      <c r="D2618" t="s">
        <v>26</v>
      </c>
      <c r="E2618" t="s">
        <v>42</v>
      </c>
      <c r="F2618">
        <v>1</v>
      </c>
      <c r="G2618" s="3" t="s">
        <v>4</v>
      </c>
      <c r="H2618" s="46" t="s">
        <v>15</v>
      </c>
      <c r="I2618" s="17">
        <v>122010</v>
      </c>
      <c r="J2618" s="17">
        <f>IF(Gastos[[#This Row],[Divisa]]="$", I2618*1, IF(Gastos[[#This Row],[Divisa]]="U$D", I2618*$N$1, IF(Gastos[[#This Row],[Divisa]]="EUR", I2618*$N$2, 0)))</f>
        <v>122010</v>
      </c>
      <c r="K2618" s="54">
        <f>Gastos[[#This Row],[Importe AR$]]/$N$1</f>
        <v>78.211538461538467</v>
      </c>
      <c r="M2618" s="69"/>
      <c r="N2618" s="43" t="str">
        <f>IF(Gastos[[#This Row],[Fecha_Cheque]]&gt;0,WEEKNUM(Gastos[[#This Row],[Fecha_Cheque]]),MID(Gastos[[#This Row],[Semana]],6,2))</f>
        <v>13</v>
      </c>
      <c r="P2618" t="s">
        <v>27</v>
      </c>
    </row>
    <row r="2619" spans="1:16" hidden="1" x14ac:dyDescent="0.25">
      <c r="A2619" s="3" t="s">
        <v>216</v>
      </c>
      <c r="B2619" t="s">
        <v>1565</v>
      </c>
      <c r="C2619" t="s">
        <v>155</v>
      </c>
      <c r="D2619" t="s">
        <v>26</v>
      </c>
      <c r="E2619" t="s">
        <v>42</v>
      </c>
      <c r="F2619">
        <v>1</v>
      </c>
      <c r="G2619" s="3" t="s">
        <v>4</v>
      </c>
      <c r="H2619" s="46" t="s">
        <v>15</v>
      </c>
      <c r="I2619" s="17">
        <v>120000</v>
      </c>
      <c r="J2619" s="17">
        <f>IF(Gastos[[#This Row],[Divisa]]="$", I2619*1, IF(Gastos[[#This Row],[Divisa]]="U$D", I2619*$N$1, IF(Gastos[[#This Row],[Divisa]]="EUR", I2619*$N$2, 0)))</f>
        <v>120000</v>
      </c>
      <c r="K2619" s="54">
        <f>Gastos[[#This Row],[Importe AR$]]/$N$1</f>
        <v>76.92307692307692</v>
      </c>
      <c r="M2619" s="69"/>
      <c r="N2619" s="43" t="str">
        <f>IF(Gastos[[#This Row],[Fecha_Cheque]]&gt;0,WEEKNUM(Gastos[[#This Row],[Fecha_Cheque]]),MID(Gastos[[#This Row],[Semana]],6,2))</f>
        <v>15</v>
      </c>
      <c r="P2619" t="s">
        <v>27</v>
      </c>
    </row>
    <row r="2620" spans="1:16" hidden="1" x14ac:dyDescent="0.25">
      <c r="A2620" s="3" t="s">
        <v>188</v>
      </c>
      <c r="B2620" t="s">
        <v>1565</v>
      </c>
      <c r="C2620" t="s">
        <v>155</v>
      </c>
      <c r="D2620" t="s">
        <v>26</v>
      </c>
      <c r="E2620" t="s">
        <v>42</v>
      </c>
      <c r="F2620">
        <v>1</v>
      </c>
      <c r="G2620" s="3" t="s">
        <v>4</v>
      </c>
      <c r="H2620" s="46" t="s">
        <v>15</v>
      </c>
      <c r="I2620" s="17">
        <v>112004.98</v>
      </c>
      <c r="J2620" s="17">
        <f>IF(Gastos[[#This Row],[Divisa]]="$", I2620*1, IF(Gastos[[#This Row],[Divisa]]="U$D", I2620*$N$1, IF(Gastos[[#This Row],[Divisa]]="EUR", I2620*$N$2, 0)))</f>
        <v>112004.98</v>
      </c>
      <c r="K2620" s="54">
        <f>Gastos[[#This Row],[Importe AR$]]/$N$1</f>
        <v>71.798064102564098</v>
      </c>
      <c r="M2620" s="69"/>
      <c r="N2620" s="43" t="str">
        <f>IF(Gastos[[#This Row],[Fecha_Cheque]]&gt;0,WEEKNUM(Gastos[[#This Row],[Fecha_Cheque]]),MID(Gastos[[#This Row],[Semana]],6,2))</f>
        <v>19</v>
      </c>
      <c r="P2620" t="s">
        <v>27</v>
      </c>
    </row>
    <row r="2621" spans="1:16" hidden="1" x14ac:dyDescent="0.25">
      <c r="A2621" s="3" t="s">
        <v>28</v>
      </c>
      <c r="B2621" t="s">
        <v>1565</v>
      </c>
      <c r="C2621" t="s">
        <v>155</v>
      </c>
      <c r="D2621" t="s">
        <v>26</v>
      </c>
      <c r="E2621" t="s">
        <v>42</v>
      </c>
      <c r="F2621">
        <v>1</v>
      </c>
      <c r="G2621" s="3" t="s">
        <v>4</v>
      </c>
      <c r="H2621" s="46" t="s">
        <v>15</v>
      </c>
      <c r="I2621" s="17">
        <v>120000</v>
      </c>
      <c r="J2621" s="17">
        <f>IF(Gastos[[#This Row],[Divisa]]="$", I2621*1, IF(Gastos[[#This Row],[Divisa]]="U$D", I2621*$N$1, IF(Gastos[[#This Row],[Divisa]]="EUR", I2621*$N$2, 0)))</f>
        <v>120000</v>
      </c>
      <c r="K2621" s="54">
        <f>Gastos[[#This Row],[Importe AR$]]/$N$1</f>
        <v>76.92307692307692</v>
      </c>
      <c r="M2621" s="69"/>
      <c r="N2621" s="43" t="str">
        <f>IF(Gastos[[#This Row],[Fecha_Cheque]]&gt;0,WEEKNUM(Gastos[[#This Row],[Fecha_Cheque]]),MID(Gastos[[#This Row],[Semana]],6,2))</f>
        <v>21</v>
      </c>
      <c r="P2621" t="s">
        <v>27</v>
      </c>
    </row>
    <row r="2622" spans="1:16" hidden="1" x14ac:dyDescent="0.25">
      <c r="A2622" s="3" t="s">
        <v>290</v>
      </c>
      <c r="B2622" t="s">
        <v>1565</v>
      </c>
      <c r="C2622" t="s">
        <v>155</v>
      </c>
      <c r="D2622" t="s">
        <v>26</v>
      </c>
      <c r="E2622" t="s">
        <v>42</v>
      </c>
      <c r="F2622">
        <v>1</v>
      </c>
      <c r="G2622" s="3" t="s">
        <v>4</v>
      </c>
      <c r="H2622" s="46" t="s">
        <v>15</v>
      </c>
      <c r="I2622" s="17">
        <v>109004.01</v>
      </c>
      <c r="J2622" s="17">
        <f>IF(Gastos[[#This Row],[Divisa]]="$", I2622*1, IF(Gastos[[#This Row],[Divisa]]="U$D", I2622*$N$1, IF(Gastos[[#This Row],[Divisa]]="EUR", I2622*$N$2, 0)))</f>
        <v>109004.01</v>
      </c>
      <c r="K2622" s="54">
        <f>Gastos[[#This Row],[Importe AR$]]/$N$1</f>
        <v>69.874365384615388</v>
      </c>
      <c r="M2622" s="69"/>
      <c r="N2622" s="43" t="str">
        <f>IF(Gastos[[#This Row],[Fecha_Cheque]]&gt;0,WEEKNUM(Gastos[[#This Row],[Fecha_Cheque]]),MID(Gastos[[#This Row],[Semana]],6,2))</f>
        <v>23</v>
      </c>
      <c r="P2622" t="s">
        <v>27</v>
      </c>
    </row>
    <row r="2623" spans="1:16" hidden="1" x14ac:dyDescent="0.25">
      <c r="A2623" s="3" t="s">
        <v>99</v>
      </c>
      <c r="B2623" t="s">
        <v>1565</v>
      </c>
      <c r="C2623" t="s">
        <v>155</v>
      </c>
      <c r="D2623" t="s">
        <v>26</v>
      </c>
      <c r="E2623" t="s">
        <v>42</v>
      </c>
      <c r="F2623">
        <v>1</v>
      </c>
      <c r="G2623" s="3" t="s">
        <v>4</v>
      </c>
      <c r="H2623" s="46" t="s">
        <v>15</v>
      </c>
      <c r="I2623" s="17">
        <v>121095.94</v>
      </c>
      <c r="J2623" s="17">
        <f>IF(Gastos[[#This Row],[Divisa]]="$", I2623*1, IF(Gastos[[#This Row],[Divisa]]="U$D", I2623*$N$1, IF(Gastos[[#This Row],[Divisa]]="EUR", I2623*$N$2, 0)))</f>
        <v>121095.94</v>
      </c>
      <c r="K2623" s="54">
        <f>Gastos[[#This Row],[Importe AR$]]/$N$1</f>
        <v>77.625602564102564</v>
      </c>
      <c r="M2623" s="69"/>
      <c r="N2623" s="43" t="str">
        <f>IF(Gastos[[#This Row],[Fecha_Cheque]]&gt;0,WEEKNUM(Gastos[[#This Row],[Fecha_Cheque]]),MID(Gastos[[#This Row],[Semana]],6,2))</f>
        <v>28</v>
      </c>
      <c r="O2623" t="s">
        <v>1567</v>
      </c>
      <c r="P2623" t="s">
        <v>27</v>
      </c>
    </row>
    <row r="2624" spans="1:16" hidden="1" x14ac:dyDescent="0.25">
      <c r="A2624" s="3" t="s">
        <v>99</v>
      </c>
      <c r="B2624" t="s">
        <v>1565</v>
      </c>
      <c r="C2624" t="s">
        <v>1568</v>
      </c>
      <c r="D2624" t="s">
        <v>26</v>
      </c>
      <c r="E2624" t="s">
        <v>42</v>
      </c>
      <c r="F2624">
        <v>1</v>
      </c>
      <c r="G2624" s="3" t="s">
        <v>4</v>
      </c>
      <c r="H2624" s="46" t="s">
        <v>15</v>
      </c>
      <c r="I2624" s="17">
        <v>59000</v>
      </c>
      <c r="J2624" s="17">
        <f>IF(Gastos[[#This Row],[Divisa]]="$", I2624*1, IF(Gastos[[#This Row],[Divisa]]="U$D", I2624*$N$1, IF(Gastos[[#This Row],[Divisa]]="EUR", I2624*$N$2, 0)))</f>
        <v>59000</v>
      </c>
      <c r="K2624" s="54">
        <f>Gastos[[#This Row],[Importe AR$]]/$N$1</f>
        <v>37.820512820512818</v>
      </c>
      <c r="M2624" s="69"/>
      <c r="N2624" s="43" t="str">
        <f>IF(Gastos[[#This Row],[Fecha_Cheque]]&gt;0,WEEKNUM(Gastos[[#This Row],[Fecha_Cheque]]),MID(Gastos[[#This Row],[Semana]],6,2))</f>
        <v>28</v>
      </c>
      <c r="O2624" t="s">
        <v>1569</v>
      </c>
      <c r="P2624" t="s">
        <v>27</v>
      </c>
    </row>
    <row r="2625" spans="1:16" hidden="1" x14ac:dyDescent="0.25">
      <c r="A2625" s="3" t="s">
        <v>60</v>
      </c>
      <c r="B2625" t="s">
        <v>1565</v>
      </c>
      <c r="C2625" t="s">
        <v>155</v>
      </c>
      <c r="D2625" t="s">
        <v>26</v>
      </c>
      <c r="E2625" t="s">
        <v>42</v>
      </c>
      <c r="F2625">
        <v>1</v>
      </c>
      <c r="G2625" s="3" t="s">
        <v>4</v>
      </c>
      <c r="H2625" s="46" t="s">
        <v>15</v>
      </c>
      <c r="I2625" s="17">
        <v>140000</v>
      </c>
      <c r="J2625" s="17">
        <f>IF(Gastos[[#This Row],[Divisa]]="$", I2625*1, IF(Gastos[[#This Row],[Divisa]]="U$D", I2625*$N$1, IF(Gastos[[#This Row],[Divisa]]="EUR", I2625*$N$2, 0)))</f>
        <v>140000</v>
      </c>
      <c r="K2625" s="54">
        <f>Gastos[[#This Row],[Importe AR$]]/$N$1</f>
        <v>89.743589743589737</v>
      </c>
      <c r="M2625" s="69"/>
      <c r="N2625" s="43" t="str">
        <f>IF(Gastos[[#This Row],[Fecha_Cheque]]&gt;0,WEEKNUM(Gastos[[#This Row],[Fecha_Cheque]]),MID(Gastos[[#This Row],[Semana]],6,2))</f>
        <v>46</v>
      </c>
      <c r="O2625" t="s">
        <v>1570</v>
      </c>
      <c r="P2625" t="s">
        <v>27</v>
      </c>
    </row>
    <row r="2626" spans="1:16" hidden="1" x14ac:dyDescent="0.25">
      <c r="A2626" s="3" t="s">
        <v>44</v>
      </c>
      <c r="B2626" t="s">
        <v>1571</v>
      </c>
      <c r="C2626" t="s">
        <v>155</v>
      </c>
      <c r="D2626" t="s">
        <v>26</v>
      </c>
      <c r="E2626" t="s">
        <v>42</v>
      </c>
      <c r="F2626">
        <v>1</v>
      </c>
      <c r="G2626" s="3" t="s">
        <v>4</v>
      </c>
      <c r="H2626" s="46" t="s">
        <v>15</v>
      </c>
      <c r="I2626" s="17">
        <v>140000</v>
      </c>
      <c r="J2626" s="17">
        <f>IF(Gastos[[#This Row],[Divisa]]="$", I2626*1, IF(Gastos[[#This Row],[Divisa]]="U$D", I2626*$N$1, IF(Gastos[[#This Row],[Divisa]]="EUR", I2626*$N$2, 0)))</f>
        <v>140000</v>
      </c>
      <c r="K2626" s="54">
        <f>Gastos[[#This Row],[Importe AR$]]/$N$1</f>
        <v>89.743589743589737</v>
      </c>
      <c r="M2626" s="69"/>
      <c r="N2626" s="43" t="str">
        <f>IF(Gastos[[#This Row],[Fecha_Cheque]]&gt;0,WEEKNUM(Gastos[[#This Row],[Fecha_Cheque]]),MID(Gastos[[#This Row],[Semana]],6,2))</f>
        <v>51</v>
      </c>
      <c r="O2626" t="s">
        <v>1572</v>
      </c>
      <c r="P2626" t="s">
        <v>27</v>
      </c>
    </row>
    <row r="2627" spans="1:16" hidden="1" x14ac:dyDescent="0.25">
      <c r="A2627" s="3" t="s">
        <v>152</v>
      </c>
      <c r="B2627" t="s">
        <v>1571</v>
      </c>
      <c r="C2627" t="s">
        <v>155</v>
      </c>
      <c r="D2627" t="s">
        <v>26</v>
      </c>
      <c r="E2627" t="s">
        <v>42</v>
      </c>
      <c r="F2627">
        <v>1</v>
      </c>
      <c r="G2627" s="3" t="s">
        <v>4</v>
      </c>
      <c r="H2627" s="46" t="s">
        <v>15</v>
      </c>
      <c r="I2627" s="17">
        <v>140004</v>
      </c>
      <c r="J2627" s="17">
        <f>IF(Gastos[[#This Row],[Divisa]]="$", I2627*1, IF(Gastos[[#This Row],[Divisa]]="U$D", I2627*$N$1, IF(Gastos[[#This Row],[Divisa]]="EUR", I2627*$N$2, 0)))</f>
        <v>140004</v>
      </c>
      <c r="K2627" s="54">
        <f>Gastos[[#This Row],[Importe AR$]]/$N$1</f>
        <v>89.746153846153845</v>
      </c>
      <c r="M2627" s="69"/>
      <c r="N2627" s="43" t="str">
        <f>IF(Gastos[[#This Row],[Fecha_Cheque]]&gt;0,WEEKNUM(Gastos[[#This Row],[Fecha_Cheque]]),MID(Gastos[[#This Row],[Semana]],6,2))</f>
        <v>04</v>
      </c>
      <c r="O2627" t="s">
        <v>1573</v>
      </c>
      <c r="P2627" t="s">
        <v>27</v>
      </c>
    </row>
    <row r="2628" spans="1:16" hidden="1" x14ac:dyDescent="0.25">
      <c r="A2628" s="3" t="s">
        <v>68</v>
      </c>
      <c r="B2628" t="s">
        <v>1571</v>
      </c>
      <c r="C2628" t="s">
        <v>155</v>
      </c>
      <c r="D2628" t="s">
        <v>26</v>
      </c>
      <c r="E2628" t="s">
        <v>42</v>
      </c>
      <c r="F2628">
        <v>1</v>
      </c>
      <c r="G2628" s="3" t="s">
        <v>4</v>
      </c>
      <c r="H2628" s="46" t="s">
        <v>15</v>
      </c>
      <c r="I2628" s="17">
        <v>140000</v>
      </c>
      <c r="J2628" s="17">
        <f>IF(Gastos[[#This Row],[Divisa]]="$", I2628*1, IF(Gastos[[#This Row],[Divisa]]="U$D", I2628*$N$1, IF(Gastos[[#This Row],[Divisa]]="EUR", I2628*$N$2, 0)))</f>
        <v>140000</v>
      </c>
      <c r="K2628" s="54">
        <f>Gastos[[#This Row],[Importe AR$]]/$N$1</f>
        <v>89.743589743589737</v>
      </c>
      <c r="M2628" s="69"/>
      <c r="N2628" s="43" t="str">
        <f>IF(Gastos[[#This Row],[Fecha_Cheque]]&gt;0,WEEKNUM(Gastos[[#This Row],[Fecha_Cheque]]),MID(Gastos[[#This Row],[Semana]],6,2))</f>
        <v>05</v>
      </c>
      <c r="O2628" t="s">
        <v>1574</v>
      </c>
      <c r="P2628" t="s">
        <v>27</v>
      </c>
    </row>
    <row r="2629" spans="1:16" hidden="1" x14ac:dyDescent="0.25">
      <c r="A2629" s="3" t="s">
        <v>139</v>
      </c>
      <c r="B2629" t="s">
        <v>1571</v>
      </c>
      <c r="C2629" t="s">
        <v>155</v>
      </c>
      <c r="D2629" t="s">
        <v>26</v>
      </c>
      <c r="E2629" t="s">
        <v>42</v>
      </c>
      <c r="F2629">
        <v>1</v>
      </c>
      <c r="G2629" s="3" t="s">
        <v>4</v>
      </c>
      <c r="H2629" s="46" t="s">
        <v>15</v>
      </c>
      <c r="I2629" s="17">
        <v>137000</v>
      </c>
      <c r="J2629" s="17">
        <f>IF(Gastos[[#This Row],[Divisa]]="$", I2629*1, IF(Gastos[[#This Row],[Divisa]]="U$D", I2629*$N$1, IF(Gastos[[#This Row],[Divisa]]="EUR", I2629*$N$2, 0)))</f>
        <v>137000</v>
      </c>
      <c r="K2629" s="54">
        <f>Gastos[[#This Row],[Importe AR$]]/$N$1</f>
        <v>87.820512820512818</v>
      </c>
      <c r="M2629" s="69"/>
      <c r="N2629" s="43" t="str">
        <f>IF(Gastos[[#This Row],[Fecha_Cheque]]&gt;0,WEEKNUM(Gastos[[#This Row],[Fecha_Cheque]]),MID(Gastos[[#This Row],[Semana]],6,2))</f>
        <v>08</v>
      </c>
      <c r="O2629" t="s">
        <v>1575</v>
      </c>
      <c r="P2629" t="s">
        <v>27</v>
      </c>
    </row>
    <row r="2630" spans="1:16" hidden="1" x14ac:dyDescent="0.25">
      <c r="A2630" s="3" t="s">
        <v>619</v>
      </c>
      <c r="B2630" t="s">
        <v>1571</v>
      </c>
      <c r="C2630" t="s">
        <v>155</v>
      </c>
      <c r="D2630" t="s">
        <v>26</v>
      </c>
      <c r="E2630" t="s">
        <v>42</v>
      </c>
      <c r="F2630">
        <v>1</v>
      </c>
      <c r="G2630" s="3" t="s">
        <v>4</v>
      </c>
      <c r="H2630" s="46" t="s">
        <v>15</v>
      </c>
      <c r="I2630" s="17">
        <v>147006</v>
      </c>
      <c r="J2630" s="17">
        <f>IF(Gastos[[#This Row],[Divisa]]="$", I2630*1, IF(Gastos[[#This Row],[Divisa]]="U$D", I2630*$N$1, IF(Gastos[[#This Row],[Divisa]]="EUR", I2630*$N$2, 0)))</f>
        <v>147006</v>
      </c>
      <c r="K2630" s="54">
        <f>Gastos[[#This Row],[Importe AR$]]/$N$1</f>
        <v>94.234615384615381</v>
      </c>
      <c r="M2630" s="69"/>
      <c r="N2630" s="43" t="str">
        <f>IF(Gastos[[#This Row],[Fecha_Cheque]]&gt;0,WEEKNUM(Gastos[[#This Row],[Fecha_Cheque]]),MID(Gastos[[#This Row],[Semana]],6,2))</f>
        <v>10</v>
      </c>
      <c r="O2630" t="s">
        <v>1951</v>
      </c>
      <c r="P2630" t="s">
        <v>27</v>
      </c>
    </row>
    <row r="2631" spans="1:16" hidden="1" x14ac:dyDescent="0.25">
      <c r="A2631" s="3" t="s">
        <v>828</v>
      </c>
      <c r="B2631" t="s">
        <v>1571</v>
      </c>
      <c r="C2631" t="s">
        <v>155</v>
      </c>
      <c r="D2631" t="s">
        <v>26</v>
      </c>
      <c r="E2631" t="s">
        <v>42</v>
      </c>
      <c r="F2631">
        <v>1</v>
      </c>
      <c r="G2631" s="3" t="s">
        <v>4</v>
      </c>
      <c r="H2631" s="44" t="s">
        <v>15</v>
      </c>
      <c r="I2631" s="17">
        <v>160000</v>
      </c>
      <c r="J2631" s="17">
        <f>IF(Gastos[[#This Row],[Divisa]]="$", I2631*1, IF(Gastos[[#This Row],[Divisa]]="U$D", I2631*$N$1, IF(Gastos[[#This Row],[Divisa]]="EUR", I2631*$N$2, 0)))</f>
        <v>160000</v>
      </c>
      <c r="K2631" s="54">
        <f>Gastos[[#This Row],[Importe AR$]]/$N$1</f>
        <v>102.56410256410257</v>
      </c>
      <c r="M2631" s="69"/>
      <c r="N2631" s="43" t="str">
        <f>IF(Gastos[[#This Row],[Fecha_Cheque]]&gt;0,WEEKNUM(Gastos[[#This Row],[Fecha_Cheque]]),MID(Gastos[[#This Row],[Semana]],6,2))</f>
        <v>13</v>
      </c>
      <c r="O2631" t="s">
        <v>2655</v>
      </c>
      <c r="P2631" t="s">
        <v>27</v>
      </c>
    </row>
    <row r="2632" spans="1:16" hidden="1" x14ac:dyDescent="0.25">
      <c r="A2632" s="3" t="s">
        <v>2711</v>
      </c>
      <c r="B2632" t="s">
        <v>1571</v>
      </c>
      <c r="C2632" t="s">
        <v>155</v>
      </c>
      <c r="D2632" t="s">
        <v>26</v>
      </c>
      <c r="E2632" t="s">
        <v>42</v>
      </c>
      <c r="F2632">
        <v>1</v>
      </c>
      <c r="G2632" s="3" t="s">
        <v>4</v>
      </c>
      <c r="H2632" s="44" t="s">
        <v>15</v>
      </c>
      <c r="I2632" s="17">
        <v>183999.06</v>
      </c>
      <c r="J2632" s="17">
        <f>IF(Gastos[[#This Row],[Divisa]]="$", I2632*1, IF(Gastos[[#This Row],[Divisa]]="U$D", I2632*$N$1, IF(Gastos[[#This Row],[Divisa]]="EUR", I2632*$N$2, 0)))</f>
        <v>183999.06</v>
      </c>
      <c r="K2632" s="54">
        <f>Gastos[[#This Row],[Importe AR$]]/$N$1</f>
        <v>117.94811538461538</v>
      </c>
      <c r="M2632" s="69"/>
      <c r="N2632" s="43" t="str">
        <f>IF(Gastos[[#This Row],[Fecha_Cheque]]&gt;0,WEEKNUM(Gastos[[#This Row],[Fecha_Cheque]]),MID(Gastos[[#This Row],[Semana]],6,2))</f>
        <v>15</v>
      </c>
      <c r="O2632" t="s">
        <v>2917</v>
      </c>
      <c r="P2632" t="s">
        <v>27</v>
      </c>
    </row>
    <row r="2633" spans="1:16" hidden="1" x14ac:dyDescent="0.25">
      <c r="A2633" s="3" t="s">
        <v>2773</v>
      </c>
      <c r="B2633" t="s">
        <v>1571</v>
      </c>
      <c r="C2633" t="s">
        <v>155</v>
      </c>
      <c r="D2633" t="s">
        <v>26</v>
      </c>
      <c r="E2633" t="s">
        <v>42</v>
      </c>
      <c r="F2633">
        <v>1</v>
      </c>
      <c r="G2633" s="3" t="s">
        <v>4</v>
      </c>
      <c r="H2633" s="44" t="s">
        <v>15</v>
      </c>
      <c r="I2633" s="17">
        <v>176030.88</v>
      </c>
      <c r="J2633" s="17">
        <f>IF(Gastos[[#This Row],[Divisa]]="$", I2633*1, IF(Gastos[[#This Row],[Divisa]]="U$D", I2633*$N$1, IF(Gastos[[#This Row],[Divisa]]="EUR", I2633*$N$2, 0)))</f>
        <v>176030.88</v>
      </c>
      <c r="K2633" s="54">
        <f>Gastos[[#This Row],[Importe AR$]]/$N$1</f>
        <v>112.84030769230769</v>
      </c>
      <c r="M2633" s="69"/>
      <c r="N2633" s="43" t="str">
        <f>IF(Gastos[[#This Row],[Fecha_Cheque]]&gt;0,WEEKNUM(Gastos[[#This Row],[Fecha_Cheque]]),MID(Gastos[[#This Row],[Semana]],6,2))</f>
        <v>20</v>
      </c>
      <c r="O2633" t="s">
        <v>3166</v>
      </c>
      <c r="P2633" t="s">
        <v>27</v>
      </c>
    </row>
    <row r="2634" spans="1:16" hidden="1" x14ac:dyDescent="0.25">
      <c r="A2634" s="3" t="s">
        <v>2773</v>
      </c>
      <c r="B2634" t="s">
        <v>1571</v>
      </c>
      <c r="C2634" t="s">
        <v>155</v>
      </c>
      <c r="D2634" t="s">
        <v>26</v>
      </c>
      <c r="E2634" t="s">
        <v>42</v>
      </c>
      <c r="F2634">
        <v>1</v>
      </c>
      <c r="G2634" s="3" t="s">
        <v>4</v>
      </c>
      <c r="H2634" s="44" t="s">
        <v>15</v>
      </c>
      <c r="I2634" s="17">
        <v>190006.02</v>
      </c>
      <c r="J2634" s="17">
        <f>IF(Gastos[[#This Row],[Divisa]]="$", I2634*1, IF(Gastos[[#This Row],[Divisa]]="U$D", I2634*$N$1, IF(Gastos[[#This Row],[Divisa]]="EUR", I2634*$N$2, 0)))</f>
        <v>190006.02</v>
      </c>
      <c r="K2634" s="54">
        <f>Gastos[[#This Row],[Importe AR$]]/$N$1</f>
        <v>121.79873076923076</v>
      </c>
      <c r="M2634" s="69"/>
      <c r="N2634" s="43" t="str">
        <f>IF(Gastos[[#This Row],[Fecha_Cheque]]&gt;0,WEEKNUM(Gastos[[#This Row],[Fecha_Cheque]]),MID(Gastos[[#This Row],[Semana]],6,2))</f>
        <v>20</v>
      </c>
      <c r="O2634" t="s">
        <v>3167</v>
      </c>
      <c r="P2634" t="s">
        <v>27</v>
      </c>
    </row>
    <row r="2635" spans="1:16" hidden="1" x14ac:dyDescent="0.25">
      <c r="A2635" s="3" t="s">
        <v>2792</v>
      </c>
      <c r="B2635" t="s">
        <v>1571</v>
      </c>
      <c r="C2635" t="s">
        <v>3201</v>
      </c>
      <c r="D2635" t="s">
        <v>26</v>
      </c>
      <c r="E2635" t="s">
        <v>42</v>
      </c>
      <c r="F2635">
        <v>1</v>
      </c>
      <c r="G2635" s="3" t="s">
        <v>4</v>
      </c>
      <c r="H2635" s="44" t="s">
        <v>15</v>
      </c>
      <c r="I2635" s="17">
        <v>60000</v>
      </c>
      <c r="J2635" s="17">
        <f>IF(Gastos[[#This Row],[Divisa]]="$", I2635*1, IF(Gastos[[#This Row],[Divisa]]="U$D", I2635*$N$1, IF(Gastos[[#This Row],[Divisa]]="EUR", I2635*$N$2, 0)))</f>
        <v>60000</v>
      </c>
      <c r="K2635" s="54">
        <f>Gastos[[#This Row],[Importe AR$]]/$N$1</f>
        <v>38.46153846153846</v>
      </c>
      <c r="M2635" s="69"/>
      <c r="N2635" s="43" t="str">
        <f>IF(Gastos[[#This Row],[Fecha_Cheque]]&gt;0,WEEKNUM(Gastos[[#This Row],[Fecha_Cheque]]),MID(Gastos[[#This Row],[Semana]],6,2))</f>
        <v>21</v>
      </c>
      <c r="O2635" t="s">
        <v>3202</v>
      </c>
      <c r="P2635" t="s">
        <v>27</v>
      </c>
    </row>
    <row r="2636" spans="1:16" hidden="1" x14ac:dyDescent="0.25">
      <c r="A2636" s="3" t="s">
        <v>2763</v>
      </c>
      <c r="B2636" t="s">
        <v>1571</v>
      </c>
      <c r="C2636" t="s">
        <v>155</v>
      </c>
      <c r="D2636" t="s">
        <v>26</v>
      </c>
      <c r="E2636" t="s">
        <v>42</v>
      </c>
      <c r="F2636">
        <v>1</v>
      </c>
      <c r="G2636" s="3" t="s">
        <v>4</v>
      </c>
      <c r="H2636" s="44" t="s">
        <v>15</v>
      </c>
      <c r="I2636" s="17">
        <v>190008.89</v>
      </c>
      <c r="J2636" s="17">
        <f>IF(Gastos[[#This Row],[Divisa]]="$", I2636*1, IF(Gastos[[#This Row],[Divisa]]="U$D", I2636*$N$1, IF(Gastos[[#This Row],[Divisa]]="EUR", I2636*$N$2, 0)))</f>
        <v>190008.89</v>
      </c>
      <c r="K2636" s="54">
        <f>Gastos[[#This Row],[Importe AR$]]/$N$1</f>
        <v>121.80057051282053</v>
      </c>
      <c r="M2636" s="69"/>
      <c r="N2636" s="43" t="str">
        <f>IF(Gastos[[#This Row],[Fecha_Cheque]]&gt;0,WEEKNUM(Gastos[[#This Row],[Fecha_Cheque]]),MID(Gastos[[#This Row],[Semana]],6,2))</f>
        <v>23</v>
      </c>
      <c r="O2636" t="s">
        <v>3332</v>
      </c>
      <c r="P2636" t="s">
        <v>27</v>
      </c>
    </row>
    <row r="2637" spans="1:16" hidden="1" x14ac:dyDescent="0.25">
      <c r="A2637" s="3" t="s">
        <v>3693</v>
      </c>
      <c r="B2637" t="s">
        <v>1571</v>
      </c>
      <c r="C2637" t="s">
        <v>155</v>
      </c>
      <c r="D2637" t="s">
        <v>26</v>
      </c>
      <c r="E2637" t="s">
        <v>42</v>
      </c>
      <c r="F2637">
        <v>1</v>
      </c>
      <c r="G2637" s="3" t="s">
        <v>4</v>
      </c>
      <c r="H2637" s="44" t="s">
        <v>15</v>
      </c>
      <c r="I2637" s="17">
        <v>185012.93</v>
      </c>
      <c r="J2637" s="17">
        <f>IF(Gastos[[#This Row],[Divisa]]="$", I2637*1, IF(Gastos[[#This Row],[Divisa]]="U$D", I2637*$N$1, IF(Gastos[[#This Row],[Divisa]]="EUR", I2637*$N$2, 0)))</f>
        <v>185012.93</v>
      </c>
      <c r="K2637" s="54">
        <f>Gastos[[#This Row],[Importe AR$]]/$N$1</f>
        <v>118.59803205128205</v>
      </c>
      <c r="M2637" s="69"/>
      <c r="N2637" s="43" t="str">
        <f>IF(Gastos[[#This Row],[Fecha_Cheque]]&gt;0,WEEKNUM(Gastos[[#This Row],[Fecha_Cheque]]),MID(Gastos[[#This Row],[Semana]],6,2))</f>
        <v>28</v>
      </c>
      <c r="O2637" t="s">
        <v>3751</v>
      </c>
      <c r="P2637" t="s">
        <v>27</v>
      </c>
    </row>
    <row r="2638" spans="1:16" hidden="1" x14ac:dyDescent="0.25">
      <c r="A2638" s="3" t="s">
        <v>3817</v>
      </c>
      <c r="B2638" t="s">
        <v>1571</v>
      </c>
      <c r="C2638" t="s">
        <v>155</v>
      </c>
      <c r="D2638" t="s">
        <v>26</v>
      </c>
      <c r="E2638" t="s">
        <v>42</v>
      </c>
      <c r="F2638">
        <v>1</v>
      </c>
      <c r="G2638" s="3" t="s">
        <v>4</v>
      </c>
      <c r="H2638" s="44" t="s">
        <v>15</v>
      </c>
      <c r="I2638" s="17">
        <v>191006.89</v>
      </c>
      <c r="J2638" s="17">
        <f>IF(Gastos[[#This Row],[Divisa]]="$", I2638*1, IF(Gastos[[#This Row],[Divisa]]="U$D", I2638*$N$1, IF(Gastos[[#This Row],[Divisa]]="EUR", I2638*$N$2, 0)))</f>
        <v>191006.89</v>
      </c>
      <c r="K2638" s="54">
        <f>Gastos[[#This Row],[Importe AR$]]/$N$1</f>
        <v>122.44031410256412</v>
      </c>
      <c r="M2638" s="69"/>
      <c r="N2638" s="43" t="str">
        <f>IF(Gastos[[#This Row],[Fecha_Cheque]]&gt;0,WEEKNUM(Gastos[[#This Row],[Fecha_Cheque]]),MID(Gastos[[#This Row],[Semana]],6,2))</f>
        <v>30</v>
      </c>
      <c r="O2638" t="s">
        <v>3866</v>
      </c>
      <c r="P2638" t="s">
        <v>27</v>
      </c>
    </row>
    <row r="2639" spans="1:16" hidden="1" x14ac:dyDescent="0.25">
      <c r="A2639" s="3" t="s">
        <v>4119</v>
      </c>
      <c r="B2639" t="s">
        <v>1571</v>
      </c>
      <c r="C2639" t="s">
        <v>155</v>
      </c>
      <c r="D2639" t="s">
        <v>26</v>
      </c>
      <c r="E2639" t="s">
        <v>42</v>
      </c>
      <c r="F2639">
        <v>1</v>
      </c>
      <c r="G2639" s="3" t="s">
        <v>4</v>
      </c>
      <c r="H2639" s="46" t="s">
        <v>15</v>
      </c>
      <c r="I2639" s="17">
        <v>200001.08</v>
      </c>
      <c r="J2639" s="17">
        <f>IF(Gastos[[#This Row],[Divisa]]="$", I2639*1, IF(Gastos[[#This Row],[Divisa]]="U$D", I2639*$N$1, IF(Gastos[[#This Row],[Divisa]]="EUR", I2639*$N$2, 0)))</f>
        <v>200001.08</v>
      </c>
      <c r="K2639" s="54">
        <f>Gastos[[#This Row],[Importe AR$]]/$N$1</f>
        <v>128.20582051282051</v>
      </c>
      <c r="M2639" s="69"/>
      <c r="N2639" s="43" t="str">
        <f>IF(Gastos[[#This Row],[Fecha_Cheque]]&gt;0,WEEKNUM(Gastos[[#This Row],[Fecha_Cheque]]),MID(Gastos[[#This Row],[Semana]],6,2))</f>
        <v>35</v>
      </c>
      <c r="O2639" t="s">
        <v>4151</v>
      </c>
      <c r="P2639" t="s">
        <v>27</v>
      </c>
    </row>
    <row r="2640" spans="1:16" hidden="1" x14ac:dyDescent="0.25">
      <c r="A2640" s="3" t="s">
        <v>4157</v>
      </c>
      <c r="B2640" t="s">
        <v>1571</v>
      </c>
      <c r="C2640" t="s">
        <v>155</v>
      </c>
      <c r="D2640" t="s">
        <v>26</v>
      </c>
      <c r="E2640" t="s">
        <v>42</v>
      </c>
      <c r="F2640">
        <v>1</v>
      </c>
      <c r="G2640" s="3" t="s">
        <v>4</v>
      </c>
      <c r="H2640" s="44" t="s">
        <v>15</v>
      </c>
      <c r="I2640" s="17">
        <v>195019.09</v>
      </c>
      <c r="J2640" s="17">
        <f>IF(Gastos[[#This Row],[Divisa]]="$", I2640*1, IF(Gastos[[#This Row],[Divisa]]="U$D", I2640*$N$1, IF(Gastos[[#This Row],[Divisa]]="EUR", I2640*$N$2, 0)))</f>
        <v>195019.09</v>
      </c>
      <c r="K2640" s="54">
        <f>Gastos[[#This Row],[Importe AR$]]/$N$1</f>
        <v>125.01223717948717</v>
      </c>
      <c r="M2640" s="69"/>
      <c r="N2640" s="43" t="str">
        <f>IF(Gastos[[#This Row],[Fecha_Cheque]]&gt;0,WEEKNUM(Gastos[[#This Row],[Fecha_Cheque]]),MID(Gastos[[#This Row],[Semana]],6,2))</f>
        <v>36</v>
      </c>
      <c r="O2640" t="s">
        <v>4199</v>
      </c>
      <c r="P2640" t="s">
        <v>27</v>
      </c>
    </row>
    <row r="2641" spans="1:16" hidden="1" x14ac:dyDescent="0.25">
      <c r="A2641" s="3" t="s">
        <v>4374</v>
      </c>
      <c r="B2641" t="s">
        <v>1571</v>
      </c>
      <c r="C2641" t="s">
        <v>4328</v>
      </c>
      <c r="D2641" t="s">
        <v>26</v>
      </c>
      <c r="E2641" t="s">
        <v>42</v>
      </c>
      <c r="F2641">
        <v>1</v>
      </c>
      <c r="G2641" s="3" t="s">
        <v>4</v>
      </c>
      <c r="H2641" s="44" t="s">
        <v>15</v>
      </c>
      <c r="I2641" s="17">
        <v>192008</v>
      </c>
      <c r="J2641" s="17">
        <f>IF(Gastos[[#This Row],[Divisa]]="$", I2641*1, IF(Gastos[[#This Row],[Divisa]]="U$D", I2641*$N$1, IF(Gastos[[#This Row],[Divisa]]="EUR", I2641*$N$2, 0)))</f>
        <v>192008</v>
      </c>
      <c r="K2641" s="54">
        <f>Gastos[[#This Row],[Importe AR$]]/$N$1</f>
        <v>123.08205128205128</v>
      </c>
      <c r="M2641" s="69"/>
      <c r="N2641" s="43" t="str">
        <f>IF(Gastos[[#This Row],[Fecha_Cheque]]&gt;0,WEEKNUM(Gastos[[#This Row],[Fecha_Cheque]]),MID(Gastos[[#This Row],[Semana]],6,2))</f>
        <v>39</v>
      </c>
      <c r="O2641" t="s">
        <v>4404</v>
      </c>
      <c r="P2641" t="s">
        <v>27</v>
      </c>
    </row>
    <row r="2642" spans="1:16" hidden="1" x14ac:dyDescent="0.25">
      <c r="A2642" s="3" t="s">
        <v>4447</v>
      </c>
      <c r="B2642" t="s">
        <v>1571</v>
      </c>
      <c r="C2642" t="s">
        <v>155</v>
      </c>
      <c r="D2642" t="s">
        <v>26</v>
      </c>
      <c r="E2642" t="s">
        <v>42</v>
      </c>
      <c r="F2642">
        <v>1</v>
      </c>
      <c r="G2642" s="3" t="s">
        <v>4</v>
      </c>
      <c r="H2642" s="44" t="s">
        <v>15</v>
      </c>
      <c r="I2642" s="49">
        <v>195004.13</v>
      </c>
      <c r="J2642" s="17">
        <f>IF(Gastos[[#This Row],[Divisa]]="$", I2642*1, IF(Gastos[[#This Row],[Divisa]]="U$D", I2642*$N$1, IF(Gastos[[#This Row],[Divisa]]="EUR", I2642*$N$2, 0)))</f>
        <v>195004.13</v>
      </c>
      <c r="K2642" s="54">
        <f>Gastos[[#This Row],[Importe AR$]]/$N$1</f>
        <v>125.00264743589744</v>
      </c>
      <c r="M2642" s="69"/>
      <c r="N2642" s="43" t="str">
        <f>IF(Gastos[[#This Row],[Fecha_Cheque]]&gt;0,WEEKNUM(Gastos[[#This Row],[Fecha_Cheque]]),MID(Gastos[[#This Row],[Semana]],6,2))</f>
        <v>41</v>
      </c>
      <c r="O2642" t="s">
        <v>4509</v>
      </c>
      <c r="P2642" t="s">
        <v>27</v>
      </c>
    </row>
    <row r="2643" spans="1:16" x14ac:dyDescent="0.25">
      <c r="A2643" s="3" t="s">
        <v>4655</v>
      </c>
      <c r="B2643" t="s">
        <v>4300</v>
      </c>
      <c r="C2643" t="s">
        <v>4421</v>
      </c>
      <c r="D2643" t="s">
        <v>26</v>
      </c>
      <c r="E2643" t="s">
        <v>62</v>
      </c>
      <c r="F2643">
        <v>1</v>
      </c>
      <c r="G2643" s="3" t="s">
        <v>32</v>
      </c>
      <c r="H2643" s="44" t="s">
        <v>15</v>
      </c>
      <c r="I2643" s="17">
        <v>1497338.29</v>
      </c>
      <c r="J2643" s="17">
        <f>IF(Gastos[[#This Row],[Divisa]]="$", I2643*1, IF(Gastos[[#This Row],[Divisa]]="U$D", I2643*$N$1, IF(Gastos[[#This Row],[Divisa]]="EUR", I2643*$N$2, 0)))</f>
        <v>1497338.29</v>
      </c>
      <c r="K2643" s="54">
        <f>Gastos[[#This Row],[Importe AR$]]/$N$1</f>
        <v>959.83223717948715</v>
      </c>
      <c r="M2643" s="69"/>
      <c r="N2643" s="43" t="str">
        <f>IF(Gastos[[#This Row],[Fecha_Cheque]]&gt;0,WEEKNUM(Gastos[[#This Row],[Fecha_Cheque]]),MID(Gastos[[#This Row],[Semana]],6,2))</f>
        <v>44</v>
      </c>
    </row>
    <row r="2644" spans="1:16" hidden="1" x14ac:dyDescent="0.25">
      <c r="A2644" s="3" t="s">
        <v>79</v>
      </c>
      <c r="B2644" t="s">
        <v>1576</v>
      </c>
      <c r="C2644" t="s">
        <v>1577</v>
      </c>
      <c r="D2644" t="s">
        <v>26</v>
      </c>
      <c r="E2644" t="s">
        <v>31</v>
      </c>
      <c r="F2644">
        <v>1</v>
      </c>
      <c r="G2644" s="3" t="s">
        <v>32</v>
      </c>
      <c r="H2644" s="46" t="s">
        <v>15</v>
      </c>
      <c r="I2644" s="17">
        <v>791061.25</v>
      </c>
      <c r="J2644" s="17">
        <f>IF(Gastos[[#This Row],[Divisa]]="$", I2644*1, IF(Gastos[[#This Row],[Divisa]]="U$D", I2644*$N$1, IF(Gastos[[#This Row],[Divisa]]="EUR", I2644*$N$2, 0)))</f>
        <v>791061.25</v>
      </c>
      <c r="K2644" s="54">
        <f>Gastos[[#This Row],[Importe AR$]]/$N$1</f>
        <v>507.09054487179486</v>
      </c>
      <c r="M2644" s="69">
        <v>46010</v>
      </c>
      <c r="N2644" s="43">
        <f>IF(Gastos[[#This Row],[Fecha_Cheque]]&gt;0,WEEKNUM(Gastos[[#This Row],[Fecha_Cheque]]),MID(Gastos[[#This Row],[Semana]],6,2))</f>
        <v>51</v>
      </c>
      <c r="O2644" t="s">
        <v>1578</v>
      </c>
      <c r="P2644" t="s">
        <v>27</v>
      </c>
    </row>
    <row r="2645" spans="1:16" hidden="1" x14ac:dyDescent="0.25">
      <c r="A2645" s="3" t="s">
        <v>68</v>
      </c>
      <c r="B2645" t="s">
        <v>1576</v>
      </c>
      <c r="C2645" t="s">
        <v>1577</v>
      </c>
      <c r="D2645" t="s">
        <v>26</v>
      </c>
      <c r="E2645" t="s">
        <v>31</v>
      </c>
      <c r="F2645">
        <v>1</v>
      </c>
      <c r="G2645" s="3" t="s">
        <v>5</v>
      </c>
      <c r="H2645" s="46" t="s">
        <v>15</v>
      </c>
      <c r="I2645" s="17">
        <v>804356.44</v>
      </c>
      <c r="J2645" s="17">
        <f>IF(Gastos[[#This Row],[Divisa]]="$", I2645*1, IF(Gastos[[#This Row],[Divisa]]="U$D", I2645*$N$1, IF(Gastos[[#This Row],[Divisa]]="EUR", I2645*$N$2, 0)))</f>
        <v>804356.44</v>
      </c>
      <c r="K2645" s="54">
        <f>Gastos[[#This Row],[Importe AR$]]/$N$1</f>
        <v>515.61310256410252</v>
      </c>
      <c r="M2645" s="69"/>
      <c r="N2645" s="43" t="str">
        <f>IF(Gastos[[#This Row],[Fecha_Cheque]]&gt;0,WEEKNUM(Gastos[[#This Row],[Fecha_Cheque]]),MID(Gastos[[#This Row],[Semana]],6,2))</f>
        <v>05</v>
      </c>
      <c r="O2645" t="s">
        <v>1579</v>
      </c>
      <c r="P2645" t="s">
        <v>27</v>
      </c>
    </row>
    <row r="2646" spans="1:16" hidden="1" x14ac:dyDescent="0.25">
      <c r="A2646" s="3" t="s">
        <v>2726</v>
      </c>
      <c r="B2646" t="s">
        <v>3386</v>
      </c>
      <c r="C2646" t="s">
        <v>3387</v>
      </c>
      <c r="D2646" t="s">
        <v>26</v>
      </c>
      <c r="E2646" t="s">
        <v>31</v>
      </c>
      <c r="F2646">
        <v>1</v>
      </c>
      <c r="G2646" s="3" t="s">
        <v>5</v>
      </c>
      <c r="H2646" s="44" t="s">
        <v>15</v>
      </c>
      <c r="I2646" s="17">
        <v>505803.3</v>
      </c>
      <c r="J2646" s="17">
        <f>IF(Gastos[[#This Row],[Divisa]]="$", I2646*1, IF(Gastos[[#This Row],[Divisa]]="U$D", I2646*$N$1, IF(Gastos[[#This Row],[Divisa]]="EUR", I2646*$N$2, 0)))</f>
        <v>505803.3</v>
      </c>
      <c r="K2646" s="54">
        <f>Gastos[[#This Row],[Importe AR$]]/$N$1</f>
        <v>324.23288461538459</v>
      </c>
      <c r="M2646" s="69"/>
      <c r="N2646" s="43" t="str">
        <f>IF(Gastos[[#This Row],[Fecha_Cheque]]&gt;0,WEEKNUM(Gastos[[#This Row],[Fecha_Cheque]]),MID(Gastos[[#This Row],[Semana]],6,2))</f>
        <v>24</v>
      </c>
      <c r="O2646" t="s">
        <v>3388</v>
      </c>
      <c r="P2646" t="s">
        <v>27</v>
      </c>
    </row>
    <row r="2647" spans="1:16" hidden="1" x14ac:dyDescent="0.25">
      <c r="A2647" s="3" t="s">
        <v>2726</v>
      </c>
      <c r="B2647" t="s">
        <v>3386</v>
      </c>
      <c r="C2647" t="s">
        <v>3387</v>
      </c>
      <c r="D2647" t="s">
        <v>26</v>
      </c>
      <c r="E2647" t="s">
        <v>31</v>
      </c>
      <c r="F2647">
        <v>1</v>
      </c>
      <c r="G2647" s="3" t="s">
        <v>5</v>
      </c>
      <c r="H2647" s="44" t="s">
        <v>15</v>
      </c>
      <c r="I2647" s="17">
        <v>8951.7000000000007</v>
      </c>
      <c r="J2647" s="17">
        <f>IF(Gastos[[#This Row],[Divisa]]="$", I2647*1, IF(Gastos[[#This Row],[Divisa]]="U$D", I2647*$N$1, IF(Gastos[[#This Row],[Divisa]]="EUR", I2647*$N$2, 0)))</f>
        <v>8951.7000000000007</v>
      </c>
      <c r="K2647" s="54">
        <f>Gastos[[#This Row],[Importe AR$]]/$N$1</f>
        <v>5.7382692307692311</v>
      </c>
      <c r="L2647" t="s">
        <v>340</v>
      </c>
      <c r="M2647" s="69"/>
      <c r="N2647" s="43" t="str">
        <f>IF(Gastos[[#This Row],[Fecha_Cheque]]&gt;0,WEEKNUM(Gastos[[#This Row],[Fecha_Cheque]]),MID(Gastos[[#This Row],[Semana]],6,2))</f>
        <v>24</v>
      </c>
      <c r="O2647" t="s">
        <v>3388</v>
      </c>
      <c r="P2647" t="s">
        <v>27</v>
      </c>
    </row>
    <row r="2648" spans="1:16" hidden="1" x14ac:dyDescent="0.25">
      <c r="A2648" s="3" t="s">
        <v>147</v>
      </c>
      <c r="B2648" t="s">
        <v>1580</v>
      </c>
      <c r="C2648" t="s">
        <v>1581</v>
      </c>
      <c r="D2648" t="s">
        <v>26</v>
      </c>
      <c r="E2648" t="s">
        <v>42</v>
      </c>
      <c r="F2648">
        <v>2</v>
      </c>
      <c r="G2648" s="3" t="s">
        <v>32</v>
      </c>
      <c r="H2648" s="46" t="s">
        <v>15</v>
      </c>
      <c r="I2648" s="17">
        <f>1700000/2</f>
        <v>850000</v>
      </c>
      <c r="J2648" s="17">
        <f>IF(Gastos[[#This Row],[Divisa]]="$", I2648*1, IF(Gastos[[#This Row],[Divisa]]="U$D", I2648*$N$1, IF(Gastos[[#This Row],[Divisa]]="EUR", I2648*$N$2, 0)))</f>
        <v>850000</v>
      </c>
      <c r="K2648" s="54">
        <f>Gastos[[#This Row],[Importe AR$]]/$N$1</f>
        <v>544.87179487179492</v>
      </c>
      <c r="L2648" t="s">
        <v>1582</v>
      </c>
      <c r="M2648" s="69"/>
      <c r="N2648" s="43" t="str">
        <f>IF(Gastos[[#This Row],[Fecha_Cheque]]&gt;0,WEEKNUM(Gastos[[#This Row],[Fecha_Cheque]]),MID(Gastos[[#This Row],[Semana]],6,2))</f>
        <v>17</v>
      </c>
      <c r="P2648" t="s">
        <v>27</v>
      </c>
    </row>
    <row r="2649" spans="1:16" hidden="1" x14ac:dyDescent="0.25">
      <c r="A2649" s="3" t="s">
        <v>28</v>
      </c>
      <c r="B2649" t="s">
        <v>1580</v>
      </c>
      <c r="C2649" t="s">
        <v>1583</v>
      </c>
      <c r="D2649" t="s">
        <v>26</v>
      </c>
      <c r="E2649" t="s">
        <v>42</v>
      </c>
      <c r="F2649">
        <v>2</v>
      </c>
      <c r="G2649" s="3" t="s">
        <v>4</v>
      </c>
      <c r="H2649" s="46" t="s">
        <v>15</v>
      </c>
      <c r="I2649" s="17">
        <v>250000</v>
      </c>
      <c r="J2649" s="17">
        <f>IF(Gastos[[#This Row],[Divisa]]="$", I2649*1, IF(Gastos[[#This Row],[Divisa]]="U$D", I2649*$N$1, IF(Gastos[[#This Row],[Divisa]]="EUR", I2649*$N$2, 0)))</f>
        <v>250000</v>
      </c>
      <c r="K2649" s="54">
        <f>Gastos[[#This Row],[Importe AR$]]/$N$1</f>
        <v>160.25641025641025</v>
      </c>
      <c r="M2649" s="69"/>
      <c r="N2649" s="43" t="str">
        <f>IF(Gastos[[#This Row],[Fecha_Cheque]]&gt;0,WEEKNUM(Gastos[[#This Row],[Fecha_Cheque]]),MID(Gastos[[#This Row],[Semana]],6,2))</f>
        <v>21</v>
      </c>
      <c r="O2649" t="s">
        <v>1584</v>
      </c>
      <c r="P2649" t="s">
        <v>27</v>
      </c>
    </row>
    <row r="2650" spans="1:16" hidden="1" x14ac:dyDescent="0.25">
      <c r="A2650" s="3" t="s">
        <v>85</v>
      </c>
      <c r="B2650" t="s">
        <v>1580</v>
      </c>
      <c r="C2650" t="s">
        <v>1585</v>
      </c>
      <c r="D2650" t="s">
        <v>26</v>
      </c>
      <c r="E2650" t="s">
        <v>31</v>
      </c>
      <c r="F2650">
        <v>2</v>
      </c>
      <c r="G2650" s="3" t="s">
        <v>4</v>
      </c>
      <c r="H2650" s="46" t="s">
        <v>15</v>
      </c>
      <c r="I2650" s="17">
        <v>1580000</v>
      </c>
      <c r="J2650" s="17">
        <f>IF(Gastos[[#This Row],[Divisa]]="$", I2650*1, IF(Gastos[[#This Row],[Divisa]]="U$D", I2650*$N$1, IF(Gastos[[#This Row],[Divisa]]="EUR", I2650*$N$2, 0)))</f>
        <v>1580000</v>
      </c>
      <c r="K2650" s="54">
        <f>Gastos[[#This Row],[Importe AR$]]/$N$1</f>
        <v>1012.8205128205128</v>
      </c>
      <c r="M2650" s="69"/>
      <c r="N2650" s="43" t="str">
        <f>IF(Gastos[[#This Row],[Fecha_Cheque]]&gt;0,WEEKNUM(Gastos[[#This Row],[Fecha_Cheque]]),MID(Gastos[[#This Row],[Semana]],6,2))</f>
        <v>26</v>
      </c>
      <c r="P2650" t="s">
        <v>27</v>
      </c>
    </row>
    <row r="2651" spans="1:16" hidden="1" x14ac:dyDescent="0.25">
      <c r="A2651" s="3" t="s">
        <v>171</v>
      </c>
      <c r="B2651" t="s">
        <v>1580</v>
      </c>
      <c r="C2651" t="s">
        <v>1586</v>
      </c>
      <c r="D2651" t="s">
        <v>26</v>
      </c>
      <c r="E2651" t="s">
        <v>42</v>
      </c>
      <c r="F2651">
        <v>1</v>
      </c>
      <c r="G2651" s="3" t="s">
        <v>4</v>
      </c>
      <c r="H2651" s="46" t="s">
        <v>15</v>
      </c>
      <c r="I2651" s="17">
        <v>110000</v>
      </c>
      <c r="J2651" s="17">
        <f>IF(Gastos[[#This Row],[Divisa]]="$", I2651*1, IF(Gastos[[#This Row],[Divisa]]="U$D", I2651*$N$1, IF(Gastos[[#This Row],[Divisa]]="EUR", I2651*$N$2, 0)))</f>
        <v>110000</v>
      </c>
      <c r="K2651" s="54">
        <f>Gastos[[#This Row],[Importe AR$]]/$N$1</f>
        <v>70.512820512820511</v>
      </c>
      <c r="M2651" s="69"/>
      <c r="N2651" s="43" t="str">
        <f>IF(Gastos[[#This Row],[Fecha_Cheque]]&gt;0,WEEKNUM(Gastos[[#This Row],[Fecha_Cheque]]),MID(Gastos[[#This Row],[Semana]],6,2))</f>
        <v>38</v>
      </c>
      <c r="O2651" t="s">
        <v>1587</v>
      </c>
      <c r="P2651" t="s">
        <v>27</v>
      </c>
    </row>
    <row r="2652" spans="1:16" hidden="1" x14ac:dyDescent="0.25">
      <c r="A2652" s="3" t="s">
        <v>89</v>
      </c>
      <c r="B2652" t="s">
        <v>1580</v>
      </c>
      <c r="C2652" t="s">
        <v>1588</v>
      </c>
      <c r="D2652" t="s">
        <v>26</v>
      </c>
      <c r="E2652" t="s">
        <v>42</v>
      </c>
      <c r="F2652">
        <v>2</v>
      </c>
      <c r="G2652" s="3" t="s">
        <v>4</v>
      </c>
      <c r="H2652" s="46" t="s">
        <v>15</v>
      </c>
      <c r="I2652" s="17">
        <v>70000</v>
      </c>
      <c r="J2652" s="17">
        <f>IF(Gastos[[#This Row],[Divisa]]="$", I2652*1, IF(Gastos[[#This Row],[Divisa]]="U$D", I2652*$N$1, IF(Gastos[[#This Row],[Divisa]]="EUR", I2652*$N$2, 0)))</f>
        <v>70000</v>
      </c>
      <c r="K2652" s="54">
        <f>Gastos[[#This Row],[Importe AR$]]/$N$1</f>
        <v>44.871794871794869</v>
      </c>
      <c r="M2652" s="69"/>
      <c r="N2652" s="43" t="str">
        <f>IF(Gastos[[#This Row],[Fecha_Cheque]]&gt;0,WEEKNUM(Gastos[[#This Row],[Fecha_Cheque]]),MID(Gastos[[#This Row],[Semana]],6,2))</f>
        <v>39</v>
      </c>
      <c r="O2652" t="s">
        <v>1589</v>
      </c>
      <c r="P2652" t="s">
        <v>27</v>
      </c>
    </row>
    <row r="2653" spans="1:16" hidden="1" x14ac:dyDescent="0.25">
      <c r="A2653" s="3" t="s">
        <v>81</v>
      </c>
      <c r="B2653" t="s">
        <v>1580</v>
      </c>
      <c r="C2653" t="s">
        <v>1590</v>
      </c>
      <c r="D2653" t="s">
        <v>26</v>
      </c>
      <c r="E2653" t="s">
        <v>31</v>
      </c>
      <c r="F2653">
        <v>2</v>
      </c>
      <c r="G2653" s="3" t="s">
        <v>4</v>
      </c>
      <c r="H2653" s="46" t="s">
        <v>15</v>
      </c>
      <c r="I2653" s="17">
        <v>200000</v>
      </c>
      <c r="J2653" s="17">
        <f>IF(Gastos[[#This Row],[Divisa]]="$", I2653*1, IF(Gastos[[#This Row],[Divisa]]="U$D", I2653*$N$1, IF(Gastos[[#This Row],[Divisa]]="EUR", I2653*$N$2, 0)))</f>
        <v>200000</v>
      </c>
      <c r="K2653" s="54">
        <f>Gastos[[#This Row],[Importe AR$]]/$N$1</f>
        <v>128.2051282051282</v>
      </c>
      <c r="M2653" s="69"/>
      <c r="N2653" s="43" t="str">
        <f>IF(Gastos[[#This Row],[Fecha_Cheque]]&gt;0,WEEKNUM(Gastos[[#This Row],[Fecha_Cheque]]),MID(Gastos[[#This Row],[Semana]],6,2))</f>
        <v>49</v>
      </c>
      <c r="O2653" t="s">
        <v>1591</v>
      </c>
      <c r="P2653" t="s">
        <v>27</v>
      </c>
    </row>
    <row r="2654" spans="1:16" hidden="1" x14ac:dyDescent="0.25">
      <c r="A2654" s="3" t="s">
        <v>93</v>
      </c>
      <c r="B2654" t="s">
        <v>1580</v>
      </c>
      <c r="C2654" t="s">
        <v>1590</v>
      </c>
      <c r="D2654" t="s">
        <v>26</v>
      </c>
      <c r="E2654" t="s">
        <v>31</v>
      </c>
      <c r="F2654">
        <v>2</v>
      </c>
      <c r="G2654" s="3" t="s">
        <v>32</v>
      </c>
      <c r="H2654" s="46" t="s">
        <v>15</v>
      </c>
      <c r="I2654" s="17">
        <v>300000</v>
      </c>
      <c r="J2654" s="17">
        <f>IF(Gastos[[#This Row],[Divisa]]="$", I2654*1, IF(Gastos[[#This Row],[Divisa]]="U$D", I2654*$N$1, IF(Gastos[[#This Row],[Divisa]]="EUR", I2654*$N$2, 0)))</f>
        <v>300000</v>
      </c>
      <c r="K2654" s="54">
        <f>Gastos[[#This Row],[Importe AR$]]/$N$1</f>
        <v>192.30769230769232</v>
      </c>
      <c r="M2654" s="69"/>
      <c r="N2654" s="43" t="str">
        <f>IF(Gastos[[#This Row],[Fecha_Cheque]]&gt;0,WEEKNUM(Gastos[[#This Row],[Fecha_Cheque]]),MID(Gastos[[#This Row],[Semana]],6,2))</f>
        <v>50</v>
      </c>
      <c r="O2654" t="s">
        <v>1592</v>
      </c>
      <c r="P2654" t="s">
        <v>27</v>
      </c>
    </row>
    <row r="2655" spans="1:16" hidden="1" x14ac:dyDescent="0.25">
      <c r="A2655" s="3" t="s">
        <v>44</v>
      </c>
      <c r="B2655" t="s">
        <v>1580</v>
      </c>
      <c r="C2655" t="s">
        <v>1590</v>
      </c>
      <c r="D2655" t="s">
        <v>26</v>
      </c>
      <c r="E2655" t="s">
        <v>31</v>
      </c>
      <c r="F2655">
        <v>2</v>
      </c>
      <c r="G2655" s="3" t="s">
        <v>4</v>
      </c>
      <c r="H2655" s="46" t="s">
        <v>15</v>
      </c>
      <c r="I2655" s="17">
        <f>1150000-300000</f>
        <v>850000</v>
      </c>
      <c r="J2655" s="17">
        <f>IF(Gastos[[#This Row],[Divisa]]="$", I2655*1, IF(Gastos[[#This Row],[Divisa]]="U$D", I2655*$N$1, IF(Gastos[[#This Row],[Divisa]]="EUR", I2655*$N$2, 0)))</f>
        <v>850000</v>
      </c>
      <c r="K2655" s="54">
        <f>Gastos[[#This Row],[Importe AR$]]/$N$1</f>
        <v>544.87179487179492</v>
      </c>
      <c r="M2655" s="69"/>
      <c r="N2655" s="43" t="str">
        <f>IF(Gastos[[#This Row],[Fecha_Cheque]]&gt;0,WEEKNUM(Gastos[[#This Row],[Fecha_Cheque]]),MID(Gastos[[#This Row],[Semana]],6,2))</f>
        <v>51</v>
      </c>
      <c r="O2655" t="s">
        <v>1593</v>
      </c>
      <c r="P2655" t="s">
        <v>27</v>
      </c>
    </row>
    <row r="2656" spans="1:16" hidden="1" x14ac:dyDescent="0.25">
      <c r="A2656" s="3" t="s">
        <v>68</v>
      </c>
      <c r="B2656" t="s">
        <v>1580</v>
      </c>
      <c r="C2656" t="s">
        <v>155</v>
      </c>
      <c r="D2656" t="s">
        <v>26</v>
      </c>
      <c r="E2656" t="s">
        <v>42</v>
      </c>
      <c r="F2656">
        <v>1</v>
      </c>
      <c r="G2656" s="3" t="s">
        <v>4</v>
      </c>
      <c r="H2656" s="46" t="s">
        <v>15</v>
      </c>
      <c r="I2656" s="17">
        <v>140000</v>
      </c>
      <c r="J2656" s="17">
        <f>IF(Gastos[[#This Row],[Divisa]]="$", I2656*1, IF(Gastos[[#This Row],[Divisa]]="U$D", I2656*$N$1, IF(Gastos[[#This Row],[Divisa]]="EUR", I2656*$N$2, 0)))</f>
        <v>140000</v>
      </c>
      <c r="K2656" s="54">
        <f>Gastos[[#This Row],[Importe AR$]]/$N$1</f>
        <v>89.743589743589737</v>
      </c>
      <c r="M2656" s="69"/>
      <c r="N2656" s="43" t="str">
        <f>IF(Gastos[[#This Row],[Fecha_Cheque]]&gt;0,WEEKNUM(Gastos[[#This Row],[Fecha_Cheque]]),MID(Gastos[[#This Row],[Semana]],6,2))</f>
        <v>05</v>
      </c>
      <c r="O2656" t="s">
        <v>1594</v>
      </c>
      <c r="P2656" t="s">
        <v>27</v>
      </c>
    </row>
    <row r="2657" spans="1:16" hidden="1" x14ac:dyDescent="0.25">
      <c r="A2657" s="3" t="s">
        <v>75</v>
      </c>
      <c r="B2657" t="s">
        <v>1580</v>
      </c>
      <c r="C2657" t="s">
        <v>1595</v>
      </c>
      <c r="D2657" t="s">
        <v>26</v>
      </c>
      <c r="E2657" t="s">
        <v>31</v>
      </c>
      <c r="F2657">
        <v>2</v>
      </c>
      <c r="G2657" s="3" t="s">
        <v>4</v>
      </c>
      <c r="H2657" s="46" t="s">
        <v>15</v>
      </c>
      <c r="I2657" s="17">
        <v>450000</v>
      </c>
      <c r="J2657" s="17">
        <f>IF(Gastos[[#This Row],[Divisa]]="$", I2657*1, IF(Gastos[[#This Row],[Divisa]]="U$D", I2657*$N$1, IF(Gastos[[#This Row],[Divisa]]="EUR", I2657*$N$2, 0)))</f>
        <v>450000</v>
      </c>
      <c r="K2657" s="54">
        <f>Gastos[[#This Row],[Importe AR$]]/$N$1</f>
        <v>288.46153846153845</v>
      </c>
      <c r="M2657" s="69"/>
      <c r="N2657" s="43" t="str">
        <f>IF(Gastos[[#This Row],[Fecha_Cheque]]&gt;0,WEEKNUM(Gastos[[#This Row],[Fecha_Cheque]]),MID(Gastos[[#This Row],[Semana]],6,2))</f>
        <v>07</v>
      </c>
      <c r="O2657" t="s">
        <v>1596</v>
      </c>
      <c r="P2657" t="s">
        <v>27</v>
      </c>
    </row>
    <row r="2658" spans="1:16" hidden="1" x14ac:dyDescent="0.25">
      <c r="A2658" s="3" t="s">
        <v>139</v>
      </c>
      <c r="B2658" t="s">
        <v>1580</v>
      </c>
      <c r="C2658" t="s">
        <v>155</v>
      </c>
      <c r="D2658" t="s">
        <v>26</v>
      </c>
      <c r="E2658" t="s">
        <v>42</v>
      </c>
      <c r="F2658">
        <v>1</v>
      </c>
      <c r="G2658" s="3" t="s">
        <v>4</v>
      </c>
      <c r="H2658" s="46" t="s">
        <v>15</v>
      </c>
      <c r="I2658" s="17">
        <v>155001</v>
      </c>
      <c r="J2658" s="17">
        <f>IF(Gastos[[#This Row],[Divisa]]="$", I2658*1, IF(Gastos[[#This Row],[Divisa]]="U$D", I2658*$N$1, IF(Gastos[[#This Row],[Divisa]]="EUR", I2658*$N$2, 0)))</f>
        <v>155001</v>
      </c>
      <c r="K2658" s="54">
        <f>Gastos[[#This Row],[Importe AR$]]/$N$1</f>
        <v>99.359615384615381</v>
      </c>
      <c r="M2658" s="69"/>
      <c r="N2658" s="43" t="str">
        <f>IF(Gastos[[#This Row],[Fecha_Cheque]]&gt;0,WEEKNUM(Gastos[[#This Row],[Fecha_Cheque]]),MID(Gastos[[#This Row],[Semana]],6,2))</f>
        <v>08</v>
      </c>
      <c r="O2658" t="s">
        <v>1599</v>
      </c>
      <c r="P2658" t="s">
        <v>27</v>
      </c>
    </row>
    <row r="2659" spans="1:16" hidden="1" x14ac:dyDescent="0.25">
      <c r="A2659" s="3" t="s">
        <v>619</v>
      </c>
      <c r="B2659" t="s">
        <v>1580</v>
      </c>
      <c r="C2659" t="s">
        <v>1952</v>
      </c>
      <c r="D2659" t="s">
        <v>26</v>
      </c>
      <c r="E2659" t="s">
        <v>62</v>
      </c>
      <c r="F2659">
        <v>2</v>
      </c>
      <c r="G2659" s="3" t="s">
        <v>4</v>
      </c>
      <c r="H2659" s="46" t="s">
        <v>15</v>
      </c>
      <c r="I2659" s="17">
        <v>680000</v>
      </c>
      <c r="J2659" s="17">
        <f>IF(Gastos[[#This Row],[Divisa]]="$", I2659*1, IF(Gastos[[#This Row],[Divisa]]="U$D", I2659*$N$1, IF(Gastos[[#This Row],[Divisa]]="EUR", I2659*$N$2, 0)))</f>
        <v>680000</v>
      </c>
      <c r="K2659" s="54">
        <f>Gastos[[#This Row],[Importe AR$]]/$N$1</f>
        <v>435.89743589743591</v>
      </c>
      <c r="M2659" s="69"/>
      <c r="N2659" s="43" t="str">
        <f>IF(Gastos[[#This Row],[Fecha_Cheque]]&gt;0,WEEKNUM(Gastos[[#This Row],[Fecha_Cheque]]),MID(Gastos[[#This Row],[Semana]],6,2))</f>
        <v>10</v>
      </c>
      <c r="O2659" t="s">
        <v>1953</v>
      </c>
      <c r="P2659" t="s">
        <v>27</v>
      </c>
    </row>
    <row r="2660" spans="1:16" hidden="1" x14ac:dyDescent="0.25">
      <c r="A2660" s="3" t="s">
        <v>332</v>
      </c>
      <c r="B2660" t="s">
        <v>1580</v>
      </c>
      <c r="C2660" t="s">
        <v>2640</v>
      </c>
      <c r="D2660" t="s">
        <v>26</v>
      </c>
      <c r="E2660" t="s">
        <v>62</v>
      </c>
      <c r="F2660">
        <v>2</v>
      </c>
      <c r="G2660" s="3" t="s">
        <v>32</v>
      </c>
      <c r="H2660" s="46" t="s">
        <v>15</v>
      </c>
      <c r="I2660" s="17">
        <v>550000</v>
      </c>
      <c r="J2660" s="17">
        <f>IF(Gastos[[#This Row],[Divisa]]="$", I2660*1, IF(Gastos[[#This Row],[Divisa]]="U$D", I2660*$N$1, IF(Gastos[[#This Row],[Divisa]]="EUR", I2660*$N$2, 0)))</f>
        <v>550000</v>
      </c>
      <c r="K2660" s="54">
        <f>Gastos[[#This Row],[Importe AR$]]/$N$1</f>
        <v>352.56410256410254</v>
      </c>
      <c r="M2660" s="69">
        <v>46087</v>
      </c>
      <c r="N2660" s="43">
        <f>IF(Gastos[[#This Row],[Fecha_Cheque]]&gt;0,WEEKNUM(Gastos[[#This Row],[Fecha_Cheque]]),MID(Gastos[[#This Row],[Semana]],6,2))</f>
        <v>10</v>
      </c>
      <c r="O2660" t="s">
        <v>2641</v>
      </c>
      <c r="P2660" t="s">
        <v>27</v>
      </c>
    </row>
    <row r="2661" spans="1:16" hidden="1" x14ac:dyDescent="0.25">
      <c r="A2661" s="3" t="s">
        <v>828</v>
      </c>
      <c r="B2661" t="s">
        <v>1580</v>
      </c>
      <c r="C2661" t="s">
        <v>2657</v>
      </c>
      <c r="D2661" t="s">
        <v>26</v>
      </c>
      <c r="E2661" t="s">
        <v>42</v>
      </c>
      <c r="F2661">
        <v>1</v>
      </c>
      <c r="G2661" s="3" t="s">
        <v>4</v>
      </c>
      <c r="H2661" s="44" t="s">
        <v>15</v>
      </c>
      <c r="I2661" s="17">
        <v>166000</v>
      </c>
      <c r="J2661" s="17">
        <f>IF(Gastos[[#This Row],[Divisa]]="$", I2661*1, IF(Gastos[[#This Row],[Divisa]]="U$D", I2661*$N$1, IF(Gastos[[#This Row],[Divisa]]="EUR", I2661*$N$2, 0)))</f>
        <v>166000</v>
      </c>
      <c r="K2661" s="54">
        <f>Gastos[[#This Row],[Importe AR$]]/$N$1</f>
        <v>106.41025641025641</v>
      </c>
      <c r="M2661" s="69"/>
      <c r="N2661" s="43" t="str">
        <f>IF(Gastos[[#This Row],[Fecha_Cheque]]&gt;0,WEEKNUM(Gastos[[#This Row],[Fecha_Cheque]]),MID(Gastos[[#This Row],[Semana]],6,2))</f>
        <v>13</v>
      </c>
      <c r="O2661" t="s">
        <v>2658</v>
      </c>
      <c r="P2661" t="s">
        <v>27</v>
      </c>
    </row>
    <row r="2662" spans="1:16" hidden="1" x14ac:dyDescent="0.25">
      <c r="A2662" s="3" t="s">
        <v>2773</v>
      </c>
      <c r="B2662" t="s">
        <v>1580</v>
      </c>
      <c r="C2662" t="s">
        <v>155</v>
      </c>
      <c r="D2662" t="s">
        <v>26</v>
      </c>
      <c r="E2662" t="s">
        <v>42</v>
      </c>
      <c r="F2662">
        <v>1</v>
      </c>
      <c r="G2662" s="3" t="s">
        <v>4</v>
      </c>
      <c r="H2662" s="46" t="s">
        <v>15</v>
      </c>
      <c r="I2662" s="17">
        <v>180005.99</v>
      </c>
      <c r="J2662" s="17">
        <f>IF(Gastos[[#This Row],[Divisa]]="$", I2662*1, IF(Gastos[[#This Row],[Divisa]]="U$D", I2662*$N$1, IF(Gastos[[#This Row],[Divisa]]="EUR", I2662*$N$2, 0)))</f>
        <v>180005.99</v>
      </c>
      <c r="K2662" s="54">
        <f>Gastos[[#This Row],[Importe AR$]]/$N$1</f>
        <v>115.38845512820512</v>
      </c>
      <c r="M2662" s="69"/>
      <c r="N2662" s="43" t="str">
        <f>IF(Gastos[[#This Row],[Fecha_Cheque]]&gt;0,WEEKNUM(Gastos[[#This Row],[Fecha_Cheque]]),MID(Gastos[[#This Row],[Semana]],6,2))</f>
        <v>20</v>
      </c>
      <c r="O2662" t="s">
        <v>3174</v>
      </c>
      <c r="P2662" t="s">
        <v>27</v>
      </c>
    </row>
    <row r="2663" spans="1:16" hidden="1" x14ac:dyDescent="0.25">
      <c r="A2663" s="3" t="s">
        <v>2792</v>
      </c>
      <c r="B2663" t="s">
        <v>1580</v>
      </c>
      <c r="C2663" t="s">
        <v>3206</v>
      </c>
      <c r="D2663" t="s">
        <v>26</v>
      </c>
      <c r="E2663" t="s">
        <v>42</v>
      </c>
      <c r="F2663">
        <v>2</v>
      </c>
      <c r="G2663" s="3" t="s">
        <v>32</v>
      </c>
      <c r="H2663" s="46" t="s">
        <v>15</v>
      </c>
      <c r="I2663" s="17">
        <v>617866</v>
      </c>
      <c r="J2663" s="49">
        <f>IF(Gastos[[#This Row],[Divisa]]="$", I2663*1, IF(Gastos[[#This Row],[Divisa]]="U$D", I2663*$N$1, IF(Gastos[[#This Row],[Divisa]]="EUR", I2663*$N$2, 0)))</f>
        <v>617866</v>
      </c>
      <c r="K2663" s="54">
        <f>Gastos[[#This Row],[Importe AR$]]/$N$1</f>
        <v>396.0679487179487</v>
      </c>
      <c r="M2663" s="69">
        <v>46193</v>
      </c>
      <c r="N2663" s="43">
        <f>IF(Gastos[[#This Row],[Fecha_Cheque]]&gt;0,WEEKNUM(Gastos[[#This Row],[Fecha_Cheque]]),MID(Gastos[[#This Row],[Semana]],6,2))</f>
        <v>25</v>
      </c>
      <c r="O2663" t="s">
        <v>3207</v>
      </c>
      <c r="P2663" t="s">
        <v>27</v>
      </c>
    </row>
    <row r="2664" spans="1:16" hidden="1" x14ac:dyDescent="0.25">
      <c r="A2664" s="3" t="s">
        <v>2726</v>
      </c>
      <c r="B2664" t="s">
        <v>1580</v>
      </c>
      <c r="C2664" t="s">
        <v>2640</v>
      </c>
      <c r="D2664" t="s">
        <v>26</v>
      </c>
      <c r="E2664" t="s">
        <v>42</v>
      </c>
      <c r="F2664">
        <v>2</v>
      </c>
      <c r="G2664" s="3" t="s">
        <v>4</v>
      </c>
      <c r="H2664" s="46" t="s">
        <v>15</v>
      </c>
      <c r="I2664" s="17">
        <v>800000</v>
      </c>
      <c r="J2664" s="17">
        <f>IF(Gastos[[#This Row],[Divisa]]="$", I2664*1, IF(Gastos[[#This Row],[Divisa]]="U$D", I2664*$N$1, IF(Gastos[[#This Row],[Divisa]]="EUR", I2664*$N$2, 0)))</f>
        <v>800000</v>
      </c>
      <c r="K2664" s="54">
        <f>Gastos[[#This Row],[Importe AR$]]/$N$1</f>
        <v>512.82051282051282</v>
      </c>
      <c r="M2664" s="69"/>
      <c r="N2664" s="43" t="str">
        <f>IF(Gastos[[#This Row],[Fecha_Cheque]]&gt;0,WEEKNUM(Gastos[[#This Row],[Fecha_Cheque]]),MID(Gastos[[#This Row],[Semana]],6,2))</f>
        <v>24</v>
      </c>
      <c r="O2664" t="s">
        <v>3398</v>
      </c>
      <c r="P2664" t="s">
        <v>27</v>
      </c>
    </row>
    <row r="2665" spans="1:16" hidden="1" x14ac:dyDescent="0.25">
      <c r="A2665" s="3" t="s">
        <v>3567</v>
      </c>
      <c r="B2665" t="s">
        <v>1580</v>
      </c>
      <c r="C2665" t="s">
        <v>155</v>
      </c>
      <c r="D2665" t="s">
        <v>26</v>
      </c>
      <c r="E2665" t="s">
        <v>42</v>
      </c>
      <c r="F2665">
        <v>1</v>
      </c>
      <c r="G2665" s="3" t="s">
        <v>4</v>
      </c>
      <c r="H2665" s="44" t="s">
        <v>15</v>
      </c>
      <c r="I2665" s="17">
        <v>190001.08</v>
      </c>
      <c r="J2665" s="17">
        <f>IF(Gastos[[#This Row],[Divisa]]="$", I2665*1, IF(Gastos[[#This Row],[Divisa]]="U$D", I2665*$N$1, IF(Gastos[[#This Row],[Divisa]]="EUR", I2665*$N$2, 0)))</f>
        <v>190001.08</v>
      </c>
      <c r="K2665" s="54">
        <f>Gastos[[#This Row],[Importe AR$]]/$N$1</f>
        <v>121.7955641025641</v>
      </c>
      <c r="M2665" s="69"/>
      <c r="N2665" s="43" t="str">
        <f>IF(Gastos[[#This Row],[Fecha_Cheque]]&gt;0,WEEKNUM(Gastos[[#This Row],[Fecha_Cheque]]),MID(Gastos[[#This Row],[Semana]],6,2))</f>
        <v>26</v>
      </c>
      <c r="O2665" t="s">
        <v>3599</v>
      </c>
      <c r="P2665" t="s">
        <v>27</v>
      </c>
    </row>
    <row r="2666" spans="1:16" hidden="1" x14ac:dyDescent="0.25">
      <c r="A2666" s="3" t="s">
        <v>3617</v>
      </c>
      <c r="B2666" t="s">
        <v>1580</v>
      </c>
      <c r="C2666" t="s">
        <v>2477</v>
      </c>
      <c r="D2666" t="s">
        <v>26</v>
      </c>
      <c r="E2666" t="s">
        <v>42</v>
      </c>
      <c r="F2666">
        <v>2</v>
      </c>
      <c r="G2666" s="3" t="s">
        <v>4</v>
      </c>
      <c r="H2666" s="44" t="s">
        <v>15</v>
      </c>
      <c r="I2666" s="17">
        <v>500000</v>
      </c>
      <c r="J2666" s="17">
        <f>IF(Gastos[[#This Row],[Divisa]]="$", I2666*1, IF(Gastos[[#This Row],[Divisa]]="U$D", I2666*$N$1, IF(Gastos[[#This Row],[Divisa]]="EUR", I2666*$N$2, 0)))</f>
        <v>500000</v>
      </c>
      <c r="K2666" s="54">
        <f>Gastos[[#This Row],[Importe AR$]]/$N$1</f>
        <v>320.5128205128205</v>
      </c>
      <c r="M2666" s="69"/>
      <c r="N2666" s="43" t="str">
        <f>IF(Gastos[[#This Row],[Fecha_Cheque]]&gt;0,WEEKNUM(Gastos[[#This Row],[Fecha_Cheque]]),MID(Gastos[[#This Row],[Semana]],6,2))</f>
        <v>27</v>
      </c>
      <c r="O2666" t="s">
        <v>3691</v>
      </c>
      <c r="P2666" t="s">
        <v>27</v>
      </c>
    </row>
    <row r="2667" spans="1:16" hidden="1" x14ac:dyDescent="0.25">
      <c r="A2667" s="3" t="s">
        <v>3693</v>
      </c>
      <c r="B2667" t="s">
        <v>1580</v>
      </c>
      <c r="C2667" t="s">
        <v>155</v>
      </c>
      <c r="D2667" t="s">
        <v>26</v>
      </c>
      <c r="E2667" t="s">
        <v>42</v>
      </c>
      <c r="F2667">
        <v>1</v>
      </c>
      <c r="G2667" s="3" t="s">
        <v>4</v>
      </c>
      <c r="H2667" s="44" t="s">
        <v>15</v>
      </c>
      <c r="I2667" s="17">
        <v>195012.93</v>
      </c>
      <c r="J2667" s="17">
        <f>IF(Gastos[[#This Row],[Divisa]]="$", I2667*1, IF(Gastos[[#This Row],[Divisa]]="U$D", I2667*$N$1, IF(Gastos[[#This Row],[Divisa]]="EUR", I2667*$N$2, 0)))</f>
        <v>195012.93</v>
      </c>
      <c r="K2667" s="54">
        <f>Gastos[[#This Row],[Importe AR$]]/$N$1</f>
        <v>125.00828846153846</v>
      </c>
      <c r="M2667" s="69"/>
      <c r="N2667" s="43" t="str">
        <f>IF(Gastos[[#This Row],[Fecha_Cheque]]&gt;0,WEEKNUM(Gastos[[#This Row],[Fecha_Cheque]]),MID(Gastos[[#This Row],[Semana]],6,2))</f>
        <v>28</v>
      </c>
      <c r="O2667" t="s">
        <v>3753</v>
      </c>
      <c r="P2667" t="s">
        <v>27</v>
      </c>
    </row>
    <row r="2668" spans="1:16" hidden="1" x14ac:dyDescent="0.25">
      <c r="A2668" s="3" t="s">
        <v>3817</v>
      </c>
      <c r="B2668" t="s">
        <v>1580</v>
      </c>
      <c r="C2668" t="s">
        <v>3878</v>
      </c>
      <c r="D2668" t="s">
        <v>26</v>
      </c>
      <c r="E2668" t="s">
        <v>42</v>
      </c>
      <c r="F2668">
        <v>2</v>
      </c>
      <c r="G2668" s="3" t="s">
        <v>4</v>
      </c>
      <c r="H2668" s="44" t="s">
        <v>15</v>
      </c>
      <c r="I2668" s="17">
        <v>500000</v>
      </c>
      <c r="J2668" s="17">
        <f>IF(Gastos[[#This Row],[Divisa]]="$", I2668*1, IF(Gastos[[#This Row],[Divisa]]="U$D", I2668*$N$1, IF(Gastos[[#This Row],[Divisa]]="EUR", I2668*$N$2, 0)))</f>
        <v>500000</v>
      </c>
      <c r="K2668" s="54">
        <f>Gastos[[#This Row],[Importe AR$]]/$N$1</f>
        <v>320.5128205128205</v>
      </c>
      <c r="M2668" s="69"/>
      <c r="N2668" s="43" t="str">
        <f>IF(Gastos[[#This Row],[Fecha_Cheque]]&gt;0,WEEKNUM(Gastos[[#This Row],[Fecha_Cheque]]),MID(Gastos[[#This Row],[Semana]],6,2))</f>
        <v>30</v>
      </c>
      <c r="O2668" t="s">
        <v>3879</v>
      </c>
      <c r="P2668" t="s">
        <v>27</v>
      </c>
    </row>
    <row r="2669" spans="1:16" hidden="1" x14ac:dyDescent="0.25">
      <c r="A2669" s="3" t="s">
        <v>3882</v>
      </c>
      <c r="B2669" t="s">
        <v>1580</v>
      </c>
      <c r="C2669" t="s">
        <v>3206</v>
      </c>
      <c r="D2669" t="s">
        <v>26</v>
      </c>
      <c r="E2669" t="s">
        <v>62</v>
      </c>
      <c r="F2669">
        <v>2</v>
      </c>
      <c r="G2669" s="3" t="s">
        <v>4</v>
      </c>
      <c r="H2669" s="46" t="s">
        <v>15</v>
      </c>
      <c r="I2669" s="17">
        <v>500000</v>
      </c>
      <c r="J2669" s="17">
        <f>IF(Gastos[[#This Row],[Divisa]]="$", I2669*1, IF(Gastos[[#This Row],[Divisa]]="U$D", I2669*$N$1, IF(Gastos[[#This Row],[Divisa]]="EUR", I2669*$N$2, 0)))</f>
        <v>500000</v>
      </c>
      <c r="K2669" s="54">
        <f>Gastos[[#This Row],[Importe AR$]]/$N$1</f>
        <v>320.5128205128205</v>
      </c>
      <c r="M2669" s="69"/>
      <c r="N2669" s="43" t="str">
        <f>IF(Gastos[[#This Row],[Fecha_Cheque]]&gt;0,WEEKNUM(Gastos[[#This Row],[Fecha_Cheque]]),MID(Gastos[[#This Row],[Semana]],6,2))</f>
        <v>31</v>
      </c>
      <c r="O2669" t="s">
        <v>3956</v>
      </c>
      <c r="P2669" t="s">
        <v>27</v>
      </c>
    </row>
    <row r="2670" spans="1:16" hidden="1" x14ac:dyDescent="0.25">
      <c r="A2670" s="3" t="s">
        <v>4157</v>
      </c>
      <c r="B2670" t="s">
        <v>1580</v>
      </c>
      <c r="C2670" t="s">
        <v>155</v>
      </c>
      <c r="D2670" t="s">
        <v>26</v>
      </c>
      <c r="E2670" t="s">
        <v>42</v>
      </c>
      <c r="F2670">
        <v>1</v>
      </c>
      <c r="G2670" s="3" t="s">
        <v>4</v>
      </c>
      <c r="H2670" s="44" t="s">
        <v>15</v>
      </c>
      <c r="I2670" s="17">
        <v>189034.91</v>
      </c>
      <c r="J2670" s="17">
        <f>IF(Gastos[[#This Row],[Divisa]]="$", I2670*1, IF(Gastos[[#This Row],[Divisa]]="U$D", I2670*$N$1, IF(Gastos[[#This Row],[Divisa]]="EUR", I2670*$N$2, 0)))</f>
        <v>189034.91</v>
      </c>
      <c r="K2670" s="54">
        <f>Gastos[[#This Row],[Importe AR$]]/$N$1</f>
        <v>121.17622435897437</v>
      </c>
      <c r="M2670" s="69"/>
      <c r="N2670" s="43" t="str">
        <f>IF(Gastos[[#This Row],[Fecha_Cheque]]&gt;0,WEEKNUM(Gastos[[#This Row],[Fecha_Cheque]]),MID(Gastos[[#This Row],[Semana]],6,2))</f>
        <v>36</v>
      </c>
      <c r="O2670" t="s">
        <v>4197</v>
      </c>
      <c r="P2670" t="s">
        <v>27</v>
      </c>
    </row>
    <row r="2671" spans="1:16" hidden="1" x14ac:dyDescent="0.25">
      <c r="A2671" s="3" t="s">
        <v>4409</v>
      </c>
      <c r="B2671" t="s">
        <v>1580</v>
      </c>
      <c r="C2671" t="s">
        <v>4351</v>
      </c>
      <c r="D2671" t="s">
        <v>26</v>
      </c>
      <c r="E2671" t="s">
        <v>62</v>
      </c>
      <c r="F2671">
        <v>1</v>
      </c>
      <c r="G2671" s="3" t="s">
        <v>4</v>
      </c>
      <c r="H2671" s="44" t="s">
        <v>15</v>
      </c>
      <c r="I2671" s="17">
        <v>190003.04</v>
      </c>
      <c r="J2671" s="17">
        <f>IF(Gastos[[#This Row],[Divisa]]="$", I2671*1, IF(Gastos[[#This Row],[Divisa]]="U$D", I2671*$N$1, IF(Gastos[[#This Row],[Divisa]]="EUR", I2671*$N$2, 0)))</f>
        <v>190003.04</v>
      </c>
      <c r="K2671" s="54">
        <f>Gastos[[#This Row],[Importe AR$]]/$N$1</f>
        <v>121.79682051282052</v>
      </c>
      <c r="M2671" s="69"/>
      <c r="N2671" s="43" t="str">
        <f>IF(Gastos[[#This Row],[Fecha_Cheque]]&gt;0,WEEKNUM(Gastos[[#This Row],[Fecha_Cheque]]),MID(Gastos[[#This Row],[Semana]],6,2))</f>
        <v>40</v>
      </c>
      <c r="O2671" t="s">
        <v>4405</v>
      </c>
      <c r="P2671" t="s">
        <v>27</v>
      </c>
    </row>
    <row r="2672" spans="1:16" hidden="1" x14ac:dyDescent="0.25">
      <c r="A2672" s="3" t="s">
        <v>4447</v>
      </c>
      <c r="B2672" t="s">
        <v>1580</v>
      </c>
      <c r="C2672" t="s">
        <v>3400</v>
      </c>
      <c r="D2672" t="s">
        <v>26</v>
      </c>
      <c r="E2672" t="s">
        <v>42</v>
      </c>
      <c r="F2672">
        <v>2</v>
      </c>
      <c r="G2672" s="3" t="s">
        <v>4</v>
      </c>
      <c r="H2672" s="44" t="s">
        <v>15</v>
      </c>
      <c r="I2672" s="17">
        <v>500000</v>
      </c>
      <c r="J2672" s="17">
        <f>IF(Gastos[[#This Row],[Divisa]]="$", I2672*1, IF(Gastos[[#This Row],[Divisa]]="U$D", I2672*$N$1, IF(Gastos[[#This Row],[Divisa]]="EUR", I2672*$N$2, 0)))</f>
        <v>500000</v>
      </c>
      <c r="K2672" s="54">
        <f>Gastos[[#This Row],[Importe AR$]]/$N$1</f>
        <v>320.5128205128205</v>
      </c>
      <c r="M2672" s="69"/>
      <c r="N2672" s="43" t="str">
        <f>IF(Gastos[[#This Row],[Fecha_Cheque]]&gt;0,WEEKNUM(Gastos[[#This Row],[Fecha_Cheque]]),MID(Gastos[[#This Row],[Semana]],6,2))</f>
        <v>41</v>
      </c>
      <c r="O2672" t="s">
        <v>4510</v>
      </c>
      <c r="P2672" t="s">
        <v>27</v>
      </c>
    </row>
    <row r="2673" spans="1:16" x14ac:dyDescent="0.25">
      <c r="A2673" s="3" t="s">
        <v>4655</v>
      </c>
      <c r="B2673" t="s">
        <v>1462</v>
      </c>
      <c r="C2673" t="s">
        <v>155</v>
      </c>
      <c r="D2673" t="s">
        <v>26</v>
      </c>
      <c r="E2673" t="s">
        <v>42</v>
      </c>
      <c r="F2673">
        <v>1</v>
      </c>
      <c r="G2673" s="3" t="s">
        <v>4</v>
      </c>
      <c r="H2673" s="44" t="s">
        <v>15</v>
      </c>
      <c r="I2673" s="49">
        <v>100000.06</v>
      </c>
      <c r="J2673" s="17">
        <f>IF(Gastos[[#This Row],[Divisa]]="$", I2673*1, IF(Gastos[[#This Row],[Divisa]]="U$D", I2673*$N$1, IF(Gastos[[#This Row],[Divisa]]="EUR", I2673*$N$2, 0)))</f>
        <v>100000.06</v>
      </c>
      <c r="K2673" s="54">
        <f>Gastos[[#This Row],[Importe AR$]]/$N$1</f>
        <v>64.102602564102568</v>
      </c>
      <c r="M2673" s="69"/>
      <c r="N2673" s="43" t="str">
        <f>IF(Gastos[[#This Row],[Fecha_Cheque]]&gt;0,WEEKNUM(Gastos[[#This Row],[Fecha_Cheque]]),MID(Gastos[[#This Row],[Semana]],6,2))</f>
        <v>44</v>
      </c>
      <c r="O2673" t="s">
        <v>4669</v>
      </c>
      <c r="P2673" t="s">
        <v>27</v>
      </c>
    </row>
    <row r="2674" spans="1:16" x14ac:dyDescent="0.25">
      <c r="A2674" s="3" t="s">
        <v>4655</v>
      </c>
      <c r="B2674" t="s">
        <v>1462</v>
      </c>
      <c r="C2674" t="s">
        <v>155</v>
      </c>
      <c r="D2674" t="s">
        <v>26</v>
      </c>
      <c r="E2674" t="s">
        <v>42</v>
      </c>
      <c r="F2674">
        <v>1</v>
      </c>
      <c r="G2674" s="3" t="s">
        <v>4</v>
      </c>
      <c r="H2674" s="44" t="s">
        <v>15</v>
      </c>
      <c r="I2674" s="49">
        <v>100000.07</v>
      </c>
      <c r="J2674" s="17">
        <f>IF(Gastos[[#This Row],[Divisa]]="$", I2674*1, IF(Gastos[[#This Row],[Divisa]]="U$D", I2674*$N$1, IF(Gastos[[#This Row],[Divisa]]="EUR", I2674*$N$2, 0)))</f>
        <v>100000.07</v>
      </c>
      <c r="K2674" s="54">
        <f>Gastos[[#This Row],[Importe AR$]]/$N$1</f>
        <v>64.102608974358972</v>
      </c>
      <c r="M2674" s="69"/>
      <c r="N2674" s="43" t="str">
        <f>IF(Gastos[[#This Row],[Fecha_Cheque]]&gt;0,WEEKNUM(Gastos[[#This Row],[Fecha_Cheque]]),MID(Gastos[[#This Row],[Semana]],6,2))</f>
        <v>44</v>
      </c>
      <c r="O2674" t="s">
        <v>4670</v>
      </c>
      <c r="P2674" t="s">
        <v>27</v>
      </c>
    </row>
    <row r="2675" spans="1:16" x14ac:dyDescent="0.25">
      <c r="A2675" s="3" t="s">
        <v>4655</v>
      </c>
      <c r="B2675" t="s">
        <v>1462</v>
      </c>
      <c r="C2675" t="s">
        <v>4551</v>
      </c>
      <c r="D2675" t="s">
        <v>26</v>
      </c>
      <c r="E2675" t="s">
        <v>91</v>
      </c>
      <c r="F2675">
        <v>1</v>
      </c>
      <c r="G2675" s="3" t="s">
        <v>5</v>
      </c>
      <c r="H2675" s="44" t="s">
        <v>15</v>
      </c>
      <c r="I2675" s="17">
        <v>3652500.0599999996</v>
      </c>
      <c r="J2675" s="17">
        <f>IF(Gastos[[#This Row],[Divisa]]="$", I2675*1, IF(Gastos[[#This Row],[Divisa]]="U$D", I2675*$N$1, IF(Gastos[[#This Row],[Divisa]]="EUR", I2675*$N$2, 0)))</f>
        <v>3652500.0599999996</v>
      </c>
      <c r="K2675" s="54">
        <f>Gastos[[#This Row],[Importe AR$]]/$N$1</f>
        <v>2341.346192307692</v>
      </c>
      <c r="M2675" s="69"/>
      <c r="N2675" s="43" t="str">
        <f>IF(Gastos[[#This Row],[Fecha_Cheque]]&gt;0,WEEKNUM(Gastos[[#This Row],[Fecha_Cheque]]),MID(Gastos[[#This Row],[Semana]],6,2))</f>
        <v>44</v>
      </c>
    </row>
    <row r="2676" spans="1:16" hidden="1" x14ac:dyDescent="0.25">
      <c r="A2676" s="3" t="s">
        <v>72</v>
      </c>
      <c r="B2676" t="s">
        <v>1600</v>
      </c>
      <c r="C2676" t="s">
        <v>1601</v>
      </c>
      <c r="D2676" t="s">
        <v>26</v>
      </c>
      <c r="E2676" t="s">
        <v>31</v>
      </c>
      <c r="F2676">
        <v>1</v>
      </c>
      <c r="G2676" s="3" t="s">
        <v>5</v>
      </c>
      <c r="H2676" s="46" t="s">
        <v>15</v>
      </c>
      <c r="I2676" s="17">
        <v>120000</v>
      </c>
      <c r="J2676" s="17">
        <f>IF(Gastos[[#This Row],[Divisa]]="$", I2676*1, IF(Gastos[[#This Row],[Divisa]]="U$D", I2676*$N$1, IF(Gastos[[#This Row],[Divisa]]="EUR", I2676*$N$2, 0)))</f>
        <v>120000</v>
      </c>
      <c r="K2676" s="54">
        <f>Gastos[[#This Row],[Importe AR$]]/$N$1</f>
        <v>76.92307692307692</v>
      </c>
      <c r="M2676" s="69"/>
      <c r="N2676" s="43" t="str">
        <f>IF(Gastos[[#This Row],[Fecha_Cheque]]&gt;0,WEEKNUM(Gastos[[#This Row],[Fecha_Cheque]]),MID(Gastos[[#This Row],[Semana]],6,2))</f>
        <v>48</v>
      </c>
      <c r="O2676" t="s">
        <v>1602</v>
      </c>
      <c r="P2676" t="s">
        <v>27</v>
      </c>
    </row>
    <row r="2677" spans="1:16" hidden="1" x14ac:dyDescent="0.25">
      <c r="A2677" s="3" t="s">
        <v>2740</v>
      </c>
      <c r="B2677" t="s">
        <v>1600</v>
      </c>
      <c r="C2677" t="s">
        <v>2971</v>
      </c>
      <c r="D2677" t="s">
        <v>26</v>
      </c>
      <c r="E2677" t="s">
        <v>42</v>
      </c>
      <c r="F2677">
        <v>1</v>
      </c>
      <c r="G2677" s="3" t="s">
        <v>4</v>
      </c>
      <c r="H2677" s="44" t="s">
        <v>15</v>
      </c>
      <c r="I2677" s="17">
        <v>34200</v>
      </c>
      <c r="J2677" s="17">
        <f>IF(Gastos[[#This Row],[Divisa]]="$", I2677*1, IF(Gastos[[#This Row],[Divisa]]="U$D", I2677*$N$1, IF(Gastos[[#This Row],[Divisa]]="EUR", I2677*$N$2, 0)))</f>
        <v>34200</v>
      </c>
      <c r="K2677" s="54">
        <f>Gastos[[#This Row],[Importe AR$]]/$N$1</f>
        <v>21.923076923076923</v>
      </c>
      <c r="M2677" s="69"/>
      <c r="N2677" s="43" t="str">
        <f>IF(Gastos[[#This Row],[Fecha_Cheque]]&gt;0,WEEKNUM(Gastos[[#This Row],[Fecha_Cheque]]),MID(Gastos[[#This Row],[Semana]],6,2))</f>
        <v>16</v>
      </c>
      <c r="O2677" t="s">
        <v>2972</v>
      </c>
      <c r="P2677" t="s">
        <v>27</v>
      </c>
    </row>
    <row r="2678" spans="1:16" hidden="1" x14ac:dyDescent="0.25">
      <c r="A2678" s="3" t="s">
        <v>2773</v>
      </c>
      <c r="B2678" t="s">
        <v>1600</v>
      </c>
      <c r="C2678" t="s">
        <v>3175</v>
      </c>
      <c r="D2678" t="s">
        <v>26</v>
      </c>
      <c r="E2678" t="s">
        <v>42</v>
      </c>
      <c r="F2678">
        <v>1</v>
      </c>
      <c r="G2678" s="3" t="s">
        <v>4</v>
      </c>
      <c r="H2678" s="44" t="s">
        <v>15</v>
      </c>
      <c r="I2678" s="17">
        <v>33000</v>
      </c>
      <c r="J2678" s="17">
        <f>IF(Gastos[[#This Row],[Divisa]]="$", I2678*1, IF(Gastos[[#This Row],[Divisa]]="U$D", I2678*$N$1, IF(Gastos[[#This Row],[Divisa]]="EUR", I2678*$N$2, 0)))</f>
        <v>33000</v>
      </c>
      <c r="K2678" s="54">
        <f>Gastos[[#This Row],[Importe AR$]]/$N$1</f>
        <v>21.153846153846153</v>
      </c>
      <c r="M2678" s="69"/>
      <c r="N2678" s="43" t="str">
        <f>IF(Gastos[[#This Row],[Fecha_Cheque]]&gt;0,WEEKNUM(Gastos[[#This Row],[Fecha_Cheque]]),MID(Gastos[[#This Row],[Semana]],6,2))</f>
        <v>20</v>
      </c>
      <c r="O2678" t="s">
        <v>3176</v>
      </c>
      <c r="P2678" t="s">
        <v>27</v>
      </c>
    </row>
    <row r="2679" spans="1:16" hidden="1" x14ac:dyDescent="0.25">
      <c r="A2679" s="3" t="s">
        <v>147</v>
      </c>
      <c r="B2679" t="s">
        <v>1603</v>
      </c>
      <c r="C2679" t="s">
        <v>186</v>
      </c>
      <c r="D2679" t="s">
        <v>26</v>
      </c>
      <c r="E2679" t="s">
        <v>31</v>
      </c>
      <c r="F2679">
        <v>2</v>
      </c>
      <c r="G2679" s="3" t="s">
        <v>4</v>
      </c>
      <c r="H2679" s="46" t="s">
        <v>15</v>
      </c>
      <c r="I2679" s="17">
        <v>1000000</v>
      </c>
      <c r="J2679" s="17">
        <f>IF(Gastos[[#This Row],[Divisa]]="$", I2679*1, IF(Gastos[[#This Row],[Divisa]]="U$D", I2679*$N$1, IF(Gastos[[#This Row],[Divisa]]="EUR", I2679*$N$2, 0)))</f>
        <v>1000000</v>
      </c>
      <c r="K2679" s="54">
        <f>Gastos[[#This Row],[Importe AR$]]/$N$1</f>
        <v>641.02564102564099</v>
      </c>
      <c r="M2679" s="69"/>
      <c r="N2679" s="43" t="str">
        <f>IF(Gastos[[#This Row],[Fecha_Cheque]]&gt;0,WEEKNUM(Gastos[[#This Row],[Fecha_Cheque]]),MID(Gastos[[#This Row],[Semana]],6,2))</f>
        <v>17</v>
      </c>
      <c r="O2679" t="s">
        <v>1604</v>
      </c>
      <c r="P2679" t="s">
        <v>27</v>
      </c>
    </row>
    <row r="2680" spans="1:16" hidden="1" x14ac:dyDescent="0.25">
      <c r="A2680" s="3" t="s">
        <v>188</v>
      </c>
      <c r="B2680" t="s">
        <v>1603</v>
      </c>
      <c r="C2680" t="s">
        <v>186</v>
      </c>
      <c r="D2680" t="s">
        <v>26</v>
      </c>
      <c r="E2680" t="s">
        <v>31</v>
      </c>
      <c r="F2680">
        <v>2</v>
      </c>
      <c r="G2680" s="3" t="s">
        <v>32</v>
      </c>
      <c r="H2680" s="46" t="s">
        <v>15</v>
      </c>
      <c r="I2680" s="17">
        <v>2828440.6</v>
      </c>
      <c r="J2680" s="17">
        <f>IF(Gastos[[#This Row],[Divisa]]="$", I2680*1, IF(Gastos[[#This Row],[Divisa]]="U$D", I2680*$N$1, IF(Gastos[[#This Row],[Divisa]]="EUR", I2680*$N$2, 0)))</f>
        <v>2828440.6</v>
      </c>
      <c r="K2680" s="54">
        <f>Gastos[[#This Row],[Importe AR$]]/$N$1</f>
        <v>1813.1029487179487</v>
      </c>
      <c r="M2680" s="69"/>
      <c r="N2680" s="43" t="str">
        <f>IF(Gastos[[#This Row],[Fecha_Cheque]]&gt;0,WEEKNUM(Gastos[[#This Row],[Fecha_Cheque]]),MID(Gastos[[#This Row],[Semana]],6,2))</f>
        <v>19</v>
      </c>
      <c r="O2680" t="s">
        <v>1605</v>
      </c>
      <c r="P2680" t="s">
        <v>27</v>
      </c>
    </row>
    <row r="2681" spans="1:16" hidden="1" x14ac:dyDescent="0.25">
      <c r="A2681" s="3" t="s">
        <v>23</v>
      </c>
      <c r="B2681" t="s">
        <v>1603</v>
      </c>
      <c r="C2681" t="s">
        <v>190</v>
      </c>
      <c r="D2681" t="s">
        <v>61</v>
      </c>
      <c r="E2681" t="s">
        <v>62</v>
      </c>
      <c r="F2681">
        <v>2</v>
      </c>
      <c r="G2681" s="3" t="s">
        <v>32</v>
      </c>
      <c r="H2681" s="46" t="s">
        <v>15</v>
      </c>
      <c r="I2681" s="17">
        <v>2755082.84</v>
      </c>
      <c r="J2681" s="17">
        <f>IF(Gastos[[#This Row],[Divisa]]="$", I2681*1, IF(Gastos[[#This Row],[Divisa]]="U$D", I2681*$N$1, IF(Gastos[[#This Row],[Divisa]]="EUR", I2681*$N$2, 0)))</f>
        <v>2755082.84</v>
      </c>
      <c r="K2681" s="54">
        <f>Gastos[[#This Row],[Importe AR$]]/$N$1</f>
        <v>1766.0787435897435</v>
      </c>
      <c r="L2681" t="s">
        <v>150</v>
      </c>
      <c r="M2681" s="69">
        <v>45831</v>
      </c>
      <c r="N2681" s="43">
        <f>IF(Gastos[[#This Row],[Fecha_Cheque]]&gt;0,WEEKNUM(Gastos[[#This Row],[Fecha_Cheque]]),MID(Gastos[[#This Row],[Semana]],6,2))</f>
        <v>26</v>
      </c>
      <c r="O2681" t="s">
        <v>98</v>
      </c>
      <c r="P2681" t="s">
        <v>27</v>
      </c>
    </row>
    <row r="2682" spans="1:16" hidden="1" x14ac:dyDescent="0.25">
      <c r="A2682" s="3" t="s">
        <v>85</v>
      </c>
      <c r="B2682" t="s">
        <v>1606</v>
      </c>
      <c r="C2682" t="s">
        <v>1607</v>
      </c>
      <c r="D2682" t="s">
        <v>61</v>
      </c>
      <c r="E2682" t="s">
        <v>62</v>
      </c>
      <c r="F2682">
        <v>1</v>
      </c>
      <c r="G2682" s="3" t="s">
        <v>5</v>
      </c>
      <c r="H2682" s="46" t="s">
        <v>15</v>
      </c>
      <c r="I2682" s="17">
        <v>883300</v>
      </c>
      <c r="J2682" s="17">
        <f>IF(Gastos[[#This Row],[Divisa]]="$", I2682*1, IF(Gastos[[#This Row],[Divisa]]="U$D", I2682*$N$1, IF(Gastos[[#This Row],[Divisa]]="EUR", I2682*$N$2, 0)))</f>
        <v>883300</v>
      </c>
      <c r="K2682" s="54">
        <f>Gastos[[#This Row],[Importe AR$]]/$N$1</f>
        <v>566.21794871794873</v>
      </c>
      <c r="L2682" t="s">
        <v>983</v>
      </c>
      <c r="M2682" s="69">
        <v>45831</v>
      </c>
      <c r="N2682" s="43">
        <f>IF(Gastos[[#This Row],[Fecha_Cheque]]&gt;0,WEEKNUM(Gastos[[#This Row],[Fecha_Cheque]]),MID(Gastos[[#This Row],[Semana]],6,2))</f>
        <v>26</v>
      </c>
      <c r="O2682" t="s">
        <v>1608</v>
      </c>
      <c r="P2682" t="s">
        <v>27</v>
      </c>
    </row>
    <row r="2683" spans="1:16" hidden="1" x14ac:dyDescent="0.25">
      <c r="A2683" s="3" t="s">
        <v>117</v>
      </c>
      <c r="B2683" t="s">
        <v>1606</v>
      </c>
      <c r="C2683" t="s">
        <v>1609</v>
      </c>
      <c r="D2683" t="s">
        <v>26</v>
      </c>
      <c r="E2683" t="s">
        <v>31</v>
      </c>
      <c r="F2683">
        <v>1</v>
      </c>
      <c r="G2683" s="3" t="s">
        <v>5</v>
      </c>
      <c r="H2683" s="46" t="s">
        <v>15</v>
      </c>
      <c r="I2683" s="17">
        <v>278300</v>
      </c>
      <c r="J2683" s="17">
        <f>IF(Gastos[[#This Row],[Divisa]]="$", I2683*1, IF(Gastos[[#This Row],[Divisa]]="U$D", I2683*$N$1, IF(Gastos[[#This Row],[Divisa]]="EUR", I2683*$N$2, 0)))</f>
        <v>278300</v>
      </c>
      <c r="K2683" s="54">
        <f>Gastos[[#This Row],[Importe AR$]]/$N$1</f>
        <v>178.39743589743588</v>
      </c>
      <c r="M2683" s="69"/>
      <c r="N2683" s="43" t="str">
        <f>IF(Gastos[[#This Row],[Fecha_Cheque]]&gt;0,WEEKNUM(Gastos[[#This Row],[Fecha_Cheque]]),MID(Gastos[[#This Row],[Semana]],6,2))</f>
        <v>35</v>
      </c>
      <c r="O2683" t="s">
        <v>123</v>
      </c>
      <c r="P2683" t="s">
        <v>27</v>
      </c>
    </row>
    <row r="2684" spans="1:16" hidden="1" x14ac:dyDescent="0.25">
      <c r="A2684" s="3" t="s">
        <v>828</v>
      </c>
      <c r="B2684" t="s">
        <v>1606</v>
      </c>
      <c r="C2684" t="s">
        <v>2821</v>
      </c>
      <c r="D2684" t="s">
        <v>26</v>
      </c>
      <c r="E2684" t="s">
        <v>31</v>
      </c>
      <c r="F2684">
        <v>2</v>
      </c>
      <c r="G2684" s="3" t="s">
        <v>4</v>
      </c>
      <c r="H2684" s="44" t="s">
        <v>15</v>
      </c>
      <c r="I2684" s="17">
        <v>700000</v>
      </c>
      <c r="J2684" s="17">
        <f>IF(Gastos[[#This Row],[Divisa]]="$", I2684*1, IF(Gastos[[#This Row],[Divisa]]="U$D", I2684*$N$1, IF(Gastos[[#This Row],[Divisa]]="EUR", I2684*$N$2, 0)))</f>
        <v>700000</v>
      </c>
      <c r="K2684" s="54">
        <f>Gastos[[#This Row],[Importe AR$]]/$N$1</f>
        <v>448.71794871794873</v>
      </c>
      <c r="M2684" s="69"/>
      <c r="N2684" s="43" t="str">
        <f>IF(Gastos[[#This Row],[Fecha_Cheque]]&gt;0,WEEKNUM(Gastos[[#This Row],[Fecha_Cheque]]),MID(Gastos[[#This Row],[Semana]],6,2))</f>
        <v>13</v>
      </c>
      <c r="O2684" t="s">
        <v>2822</v>
      </c>
      <c r="P2684" t="s">
        <v>27</v>
      </c>
    </row>
    <row r="2685" spans="1:16" hidden="1" x14ac:dyDescent="0.25">
      <c r="A2685" s="3" t="s">
        <v>3439</v>
      </c>
      <c r="B2685" t="s">
        <v>1606</v>
      </c>
      <c r="C2685" t="s">
        <v>3557</v>
      </c>
      <c r="D2685" t="s">
        <v>26</v>
      </c>
      <c r="E2685" t="s">
        <v>42</v>
      </c>
      <c r="F2685">
        <v>2</v>
      </c>
      <c r="G2685" s="3" t="s">
        <v>4</v>
      </c>
      <c r="H2685" s="44" t="s">
        <v>15</v>
      </c>
      <c r="I2685" s="17">
        <v>350000</v>
      </c>
      <c r="J2685" s="17">
        <f>IF(Gastos[[#This Row],[Divisa]]="$", I2685*1, IF(Gastos[[#This Row],[Divisa]]="U$D", I2685*$N$1, IF(Gastos[[#This Row],[Divisa]]="EUR", I2685*$N$2, 0)))</f>
        <v>350000</v>
      </c>
      <c r="K2685" s="54">
        <f>Gastos[[#This Row],[Importe AR$]]/$N$1</f>
        <v>224.35897435897436</v>
      </c>
      <c r="M2685" s="69"/>
      <c r="N2685" s="43" t="str">
        <f>IF(Gastos[[#This Row],[Fecha_Cheque]]&gt;0,WEEKNUM(Gastos[[#This Row],[Fecha_Cheque]]),MID(Gastos[[#This Row],[Semana]],6,2))</f>
        <v>25</v>
      </c>
      <c r="O2685" t="s">
        <v>3558</v>
      </c>
      <c r="P2685" t="s">
        <v>27</v>
      </c>
    </row>
    <row r="2686" spans="1:16" hidden="1" x14ac:dyDescent="0.25">
      <c r="A2686" s="3" t="s">
        <v>53</v>
      </c>
      <c r="B2686" t="s">
        <v>1610</v>
      </c>
      <c r="C2686" t="s">
        <v>693</v>
      </c>
      <c r="D2686" t="s">
        <v>26</v>
      </c>
      <c r="E2686" t="s">
        <v>91</v>
      </c>
      <c r="F2686">
        <v>1</v>
      </c>
      <c r="G2686" s="3" t="s">
        <v>5</v>
      </c>
      <c r="H2686" s="46" t="s">
        <v>15</v>
      </c>
      <c r="I2686" s="17">
        <v>130000</v>
      </c>
      <c r="J2686" s="17">
        <f>IF(Gastos[[#This Row],[Divisa]]="$", I2686*1, IF(Gastos[[#This Row],[Divisa]]="U$D", I2686*$N$1, IF(Gastos[[#This Row],[Divisa]]="EUR", I2686*$N$2, 0)))</f>
        <v>130000</v>
      </c>
      <c r="K2686" s="54">
        <f>Gastos[[#This Row],[Importe AR$]]/$N$1</f>
        <v>83.333333333333329</v>
      </c>
      <c r="M2686" s="69"/>
      <c r="N2686" s="43" t="str">
        <f>IF(Gastos[[#This Row],[Fecha_Cheque]]&gt;0,WEEKNUM(Gastos[[#This Row],[Fecha_Cheque]]),MID(Gastos[[#This Row],[Semana]],6,2))</f>
        <v>34</v>
      </c>
      <c r="O2686" t="s">
        <v>1611</v>
      </c>
      <c r="P2686" t="s">
        <v>27</v>
      </c>
    </row>
    <row r="2687" spans="1:16" hidden="1" x14ac:dyDescent="0.25">
      <c r="A2687" s="3" t="s">
        <v>310</v>
      </c>
      <c r="B2687" t="s">
        <v>1612</v>
      </c>
      <c r="C2687" t="s">
        <v>1613</v>
      </c>
      <c r="D2687" t="s">
        <v>26</v>
      </c>
      <c r="E2687" t="s">
        <v>42</v>
      </c>
      <c r="F2687">
        <v>1</v>
      </c>
      <c r="G2687" s="3" t="s">
        <v>4</v>
      </c>
      <c r="H2687" s="46" t="s">
        <v>15</v>
      </c>
      <c r="I2687" s="17">
        <v>123963.39</v>
      </c>
      <c r="J2687" s="17">
        <f>IF(Gastos[[#This Row],[Divisa]]="$", I2687*1, IF(Gastos[[#This Row],[Divisa]]="U$D", I2687*$N$1, IF(Gastos[[#This Row],[Divisa]]="EUR", I2687*$N$2, 0)))</f>
        <v>123963.39</v>
      </c>
      <c r="K2687" s="54">
        <f>Gastos[[#This Row],[Importe AR$]]/$N$1</f>
        <v>79.463711538461538</v>
      </c>
      <c r="M2687" s="69"/>
      <c r="N2687" s="43" t="str">
        <f>IF(Gastos[[#This Row],[Fecha_Cheque]]&gt;0,WEEKNUM(Gastos[[#This Row],[Fecha_Cheque]]),MID(Gastos[[#This Row],[Semana]],6,2))</f>
        <v>36</v>
      </c>
      <c r="O2687" t="s">
        <v>1614</v>
      </c>
      <c r="P2687" t="s">
        <v>27</v>
      </c>
    </row>
    <row r="2688" spans="1:16" hidden="1" x14ac:dyDescent="0.25">
      <c r="A2688" s="3" t="s">
        <v>310</v>
      </c>
      <c r="B2688" t="s">
        <v>1612</v>
      </c>
      <c r="C2688" t="s">
        <v>1613</v>
      </c>
      <c r="D2688" t="s">
        <v>26</v>
      </c>
      <c r="E2688" t="s">
        <v>31</v>
      </c>
      <c r="F2688">
        <v>1</v>
      </c>
      <c r="G2688" s="3" t="s">
        <v>32</v>
      </c>
      <c r="H2688" s="46" t="s">
        <v>15</v>
      </c>
      <c r="I2688" s="17">
        <v>290000</v>
      </c>
      <c r="J2688" s="17">
        <f>IF(Gastos[[#This Row],[Divisa]]="$", I2688*1, IF(Gastos[[#This Row],[Divisa]]="U$D", I2688*$N$1, IF(Gastos[[#This Row],[Divisa]]="EUR", I2688*$N$2, 0)))</f>
        <v>290000</v>
      </c>
      <c r="K2688" s="54">
        <f>Gastos[[#This Row],[Importe AR$]]/$N$1</f>
        <v>185.89743589743588</v>
      </c>
      <c r="L2688" t="s">
        <v>215</v>
      </c>
      <c r="M2688" s="69">
        <v>45933</v>
      </c>
      <c r="N2688" s="43">
        <f>IF(Gastos[[#This Row],[Fecha_Cheque]]&gt;0,WEEKNUM(Gastos[[#This Row],[Fecha_Cheque]]),MID(Gastos[[#This Row],[Semana]],6,2))</f>
        <v>40</v>
      </c>
      <c r="O2688" t="s">
        <v>1614</v>
      </c>
      <c r="P2688" t="s">
        <v>27</v>
      </c>
    </row>
    <row r="2689" spans="1:16" x14ac:dyDescent="0.25">
      <c r="A2689" s="3" t="s">
        <v>4655</v>
      </c>
      <c r="B2689" t="s">
        <v>1462</v>
      </c>
      <c r="C2689" t="s">
        <v>422</v>
      </c>
      <c r="D2689" t="s">
        <v>26</v>
      </c>
      <c r="E2689" t="s">
        <v>91</v>
      </c>
      <c r="F2689">
        <v>1</v>
      </c>
      <c r="G2689" s="3" t="s">
        <v>5</v>
      </c>
      <c r="H2689" s="44" t="s">
        <v>15</v>
      </c>
      <c r="I2689" s="17">
        <f>724000*4</f>
        <v>2896000</v>
      </c>
      <c r="J2689" s="17">
        <f>IF(Gastos[[#This Row],[Divisa]]="$", I2689*1, IF(Gastos[[#This Row],[Divisa]]="U$D", I2689*$N$1, IF(Gastos[[#This Row],[Divisa]]="EUR", I2689*$N$2, 0)))</f>
        <v>2896000</v>
      </c>
      <c r="K2689" s="54">
        <f>Gastos[[#This Row],[Importe AR$]]/$N$1</f>
        <v>1856.4102564102564</v>
      </c>
      <c r="M2689" s="69"/>
      <c r="N2689" s="43" t="str">
        <f>IF(Gastos[[#This Row],[Fecha_Cheque]]&gt;0,WEEKNUM(Gastos[[#This Row],[Fecha_Cheque]]),MID(Gastos[[#This Row],[Semana]],6,2))</f>
        <v>44</v>
      </c>
      <c r="P2689" t="s">
        <v>7</v>
      </c>
    </row>
    <row r="2690" spans="1:16" hidden="1" x14ac:dyDescent="0.25">
      <c r="A2690" s="3" t="s">
        <v>93</v>
      </c>
      <c r="B2690" t="s">
        <v>1615</v>
      </c>
      <c r="D2690" t="s">
        <v>26</v>
      </c>
      <c r="E2690" t="s">
        <v>91</v>
      </c>
      <c r="F2690">
        <v>1</v>
      </c>
      <c r="G2690" s="3" t="s">
        <v>5</v>
      </c>
      <c r="H2690" s="46" t="s">
        <v>15</v>
      </c>
      <c r="I2690" s="17">
        <v>1130000</v>
      </c>
      <c r="J2690" s="17">
        <f>IF(Gastos[[#This Row],[Divisa]]="$", I2690*1, IF(Gastos[[#This Row],[Divisa]]="U$D", I2690*$N$1, IF(Gastos[[#This Row],[Divisa]]="EUR", I2690*$N$2, 0)))</f>
        <v>1130000</v>
      </c>
      <c r="K2690" s="54">
        <f>Gastos[[#This Row],[Importe AR$]]/$N$1</f>
        <v>724.35897435897436</v>
      </c>
      <c r="M2690" s="69"/>
      <c r="N2690" s="43" t="str">
        <f>IF(Gastos[[#This Row],[Fecha_Cheque]]&gt;0,WEEKNUM(Gastos[[#This Row],[Fecha_Cheque]]),MID(Gastos[[#This Row],[Semana]],6,2))</f>
        <v>50</v>
      </c>
      <c r="O2690" t="s">
        <v>1616</v>
      </c>
      <c r="P2690" t="s">
        <v>27</v>
      </c>
    </row>
    <row r="2691" spans="1:16" hidden="1" x14ac:dyDescent="0.25">
      <c r="A2691" s="3" t="s">
        <v>310</v>
      </c>
      <c r="B2691" t="s">
        <v>1617</v>
      </c>
      <c r="C2691" t="s">
        <v>1618</v>
      </c>
      <c r="D2691" t="s">
        <v>26</v>
      </c>
      <c r="E2691" t="s">
        <v>91</v>
      </c>
      <c r="F2691">
        <v>1</v>
      </c>
      <c r="G2691" s="3" t="s">
        <v>5</v>
      </c>
      <c r="H2691" s="46" t="s">
        <v>15</v>
      </c>
      <c r="I2691" s="17">
        <v>1300000</v>
      </c>
      <c r="J2691" s="17">
        <f>IF(Gastos[[#This Row],[Divisa]]="$", I2691*1, IF(Gastos[[#This Row],[Divisa]]="U$D", I2691*$N$1, IF(Gastos[[#This Row],[Divisa]]="EUR", I2691*$N$2, 0)))</f>
        <v>1300000</v>
      </c>
      <c r="K2691" s="54">
        <f>Gastos[[#This Row],[Importe AR$]]/$N$1</f>
        <v>833.33333333333337</v>
      </c>
      <c r="M2691" s="69"/>
      <c r="N2691" s="43" t="str">
        <f>IF(Gastos[[#This Row],[Fecha_Cheque]]&gt;0,WEEKNUM(Gastos[[#This Row],[Fecha_Cheque]]),MID(Gastos[[#This Row],[Semana]],6,2))</f>
        <v>36</v>
      </c>
      <c r="O2691" t="s">
        <v>1619</v>
      </c>
      <c r="P2691" t="s">
        <v>27</v>
      </c>
    </row>
    <row r="2692" spans="1:16" hidden="1" x14ac:dyDescent="0.25">
      <c r="A2692" s="3" t="s">
        <v>56</v>
      </c>
      <c r="B2692" t="s">
        <v>1617</v>
      </c>
      <c r="C2692" t="s">
        <v>1620</v>
      </c>
      <c r="D2692" t="s">
        <v>26</v>
      </c>
      <c r="E2692" t="s">
        <v>91</v>
      </c>
      <c r="F2692">
        <v>1</v>
      </c>
      <c r="G2692" s="3" t="s">
        <v>5</v>
      </c>
      <c r="H2692" s="46" t="s">
        <v>15</v>
      </c>
      <c r="I2692" s="17">
        <v>1130000</v>
      </c>
      <c r="J2692" s="17">
        <f>IF(Gastos[[#This Row],[Divisa]]="$", I2692*1, IF(Gastos[[#This Row],[Divisa]]="U$D", I2692*$N$1, IF(Gastos[[#This Row],[Divisa]]="EUR", I2692*$N$2, 0)))</f>
        <v>1130000</v>
      </c>
      <c r="K2692" s="54">
        <f>Gastos[[#This Row],[Importe AR$]]/$N$1</f>
        <v>724.35897435897436</v>
      </c>
      <c r="M2692" s="69"/>
      <c r="N2692" s="43" t="str">
        <f>IF(Gastos[[#This Row],[Fecha_Cheque]]&gt;0,WEEKNUM(Gastos[[#This Row],[Fecha_Cheque]]),MID(Gastos[[#This Row],[Semana]],6,2))</f>
        <v>41</v>
      </c>
      <c r="O2692" t="s">
        <v>1621</v>
      </c>
      <c r="P2692" t="s">
        <v>27</v>
      </c>
    </row>
    <row r="2693" spans="1:16" hidden="1" x14ac:dyDescent="0.25">
      <c r="A2693" s="3" t="s">
        <v>130</v>
      </c>
      <c r="B2693" t="s">
        <v>1617</v>
      </c>
      <c r="C2693" t="s">
        <v>1622</v>
      </c>
      <c r="D2693" t="s">
        <v>26</v>
      </c>
      <c r="E2693" t="s">
        <v>91</v>
      </c>
      <c r="F2693">
        <v>1</v>
      </c>
      <c r="G2693" s="3" t="s">
        <v>5</v>
      </c>
      <c r="H2693" s="46" t="s">
        <v>15</v>
      </c>
      <c r="I2693" s="17">
        <v>1130000</v>
      </c>
      <c r="J2693" s="17">
        <f>IF(Gastos[[#This Row],[Divisa]]="$", I2693*1, IF(Gastos[[#This Row],[Divisa]]="U$D", I2693*$N$1, IF(Gastos[[#This Row],[Divisa]]="EUR", I2693*$N$2, 0)))</f>
        <v>1130000</v>
      </c>
      <c r="K2693" s="54">
        <f>Gastos[[#This Row],[Importe AR$]]/$N$1</f>
        <v>724.35897435897436</v>
      </c>
      <c r="M2693" s="69"/>
      <c r="N2693" s="43" t="str">
        <f>IF(Gastos[[#This Row],[Fecha_Cheque]]&gt;0,WEEKNUM(Gastos[[#This Row],[Fecha_Cheque]]),MID(Gastos[[#This Row],[Semana]],6,2))</f>
        <v>45</v>
      </c>
      <c r="O2693" t="s">
        <v>1623</v>
      </c>
      <c r="P2693" t="s">
        <v>27</v>
      </c>
    </row>
    <row r="2694" spans="1:16" hidden="1" x14ac:dyDescent="0.25">
      <c r="A2694" s="3" t="s">
        <v>232</v>
      </c>
      <c r="B2694" t="s">
        <v>1624</v>
      </c>
      <c r="C2694" t="s">
        <v>1625</v>
      </c>
      <c r="D2694" t="s">
        <v>26</v>
      </c>
      <c r="E2694" t="s">
        <v>42</v>
      </c>
      <c r="F2694">
        <v>2</v>
      </c>
      <c r="G2694" s="3" t="s">
        <v>4</v>
      </c>
      <c r="H2694" s="46" t="s">
        <v>15</v>
      </c>
      <c r="I2694" s="17">
        <v>380000</v>
      </c>
      <c r="J2694" s="17">
        <f>IF(Gastos[[#This Row],[Divisa]]="$", I2694*1, IF(Gastos[[#This Row],[Divisa]]="U$D", I2694*$N$1, IF(Gastos[[#This Row],[Divisa]]="EUR", I2694*$N$2, 0)))</f>
        <v>380000</v>
      </c>
      <c r="K2694" s="54">
        <f>Gastos[[#This Row],[Importe AR$]]/$N$1</f>
        <v>243.58974358974359</v>
      </c>
      <c r="M2694" s="69"/>
      <c r="N2694" s="43" t="str">
        <f>IF(Gastos[[#This Row],[Fecha_Cheque]]&gt;0,WEEKNUM(Gastos[[#This Row],[Fecha_Cheque]]),MID(Gastos[[#This Row],[Semana]],6,2))</f>
        <v>44</v>
      </c>
      <c r="O2694" t="s">
        <v>1626</v>
      </c>
      <c r="P2694" t="s">
        <v>27</v>
      </c>
    </row>
    <row r="2695" spans="1:16" hidden="1" x14ac:dyDescent="0.25">
      <c r="A2695" s="3" t="s">
        <v>114</v>
      </c>
      <c r="B2695" t="s">
        <v>1627</v>
      </c>
      <c r="C2695" t="s">
        <v>1628</v>
      </c>
      <c r="D2695" t="s">
        <v>26</v>
      </c>
      <c r="E2695" t="s">
        <v>31</v>
      </c>
      <c r="F2695">
        <v>1</v>
      </c>
      <c r="G2695" s="3" t="s">
        <v>5</v>
      </c>
      <c r="H2695" s="46" t="s">
        <v>15</v>
      </c>
      <c r="I2695" s="17">
        <v>5827823.75</v>
      </c>
      <c r="J2695" s="17">
        <f>IF(Gastos[[#This Row],[Divisa]]="$", I2695*1, IF(Gastos[[#This Row],[Divisa]]="U$D", I2695*$N$1, IF(Gastos[[#This Row],[Divisa]]="EUR", I2695*$N$2, 0)))</f>
        <v>5827823.75</v>
      </c>
      <c r="K2695" s="54">
        <f>Gastos[[#This Row],[Importe AR$]]/$N$1</f>
        <v>3735.7844551282051</v>
      </c>
      <c r="M2695" s="69"/>
      <c r="N2695" s="43" t="str">
        <f>IF(Gastos[[#This Row],[Fecha_Cheque]]&gt;0,WEEKNUM(Gastos[[#This Row],[Fecha_Cheque]]),MID(Gastos[[#This Row],[Semana]],6,2))</f>
        <v>29</v>
      </c>
      <c r="O2695" t="s">
        <v>1629</v>
      </c>
      <c r="P2695" t="s">
        <v>27</v>
      </c>
    </row>
    <row r="2696" spans="1:16" hidden="1" x14ac:dyDescent="0.25">
      <c r="A2696" s="3" t="s">
        <v>114</v>
      </c>
      <c r="B2696" t="s">
        <v>1627</v>
      </c>
      <c r="C2696" t="s">
        <v>1628</v>
      </c>
      <c r="D2696" t="s">
        <v>26</v>
      </c>
      <c r="E2696" t="s">
        <v>31</v>
      </c>
      <c r="F2696">
        <v>1</v>
      </c>
      <c r="G2696" s="3" t="s">
        <v>32</v>
      </c>
      <c r="H2696" s="46" t="s">
        <v>15</v>
      </c>
      <c r="I2696" s="17">
        <v>2853664</v>
      </c>
      <c r="J2696" s="17">
        <f>IF(Gastos[[#This Row],[Divisa]]="$", I2696*1, IF(Gastos[[#This Row],[Divisa]]="U$D", I2696*$N$1, IF(Gastos[[#This Row],[Divisa]]="EUR", I2696*$N$2, 0)))</f>
        <v>2853664</v>
      </c>
      <c r="K2696" s="54">
        <f>Gastos[[#This Row],[Importe AR$]]/$N$1</f>
        <v>1829.2717948717948</v>
      </c>
      <c r="M2696" s="69">
        <v>45855</v>
      </c>
      <c r="N2696" s="43">
        <f>IF(Gastos[[#This Row],[Fecha_Cheque]]&gt;0,WEEKNUM(Gastos[[#This Row],[Fecha_Cheque]]),MID(Gastos[[#This Row],[Semana]],6,2))</f>
        <v>29</v>
      </c>
      <c r="O2696" t="s">
        <v>1629</v>
      </c>
      <c r="P2696" t="s">
        <v>27</v>
      </c>
    </row>
    <row r="2697" spans="1:16" hidden="1" x14ac:dyDescent="0.25">
      <c r="A2697" s="3" t="s">
        <v>114</v>
      </c>
      <c r="B2697" t="s">
        <v>1627</v>
      </c>
      <c r="C2697" t="s">
        <v>1628</v>
      </c>
      <c r="D2697" t="s">
        <v>26</v>
      </c>
      <c r="E2697" t="s">
        <v>31</v>
      </c>
      <c r="F2697">
        <v>1</v>
      </c>
      <c r="G2697" s="3" t="s">
        <v>32</v>
      </c>
      <c r="H2697" s="46" t="s">
        <v>15</v>
      </c>
      <c r="I2697" s="17">
        <v>5118635.68</v>
      </c>
      <c r="J2697" s="17">
        <f>IF(Gastos[[#This Row],[Divisa]]="$", I2697*1, IF(Gastos[[#This Row],[Divisa]]="U$D", I2697*$N$1, IF(Gastos[[#This Row],[Divisa]]="EUR", I2697*$N$2, 0)))</f>
        <v>5118635.68</v>
      </c>
      <c r="K2697" s="54">
        <f>Gastos[[#This Row],[Importe AR$]]/$N$1</f>
        <v>3281.1767179487179</v>
      </c>
      <c r="M2697" s="69">
        <v>45884</v>
      </c>
      <c r="N2697" s="43">
        <f>IF(Gastos[[#This Row],[Fecha_Cheque]]&gt;0,WEEKNUM(Gastos[[#This Row],[Fecha_Cheque]]),MID(Gastos[[#This Row],[Semana]],6,2))</f>
        <v>33</v>
      </c>
      <c r="O2697" t="s">
        <v>1629</v>
      </c>
      <c r="P2697" t="s">
        <v>27</v>
      </c>
    </row>
    <row r="2698" spans="1:16" hidden="1" x14ac:dyDescent="0.25">
      <c r="A2698" s="3" t="s">
        <v>217</v>
      </c>
      <c r="B2698" t="s">
        <v>1627</v>
      </c>
      <c r="C2698" t="s">
        <v>1628</v>
      </c>
      <c r="D2698" t="s">
        <v>26</v>
      </c>
      <c r="E2698" t="s">
        <v>31</v>
      </c>
      <c r="F2698">
        <v>1</v>
      </c>
      <c r="G2698" s="3" t="s">
        <v>5</v>
      </c>
      <c r="H2698" s="46" t="s">
        <v>15</v>
      </c>
      <c r="I2698" s="17">
        <v>11774290.220000001</v>
      </c>
      <c r="J2698" s="17">
        <f>IF(Gastos[[#This Row],[Divisa]]="$", I2698*1, IF(Gastos[[#This Row],[Divisa]]="U$D", I2698*$N$1, IF(Gastos[[#This Row],[Divisa]]="EUR", I2698*$N$2, 0)))</f>
        <v>11774290.220000001</v>
      </c>
      <c r="K2698" s="54">
        <f>Gastos[[#This Row],[Importe AR$]]/$N$1</f>
        <v>7547.6219358974367</v>
      </c>
      <c r="M2698" s="69"/>
      <c r="N2698" s="43" t="str">
        <f>IF(Gastos[[#This Row],[Fecha_Cheque]]&gt;0,WEEKNUM(Gastos[[#This Row],[Fecha_Cheque]]),MID(Gastos[[#This Row],[Semana]],6,2))</f>
        <v>30</v>
      </c>
      <c r="O2698" t="s">
        <v>1630</v>
      </c>
      <c r="P2698" t="s">
        <v>27</v>
      </c>
    </row>
    <row r="2699" spans="1:16" hidden="1" x14ac:dyDescent="0.25">
      <c r="A2699" s="3" t="s">
        <v>124</v>
      </c>
      <c r="B2699" t="s">
        <v>1631</v>
      </c>
      <c r="C2699" t="s">
        <v>1632</v>
      </c>
      <c r="D2699" t="s">
        <v>26</v>
      </c>
      <c r="E2699" t="s">
        <v>91</v>
      </c>
      <c r="F2699">
        <v>1</v>
      </c>
      <c r="G2699" s="3" t="s">
        <v>5</v>
      </c>
      <c r="H2699" s="46" t="s">
        <v>15</v>
      </c>
      <c r="I2699" s="17">
        <v>2195215.59</v>
      </c>
      <c r="J2699" s="17">
        <f>IF(Gastos[[#This Row],[Divisa]]="$", I2699*1, IF(Gastos[[#This Row],[Divisa]]="U$D", I2699*$N$1, IF(Gastos[[#This Row],[Divisa]]="EUR", I2699*$N$2, 0)))</f>
        <v>2195215.59</v>
      </c>
      <c r="K2699" s="54">
        <f>Gastos[[#This Row],[Importe AR$]]/$N$1</f>
        <v>1407.1894807692306</v>
      </c>
      <c r="M2699" s="69"/>
      <c r="N2699" s="43" t="str">
        <f>IF(Gastos[[#This Row],[Fecha_Cheque]]&gt;0,WEEKNUM(Gastos[[#This Row],[Fecha_Cheque]]),MID(Gastos[[#This Row],[Semana]],6,2))</f>
        <v>42</v>
      </c>
      <c r="O2699" t="s">
        <v>1633</v>
      </c>
      <c r="P2699" t="s">
        <v>27</v>
      </c>
    </row>
    <row r="2700" spans="1:16" hidden="1" x14ac:dyDescent="0.25">
      <c r="A2700" s="3" t="s">
        <v>828</v>
      </c>
      <c r="B2700" t="s">
        <v>2665</v>
      </c>
      <c r="C2700" t="s">
        <v>1948</v>
      </c>
      <c r="D2700" t="s">
        <v>26</v>
      </c>
      <c r="E2700" t="s">
        <v>42</v>
      </c>
      <c r="F2700">
        <v>1</v>
      </c>
      <c r="G2700" s="3" t="s">
        <v>4</v>
      </c>
      <c r="H2700" s="44" t="s">
        <v>15</v>
      </c>
      <c r="I2700" s="17">
        <v>104000</v>
      </c>
      <c r="J2700" s="17">
        <f>IF(Gastos[[#This Row],[Divisa]]="$", I2700*1, IF(Gastos[[#This Row],[Divisa]]="U$D", I2700*$N$1, IF(Gastos[[#This Row],[Divisa]]="EUR", I2700*$N$2, 0)))</f>
        <v>104000</v>
      </c>
      <c r="K2700" s="54">
        <f>Gastos[[#This Row],[Importe AR$]]/$N$1</f>
        <v>66.666666666666671</v>
      </c>
      <c r="M2700" s="69"/>
      <c r="N2700" s="43" t="str">
        <f>IF(Gastos[[#This Row],[Fecha_Cheque]]&gt;0,WEEKNUM(Gastos[[#This Row],[Fecha_Cheque]]),MID(Gastos[[#This Row],[Semana]],6,2))</f>
        <v>13</v>
      </c>
      <c r="O2700" t="s">
        <v>2666</v>
      </c>
      <c r="P2700" t="s">
        <v>27</v>
      </c>
    </row>
    <row r="2701" spans="1:16" hidden="1" x14ac:dyDescent="0.25">
      <c r="A2701" s="3" t="s">
        <v>52</v>
      </c>
      <c r="B2701" t="s">
        <v>1634</v>
      </c>
      <c r="C2701" t="s">
        <v>1635</v>
      </c>
      <c r="D2701" t="s">
        <v>26</v>
      </c>
      <c r="E2701" t="s">
        <v>31</v>
      </c>
      <c r="F2701">
        <v>1</v>
      </c>
      <c r="G2701" s="3" t="s">
        <v>4</v>
      </c>
      <c r="H2701" s="46" t="s">
        <v>15</v>
      </c>
      <c r="I2701" s="19">
        <v>400000</v>
      </c>
      <c r="J2701" s="17">
        <f>IF(Gastos[[#This Row],[Divisa]]="$", I2701*1, IF(Gastos[[#This Row],[Divisa]]="U$D", I2701*$N$1, IF(Gastos[[#This Row],[Divisa]]="EUR", I2701*$N$2, 0)))</f>
        <v>400000</v>
      </c>
      <c r="K2701" s="55">
        <f>Gastos[[#This Row],[Importe AR$]]/$N$1</f>
        <v>256.41025641025641</v>
      </c>
      <c r="M2701" s="69"/>
      <c r="N2701" s="43" t="str">
        <f>IF(Gastos[[#This Row],[Fecha_Cheque]]&gt;0,WEEKNUM(Gastos[[#This Row],[Fecha_Cheque]]),MID(Gastos[[#This Row],[Semana]],6,2))</f>
        <v>12</v>
      </c>
      <c r="P2701" t="s">
        <v>27</v>
      </c>
    </row>
    <row r="2702" spans="1:16" hidden="1" x14ac:dyDescent="0.25">
      <c r="A2702" s="3" t="s">
        <v>52</v>
      </c>
      <c r="B2702" t="s">
        <v>1634</v>
      </c>
      <c r="C2702" t="s">
        <v>1636</v>
      </c>
      <c r="D2702" t="s">
        <v>26</v>
      </c>
      <c r="E2702" t="s">
        <v>31</v>
      </c>
      <c r="F2702">
        <v>1</v>
      </c>
      <c r="G2702" s="3" t="s">
        <v>4</v>
      </c>
      <c r="H2702" s="46" t="s">
        <v>15</v>
      </c>
      <c r="I2702" s="19">
        <v>80000</v>
      </c>
      <c r="J2702" s="17">
        <f>IF(Gastos[[#This Row],[Divisa]]="$", I2702*1, IF(Gastos[[#This Row],[Divisa]]="U$D", I2702*$N$1, IF(Gastos[[#This Row],[Divisa]]="EUR", I2702*$N$2, 0)))</f>
        <v>80000</v>
      </c>
      <c r="K2702" s="55">
        <f>Gastos[[#This Row],[Importe AR$]]/$N$1</f>
        <v>51.282051282051285</v>
      </c>
      <c r="M2702" s="69"/>
      <c r="N2702" s="43" t="str">
        <f>IF(Gastos[[#This Row],[Fecha_Cheque]]&gt;0,WEEKNUM(Gastos[[#This Row],[Fecha_Cheque]]),MID(Gastos[[#This Row],[Semana]],6,2))</f>
        <v>12</v>
      </c>
      <c r="P2702" t="s">
        <v>27</v>
      </c>
    </row>
    <row r="2703" spans="1:16" hidden="1" x14ac:dyDescent="0.25">
      <c r="A2703" s="3" t="s">
        <v>3963</v>
      </c>
      <c r="B2703" t="s">
        <v>4013</v>
      </c>
      <c r="C2703" t="s">
        <v>3978</v>
      </c>
      <c r="D2703" t="s">
        <v>26</v>
      </c>
      <c r="E2703" t="s">
        <v>31</v>
      </c>
      <c r="F2703">
        <v>2</v>
      </c>
      <c r="G2703" s="3" t="s">
        <v>32</v>
      </c>
      <c r="H2703" s="44" t="s">
        <v>15</v>
      </c>
      <c r="I2703" s="17">
        <v>2000000</v>
      </c>
      <c r="J2703" s="17">
        <f>IF(Gastos[[#This Row],[Divisa]]="$", I2703*1, IF(Gastos[[#This Row],[Divisa]]="U$D", I2703*$N$1, IF(Gastos[[#This Row],[Divisa]]="EUR", I2703*$N$2, 0)))</f>
        <v>2000000</v>
      </c>
      <c r="K2703" s="54">
        <f>Gastos[[#This Row],[Importe AR$]]/$N$1</f>
        <v>1282.051282051282</v>
      </c>
      <c r="M2703" s="69">
        <v>46307</v>
      </c>
      <c r="N2703" s="43">
        <f>IF(Gastos[[#This Row],[Fecha_Cheque]]&gt;0,WEEKNUM(Gastos[[#This Row],[Fecha_Cheque]]),MID(Gastos[[#This Row],[Semana]],6,2))</f>
        <v>42</v>
      </c>
      <c r="O2703" t="s">
        <v>4014</v>
      </c>
      <c r="P2703" t="s">
        <v>27</v>
      </c>
    </row>
    <row r="2704" spans="1:16" hidden="1" x14ac:dyDescent="0.25">
      <c r="A2704" s="3" t="s">
        <v>2841</v>
      </c>
      <c r="B2704" t="s">
        <v>3253</v>
      </c>
      <c r="C2704" t="s">
        <v>3178</v>
      </c>
      <c r="D2704" t="s">
        <v>26</v>
      </c>
      <c r="E2704" t="s">
        <v>31</v>
      </c>
      <c r="F2704">
        <v>1</v>
      </c>
      <c r="G2704" s="3" t="s">
        <v>32</v>
      </c>
      <c r="H2704" s="44" t="s">
        <v>15</v>
      </c>
      <c r="I2704" s="17">
        <v>1037200</v>
      </c>
      <c r="J2704" s="17">
        <f>IF(Gastos[[#This Row],[Divisa]]="$", I2704*1, IF(Gastos[[#This Row],[Divisa]]="U$D", I2704*$N$1, IF(Gastos[[#This Row],[Divisa]]="EUR", I2704*$N$2, 0)))</f>
        <v>1037200</v>
      </c>
      <c r="K2704" s="54">
        <f>Gastos[[#This Row],[Importe AR$]]/$N$1</f>
        <v>664.87179487179492</v>
      </c>
      <c r="M2704" s="69">
        <v>46189</v>
      </c>
      <c r="N2704" s="43">
        <f>IF(Gastos[[#This Row],[Fecha_Cheque]]&gt;0,WEEKNUM(Gastos[[#This Row],[Fecha_Cheque]]),MID(Gastos[[#This Row],[Semana]],6,2))</f>
        <v>25</v>
      </c>
      <c r="O2704" t="s">
        <v>3254</v>
      </c>
      <c r="P2704" t="s">
        <v>27</v>
      </c>
    </row>
    <row r="2705" spans="1:16" hidden="1" x14ac:dyDescent="0.25">
      <c r="A2705" s="3" t="s">
        <v>2841</v>
      </c>
      <c r="B2705" t="s">
        <v>3253</v>
      </c>
      <c r="C2705" t="s">
        <v>3178</v>
      </c>
      <c r="D2705" t="s">
        <v>26</v>
      </c>
      <c r="E2705" t="s">
        <v>31</v>
      </c>
      <c r="F2705">
        <v>1</v>
      </c>
      <c r="G2705" s="3" t="s">
        <v>32</v>
      </c>
      <c r="H2705" s="44" t="s">
        <v>15</v>
      </c>
      <c r="I2705" s="17">
        <v>12663.8</v>
      </c>
      <c r="J2705" s="17">
        <f>IF(Gastos[[#This Row],[Divisa]]="$", I2705*1, IF(Gastos[[#This Row],[Divisa]]="U$D", I2705*$N$1, IF(Gastos[[#This Row],[Divisa]]="EUR", I2705*$N$2, 0)))</f>
        <v>12663.8</v>
      </c>
      <c r="K2705" s="54">
        <f>Gastos[[#This Row],[Importe AR$]]/$N$1</f>
        <v>8.1178205128205132</v>
      </c>
      <c r="L2705" t="s">
        <v>340</v>
      </c>
      <c r="M2705" s="69"/>
      <c r="N2705" s="43" t="str">
        <f>IF(Gastos[[#This Row],[Fecha_Cheque]]&gt;0,WEEKNUM(Gastos[[#This Row],[Fecha_Cheque]]),MID(Gastos[[#This Row],[Semana]],6,2))</f>
        <v>22</v>
      </c>
      <c r="O2705" t="s">
        <v>3254</v>
      </c>
      <c r="P2705" t="s">
        <v>27</v>
      </c>
    </row>
    <row r="2706" spans="1:16" hidden="1" x14ac:dyDescent="0.25">
      <c r="A2706" s="3" t="s">
        <v>2726</v>
      </c>
      <c r="B2706" t="s">
        <v>3253</v>
      </c>
      <c r="C2706" t="s">
        <v>3413</v>
      </c>
      <c r="D2706" t="s">
        <v>26</v>
      </c>
      <c r="E2706" t="s">
        <v>31</v>
      </c>
      <c r="F2706">
        <v>1</v>
      </c>
      <c r="G2706" s="3" t="s">
        <v>32</v>
      </c>
      <c r="H2706" s="44" t="s">
        <v>15</v>
      </c>
      <c r="I2706" s="17">
        <v>425197.32</v>
      </c>
      <c r="J2706" s="17">
        <f>IF(Gastos[[#This Row],[Divisa]]="$", I2706*1, IF(Gastos[[#This Row],[Divisa]]="U$D", I2706*$N$1, IF(Gastos[[#This Row],[Divisa]]="EUR", I2706*$N$2, 0)))</f>
        <v>425197.32</v>
      </c>
      <c r="K2706" s="54">
        <f>Gastos[[#This Row],[Importe AR$]]/$N$1</f>
        <v>272.56238461538464</v>
      </c>
      <c r="M2706" s="69">
        <v>46215</v>
      </c>
      <c r="N2706" s="43">
        <f>IF(Gastos[[#This Row],[Fecha_Cheque]]&gt;0,WEEKNUM(Gastos[[#This Row],[Fecha_Cheque]]),MID(Gastos[[#This Row],[Semana]],6,2))</f>
        <v>29</v>
      </c>
      <c r="O2706" t="s">
        <v>3505</v>
      </c>
      <c r="P2706" t="s">
        <v>27</v>
      </c>
    </row>
    <row r="2707" spans="1:16" hidden="1" x14ac:dyDescent="0.25">
      <c r="A2707" s="3" t="s">
        <v>2726</v>
      </c>
      <c r="B2707" t="s">
        <v>3253</v>
      </c>
      <c r="C2707" t="s">
        <v>3413</v>
      </c>
      <c r="D2707" t="s">
        <v>26</v>
      </c>
      <c r="E2707" t="s">
        <v>31</v>
      </c>
      <c r="F2707">
        <v>1</v>
      </c>
      <c r="G2707" s="3" t="s">
        <v>32</v>
      </c>
      <c r="H2707" s="44" t="s">
        <v>15</v>
      </c>
      <c r="I2707" s="17">
        <v>2590.88</v>
      </c>
      <c r="J2707" s="17">
        <f>IF(Gastos[[#This Row],[Divisa]]="$", I2707*1, IF(Gastos[[#This Row],[Divisa]]="U$D", I2707*$N$1, IF(Gastos[[#This Row],[Divisa]]="EUR", I2707*$N$2, 0)))</f>
        <v>2590.88</v>
      </c>
      <c r="K2707" s="54">
        <f>Gastos[[#This Row],[Importe AR$]]/$N$1</f>
        <v>1.6608205128205129</v>
      </c>
      <c r="L2707" t="s">
        <v>340</v>
      </c>
      <c r="M2707" s="69"/>
      <c r="N2707" s="43" t="str">
        <f>IF(Gastos[[#This Row],[Fecha_Cheque]]&gt;0,WEEKNUM(Gastos[[#This Row],[Fecha_Cheque]]),MID(Gastos[[#This Row],[Semana]],6,2))</f>
        <v>24</v>
      </c>
      <c r="O2707" t="s">
        <v>3505</v>
      </c>
      <c r="P2707" t="s">
        <v>27</v>
      </c>
    </row>
    <row r="2708" spans="1:16" hidden="1" x14ac:dyDescent="0.25">
      <c r="A2708" s="3" t="s">
        <v>75</v>
      </c>
      <c r="B2708" t="s">
        <v>1637</v>
      </c>
      <c r="D2708" t="s">
        <v>26</v>
      </c>
      <c r="E2708" t="s">
        <v>91</v>
      </c>
      <c r="F2708">
        <v>1</v>
      </c>
      <c r="G2708" s="3" t="s">
        <v>5</v>
      </c>
      <c r="H2708" s="46" t="s">
        <v>15</v>
      </c>
      <c r="I2708" s="17">
        <v>402500</v>
      </c>
      <c r="J2708" s="17">
        <f>IF(Gastos[[#This Row],[Divisa]]="$", I2708*1, IF(Gastos[[#This Row],[Divisa]]="U$D", I2708*$N$1, IF(Gastos[[#This Row],[Divisa]]="EUR", I2708*$N$2, 0)))</f>
        <v>402500</v>
      </c>
      <c r="K2708" s="54">
        <f>Gastos[[#This Row],[Importe AR$]]/$N$1</f>
        <v>258.0128205128205</v>
      </c>
      <c r="M2708" s="69"/>
      <c r="N2708" s="43" t="str">
        <f>IF(Gastos[[#This Row],[Fecha_Cheque]]&gt;0,WEEKNUM(Gastos[[#This Row],[Fecha_Cheque]]),MID(Gastos[[#This Row],[Semana]],6,2))</f>
        <v>07</v>
      </c>
      <c r="O2708" t="s">
        <v>1638</v>
      </c>
      <c r="P2708" t="s">
        <v>27</v>
      </c>
    </row>
    <row r="2709" spans="1:16" hidden="1" x14ac:dyDescent="0.25">
      <c r="A2709" s="3" t="s">
        <v>4569</v>
      </c>
      <c r="B2709" t="s">
        <v>1637</v>
      </c>
      <c r="C2709" t="s">
        <v>422</v>
      </c>
      <c r="D2709" t="s">
        <v>26</v>
      </c>
      <c r="E2709" t="s">
        <v>62</v>
      </c>
      <c r="F2709">
        <v>1</v>
      </c>
      <c r="G2709" s="3" t="s">
        <v>5</v>
      </c>
      <c r="H2709" s="44" t="s">
        <v>15</v>
      </c>
      <c r="I2709" s="17">
        <v>1251800</v>
      </c>
      <c r="J2709" s="17">
        <f>IF(Gastos[[#This Row],[Divisa]]="$", I2709*1, IF(Gastos[[#This Row],[Divisa]]="U$D", I2709*$N$1, IF(Gastos[[#This Row],[Divisa]]="EUR", I2709*$N$2, 0)))</f>
        <v>1251800</v>
      </c>
      <c r="K2709" s="54">
        <f>Gastos[[#This Row],[Importe AR$]]/$N$1</f>
        <v>802.43589743589746</v>
      </c>
      <c r="M2709" s="69"/>
      <c r="N2709" s="43" t="str">
        <f>IF(Gastos[[#This Row],[Fecha_Cheque]]&gt;0,WEEKNUM(Gastos[[#This Row],[Fecha_Cheque]]),MID(Gastos[[#This Row],[Semana]],6,2))</f>
        <v>43</v>
      </c>
      <c r="O2709" t="s">
        <v>4639</v>
      </c>
      <c r="P2709" t="s">
        <v>27</v>
      </c>
    </row>
    <row r="2710" spans="1:16" hidden="1" x14ac:dyDescent="0.25">
      <c r="A2710" s="3" t="s">
        <v>93</v>
      </c>
      <c r="B2710" t="s">
        <v>1639</v>
      </c>
      <c r="C2710" t="s">
        <v>1640</v>
      </c>
      <c r="D2710" t="s">
        <v>26</v>
      </c>
      <c r="E2710" t="s">
        <v>91</v>
      </c>
      <c r="F2710">
        <v>1</v>
      </c>
      <c r="G2710" s="3" t="s">
        <v>5</v>
      </c>
      <c r="H2710" s="46" t="s">
        <v>15</v>
      </c>
      <c r="I2710" s="17">
        <v>190000</v>
      </c>
      <c r="J2710" s="17">
        <f>IF(Gastos[[#This Row],[Divisa]]="$", I2710*1, IF(Gastos[[#This Row],[Divisa]]="U$D", I2710*$N$1, IF(Gastos[[#This Row],[Divisa]]="EUR", I2710*$N$2, 0)))</f>
        <v>190000</v>
      </c>
      <c r="K2710" s="54">
        <f>Gastos[[#This Row],[Importe AR$]]/$N$1</f>
        <v>121.7948717948718</v>
      </c>
      <c r="M2710" s="69"/>
      <c r="N2710" s="43" t="str">
        <f>IF(Gastos[[#This Row],[Fecha_Cheque]]&gt;0,WEEKNUM(Gastos[[#This Row],[Fecha_Cheque]]),MID(Gastos[[#This Row],[Semana]],6,2))</f>
        <v>50</v>
      </c>
      <c r="O2710" t="s">
        <v>1641</v>
      </c>
      <c r="P2710" t="s">
        <v>27</v>
      </c>
    </row>
    <row r="2711" spans="1:16" hidden="1" x14ac:dyDescent="0.25">
      <c r="A2711" s="3" t="s">
        <v>53</v>
      </c>
      <c r="B2711" t="s">
        <v>1642</v>
      </c>
      <c r="D2711" t="s">
        <v>26</v>
      </c>
      <c r="E2711" t="s">
        <v>31</v>
      </c>
      <c r="F2711">
        <v>1</v>
      </c>
      <c r="G2711" s="3" t="s">
        <v>32</v>
      </c>
      <c r="H2711" s="46" t="s">
        <v>15</v>
      </c>
      <c r="I2711" s="17">
        <v>657032.63</v>
      </c>
      <c r="J2711" s="17">
        <f>IF(Gastos[[#This Row],[Divisa]]="$", I2711*1, IF(Gastos[[#This Row],[Divisa]]="U$D", I2711*$N$1, IF(Gastos[[#This Row],[Divisa]]="EUR", I2711*$N$2, 0)))</f>
        <v>657032.63</v>
      </c>
      <c r="K2711" s="54">
        <f>Gastos[[#This Row],[Importe AR$]]/$N$1</f>
        <v>421.1747628205128</v>
      </c>
      <c r="M2711" s="69">
        <v>45940</v>
      </c>
      <c r="N2711" s="43">
        <f>IF(Gastos[[#This Row],[Fecha_Cheque]]&gt;0,WEEKNUM(Gastos[[#This Row],[Fecha_Cheque]]),MID(Gastos[[#This Row],[Semana]],6,2))</f>
        <v>41</v>
      </c>
      <c r="O2711" t="s">
        <v>1643</v>
      </c>
      <c r="P2711" t="s">
        <v>27</v>
      </c>
    </row>
    <row r="2712" spans="1:16" hidden="1" x14ac:dyDescent="0.25">
      <c r="A2712" s="3" t="s">
        <v>332</v>
      </c>
      <c r="B2712" t="s">
        <v>2643</v>
      </c>
      <c r="C2712" t="s">
        <v>2644</v>
      </c>
      <c r="D2712" t="s">
        <v>26</v>
      </c>
      <c r="E2712" t="s">
        <v>62</v>
      </c>
      <c r="F2712">
        <v>1</v>
      </c>
      <c r="G2712" s="3" t="s">
        <v>32</v>
      </c>
      <c r="H2712" s="44" t="s">
        <v>15</v>
      </c>
      <c r="I2712" s="17">
        <v>1119700</v>
      </c>
      <c r="J2712" s="17">
        <f>IF(Gastos[[#This Row],[Divisa]]="$", I2712*1, IF(Gastos[[#This Row],[Divisa]]="U$D", I2712*$N$1, IF(Gastos[[#This Row],[Divisa]]="EUR", I2712*$N$2, 0)))</f>
        <v>1119700</v>
      </c>
      <c r="K2712" s="54">
        <f>Gastos[[#This Row],[Importe AR$]]/$N$1</f>
        <v>717.75641025641028</v>
      </c>
      <c r="M2712" s="69">
        <v>46108</v>
      </c>
      <c r="N2712" s="43">
        <f>IF(Gastos[[#This Row],[Fecha_Cheque]]&gt;0,WEEKNUM(Gastos[[#This Row],[Fecha_Cheque]]),MID(Gastos[[#This Row],[Semana]],6,2))</f>
        <v>13</v>
      </c>
      <c r="O2712" t="s">
        <v>2645</v>
      </c>
      <c r="P2712" t="s">
        <v>27</v>
      </c>
    </row>
    <row r="2713" spans="1:16" hidden="1" x14ac:dyDescent="0.25">
      <c r="A2713" s="3" t="s">
        <v>332</v>
      </c>
      <c r="B2713" t="s">
        <v>2643</v>
      </c>
      <c r="C2713" t="s">
        <v>2644</v>
      </c>
      <c r="D2713" t="s">
        <v>26</v>
      </c>
      <c r="E2713" t="s">
        <v>62</v>
      </c>
      <c r="F2713">
        <v>1</v>
      </c>
      <c r="G2713" s="3" t="s">
        <v>32</v>
      </c>
      <c r="H2713" s="44" t="s">
        <v>15</v>
      </c>
      <c r="I2713" s="17">
        <v>14024.13</v>
      </c>
      <c r="J2713" s="17">
        <f>IF(Gastos[[#This Row],[Divisa]]="$", I2713*1, IF(Gastos[[#This Row],[Divisa]]="U$D", I2713*$N$1, IF(Gastos[[#This Row],[Divisa]]="EUR", I2713*$N$2, 0)))</f>
        <v>14024.13</v>
      </c>
      <c r="K2713" s="54">
        <f>Gastos[[#This Row],[Importe AR$]]/$N$1</f>
        <v>8.9898269230769223</v>
      </c>
      <c r="L2713" t="s">
        <v>340</v>
      </c>
      <c r="M2713" s="69"/>
      <c r="N2713" s="43" t="str">
        <f>IF(Gastos[[#This Row],[Fecha_Cheque]]&gt;0,WEEKNUM(Gastos[[#This Row],[Fecha_Cheque]]),MID(Gastos[[#This Row],[Semana]],6,2))</f>
        <v>12</v>
      </c>
      <c r="O2713" t="s">
        <v>2645</v>
      </c>
      <c r="P2713" t="s">
        <v>27</v>
      </c>
    </row>
    <row r="2714" spans="1:16" hidden="1" x14ac:dyDescent="0.25">
      <c r="A2714" s="3" t="s">
        <v>3567</v>
      </c>
      <c r="B2714" t="s">
        <v>2643</v>
      </c>
      <c r="D2714" t="s">
        <v>26</v>
      </c>
      <c r="E2714" t="s">
        <v>31</v>
      </c>
      <c r="F2714">
        <v>1</v>
      </c>
      <c r="G2714" s="3" t="s">
        <v>32</v>
      </c>
      <c r="H2714" s="44" t="s">
        <v>15</v>
      </c>
      <c r="I2714" s="17">
        <v>1217454.25</v>
      </c>
      <c r="J2714" s="17">
        <f>IF(Gastos[[#This Row],[Divisa]]="$", I2714*1, IF(Gastos[[#This Row],[Divisa]]="U$D", I2714*$N$1, IF(Gastos[[#This Row],[Divisa]]="EUR", I2714*$N$2, 0)))</f>
        <v>1217454.25</v>
      </c>
      <c r="K2714" s="54">
        <f>Gastos[[#This Row],[Importe AR$]]/$N$1</f>
        <v>780.41939102564106</v>
      </c>
      <c r="M2714" s="69">
        <v>46226</v>
      </c>
      <c r="N2714" s="43">
        <f>IF(Gastos[[#This Row],[Fecha_Cheque]]&gt;0,WEEKNUM(Gastos[[#This Row],[Fecha_Cheque]]),MID(Gastos[[#This Row],[Semana]],6,2))</f>
        <v>30</v>
      </c>
      <c r="O2714" t="s">
        <v>3580</v>
      </c>
      <c r="P2714" t="s">
        <v>27</v>
      </c>
    </row>
    <row r="2715" spans="1:16" hidden="1" x14ac:dyDescent="0.25">
      <c r="A2715" s="3" t="s">
        <v>3567</v>
      </c>
      <c r="B2715" t="s">
        <v>2643</v>
      </c>
      <c r="D2715" t="s">
        <v>26</v>
      </c>
      <c r="E2715" t="s">
        <v>31</v>
      </c>
      <c r="F2715">
        <v>1</v>
      </c>
      <c r="G2715" s="3" t="s">
        <v>32</v>
      </c>
      <c r="H2715" s="44" t="s">
        <v>15</v>
      </c>
      <c r="I2715" s="17">
        <v>15906.12</v>
      </c>
      <c r="J2715" s="17">
        <f>IF(Gastos[[#This Row],[Divisa]]="$", I2715*1, IF(Gastos[[#This Row],[Divisa]]="U$D", I2715*$N$1, IF(Gastos[[#This Row],[Divisa]]="EUR", I2715*$N$2, 0)))</f>
        <v>15906.12</v>
      </c>
      <c r="K2715" s="54">
        <f>Gastos[[#This Row],[Importe AR$]]/$N$1</f>
        <v>10.19623076923077</v>
      </c>
      <c r="L2715" t="s">
        <v>340</v>
      </c>
      <c r="M2715" s="69"/>
      <c r="N2715" s="43" t="str">
        <f>IF(Gastos[[#This Row],[Fecha_Cheque]]&gt;0,WEEKNUM(Gastos[[#This Row],[Fecha_Cheque]]),MID(Gastos[[#This Row],[Semana]],6,2))</f>
        <v>26</v>
      </c>
      <c r="O2715" t="s">
        <v>3580</v>
      </c>
      <c r="P2715" t="s">
        <v>27</v>
      </c>
    </row>
    <row r="2716" spans="1:16" hidden="1" x14ac:dyDescent="0.25">
      <c r="A2716" s="3" t="s">
        <v>4074</v>
      </c>
      <c r="B2716" t="s">
        <v>2643</v>
      </c>
      <c r="C2716" t="s">
        <v>2644</v>
      </c>
      <c r="D2716" t="s">
        <v>26</v>
      </c>
      <c r="E2716" t="s">
        <v>62</v>
      </c>
      <c r="F2716">
        <v>1</v>
      </c>
      <c r="G2716" s="3" t="s">
        <v>32</v>
      </c>
      <c r="H2716" s="44" t="s">
        <v>15</v>
      </c>
      <c r="I2716" s="17">
        <v>335014.40999999997</v>
      </c>
      <c r="J2716" s="17">
        <f>IF(Gastos[[#This Row],[Divisa]]="$", I2716*1, IF(Gastos[[#This Row],[Divisa]]="U$D", I2716*$N$1, IF(Gastos[[#This Row],[Divisa]]="EUR", I2716*$N$2, 0)))</f>
        <v>335014.40999999997</v>
      </c>
      <c r="K2716" s="54">
        <f>Gastos[[#This Row],[Importe AR$]]/$N$1</f>
        <v>214.7528269230769</v>
      </c>
      <c r="M2716" s="69">
        <v>46282</v>
      </c>
      <c r="N2716" s="43">
        <f>IF(Gastos[[#This Row],[Fecha_Cheque]]&gt;0,WEEKNUM(Gastos[[#This Row],[Fecha_Cheque]]),MID(Gastos[[#This Row],[Semana]],6,2))</f>
        <v>38</v>
      </c>
      <c r="O2716" t="s">
        <v>4093</v>
      </c>
      <c r="P2716" t="s">
        <v>27</v>
      </c>
    </row>
    <row r="2717" spans="1:16" hidden="1" x14ac:dyDescent="0.25">
      <c r="A2717" s="3" t="s">
        <v>4074</v>
      </c>
      <c r="B2717" t="s">
        <v>2643</v>
      </c>
      <c r="C2717" t="s">
        <v>2644</v>
      </c>
      <c r="D2717" t="s">
        <v>26</v>
      </c>
      <c r="E2717" t="s">
        <v>62</v>
      </c>
      <c r="F2717">
        <v>1</v>
      </c>
      <c r="G2717" s="3" t="s">
        <v>32</v>
      </c>
      <c r="H2717" s="44" t="s">
        <v>15</v>
      </c>
      <c r="I2717" s="17">
        <v>18759.41</v>
      </c>
      <c r="J2717" s="17">
        <f>IF(Gastos[[#This Row],[Divisa]]="$", I2717*1, IF(Gastos[[#This Row],[Divisa]]="U$D", I2717*$N$1, IF(Gastos[[#This Row],[Divisa]]="EUR", I2717*$N$2, 0)))</f>
        <v>18759.41</v>
      </c>
      <c r="K2717" s="54">
        <f>Gastos[[#This Row],[Importe AR$]]/$N$1</f>
        <v>12.02526282051282</v>
      </c>
      <c r="M2717" s="69"/>
      <c r="N2717" s="43" t="str">
        <f>IF(Gastos[[#This Row],[Fecha_Cheque]]&gt;0,WEEKNUM(Gastos[[#This Row],[Fecha_Cheque]]),MID(Gastos[[#This Row],[Semana]],6,2))</f>
        <v>34</v>
      </c>
      <c r="O2717" t="s">
        <v>4093</v>
      </c>
      <c r="P2717" t="s">
        <v>27</v>
      </c>
    </row>
    <row r="2718" spans="1:16" hidden="1" x14ac:dyDescent="0.25">
      <c r="A2718" s="3" t="s">
        <v>4074</v>
      </c>
      <c r="B2718" t="s">
        <v>2643</v>
      </c>
      <c r="C2718" t="s">
        <v>2644</v>
      </c>
      <c r="D2718" t="s">
        <v>26</v>
      </c>
      <c r="E2718" t="s">
        <v>62</v>
      </c>
      <c r="F2718">
        <v>1</v>
      </c>
      <c r="G2718" s="3" t="s">
        <v>32</v>
      </c>
      <c r="H2718" s="44" t="s">
        <v>15</v>
      </c>
      <c r="I2718" s="17">
        <v>1612.8</v>
      </c>
      <c r="J2718" s="17">
        <f>IF(Gastos[[#This Row],[Divisa]]="$", I2718*1, IF(Gastos[[#This Row],[Divisa]]="U$D", I2718*$N$1, IF(Gastos[[#This Row],[Divisa]]="EUR", I2718*$N$2, 0)))</f>
        <v>1612.8</v>
      </c>
      <c r="K2718" s="54">
        <f>Gastos[[#This Row],[Importe AR$]]/$N$1</f>
        <v>1.0338461538461539</v>
      </c>
      <c r="L2718" t="s">
        <v>340</v>
      </c>
      <c r="M2718" s="69"/>
      <c r="N2718" s="43" t="str">
        <f>IF(Gastos[[#This Row],[Fecha_Cheque]]&gt;0,WEEKNUM(Gastos[[#This Row],[Fecha_Cheque]]),MID(Gastos[[#This Row],[Semana]],6,2))</f>
        <v>34</v>
      </c>
      <c r="O2718" t="s">
        <v>4093</v>
      </c>
      <c r="P2718" t="s">
        <v>27</v>
      </c>
    </row>
    <row r="2719" spans="1:16" hidden="1" x14ac:dyDescent="0.25">
      <c r="A2719" s="3" t="s">
        <v>232</v>
      </c>
      <c r="B2719" t="s">
        <v>1644</v>
      </c>
      <c r="C2719" t="s">
        <v>1645</v>
      </c>
      <c r="D2719" t="s">
        <v>26</v>
      </c>
      <c r="E2719" t="s">
        <v>31</v>
      </c>
      <c r="F2719">
        <v>1</v>
      </c>
      <c r="G2719" s="3" t="s">
        <v>32</v>
      </c>
      <c r="H2719" s="46" t="s">
        <v>15</v>
      </c>
      <c r="I2719" s="17">
        <v>5447469.8799999999</v>
      </c>
      <c r="J2719" s="17">
        <f>IF(Gastos[[#This Row],[Divisa]]="$", I2719*1, IF(Gastos[[#This Row],[Divisa]]="U$D", I2719*$N$1, IF(Gastos[[#This Row],[Divisa]]="EUR", I2719*$N$2, 0)))</f>
        <v>5447469.8799999999</v>
      </c>
      <c r="K2719" s="54">
        <f>Gastos[[#This Row],[Importe AR$]]/$N$1</f>
        <v>3491.9678717948718</v>
      </c>
      <c r="M2719" s="69"/>
      <c r="N2719" s="43" t="str">
        <f>IF(Gastos[[#This Row],[Fecha_Cheque]]&gt;0,WEEKNUM(Gastos[[#This Row],[Fecha_Cheque]]),MID(Gastos[[#This Row],[Semana]],6,2))</f>
        <v>44</v>
      </c>
      <c r="O2719" t="s">
        <v>1646</v>
      </c>
      <c r="P2719" t="s">
        <v>27</v>
      </c>
    </row>
    <row r="2720" spans="1:16" hidden="1" x14ac:dyDescent="0.25">
      <c r="A2720" s="3" t="s">
        <v>232</v>
      </c>
      <c r="B2720" t="s">
        <v>1644</v>
      </c>
      <c r="C2720" t="s">
        <v>1645</v>
      </c>
      <c r="D2720" t="s">
        <v>26</v>
      </c>
      <c r="E2720" t="s">
        <v>31</v>
      </c>
      <c r="F2720">
        <v>1</v>
      </c>
      <c r="G2720" s="3" t="s">
        <v>32</v>
      </c>
      <c r="H2720" s="46" t="s">
        <v>15</v>
      </c>
      <c r="I2720" s="17">
        <v>1515728.5</v>
      </c>
      <c r="J2720" s="17">
        <f>IF(Gastos[[#This Row],[Divisa]]="$", I2720*1, IF(Gastos[[#This Row],[Divisa]]="U$D", I2720*$N$1, IF(Gastos[[#This Row],[Divisa]]="EUR", I2720*$N$2, 0)))</f>
        <v>1515728.5</v>
      </c>
      <c r="K2720" s="54">
        <f>Gastos[[#This Row],[Importe AR$]]/$N$1</f>
        <v>971.62083333333328</v>
      </c>
      <c r="M2720" s="69"/>
      <c r="N2720" s="43" t="str">
        <f>IF(Gastos[[#This Row],[Fecha_Cheque]]&gt;0,WEEKNUM(Gastos[[#This Row],[Fecha_Cheque]]),MID(Gastos[[#This Row],[Semana]],6,2))</f>
        <v>44</v>
      </c>
      <c r="O2720" t="s">
        <v>1646</v>
      </c>
      <c r="P2720" t="s">
        <v>27</v>
      </c>
    </row>
    <row r="2721" spans="1:16" hidden="1" x14ac:dyDescent="0.25">
      <c r="A2721" s="3" t="s">
        <v>232</v>
      </c>
      <c r="B2721" t="s">
        <v>1644</v>
      </c>
      <c r="C2721" t="s">
        <v>1645</v>
      </c>
      <c r="D2721" t="s">
        <v>26</v>
      </c>
      <c r="E2721" t="s">
        <v>31</v>
      </c>
      <c r="F2721">
        <v>1</v>
      </c>
      <c r="G2721" s="3" t="s">
        <v>32</v>
      </c>
      <c r="H2721" s="46" t="s">
        <v>15</v>
      </c>
      <c r="I2721" s="17">
        <v>1364454</v>
      </c>
      <c r="J2721" s="17">
        <f>IF(Gastos[[#This Row],[Divisa]]="$", I2721*1, IF(Gastos[[#This Row],[Divisa]]="U$D", I2721*$N$1, IF(Gastos[[#This Row],[Divisa]]="EUR", I2721*$N$2, 0)))</f>
        <v>1364454</v>
      </c>
      <c r="K2721" s="54">
        <f>Gastos[[#This Row],[Importe AR$]]/$N$1</f>
        <v>874.65</v>
      </c>
      <c r="M2721" s="69"/>
      <c r="N2721" s="43" t="str">
        <f>IF(Gastos[[#This Row],[Fecha_Cheque]]&gt;0,WEEKNUM(Gastos[[#This Row],[Fecha_Cheque]]),MID(Gastos[[#This Row],[Semana]],6,2))</f>
        <v>44</v>
      </c>
      <c r="O2721" t="s">
        <v>1646</v>
      </c>
      <c r="P2721" t="s">
        <v>27</v>
      </c>
    </row>
    <row r="2722" spans="1:16" hidden="1" x14ac:dyDescent="0.25">
      <c r="A2722" s="3" t="s">
        <v>232</v>
      </c>
      <c r="B2722" t="s">
        <v>1644</v>
      </c>
      <c r="C2722" t="s">
        <v>1645</v>
      </c>
      <c r="D2722" t="s">
        <v>26</v>
      </c>
      <c r="E2722" t="s">
        <v>31</v>
      </c>
      <c r="F2722">
        <v>1</v>
      </c>
      <c r="G2722" s="3" t="s">
        <v>32</v>
      </c>
      <c r="H2722" s="46" t="s">
        <v>15</v>
      </c>
      <c r="I2722" s="17">
        <v>11693472.380000001</v>
      </c>
      <c r="J2722" s="17">
        <f>IF(Gastos[[#This Row],[Divisa]]="$", I2722*1, IF(Gastos[[#This Row],[Divisa]]="U$D", I2722*$N$1, IF(Gastos[[#This Row],[Divisa]]="EUR", I2722*$N$2, 0)))</f>
        <v>11693472.380000001</v>
      </c>
      <c r="K2722" s="54">
        <f>Gastos[[#This Row],[Importe AR$]]/$N$1</f>
        <v>7495.8156282051286</v>
      </c>
      <c r="M2722" s="69">
        <v>46008</v>
      </c>
      <c r="N2722" s="43">
        <f>IF(Gastos[[#This Row],[Fecha_Cheque]]&gt;0,WEEKNUM(Gastos[[#This Row],[Fecha_Cheque]]),MID(Gastos[[#This Row],[Semana]],6,2))</f>
        <v>51</v>
      </c>
      <c r="O2722" t="s">
        <v>1646</v>
      </c>
      <c r="P2722" t="s">
        <v>27</v>
      </c>
    </row>
    <row r="2723" spans="1:16" hidden="1" x14ac:dyDescent="0.25">
      <c r="A2723" s="3" t="s">
        <v>60</v>
      </c>
      <c r="B2723" t="s">
        <v>1644</v>
      </c>
      <c r="C2723" t="s">
        <v>1645</v>
      </c>
      <c r="D2723" t="s">
        <v>26</v>
      </c>
      <c r="E2723" t="s">
        <v>31</v>
      </c>
      <c r="F2723">
        <v>1</v>
      </c>
      <c r="G2723" s="3" t="s">
        <v>32</v>
      </c>
      <c r="H2723" s="46" t="s">
        <v>15</v>
      </c>
      <c r="I2723" s="17">
        <v>14643168</v>
      </c>
      <c r="J2723" s="17">
        <f>IF(Gastos[[#This Row],[Divisa]]="$", I2723*1, IF(Gastos[[#This Row],[Divisa]]="U$D", I2723*$N$1, IF(Gastos[[#This Row],[Divisa]]="EUR", I2723*$N$2, 0)))</f>
        <v>14643168</v>
      </c>
      <c r="K2723" s="54">
        <f>Gastos[[#This Row],[Importe AR$]]/$N$1</f>
        <v>9386.6461538461535</v>
      </c>
      <c r="M2723" s="69">
        <v>46157</v>
      </c>
      <c r="N2723" s="43">
        <f>IF(Gastos[[#This Row],[Fecha_Cheque]]&gt;0,WEEKNUM(Gastos[[#This Row],[Fecha_Cheque]]),MID(Gastos[[#This Row],[Semana]],6,2))</f>
        <v>20</v>
      </c>
      <c r="O2723" t="s">
        <v>1647</v>
      </c>
      <c r="P2723" t="s">
        <v>27</v>
      </c>
    </row>
    <row r="2724" spans="1:16" hidden="1" x14ac:dyDescent="0.25">
      <c r="A2724" s="3" t="s">
        <v>60</v>
      </c>
      <c r="B2724" t="s">
        <v>1644</v>
      </c>
      <c r="C2724" t="s">
        <v>1645</v>
      </c>
      <c r="D2724" t="s">
        <v>26</v>
      </c>
      <c r="E2724" t="s">
        <v>31</v>
      </c>
      <c r="F2724">
        <v>1</v>
      </c>
      <c r="G2724" s="3" t="s">
        <v>32</v>
      </c>
      <c r="H2724" s="46" t="s">
        <v>15</v>
      </c>
      <c r="I2724" s="17">
        <v>14643168</v>
      </c>
      <c r="J2724" s="17">
        <f>IF(Gastos[[#This Row],[Divisa]]="$", I2724*1, IF(Gastos[[#This Row],[Divisa]]="U$D", I2724*$N$1, IF(Gastos[[#This Row],[Divisa]]="EUR", I2724*$N$2, 0)))</f>
        <v>14643168</v>
      </c>
      <c r="K2724" s="54">
        <f>Gastos[[#This Row],[Importe AR$]]/$N$1</f>
        <v>9386.6461538461535</v>
      </c>
      <c r="M2724" s="69">
        <v>46234</v>
      </c>
      <c r="N2724" s="43">
        <f>IF(Gastos[[#This Row],[Fecha_Cheque]]&gt;0,WEEKNUM(Gastos[[#This Row],[Fecha_Cheque]]),MID(Gastos[[#This Row],[Semana]],6,2))</f>
        <v>31</v>
      </c>
      <c r="O2724" t="s">
        <v>1647</v>
      </c>
      <c r="P2724" t="s">
        <v>27</v>
      </c>
    </row>
    <row r="2725" spans="1:16" hidden="1" x14ac:dyDescent="0.25">
      <c r="A2725" s="3" t="s">
        <v>60</v>
      </c>
      <c r="B2725" t="s">
        <v>1644</v>
      </c>
      <c r="C2725" t="s">
        <v>1645</v>
      </c>
      <c r="D2725" t="s">
        <v>26</v>
      </c>
      <c r="E2725" t="s">
        <v>31</v>
      </c>
      <c r="F2725">
        <v>1</v>
      </c>
      <c r="G2725" s="3" t="s">
        <v>32</v>
      </c>
      <c r="H2725" s="46" t="s">
        <v>15</v>
      </c>
      <c r="I2725" s="17">
        <v>14643168</v>
      </c>
      <c r="J2725" s="17">
        <f>IF(Gastos[[#This Row],[Divisa]]="$", I2725*1, IF(Gastos[[#This Row],[Divisa]]="U$D", I2725*$N$1, IF(Gastos[[#This Row],[Divisa]]="EUR", I2725*$N$2, 0)))</f>
        <v>14643168</v>
      </c>
      <c r="K2725" s="54">
        <f>Gastos[[#This Row],[Importe AR$]]/$N$1</f>
        <v>9386.6461538461535</v>
      </c>
      <c r="M2725" s="69">
        <v>46171</v>
      </c>
      <c r="N2725" s="43">
        <f>IF(Gastos[[#This Row],[Fecha_Cheque]]&gt;0,WEEKNUM(Gastos[[#This Row],[Fecha_Cheque]]),MID(Gastos[[#This Row],[Semana]],6,2))</f>
        <v>22</v>
      </c>
      <c r="O2725" t="s">
        <v>1647</v>
      </c>
      <c r="P2725" t="s">
        <v>27</v>
      </c>
    </row>
    <row r="2726" spans="1:16" hidden="1" x14ac:dyDescent="0.25">
      <c r="A2726" s="3" t="s">
        <v>60</v>
      </c>
      <c r="B2726" t="s">
        <v>1644</v>
      </c>
      <c r="C2726" t="s">
        <v>1645</v>
      </c>
      <c r="D2726" t="s">
        <v>26</v>
      </c>
      <c r="E2726" t="s">
        <v>31</v>
      </c>
      <c r="F2726">
        <v>1</v>
      </c>
      <c r="G2726" s="3" t="s">
        <v>32</v>
      </c>
      <c r="H2726" s="46" t="s">
        <v>15</v>
      </c>
      <c r="I2726" s="17">
        <v>14643168</v>
      </c>
      <c r="J2726" s="17">
        <f>IF(Gastos[[#This Row],[Divisa]]="$", I2726*1, IF(Gastos[[#This Row],[Divisa]]="U$D", I2726*$N$1, IF(Gastos[[#This Row],[Divisa]]="EUR", I2726*$N$2, 0)))</f>
        <v>14643168</v>
      </c>
      <c r="K2726" s="54">
        <f>Gastos[[#This Row],[Importe AR$]]/$N$1</f>
        <v>9386.6461538461535</v>
      </c>
      <c r="M2726" s="69">
        <v>47260</v>
      </c>
      <c r="N2726" s="43">
        <f>IF(Gastos[[#This Row],[Fecha_Cheque]]&gt;0,WEEKNUM(Gastos[[#This Row],[Fecha_Cheque]]),MID(Gastos[[#This Row],[Semana]],6,2))</f>
        <v>21</v>
      </c>
      <c r="O2726" t="s">
        <v>1647</v>
      </c>
      <c r="P2726" t="s">
        <v>27</v>
      </c>
    </row>
    <row r="2727" spans="1:16" hidden="1" x14ac:dyDescent="0.25">
      <c r="A2727" s="3" t="s">
        <v>60</v>
      </c>
      <c r="B2727" t="s">
        <v>1644</v>
      </c>
      <c r="C2727" t="s">
        <v>1645</v>
      </c>
      <c r="D2727" t="s">
        <v>26</v>
      </c>
      <c r="E2727" t="s">
        <v>31</v>
      </c>
      <c r="F2727">
        <v>1</v>
      </c>
      <c r="G2727" s="3" t="s">
        <v>32</v>
      </c>
      <c r="H2727" s="46" t="s">
        <v>15</v>
      </c>
      <c r="I2727" s="17">
        <v>14643168</v>
      </c>
      <c r="J2727" s="17">
        <f>IF(Gastos[[#This Row],[Divisa]]="$", I2727*1, IF(Gastos[[#This Row],[Divisa]]="U$D", I2727*$N$1, IF(Gastos[[#This Row],[Divisa]]="EUR", I2727*$N$2, 0)))</f>
        <v>14643168</v>
      </c>
      <c r="K2727" s="54">
        <f>Gastos[[#This Row],[Importe AR$]]/$N$1</f>
        <v>9386.6461538461535</v>
      </c>
      <c r="M2727" s="69">
        <v>46185</v>
      </c>
      <c r="N2727" s="43">
        <f>IF(Gastos[[#This Row],[Fecha_Cheque]]&gt;0,WEEKNUM(Gastos[[#This Row],[Fecha_Cheque]]),MID(Gastos[[#This Row],[Semana]],6,2))</f>
        <v>24</v>
      </c>
      <c r="O2727" t="s">
        <v>1647</v>
      </c>
      <c r="P2727" t="s">
        <v>27</v>
      </c>
    </row>
    <row r="2728" spans="1:16" hidden="1" x14ac:dyDescent="0.25">
      <c r="A2728" s="3" t="s">
        <v>60</v>
      </c>
      <c r="B2728" t="s">
        <v>1644</v>
      </c>
      <c r="C2728" t="s">
        <v>1645</v>
      </c>
      <c r="D2728" t="s">
        <v>26</v>
      </c>
      <c r="E2728" t="s">
        <v>31</v>
      </c>
      <c r="F2728">
        <v>1</v>
      </c>
      <c r="G2728" s="3" t="s">
        <v>32</v>
      </c>
      <c r="H2728" s="46" t="s">
        <v>15</v>
      </c>
      <c r="I2728" s="17">
        <v>14643168</v>
      </c>
      <c r="J2728" s="17">
        <f>IF(Gastos[[#This Row],[Divisa]]="$", I2728*1, IF(Gastos[[#This Row],[Divisa]]="U$D", I2728*$N$1, IF(Gastos[[#This Row],[Divisa]]="EUR", I2728*$N$2, 0)))</f>
        <v>14643168</v>
      </c>
      <c r="K2728" s="54">
        <f>Gastos[[#This Row],[Importe AR$]]/$N$1</f>
        <v>9386.6461538461535</v>
      </c>
      <c r="M2728" s="69">
        <v>46199</v>
      </c>
      <c r="N2728" s="43">
        <f>IF(Gastos[[#This Row],[Fecha_Cheque]]&gt;0,WEEKNUM(Gastos[[#This Row],[Fecha_Cheque]]),MID(Gastos[[#This Row],[Semana]],6,2))</f>
        <v>26</v>
      </c>
      <c r="O2728" t="s">
        <v>1647</v>
      </c>
      <c r="P2728" t="s">
        <v>27</v>
      </c>
    </row>
    <row r="2729" spans="1:16" hidden="1" x14ac:dyDescent="0.25">
      <c r="A2729" s="3" t="s">
        <v>60</v>
      </c>
      <c r="B2729" t="s">
        <v>1644</v>
      </c>
      <c r="C2729" t="s">
        <v>1645</v>
      </c>
      <c r="D2729" t="s">
        <v>26</v>
      </c>
      <c r="E2729" t="s">
        <v>31</v>
      </c>
      <c r="F2729">
        <v>1</v>
      </c>
      <c r="G2729" s="3" t="s">
        <v>32</v>
      </c>
      <c r="H2729" s="46" t="s">
        <v>15</v>
      </c>
      <c r="I2729" s="17">
        <v>14643168</v>
      </c>
      <c r="J2729" s="17">
        <f>IF(Gastos[[#This Row],[Divisa]]="$", I2729*1, IF(Gastos[[#This Row],[Divisa]]="U$D", I2729*$N$1, IF(Gastos[[#This Row],[Divisa]]="EUR", I2729*$N$2, 0)))</f>
        <v>14643168</v>
      </c>
      <c r="K2729" s="54">
        <f>Gastos[[#This Row],[Importe AR$]]/$N$1</f>
        <v>9386.6461538461535</v>
      </c>
      <c r="M2729" s="69">
        <v>46227</v>
      </c>
      <c r="N2729" s="43">
        <f>IF(Gastos[[#This Row],[Fecha_Cheque]]&gt;0,WEEKNUM(Gastos[[#This Row],[Fecha_Cheque]]),MID(Gastos[[#This Row],[Semana]],6,2))</f>
        <v>30</v>
      </c>
      <c r="O2729" t="s">
        <v>1647</v>
      </c>
      <c r="P2729" t="s">
        <v>27</v>
      </c>
    </row>
    <row r="2730" spans="1:16" hidden="1" x14ac:dyDescent="0.25">
      <c r="A2730" s="3" t="s">
        <v>60</v>
      </c>
      <c r="B2730" t="s">
        <v>1644</v>
      </c>
      <c r="C2730" t="s">
        <v>1645</v>
      </c>
      <c r="D2730" t="s">
        <v>26</v>
      </c>
      <c r="E2730" t="s">
        <v>31</v>
      </c>
      <c r="F2730">
        <v>1</v>
      </c>
      <c r="G2730" s="3" t="s">
        <v>32</v>
      </c>
      <c r="H2730" s="46" t="s">
        <v>15</v>
      </c>
      <c r="I2730" s="17">
        <v>14643168</v>
      </c>
      <c r="J2730" s="17">
        <f>IF(Gastos[[#This Row],[Divisa]]="$", I2730*1, IF(Gastos[[#This Row],[Divisa]]="U$D", I2730*$N$1, IF(Gastos[[#This Row],[Divisa]]="EUR", I2730*$N$2, 0)))</f>
        <v>14643168</v>
      </c>
      <c r="K2730" s="54">
        <f>Gastos[[#This Row],[Importe AR$]]/$N$1</f>
        <v>9386.6461538461535</v>
      </c>
      <c r="M2730" s="69">
        <v>46192</v>
      </c>
      <c r="N2730" s="43">
        <f>IF(Gastos[[#This Row],[Fecha_Cheque]]&gt;0,WEEKNUM(Gastos[[#This Row],[Fecha_Cheque]]),MID(Gastos[[#This Row],[Semana]],6,2))</f>
        <v>25</v>
      </c>
      <c r="O2730" t="s">
        <v>1647</v>
      </c>
      <c r="P2730" t="s">
        <v>27</v>
      </c>
    </row>
    <row r="2731" spans="1:16" hidden="1" x14ac:dyDescent="0.25">
      <c r="A2731" s="3" t="s">
        <v>60</v>
      </c>
      <c r="B2731" t="s">
        <v>1644</v>
      </c>
      <c r="C2731" t="s">
        <v>1645</v>
      </c>
      <c r="D2731" t="s">
        <v>26</v>
      </c>
      <c r="E2731" t="s">
        <v>31</v>
      </c>
      <c r="F2731">
        <v>1</v>
      </c>
      <c r="G2731" s="3" t="s">
        <v>32</v>
      </c>
      <c r="H2731" s="46" t="s">
        <v>15</v>
      </c>
      <c r="I2731" s="17">
        <v>14643168</v>
      </c>
      <c r="J2731" s="17">
        <f>IF(Gastos[[#This Row],[Divisa]]="$", I2731*1, IF(Gastos[[#This Row],[Divisa]]="U$D", I2731*$N$1, IF(Gastos[[#This Row],[Divisa]]="EUR", I2731*$N$2, 0)))</f>
        <v>14643168</v>
      </c>
      <c r="K2731" s="54">
        <f>Gastos[[#This Row],[Importe AR$]]/$N$1</f>
        <v>9386.6461538461535</v>
      </c>
      <c r="M2731" s="69">
        <v>46220</v>
      </c>
      <c r="N2731" s="43">
        <f>IF(Gastos[[#This Row],[Fecha_Cheque]]&gt;0,WEEKNUM(Gastos[[#This Row],[Fecha_Cheque]]),MID(Gastos[[#This Row],[Semana]],6,2))</f>
        <v>29</v>
      </c>
      <c r="O2731" t="s">
        <v>1647</v>
      </c>
      <c r="P2731" t="s">
        <v>27</v>
      </c>
    </row>
    <row r="2732" spans="1:16" hidden="1" x14ac:dyDescent="0.25">
      <c r="A2732" s="3" t="s">
        <v>130</v>
      </c>
      <c r="B2732" t="s">
        <v>1644</v>
      </c>
      <c r="C2732" t="s">
        <v>1648</v>
      </c>
      <c r="D2732" t="s">
        <v>26</v>
      </c>
      <c r="E2732" t="s">
        <v>31</v>
      </c>
      <c r="F2732">
        <v>1</v>
      </c>
      <c r="G2732" s="3" t="s">
        <v>5</v>
      </c>
      <c r="H2732" s="46" t="s">
        <v>15</v>
      </c>
      <c r="I2732" s="17">
        <v>63760.55</v>
      </c>
      <c r="J2732" s="17">
        <f>IF(Gastos[[#This Row],[Divisa]]="$", I2732*1, IF(Gastos[[#This Row],[Divisa]]="U$D", I2732*$N$1, IF(Gastos[[#This Row],[Divisa]]="EUR", I2732*$N$2, 0)))</f>
        <v>63760.55</v>
      </c>
      <c r="K2732" s="54">
        <f>Gastos[[#This Row],[Importe AR$]]/$N$1</f>
        <v>40.872147435897439</v>
      </c>
      <c r="M2732" s="69"/>
      <c r="N2732" s="43" t="str">
        <f>IF(Gastos[[#This Row],[Fecha_Cheque]]&gt;0,WEEKNUM(Gastos[[#This Row],[Fecha_Cheque]]),MID(Gastos[[#This Row],[Semana]],6,2))</f>
        <v>45</v>
      </c>
      <c r="O2732" t="s">
        <v>1649</v>
      </c>
      <c r="P2732" t="s">
        <v>27</v>
      </c>
    </row>
    <row r="2733" spans="1:16" hidden="1" x14ac:dyDescent="0.25">
      <c r="A2733" s="3" t="s">
        <v>152</v>
      </c>
      <c r="B2733" t="s">
        <v>1644</v>
      </c>
      <c r="C2733" t="s">
        <v>1645</v>
      </c>
      <c r="D2733" t="s">
        <v>26</v>
      </c>
      <c r="E2733" t="s">
        <v>62</v>
      </c>
      <c r="F2733">
        <v>1</v>
      </c>
      <c r="G2733" s="3" t="s">
        <v>32</v>
      </c>
      <c r="H2733" s="46" t="s">
        <v>15</v>
      </c>
      <c r="I2733" s="17">
        <v>700000</v>
      </c>
      <c r="J2733" s="17">
        <f>IF(Gastos[[#This Row],[Divisa]]="$", I2733*1, IF(Gastos[[#This Row],[Divisa]]="U$D", I2733*$N$1, IF(Gastos[[#This Row],[Divisa]]="EUR", I2733*$N$2, 0)))</f>
        <v>700000</v>
      </c>
      <c r="K2733" s="54">
        <f>Gastos[[#This Row],[Importe AR$]]/$N$1</f>
        <v>448.71794871794873</v>
      </c>
      <c r="M2733" s="69">
        <v>46104</v>
      </c>
      <c r="N2733" s="43">
        <f>IF(Gastos[[#This Row],[Fecha_Cheque]]&gt;0,WEEKNUM(Gastos[[#This Row],[Fecha_Cheque]]),MID(Gastos[[#This Row],[Semana]],6,2))</f>
        <v>13</v>
      </c>
      <c r="O2733" t="s">
        <v>1650</v>
      </c>
      <c r="P2733" t="s">
        <v>27</v>
      </c>
    </row>
    <row r="2734" spans="1:16" hidden="1" x14ac:dyDescent="0.25">
      <c r="A2734" s="3" t="s">
        <v>152</v>
      </c>
      <c r="B2734" t="s">
        <v>1644</v>
      </c>
      <c r="C2734" t="s">
        <v>1645</v>
      </c>
      <c r="D2734" t="s">
        <v>26</v>
      </c>
      <c r="E2734" t="s">
        <v>62</v>
      </c>
      <c r="F2734">
        <v>1</v>
      </c>
      <c r="G2734" s="3" t="s">
        <v>32</v>
      </c>
      <c r="H2734" s="46" t="s">
        <v>15</v>
      </c>
      <c r="I2734" s="17">
        <v>2534000</v>
      </c>
      <c r="J2734" s="17">
        <f>IF(Gastos[[#This Row],[Divisa]]="$", I2734*1, IF(Gastos[[#This Row],[Divisa]]="U$D", I2734*$N$1, IF(Gastos[[#This Row],[Divisa]]="EUR", I2734*$N$2, 0)))</f>
        <v>2534000</v>
      </c>
      <c r="K2734" s="54">
        <f>Gastos[[#This Row],[Importe AR$]]/$N$1</f>
        <v>1624.3589743589744</v>
      </c>
      <c r="M2734" s="69">
        <v>46109</v>
      </c>
      <c r="N2734" s="43">
        <f>IF(Gastos[[#This Row],[Fecha_Cheque]]&gt;0,WEEKNUM(Gastos[[#This Row],[Fecha_Cheque]]),MID(Gastos[[#This Row],[Semana]],6,2))</f>
        <v>13</v>
      </c>
      <c r="O2734" t="s">
        <v>1650</v>
      </c>
      <c r="P2734" t="s">
        <v>27</v>
      </c>
    </row>
    <row r="2735" spans="1:16" hidden="1" x14ac:dyDescent="0.25">
      <c r="A2735" s="3" t="s">
        <v>152</v>
      </c>
      <c r="B2735" t="s">
        <v>1644</v>
      </c>
      <c r="C2735" t="s">
        <v>1645</v>
      </c>
      <c r="D2735" t="s">
        <v>26</v>
      </c>
      <c r="E2735" t="s">
        <v>62</v>
      </c>
      <c r="F2735">
        <v>1</v>
      </c>
      <c r="G2735" s="3" t="s">
        <v>32</v>
      </c>
      <c r="H2735" s="46" t="s">
        <v>15</v>
      </c>
      <c r="I2735" s="17">
        <v>5000000</v>
      </c>
      <c r="J2735" s="17">
        <f>IF(Gastos[[#This Row],[Divisa]]="$", I2735*1, IF(Gastos[[#This Row],[Divisa]]="U$D", I2735*$N$1, IF(Gastos[[#This Row],[Divisa]]="EUR", I2735*$N$2, 0)))</f>
        <v>5000000</v>
      </c>
      <c r="K2735" s="54">
        <f>Gastos[[#This Row],[Importe AR$]]/$N$1</f>
        <v>3205.1282051282051</v>
      </c>
      <c r="M2735" s="69">
        <v>46122</v>
      </c>
      <c r="N2735" s="43">
        <f>IF(Gastos[[#This Row],[Fecha_Cheque]]&gt;0,WEEKNUM(Gastos[[#This Row],[Fecha_Cheque]]),MID(Gastos[[#This Row],[Semana]],6,2))</f>
        <v>15</v>
      </c>
      <c r="O2735" t="s">
        <v>1650</v>
      </c>
      <c r="P2735" t="s">
        <v>27</v>
      </c>
    </row>
    <row r="2736" spans="1:16" hidden="1" x14ac:dyDescent="0.25">
      <c r="A2736" s="3" t="s">
        <v>3617</v>
      </c>
      <c r="B2736" t="s">
        <v>1644</v>
      </c>
      <c r="C2736" t="s">
        <v>3644</v>
      </c>
      <c r="D2736" t="s">
        <v>26</v>
      </c>
      <c r="E2736" t="s">
        <v>31</v>
      </c>
      <c r="F2736">
        <v>1</v>
      </c>
      <c r="G2736" s="3" t="s">
        <v>5</v>
      </c>
      <c r="H2736" s="44" t="s">
        <v>15</v>
      </c>
      <c r="I2736" s="17">
        <v>14643168</v>
      </c>
      <c r="J2736" s="17">
        <f>IF(Gastos[[#This Row],[Divisa]]="$", I2736*1, IF(Gastos[[#This Row],[Divisa]]="U$D", I2736*$N$1, IF(Gastos[[#This Row],[Divisa]]="EUR", I2736*$N$2, 0)))</f>
        <v>14643168</v>
      </c>
      <c r="K2736" s="54">
        <f>Gastos[[#This Row],[Importe AR$]]/$N$1</f>
        <v>9386.6461538461535</v>
      </c>
      <c r="M2736" s="69"/>
      <c r="N2736" s="43" t="str">
        <f>IF(Gastos[[#This Row],[Fecha_Cheque]]&gt;0,WEEKNUM(Gastos[[#This Row],[Fecha_Cheque]]),MID(Gastos[[#This Row],[Semana]],6,2))</f>
        <v>27</v>
      </c>
      <c r="O2736" t="s">
        <v>3658</v>
      </c>
      <c r="P2736" t="s">
        <v>27</v>
      </c>
    </row>
    <row r="2737" spans="1:16" hidden="1" x14ac:dyDescent="0.25">
      <c r="A2737" s="3" t="s">
        <v>3817</v>
      </c>
      <c r="B2737" t="s">
        <v>1644</v>
      </c>
      <c r="C2737" t="s">
        <v>1645</v>
      </c>
      <c r="D2737" t="s">
        <v>26</v>
      </c>
      <c r="E2737" t="s">
        <v>62</v>
      </c>
      <c r="F2737">
        <v>1</v>
      </c>
      <c r="G2737" s="3" t="s">
        <v>32</v>
      </c>
      <c r="H2737" s="46" t="s">
        <v>15</v>
      </c>
      <c r="I2737" s="17">
        <v>2618474.5299999998</v>
      </c>
      <c r="J2737" s="17">
        <f>IF(Gastos[[#This Row],[Divisa]]="$", I2737*1, IF(Gastos[[#This Row],[Divisa]]="U$D", I2737*$N$1, IF(Gastos[[#This Row],[Divisa]]="EUR", I2737*$N$2, 0)))</f>
        <v>2618474.5299999998</v>
      </c>
      <c r="K2737" s="54">
        <f>Gastos[[#This Row],[Importe AR$]]/$N$1</f>
        <v>1678.5093141025641</v>
      </c>
      <c r="M2737" s="69">
        <v>46273</v>
      </c>
      <c r="N2737" s="43">
        <f>IF(Gastos[[#This Row],[Fecha_Cheque]]&gt;0,WEEKNUM(Gastos[[#This Row],[Fecha_Cheque]]),MID(Gastos[[#This Row],[Semana]],6,2))</f>
        <v>37</v>
      </c>
      <c r="O2737" t="s">
        <v>3843</v>
      </c>
      <c r="P2737" t="s">
        <v>27</v>
      </c>
    </row>
    <row r="2738" spans="1:16" hidden="1" x14ac:dyDescent="0.25">
      <c r="A2738" s="3" t="s">
        <v>3817</v>
      </c>
      <c r="B2738" t="s">
        <v>1644</v>
      </c>
      <c r="C2738" t="s">
        <v>1645</v>
      </c>
      <c r="D2738" t="s">
        <v>26</v>
      </c>
      <c r="E2738" t="s">
        <v>62</v>
      </c>
      <c r="F2738">
        <v>1</v>
      </c>
      <c r="G2738" s="3" t="s">
        <v>32</v>
      </c>
      <c r="H2738" s="46" t="s">
        <v>15</v>
      </c>
      <c r="I2738" s="17">
        <v>42913.2</v>
      </c>
      <c r="J2738" s="17">
        <f>IF(Gastos[[#This Row],[Divisa]]="$", I2738*1, IF(Gastos[[#This Row],[Divisa]]="U$D", I2738*$N$1, IF(Gastos[[#This Row],[Divisa]]="EUR", I2738*$N$2, 0)))</f>
        <v>42913.2</v>
      </c>
      <c r="K2738" s="54">
        <f>Gastos[[#This Row],[Importe AR$]]/$N$1</f>
        <v>27.508461538461535</v>
      </c>
      <c r="L2738" t="s">
        <v>340</v>
      </c>
      <c r="M2738" s="69"/>
      <c r="N2738" s="43" t="str">
        <f>IF(Gastos[[#This Row],[Fecha_Cheque]]&gt;0,WEEKNUM(Gastos[[#This Row],[Fecha_Cheque]]),MID(Gastos[[#This Row],[Semana]],6,2))</f>
        <v>30</v>
      </c>
      <c r="O2738" t="s">
        <v>3843</v>
      </c>
      <c r="P2738" t="s">
        <v>27</v>
      </c>
    </row>
    <row r="2739" spans="1:16" hidden="1" x14ac:dyDescent="0.25">
      <c r="A2739" s="3" t="s">
        <v>4322</v>
      </c>
      <c r="B2739" t="s">
        <v>1644</v>
      </c>
      <c r="C2739" t="s">
        <v>1645</v>
      </c>
      <c r="D2739" t="s">
        <v>26</v>
      </c>
      <c r="E2739" t="s">
        <v>62</v>
      </c>
      <c r="F2739">
        <v>1</v>
      </c>
      <c r="G2739" s="3" t="s">
        <v>32</v>
      </c>
      <c r="H2739" s="46" t="s">
        <v>15</v>
      </c>
      <c r="I2739" s="17">
        <v>11311397</v>
      </c>
      <c r="J2739" s="17">
        <f>IF(Gastos[[#This Row],[Divisa]]="$", I2739*1, IF(Gastos[[#This Row],[Divisa]]="U$D", I2739*$N$1, IF(Gastos[[#This Row],[Divisa]]="EUR", I2739*$N$2, 0)))</f>
        <v>11311397</v>
      </c>
      <c r="K2739" s="54">
        <f>Gastos[[#This Row],[Importe AR$]]/$N$1</f>
        <v>7250.8955128205125</v>
      </c>
      <c r="M2739" s="69">
        <v>46309</v>
      </c>
      <c r="N2739" s="43">
        <f>IF(Gastos[[#This Row],[Fecha_Cheque]]&gt;0,WEEKNUM(Gastos[[#This Row],[Fecha_Cheque]]),MID(Gastos[[#This Row],[Semana]],6,2))</f>
        <v>42</v>
      </c>
      <c r="O2739" t="s">
        <v>4359</v>
      </c>
      <c r="P2739" t="s">
        <v>27</v>
      </c>
    </row>
    <row r="2740" spans="1:16" hidden="1" x14ac:dyDescent="0.25">
      <c r="A2740" s="3" t="s">
        <v>4322</v>
      </c>
      <c r="B2740" t="s">
        <v>1644</v>
      </c>
      <c r="C2740" t="s">
        <v>1645</v>
      </c>
      <c r="D2740" t="s">
        <v>26</v>
      </c>
      <c r="E2740" t="s">
        <v>62</v>
      </c>
      <c r="F2740">
        <v>1</v>
      </c>
      <c r="G2740" s="3" t="s">
        <v>32</v>
      </c>
      <c r="H2740" s="46" t="s">
        <v>15</v>
      </c>
      <c r="I2740" s="17">
        <v>2808.77</v>
      </c>
      <c r="J2740" s="17">
        <f>IF(Gastos[[#This Row],[Divisa]]="$", I2740*1, IF(Gastos[[#This Row],[Divisa]]="U$D", I2740*$N$1, IF(Gastos[[#This Row],[Divisa]]="EUR", I2740*$N$2, 0)))</f>
        <v>2808.77</v>
      </c>
      <c r="K2740" s="54">
        <f>Gastos[[#This Row],[Importe AR$]]/$N$1</f>
        <v>1.8004935897435896</v>
      </c>
      <c r="M2740" s="69"/>
      <c r="N2740" s="43" t="str">
        <f>IF(Gastos[[#This Row],[Fecha_Cheque]]&gt;0,WEEKNUM(Gastos[[#This Row],[Fecha_Cheque]]),MID(Gastos[[#This Row],[Semana]],6,2))</f>
        <v>38</v>
      </c>
      <c r="O2740" t="s">
        <v>4359</v>
      </c>
      <c r="P2740" t="s">
        <v>27</v>
      </c>
    </row>
    <row r="2741" spans="1:16" hidden="1" x14ac:dyDescent="0.25">
      <c r="A2741" s="3" t="s">
        <v>4322</v>
      </c>
      <c r="B2741" t="s">
        <v>1644</v>
      </c>
      <c r="C2741" t="s">
        <v>1645</v>
      </c>
      <c r="D2741" t="s">
        <v>26</v>
      </c>
      <c r="E2741" t="s">
        <v>62</v>
      </c>
      <c r="F2741">
        <v>1</v>
      </c>
      <c r="G2741" s="3" t="s">
        <v>32</v>
      </c>
      <c r="H2741" s="46" t="s">
        <v>15</v>
      </c>
      <c r="I2741" s="17">
        <v>218576.14</v>
      </c>
      <c r="J2741" s="17">
        <f>IF(Gastos[[#This Row],[Divisa]]="$", I2741*1, IF(Gastos[[#This Row],[Divisa]]="U$D", I2741*$N$1, IF(Gastos[[#This Row],[Divisa]]="EUR", I2741*$N$2, 0)))</f>
        <v>218576.14</v>
      </c>
      <c r="K2741" s="54">
        <f>Gastos[[#This Row],[Importe AR$]]/$N$1</f>
        <v>140.11291025641026</v>
      </c>
      <c r="L2741" t="s">
        <v>340</v>
      </c>
      <c r="M2741" s="69"/>
      <c r="N2741" s="43" t="str">
        <f>IF(Gastos[[#This Row],[Fecha_Cheque]]&gt;0,WEEKNUM(Gastos[[#This Row],[Fecha_Cheque]]),MID(Gastos[[#This Row],[Semana]],6,2))</f>
        <v>38</v>
      </c>
      <c r="O2741" t="s">
        <v>4359</v>
      </c>
      <c r="P2741" t="s">
        <v>27</v>
      </c>
    </row>
    <row r="2742" spans="1:16" hidden="1" x14ac:dyDescent="0.25">
      <c r="A2742" s="3" t="s">
        <v>4322</v>
      </c>
      <c r="B2742" t="s">
        <v>1644</v>
      </c>
      <c r="C2742" t="s">
        <v>1645</v>
      </c>
      <c r="D2742" t="s">
        <v>26</v>
      </c>
      <c r="E2742" t="s">
        <v>62</v>
      </c>
      <c r="F2742">
        <v>1</v>
      </c>
      <c r="G2742" s="3" t="s">
        <v>32</v>
      </c>
      <c r="H2742" s="46" t="s">
        <v>15</v>
      </c>
      <c r="I2742" s="17">
        <v>9370210.1099999994</v>
      </c>
      <c r="J2742" s="17">
        <f>IF(Gastos[[#This Row],[Divisa]]="$", I2742*1, IF(Gastos[[#This Row],[Divisa]]="U$D", I2742*$N$1, IF(Gastos[[#This Row],[Divisa]]="EUR", I2742*$N$2, 0)))</f>
        <v>9370210.1099999994</v>
      </c>
      <c r="K2742" s="54">
        <f>Gastos[[#This Row],[Importe AR$]]/$N$1</f>
        <v>6006.5449423076916</v>
      </c>
      <c r="M2742" s="69">
        <v>46311</v>
      </c>
      <c r="N2742" s="43">
        <f>IF(Gastos[[#This Row],[Fecha_Cheque]]&gt;0,WEEKNUM(Gastos[[#This Row],[Fecha_Cheque]]),MID(Gastos[[#This Row],[Semana]],6,2))</f>
        <v>42</v>
      </c>
      <c r="O2742" t="s">
        <v>4371</v>
      </c>
      <c r="P2742" t="s">
        <v>27</v>
      </c>
    </row>
    <row r="2743" spans="1:16" hidden="1" x14ac:dyDescent="0.25">
      <c r="A2743" s="3" t="s">
        <v>4322</v>
      </c>
      <c r="B2743" t="s">
        <v>1644</v>
      </c>
      <c r="C2743" t="s">
        <v>1645</v>
      </c>
      <c r="D2743" t="s">
        <v>26</v>
      </c>
      <c r="E2743" t="s">
        <v>62</v>
      </c>
      <c r="F2743">
        <v>1</v>
      </c>
      <c r="G2743" s="3" t="s">
        <v>32</v>
      </c>
      <c r="H2743" s="46" t="s">
        <v>15</v>
      </c>
      <c r="I2743" s="17">
        <v>187404.21</v>
      </c>
      <c r="J2743" s="17">
        <f>IF(Gastos[[#This Row],[Divisa]]="$", I2743*1, IF(Gastos[[#This Row],[Divisa]]="U$D", I2743*$N$1, IF(Gastos[[#This Row],[Divisa]]="EUR", I2743*$N$2, 0)))</f>
        <v>187404.21</v>
      </c>
      <c r="K2743" s="54">
        <f>Gastos[[#This Row],[Importe AR$]]/$N$1</f>
        <v>120.13090384615384</v>
      </c>
      <c r="L2743" t="s">
        <v>4370</v>
      </c>
      <c r="M2743" s="69"/>
      <c r="N2743" s="43" t="str">
        <f>IF(Gastos[[#This Row],[Fecha_Cheque]]&gt;0,WEEKNUM(Gastos[[#This Row],[Fecha_Cheque]]),MID(Gastos[[#This Row],[Semana]],6,2))</f>
        <v>38</v>
      </c>
      <c r="O2743" t="s">
        <v>4371</v>
      </c>
      <c r="P2743" t="s">
        <v>27</v>
      </c>
    </row>
    <row r="2744" spans="1:16" x14ac:dyDescent="0.25">
      <c r="A2744" s="3" t="s">
        <v>4655</v>
      </c>
      <c r="B2744" t="s">
        <v>3373</v>
      </c>
      <c r="C2744" t="s">
        <v>3374</v>
      </c>
      <c r="D2744" t="s">
        <v>26</v>
      </c>
      <c r="E2744" t="s">
        <v>62</v>
      </c>
      <c r="F2744">
        <v>1</v>
      </c>
      <c r="G2744" s="3" t="s">
        <v>32</v>
      </c>
      <c r="H2744" s="44" t="s">
        <v>3</v>
      </c>
      <c r="I2744" s="17">
        <v>110845.98</v>
      </c>
      <c r="J2744" s="17">
        <f>IF(Gastos[[#This Row],[Divisa]]="$", I2744*1, IF(Gastos[[#This Row],[Divisa]]="U$D", I2744*$N$1, IF(Gastos[[#This Row],[Divisa]]="EUR", I2744*$N$2, 0)))</f>
        <v>197305844.40000001</v>
      </c>
      <c r="K2744" s="54">
        <f>Gastos[[#This Row],[Importe AR$]]/$N$1</f>
        <v>126478.1053846154</v>
      </c>
      <c r="L2744">
        <v>110845.98</v>
      </c>
      <c r="M2744" s="69"/>
      <c r="N2744" s="43" t="str">
        <f>IF(Gastos[[#This Row],[Fecha_Cheque]]&gt;0,WEEKNUM(Gastos[[#This Row],[Fecha_Cheque]]),MID(Gastos[[#This Row],[Semana]],6,2))</f>
        <v>44</v>
      </c>
    </row>
    <row r="2745" spans="1:16" hidden="1" x14ac:dyDescent="0.25">
      <c r="A2745" s="3" t="s">
        <v>4569</v>
      </c>
      <c r="B2745" t="s">
        <v>1644</v>
      </c>
      <c r="C2745" t="s">
        <v>1645</v>
      </c>
      <c r="D2745" t="s">
        <v>26</v>
      </c>
      <c r="E2745" t="s">
        <v>62</v>
      </c>
      <c r="F2745">
        <v>1</v>
      </c>
      <c r="G2745" s="3" t="s">
        <v>5</v>
      </c>
      <c r="H2745" s="46" t="s">
        <v>15</v>
      </c>
      <c r="I2745" s="17">
        <v>627210.11</v>
      </c>
      <c r="J2745" s="17">
        <f>IF(Gastos[[#This Row],[Divisa]]="$", I2745*1, IF(Gastos[[#This Row],[Divisa]]="U$D", I2745*$N$1, IF(Gastos[[#This Row],[Divisa]]="EUR", I2745*$N$2, 0)))</f>
        <v>627210.11</v>
      </c>
      <c r="K2745" s="54">
        <f>Gastos[[#This Row],[Importe AR$]]/$N$1</f>
        <v>402.05776282051283</v>
      </c>
      <c r="M2745" s="69"/>
      <c r="N2745" s="43" t="str">
        <f>IF(Gastos[[#This Row],[Fecha_Cheque]]&gt;0,WEEKNUM(Gastos[[#This Row],[Fecha_Cheque]]),MID(Gastos[[#This Row],[Semana]],6,2))</f>
        <v>43</v>
      </c>
      <c r="O2745" t="s">
        <v>4622</v>
      </c>
      <c r="P2745" t="s">
        <v>27</v>
      </c>
    </row>
    <row r="2746" spans="1:16" hidden="1" x14ac:dyDescent="0.25">
      <c r="A2746" s="3" t="s">
        <v>4569</v>
      </c>
      <c r="B2746" t="s">
        <v>1644</v>
      </c>
      <c r="C2746" t="s">
        <v>1645</v>
      </c>
      <c r="D2746" t="s">
        <v>26</v>
      </c>
      <c r="E2746" t="s">
        <v>62</v>
      </c>
      <c r="F2746">
        <v>1</v>
      </c>
      <c r="G2746" s="3" t="s">
        <v>5</v>
      </c>
      <c r="H2746" s="46" t="s">
        <v>15</v>
      </c>
      <c r="I2746" s="17">
        <v>8743000</v>
      </c>
      <c r="J2746" s="17">
        <f>IF(Gastos[[#This Row],[Divisa]]="$", I2746*1, IF(Gastos[[#This Row],[Divisa]]="U$D", I2746*$N$1, IF(Gastos[[#This Row],[Divisa]]="EUR", I2746*$N$2, 0)))</f>
        <v>8743000</v>
      </c>
      <c r="K2746" s="54">
        <f>Gastos[[#This Row],[Importe AR$]]/$N$1</f>
        <v>5604.4871794871797</v>
      </c>
      <c r="M2746" s="69">
        <v>46394</v>
      </c>
      <c r="N2746" s="43">
        <f>IF(Gastos[[#This Row],[Fecha_Cheque]]&gt;0,WEEKNUM(Gastos[[#This Row],[Fecha_Cheque]]),MID(Gastos[[#This Row],[Semana]],6,2))</f>
        <v>2</v>
      </c>
      <c r="O2746" t="s">
        <v>4649</v>
      </c>
      <c r="P2746" t="s">
        <v>27</v>
      </c>
    </row>
    <row r="2747" spans="1:16" hidden="1" x14ac:dyDescent="0.25">
      <c r="A2747" s="3" t="s">
        <v>4569</v>
      </c>
      <c r="B2747" t="s">
        <v>1644</v>
      </c>
      <c r="C2747" t="s">
        <v>1645</v>
      </c>
      <c r="D2747" t="s">
        <v>26</v>
      </c>
      <c r="E2747" t="s">
        <v>62</v>
      </c>
      <c r="F2747">
        <v>1</v>
      </c>
      <c r="G2747" s="3" t="s">
        <v>5</v>
      </c>
      <c r="H2747" s="46" t="s">
        <v>15</v>
      </c>
      <c r="I2747" s="17">
        <v>357784.2</v>
      </c>
      <c r="J2747" s="17">
        <f>IF(Gastos[[#This Row],[Divisa]]="$", I2747*1, IF(Gastos[[#This Row],[Divisa]]="U$D", I2747*$N$1, IF(Gastos[[#This Row],[Divisa]]="EUR", I2747*$N$2, 0)))</f>
        <v>357784.2</v>
      </c>
      <c r="K2747" s="54">
        <f>Gastos[[#This Row],[Importe AR$]]/$N$1</f>
        <v>229.34884615384615</v>
      </c>
      <c r="L2747" t="s">
        <v>340</v>
      </c>
      <c r="M2747" s="69"/>
      <c r="N2747" s="43" t="str">
        <f>IF(Gastos[[#This Row],[Fecha_Cheque]]&gt;0,WEEKNUM(Gastos[[#This Row],[Fecha_Cheque]]),MID(Gastos[[#This Row],[Semana]],6,2))</f>
        <v>43</v>
      </c>
      <c r="O2747" t="s">
        <v>4649</v>
      </c>
      <c r="P2747" t="s">
        <v>27</v>
      </c>
    </row>
    <row r="2748" spans="1:16" hidden="1" x14ac:dyDescent="0.25">
      <c r="A2748" s="3" t="s">
        <v>4569</v>
      </c>
      <c r="B2748" t="s">
        <v>1644</v>
      </c>
      <c r="C2748" t="s">
        <v>1645</v>
      </c>
      <c r="D2748" t="s">
        <v>26</v>
      </c>
      <c r="E2748" t="s">
        <v>62</v>
      </c>
      <c r="F2748">
        <v>1</v>
      </c>
      <c r="G2748" s="3" t="s">
        <v>32</v>
      </c>
      <c r="H2748" s="46" t="s">
        <v>15</v>
      </c>
      <c r="I2748" s="17">
        <v>3000000</v>
      </c>
      <c r="J2748" s="17">
        <f>IF(Gastos[[#This Row],[Divisa]]="$", I2748*1, IF(Gastos[[#This Row],[Divisa]]="U$D", I2748*$N$1, IF(Gastos[[#This Row],[Divisa]]="EUR", I2748*$N$2, 0)))</f>
        <v>3000000</v>
      </c>
      <c r="K2748" s="54">
        <f>Gastos[[#This Row],[Importe AR$]]/$N$1</f>
        <v>1923.0769230769231</v>
      </c>
      <c r="M2748" s="69"/>
      <c r="N2748" s="43" t="str">
        <f>IF(Gastos[[#This Row],[Fecha_Cheque]]&gt;0,WEEKNUM(Gastos[[#This Row],[Fecha_Cheque]]),MID(Gastos[[#This Row],[Semana]],6,2))</f>
        <v>43</v>
      </c>
      <c r="O2748" t="s">
        <v>4623</v>
      </c>
      <c r="P2748" t="s">
        <v>27</v>
      </c>
    </row>
    <row r="2749" spans="1:16" hidden="1" x14ac:dyDescent="0.25">
      <c r="A2749" s="3" t="s">
        <v>4569</v>
      </c>
      <c r="B2749" t="s">
        <v>1644</v>
      </c>
      <c r="C2749" t="s">
        <v>1645</v>
      </c>
      <c r="D2749" t="s">
        <v>26</v>
      </c>
      <c r="E2749" t="s">
        <v>62</v>
      </c>
      <c r="F2749">
        <v>1</v>
      </c>
      <c r="G2749" s="3" t="s">
        <v>32</v>
      </c>
      <c r="H2749" s="46" t="s">
        <v>15</v>
      </c>
      <c r="I2749" s="17">
        <v>3000000</v>
      </c>
      <c r="J2749" s="17">
        <f>IF(Gastos[[#This Row],[Divisa]]="$", I2749*1, IF(Gastos[[#This Row],[Divisa]]="U$D", I2749*$N$1, IF(Gastos[[#This Row],[Divisa]]="EUR", I2749*$N$2, 0)))</f>
        <v>3000000</v>
      </c>
      <c r="K2749" s="54">
        <f>Gastos[[#This Row],[Importe AR$]]/$N$1</f>
        <v>1923.0769230769231</v>
      </c>
      <c r="M2749" s="69"/>
      <c r="N2749" s="43" t="str">
        <f>IF(Gastos[[#This Row],[Fecha_Cheque]]&gt;0,WEEKNUM(Gastos[[#This Row],[Fecha_Cheque]]),MID(Gastos[[#This Row],[Semana]],6,2))</f>
        <v>43</v>
      </c>
      <c r="O2749" t="s">
        <v>4623</v>
      </c>
      <c r="P2749" t="s">
        <v>27</v>
      </c>
    </row>
    <row r="2750" spans="1:16" hidden="1" x14ac:dyDescent="0.25">
      <c r="A2750" s="3" t="s">
        <v>4569</v>
      </c>
      <c r="B2750" t="s">
        <v>1644</v>
      </c>
      <c r="C2750" t="s">
        <v>1645</v>
      </c>
      <c r="D2750" t="s">
        <v>26</v>
      </c>
      <c r="E2750" t="s">
        <v>62</v>
      </c>
      <c r="F2750">
        <v>1</v>
      </c>
      <c r="G2750" s="3" t="s">
        <v>5</v>
      </c>
      <c r="H2750" s="46" t="s">
        <v>15</v>
      </c>
      <c r="I2750" s="17">
        <v>2743000</v>
      </c>
      <c r="J2750" s="17">
        <f>IF(Gastos[[#This Row],[Divisa]]="$", I2750*1, IF(Gastos[[#This Row],[Divisa]]="U$D", I2750*$N$1, IF(Gastos[[#This Row],[Divisa]]="EUR", I2750*$N$2, 0)))</f>
        <v>2743000</v>
      </c>
      <c r="K2750" s="54">
        <f>Gastos[[#This Row],[Importe AR$]]/$N$1</f>
        <v>1758.3333333333333</v>
      </c>
      <c r="M2750" s="69"/>
      <c r="N2750" s="43" t="str">
        <f>IF(Gastos[[#This Row],[Fecha_Cheque]]&gt;0,WEEKNUM(Gastos[[#This Row],[Fecha_Cheque]]),MID(Gastos[[#This Row],[Semana]],6,2))</f>
        <v>43</v>
      </c>
      <c r="O2750" t="s">
        <v>4623</v>
      </c>
      <c r="P2750" t="s">
        <v>27</v>
      </c>
    </row>
    <row r="2751" spans="1:16" hidden="1" x14ac:dyDescent="0.25">
      <c r="A2751" s="3" t="s">
        <v>4211</v>
      </c>
      <c r="B2751" t="s">
        <v>4247</v>
      </c>
      <c r="C2751" t="s">
        <v>4248</v>
      </c>
      <c r="D2751" t="s">
        <v>26</v>
      </c>
      <c r="E2751" t="s">
        <v>62</v>
      </c>
      <c r="F2751">
        <v>1</v>
      </c>
      <c r="G2751" s="3" t="s">
        <v>5</v>
      </c>
      <c r="H2751" s="44" t="s">
        <v>15</v>
      </c>
      <c r="I2751" s="17">
        <v>582670.71</v>
      </c>
      <c r="J2751" s="17">
        <f>IF(Gastos[[#This Row],[Divisa]]="$", I2751*1, IF(Gastos[[#This Row],[Divisa]]="U$D", I2751*$N$1, IF(Gastos[[#This Row],[Divisa]]="EUR", I2751*$N$2, 0)))</f>
        <v>582670.71</v>
      </c>
      <c r="K2751" s="54">
        <f>Gastos[[#This Row],[Importe AR$]]/$N$1</f>
        <v>373.50686538461537</v>
      </c>
      <c r="M2751" s="69"/>
      <c r="N2751" s="43" t="str">
        <f>IF(Gastos[[#This Row],[Fecha_Cheque]]&gt;0,WEEKNUM(Gastos[[#This Row],[Fecha_Cheque]]),MID(Gastos[[#This Row],[Semana]],6,2))</f>
        <v>37</v>
      </c>
      <c r="O2751" t="s">
        <v>4249</v>
      </c>
      <c r="P2751" t="s">
        <v>27</v>
      </c>
    </row>
    <row r="2752" spans="1:16" hidden="1" x14ac:dyDescent="0.25">
      <c r="A2752" s="3" t="s">
        <v>2711</v>
      </c>
      <c r="B2752" t="s">
        <v>2936</v>
      </c>
      <c r="C2752" t="s">
        <v>2937</v>
      </c>
      <c r="D2752" t="s">
        <v>26</v>
      </c>
      <c r="E2752" t="s">
        <v>62</v>
      </c>
      <c r="F2752">
        <v>1</v>
      </c>
      <c r="G2752" s="3" t="s">
        <v>5</v>
      </c>
      <c r="H2752" s="44" t="s">
        <v>15</v>
      </c>
      <c r="I2752" s="17">
        <v>448155.58</v>
      </c>
      <c r="J2752" s="17">
        <f>IF(Gastos[[#This Row],[Divisa]]="$", I2752*1, IF(Gastos[[#This Row],[Divisa]]="U$D", I2752*$N$1, IF(Gastos[[#This Row],[Divisa]]="EUR", I2752*$N$2, 0)))</f>
        <v>448155.58</v>
      </c>
      <c r="K2752" s="54">
        <f>Gastos[[#This Row],[Importe AR$]]/$N$1</f>
        <v>287.27921794871799</v>
      </c>
      <c r="M2752" s="69"/>
      <c r="N2752" s="43" t="str">
        <f>IF(Gastos[[#This Row],[Fecha_Cheque]]&gt;0,WEEKNUM(Gastos[[#This Row],[Fecha_Cheque]]),MID(Gastos[[#This Row],[Semana]],6,2))</f>
        <v>15</v>
      </c>
      <c r="O2752" t="s">
        <v>2938</v>
      </c>
      <c r="P2752" t="s">
        <v>27</v>
      </c>
    </row>
    <row r="2753" spans="1:16" hidden="1" x14ac:dyDescent="0.25">
      <c r="A2753" s="3" t="s">
        <v>4211</v>
      </c>
      <c r="B2753" t="s">
        <v>4267</v>
      </c>
      <c r="C2753" t="s">
        <v>3589</v>
      </c>
      <c r="D2753" t="s">
        <v>26</v>
      </c>
      <c r="E2753" t="s">
        <v>62</v>
      </c>
      <c r="F2753">
        <v>1</v>
      </c>
      <c r="G2753" s="3" t="s">
        <v>5</v>
      </c>
      <c r="H2753" s="44" t="s">
        <v>15</v>
      </c>
      <c r="I2753" s="17">
        <v>296506.84000000003</v>
      </c>
      <c r="J2753" s="17">
        <f>IF(Gastos[[#This Row],[Divisa]]="$", I2753*1, IF(Gastos[[#This Row],[Divisa]]="U$D", I2753*$N$1, IF(Gastos[[#This Row],[Divisa]]="EUR", I2753*$N$2, 0)))</f>
        <v>296506.84000000003</v>
      </c>
      <c r="K2753" s="54">
        <f>Gastos[[#This Row],[Importe AR$]]/$N$1</f>
        <v>190.06848717948719</v>
      </c>
      <c r="M2753" s="69"/>
      <c r="N2753" s="43" t="str">
        <f>IF(Gastos[[#This Row],[Fecha_Cheque]]&gt;0,WEEKNUM(Gastos[[#This Row],[Fecha_Cheque]]),MID(Gastos[[#This Row],[Semana]],6,2))</f>
        <v>37</v>
      </c>
      <c r="O2753" t="s">
        <v>4266</v>
      </c>
      <c r="P2753" t="s">
        <v>27</v>
      </c>
    </row>
    <row r="2754" spans="1:16" x14ac:dyDescent="0.25">
      <c r="A2754" s="99" t="s">
        <v>4655</v>
      </c>
      <c r="B2754" s="100" t="s">
        <v>2908</v>
      </c>
      <c r="C2754" s="100" t="s">
        <v>1948</v>
      </c>
      <c r="D2754" s="100" t="s">
        <v>26</v>
      </c>
      <c r="E2754" s="100" t="s">
        <v>42</v>
      </c>
      <c r="F2754" s="100">
        <v>1</v>
      </c>
      <c r="G2754" s="99" t="s">
        <v>4</v>
      </c>
      <c r="H2754" s="44" t="s">
        <v>15</v>
      </c>
      <c r="I2754" s="17">
        <v>114638</v>
      </c>
      <c r="J2754" s="17">
        <f>IF(Gastos[[#This Row],[Divisa]]="$", I2754*1, IF(Gastos[[#This Row],[Divisa]]="U$D", I2754*$N$1, IF(Gastos[[#This Row],[Divisa]]="EUR", I2754*$N$2, 0)))</f>
        <v>114638</v>
      </c>
      <c r="K2754" s="54">
        <f>Gastos[[#This Row],[Importe AR$]]/$N$1</f>
        <v>73.485897435897442</v>
      </c>
      <c r="L2754" s="100"/>
      <c r="M2754" s="101"/>
      <c r="N2754" s="102" t="str">
        <f>IF(Gastos[[#This Row],[Fecha_Cheque]]&gt;0,WEEKNUM(Gastos[[#This Row],[Fecha_Cheque]]),MID(Gastos[[#This Row],[Semana]],6,2))</f>
        <v>44</v>
      </c>
      <c r="O2754" s="100" t="s">
        <v>4683</v>
      </c>
      <c r="P2754" s="100" t="s">
        <v>27</v>
      </c>
    </row>
    <row r="2755" spans="1:16" hidden="1" x14ac:dyDescent="0.25">
      <c r="A2755" s="3" t="s">
        <v>4569</v>
      </c>
      <c r="B2755" t="s">
        <v>2936</v>
      </c>
      <c r="C2755" t="s">
        <v>4632</v>
      </c>
      <c r="D2755" t="s">
        <v>26</v>
      </c>
      <c r="E2755" t="s">
        <v>31</v>
      </c>
      <c r="F2755">
        <v>1</v>
      </c>
      <c r="G2755" s="3" t="s">
        <v>5</v>
      </c>
      <c r="H2755" s="44" t="s">
        <v>15</v>
      </c>
      <c r="I2755" s="17">
        <v>781046.71</v>
      </c>
      <c r="J2755" s="17">
        <f>IF(Gastos[[#This Row],[Divisa]]="$", I2755*1, IF(Gastos[[#This Row],[Divisa]]="U$D", I2755*$N$1, IF(Gastos[[#This Row],[Divisa]]="EUR", I2755*$N$2, 0)))</f>
        <v>781046.71</v>
      </c>
      <c r="K2755" s="54">
        <f>Gastos[[#This Row],[Importe AR$]]/$N$1</f>
        <v>500.67096794871793</v>
      </c>
      <c r="M2755" s="69"/>
      <c r="N2755" s="43" t="str">
        <f>IF(Gastos[[#This Row],[Fecha_Cheque]]&gt;0,WEEKNUM(Gastos[[#This Row],[Fecha_Cheque]]),MID(Gastos[[#This Row],[Semana]],6,2))</f>
        <v>43</v>
      </c>
      <c r="O2755" t="s">
        <v>4633</v>
      </c>
      <c r="P2755" t="s">
        <v>27</v>
      </c>
    </row>
    <row r="2756" spans="1:16" hidden="1" x14ac:dyDescent="0.25">
      <c r="A2756" s="3" t="s">
        <v>4569</v>
      </c>
      <c r="B2756" t="s">
        <v>2936</v>
      </c>
      <c r="C2756" t="s">
        <v>4632</v>
      </c>
      <c r="D2756" t="s">
        <v>26</v>
      </c>
      <c r="E2756" t="s">
        <v>31</v>
      </c>
      <c r="F2756">
        <v>1</v>
      </c>
      <c r="G2756" s="3" t="s">
        <v>5</v>
      </c>
      <c r="H2756" s="44" t="s">
        <v>15</v>
      </c>
      <c r="I2756" s="17">
        <v>11760.86</v>
      </c>
      <c r="J2756" s="17">
        <f>IF(Gastos[[#This Row],[Divisa]]="$", I2756*1, IF(Gastos[[#This Row],[Divisa]]="U$D", I2756*$N$1, IF(Gastos[[#This Row],[Divisa]]="EUR", I2756*$N$2, 0)))</f>
        <v>11760.86</v>
      </c>
      <c r="K2756" s="54">
        <f>Gastos[[#This Row],[Importe AR$]]/$N$1</f>
        <v>7.5390128205128208</v>
      </c>
      <c r="L2756" t="s">
        <v>340</v>
      </c>
      <c r="M2756" s="69"/>
      <c r="N2756" s="43" t="str">
        <f>IF(Gastos[[#This Row],[Fecha_Cheque]]&gt;0,WEEKNUM(Gastos[[#This Row],[Fecha_Cheque]]),MID(Gastos[[#This Row],[Semana]],6,2))</f>
        <v>43</v>
      </c>
      <c r="O2756" t="s">
        <v>4633</v>
      </c>
      <c r="P2756" t="s">
        <v>27</v>
      </c>
    </row>
    <row r="2757" spans="1:16" hidden="1" x14ac:dyDescent="0.25">
      <c r="A2757" s="3" t="s">
        <v>117</v>
      </c>
      <c r="B2757" t="s">
        <v>1653</v>
      </c>
      <c r="C2757" t="s">
        <v>628</v>
      </c>
      <c r="D2757" t="s">
        <v>26</v>
      </c>
      <c r="E2757" t="s">
        <v>91</v>
      </c>
      <c r="F2757">
        <v>2</v>
      </c>
      <c r="G2757" s="3" t="s">
        <v>4</v>
      </c>
      <c r="H2757" s="46" t="s">
        <v>15</v>
      </c>
      <c r="I2757" s="17">
        <v>440392.21</v>
      </c>
      <c r="J2757" s="17">
        <f>IF(Gastos[[#This Row],[Divisa]]="$", I2757*1, IF(Gastos[[#This Row],[Divisa]]="U$D", I2757*$N$1, IF(Gastos[[#This Row],[Divisa]]="EUR", I2757*$N$2, 0)))</f>
        <v>440392.21</v>
      </c>
      <c r="K2757" s="54">
        <f>Gastos[[#This Row],[Importe AR$]]/$N$1</f>
        <v>282.30269871794872</v>
      </c>
      <c r="M2757" s="69"/>
      <c r="N2757" s="43" t="str">
        <f>IF(Gastos[[#This Row],[Fecha_Cheque]]&gt;0,WEEKNUM(Gastos[[#This Row],[Fecha_Cheque]]),MID(Gastos[[#This Row],[Semana]],6,2))</f>
        <v>35</v>
      </c>
      <c r="O2757" t="s">
        <v>123</v>
      </c>
      <c r="P2757" t="s">
        <v>27</v>
      </c>
    </row>
    <row r="2758" spans="1:16" hidden="1" x14ac:dyDescent="0.25">
      <c r="A2758" s="3" t="s">
        <v>89</v>
      </c>
      <c r="B2758" t="s">
        <v>1653</v>
      </c>
      <c r="C2758" t="s">
        <v>421</v>
      </c>
      <c r="D2758" t="s">
        <v>26</v>
      </c>
      <c r="E2758" t="s">
        <v>91</v>
      </c>
      <c r="F2758">
        <v>2</v>
      </c>
      <c r="G2758" s="3" t="s">
        <v>4</v>
      </c>
      <c r="H2758" s="46" t="s">
        <v>15</v>
      </c>
      <c r="I2758" s="17">
        <v>448655.67</v>
      </c>
      <c r="J2758" s="17">
        <f>IF(Gastos[[#This Row],[Divisa]]="$", I2758*1, IF(Gastos[[#This Row],[Divisa]]="U$D", I2758*$N$1, IF(Gastos[[#This Row],[Divisa]]="EUR", I2758*$N$2, 0)))</f>
        <v>448655.67</v>
      </c>
      <c r="K2758" s="54">
        <f>Gastos[[#This Row],[Importe AR$]]/$N$1</f>
        <v>287.59978846153842</v>
      </c>
      <c r="M2758" s="69"/>
      <c r="N2758" s="43" t="str">
        <f>IF(Gastos[[#This Row],[Fecha_Cheque]]&gt;0,WEEKNUM(Gastos[[#This Row],[Fecha_Cheque]]),MID(Gastos[[#This Row],[Semana]],6,2))</f>
        <v>39</v>
      </c>
      <c r="O2758" t="s">
        <v>1654</v>
      </c>
      <c r="P2758" t="s">
        <v>27</v>
      </c>
    </row>
    <row r="2759" spans="1:16" hidden="1" x14ac:dyDescent="0.25">
      <c r="A2759" s="3" t="s">
        <v>128</v>
      </c>
      <c r="B2759" t="s">
        <v>1653</v>
      </c>
      <c r="C2759" t="s">
        <v>1655</v>
      </c>
      <c r="D2759" t="s">
        <v>26</v>
      </c>
      <c r="E2759" t="s">
        <v>91</v>
      </c>
      <c r="F2759">
        <v>2</v>
      </c>
      <c r="G2759" s="3" t="s">
        <v>4</v>
      </c>
      <c r="H2759" s="46" t="s">
        <v>15</v>
      </c>
      <c r="I2759" s="17">
        <v>457970.93</v>
      </c>
      <c r="J2759" s="17">
        <f>IF(Gastos[[#This Row],[Divisa]]="$", I2759*1, IF(Gastos[[#This Row],[Divisa]]="U$D", I2759*$N$1, IF(Gastos[[#This Row],[Divisa]]="EUR", I2759*$N$2, 0)))</f>
        <v>457970.93</v>
      </c>
      <c r="K2759" s="54">
        <f>Gastos[[#This Row],[Importe AR$]]/$N$1</f>
        <v>293.57110897435899</v>
      </c>
      <c r="M2759" s="69"/>
      <c r="N2759" s="43" t="str">
        <f>IF(Gastos[[#This Row],[Fecha_Cheque]]&gt;0,WEEKNUM(Gastos[[#This Row],[Fecha_Cheque]]),MID(Gastos[[#This Row],[Semana]],6,2))</f>
        <v>43</v>
      </c>
      <c r="O2759" t="s">
        <v>1656</v>
      </c>
      <c r="P2759" t="s">
        <v>27</v>
      </c>
    </row>
    <row r="2760" spans="1:16" hidden="1" x14ac:dyDescent="0.25">
      <c r="A2760" s="3" t="s">
        <v>44</v>
      </c>
      <c r="B2760" t="s">
        <v>1653</v>
      </c>
      <c r="C2760" t="s">
        <v>1655</v>
      </c>
      <c r="D2760" t="s">
        <v>26</v>
      </c>
      <c r="E2760" t="s">
        <v>91</v>
      </c>
      <c r="F2760">
        <v>1</v>
      </c>
      <c r="G2760" s="3" t="s">
        <v>4</v>
      </c>
      <c r="H2760" s="46" t="s">
        <v>15</v>
      </c>
      <c r="I2760" s="17">
        <v>460000</v>
      </c>
      <c r="J2760" s="17">
        <f>IF(Gastos[[#This Row],[Divisa]]="$", I2760*1, IF(Gastos[[#This Row],[Divisa]]="U$D", I2760*$N$1, IF(Gastos[[#This Row],[Divisa]]="EUR", I2760*$N$2, 0)))</f>
        <v>460000</v>
      </c>
      <c r="K2760" s="54">
        <f>Gastos[[#This Row],[Importe AR$]]/$N$1</f>
        <v>294.87179487179486</v>
      </c>
      <c r="M2760" s="69"/>
      <c r="N2760" s="43" t="str">
        <f>IF(Gastos[[#This Row],[Fecha_Cheque]]&gt;0,WEEKNUM(Gastos[[#This Row],[Fecha_Cheque]]),MID(Gastos[[#This Row],[Semana]],6,2))</f>
        <v>51</v>
      </c>
      <c r="O2760" t="s">
        <v>1657</v>
      </c>
      <c r="P2760" t="s">
        <v>27</v>
      </c>
    </row>
    <row r="2761" spans="1:16" hidden="1" x14ac:dyDescent="0.25">
      <c r="A2761" s="3" t="s">
        <v>152</v>
      </c>
      <c r="B2761" t="s">
        <v>1653</v>
      </c>
      <c r="C2761" t="s">
        <v>693</v>
      </c>
      <c r="D2761" t="s">
        <v>26</v>
      </c>
      <c r="E2761" t="s">
        <v>91</v>
      </c>
      <c r="F2761">
        <v>2</v>
      </c>
      <c r="G2761" s="3" t="s">
        <v>4</v>
      </c>
      <c r="H2761" s="46" t="s">
        <v>15</v>
      </c>
      <c r="I2761" s="17">
        <v>488102</v>
      </c>
      <c r="J2761" s="17">
        <f>IF(Gastos[[#This Row],[Divisa]]="$", I2761*1, IF(Gastos[[#This Row],[Divisa]]="U$D", I2761*$N$1, IF(Gastos[[#This Row],[Divisa]]="EUR", I2761*$N$2, 0)))</f>
        <v>488102</v>
      </c>
      <c r="K2761" s="54">
        <f>Gastos[[#This Row],[Importe AR$]]/$N$1</f>
        <v>312.88589743589745</v>
      </c>
      <c r="M2761" s="69"/>
      <c r="N2761" s="43" t="str">
        <f>IF(Gastos[[#This Row],[Fecha_Cheque]]&gt;0,WEEKNUM(Gastos[[#This Row],[Fecha_Cheque]]),MID(Gastos[[#This Row],[Semana]],6,2))</f>
        <v>04</v>
      </c>
      <c r="O2761" t="s">
        <v>1658</v>
      </c>
      <c r="P2761" t="s">
        <v>27</v>
      </c>
    </row>
    <row r="2762" spans="1:16" hidden="1" x14ac:dyDescent="0.25">
      <c r="A2762" s="3" t="s">
        <v>139</v>
      </c>
      <c r="B2762" t="s">
        <v>1653</v>
      </c>
      <c r="C2762" t="s">
        <v>693</v>
      </c>
      <c r="D2762" t="s">
        <v>26</v>
      </c>
      <c r="E2762" t="s">
        <v>91</v>
      </c>
      <c r="F2762">
        <v>2</v>
      </c>
      <c r="G2762" s="3" t="s">
        <v>1672</v>
      </c>
      <c r="H2762" s="46" t="s">
        <v>15</v>
      </c>
      <c r="I2762" s="17">
        <v>502173.52</v>
      </c>
      <c r="J2762" s="17">
        <f>IF(Gastos[[#This Row],[Divisa]]="$", I2762*1, IF(Gastos[[#This Row],[Divisa]]="U$D", I2762*$N$1, IF(Gastos[[#This Row],[Divisa]]="EUR", I2762*$N$2, 0)))</f>
        <v>502173.52</v>
      </c>
      <c r="K2762" s="54">
        <f>Gastos[[#This Row],[Importe AR$]]/$N$1</f>
        <v>321.90610256410258</v>
      </c>
      <c r="M2762" s="69"/>
      <c r="N2762" s="43" t="str">
        <f>IF(Gastos[[#This Row],[Fecha_Cheque]]&gt;0,WEEKNUM(Gastos[[#This Row],[Fecha_Cheque]]),MID(Gastos[[#This Row],[Semana]],6,2))</f>
        <v>08</v>
      </c>
      <c r="O2762" t="s">
        <v>1673</v>
      </c>
      <c r="P2762" t="s">
        <v>27</v>
      </c>
    </row>
    <row r="2763" spans="1:16" hidden="1" x14ac:dyDescent="0.25">
      <c r="A2763" s="3" t="s">
        <v>2711</v>
      </c>
      <c r="B2763" t="s">
        <v>2940</v>
      </c>
      <c r="C2763" t="s">
        <v>422</v>
      </c>
      <c r="D2763" t="s">
        <v>26</v>
      </c>
      <c r="E2763" t="s">
        <v>42</v>
      </c>
      <c r="F2763">
        <v>2</v>
      </c>
      <c r="G2763" s="3" t="s">
        <v>4</v>
      </c>
      <c r="H2763" s="44" t="s">
        <v>15</v>
      </c>
      <c r="I2763" s="17">
        <v>511212.69</v>
      </c>
      <c r="J2763" s="17">
        <f>IF(Gastos[[#This Row],[Divisa]]="$", I2763*1, IF(Gastos[[#This Row],[Divisa]]="U$D", I2763*$N$1, IF(Gastos[[#This Row],[Divisa]]="EUR", I2763*$N$2, 0)))</f>
        <v>511212.69</v>
      </c>
      <c r="K2763" s="54">
        <f>Gastos[[#This Row],[Importe AR$]]/$N$1</f>
        <v>327.7004423076923</v>
      </c>
      <c r="M2763" s="69"/>
      <c r="N2763" s="43" t="str">
        <f>IF(Gastos[[#This Row],[Fecha_Cheque]]&gt;0,WEEKNUM(Gastos[[#This Row],[Fecha_Cheque]]),MID(Gastos[[#This Row],[Semana]],6,2))</f>
        <v>15</v>
      </c>
      <c r="O2763" t="s">
        <v>2941</v>
      </c>
      <c r="P2763" t="s">
        <v>27</v>
      </c>
    </row>
    <row r="2764" spans="1:16" hidden="1" x14ac:dyDescent="0.25">
      <c r="A2764" s="3" t="s">
        <v>2731</v>
      </c>
      <c r="B2764" t="s">
        <v>2940</v>
      </c>
      <c r="C2764" t="s">
        <v>421</v>
      </c>
      <c r="D2764" t="s">
        <v>26</v>
      </c>
      <c r="E2764" t="s">
        <v>42</v>
      </c>
      <c r="F2764">
        <v>2</v>
      </c>
      <c r="G2764" s="3" t="s">
        <v>4</v>
      </c>
      <c r="H2764" s="44" t="s">
        <v>15</v>
      </c>
      <c r="I2764" s="17">
        <v>528506.82999999996</v>
      </c>
      <c r="J2764" s="17">
        <f>IF(Gastos[[#This Row],[Divisa]]="$", I2764*1, IF(Gastos[[#This Row],[Divisa]]="U$D", I2764*$N$1, IF(Gastos[[#This Row],[Divisa]]="EUR", I2764*$N$2, 0)))</f>
        <v>528506.82999999996</v>
      </c>
      <c r="K2764" s="54">
        <f>Gastos[[#This Row],[Importe AR$]]/$N$1</f>
        <v>338.78642948717948</v>
      </c>
      <c r="M2764" s="69"/>
      <c r="N2764" s="43" t="str">
        <f>IF(Gastos[[#This Row],[Fecha_Cheque]]&gt;0,WEEKNUM(Gastos[[#This Row],[Fecha_Cheque]]),MID(Gastos[[#This Row],[Semana]],6,2))</f>
        <v>17</v>
      </c>
      <c r="O2764" t="s">
        <v>3146</v>
      </c>
      <c r="P2764" t="s">
        <v>27</v>
      </c>
    </row>
    <row r="2765" spans="1:16" hidden="1" x14ac:dyDescent="0.25">
      <c r="A2765" s="3" t="s">
        <v>2726</v>
      </c>
      <c r="B2765" t="s">
        <v>2940</v>
      </c>
      <c r="C2765" t="s">
        <v>693</v>
      </c>
      <c r="D2765" t="s">
        <v>26</v>
      </c>
      <c r="E2765" t="s">
        <v>42</v>
      </c>
      <c r="F2765">
        <v>2</v>
      </c>
      <c r="G2765" s="3" t="s">
        <v>4</v>
      </c>
      <c r="H2765" s="44" t="s">
        <v>15</v>
      </c>
      <c r="I2765" s="17">
        <v>542151.63</v>
      </c>
      <c r="J2765" s="17">
        <f>IF(Gastos[[#This Row],[Divisa]]="$", I2765*1, IF(Gastos[[#This Row],[Divisa]]="U$D", I2765*$N$1, IF(Gastos[[#This Row],[Divisa]]="EUR", I2765*$N$2, 0)))</f>
        <v>542151.63</v>
      </c>
      <c r="K2765" s="54">
        <f>Gastos[[#This Row],[Importe AR$]]/$N$1</f>
        <v>347.53309615384615</v>
      </c>
      <c r="M2765" s="69"/>
      <c r="N2765" s="43" t="str">
        <f>IF(Gastos[[#This Row],[Fecha_Cheque]]&gt;0,WEEKNUM(Gastos[[#This Row],[Fecha_Cheque]]),MID(Gastos[[#This Row],[Semana]],6,2))</f>
        <v>24</v>
      </c>
      <c r="O2765" t="s">
        <v>3414</v>
      </c>
      <c r="P2765" t="s">
        <v>27</v>
      </c>
    </row>
    <row r="2766" spans="1:16" hidden="1" x14ac:dyDescent="0.25">
      <c r="A2766" s="3" t="s">
        <v>3693</v>
      </c>
      <c r="B2766" t="s">
        <v>2940</v>
      </c>
      <c r="C2766" t="s">
        <v>91</v>
      </c>
      <c r="D2766" t="s">
        <v>26</v>
      </c>
      <c r="E2766" t="s">
        <v>42</v>
      </c>
      <c r="F2766">
        <v>2</v>
      </c>
      <c r="G2766" s="3" t="s">
        <v>4</v>
      </c>
      <c r="H2766" s="44" t="s">
        <v>15</v>
      </c>
      <c r="I2766" s="17">
        <v>553806.71</v>
      </c>
      <c r="J2766" s="17">
        <f>IF(Gastos[[#This Row],[Divisa]]="$", I2766*1, IF(Gastos[[#This Row],[Divisa]]="U$D", I2766*$N$1, IF(Gastos[[#This Row],[Divisa]]="EUR", I2766*$N$2, 0)))</f>
        <v>553806.71</v>
      </c>
      <c r="K2766" s="54">
        <f>Gastos[[#This Row],[Importe AR$]]/$N$1</f>
        <v>355.00430128205124</v>
      </c>
      <c r="M2766" s="69"/>
      <c r="N2766" s="43" t="str">
        <f>IF(Gastos[[#This Row],[Fecha_Cheque]]&gt;0,WEEKNUM(Gastos[[#This Row],[Fecha_Cheque]]),MID(Gastos[[#This Row],[Semana]],6,2))</f>
        <v>28</v>
      </c>
      <c r="O2766" t="s">
        <v>3711</v>
      </c>
      <c r="P2766" t="s">
        <v>27</v>
      </c>
    </row>
    <row r="2767" spans="1:16" hidden="1" x14ac:dyDescent="0.25">
      <c r="A2767" s="3" t="s">
        <v>4409</v>
      </c>
      <c r="B2767" t="s">
        <v>2940</v>
      </c>
      <c r="C2767" t="s">
        <v>4401</v>
      </c>
      <c r="D2767" t="s">
        <v>26</v>
      </c>
      <c r="E2767" t="s">
        <v>91</v>
      </c>
      <c r="F2767">
        <v>2</v>
      </c>
      <c r="G2767" s="3" t="s">
        <v>4</v>
      </c>
      <c r="H2767" s="44" t="s">
        <v>15</v>
      </c>
      <c r="I2767" s="17">
        <v>564254.68999999994</v>
      </c>
      <c r="J2767" s="17">
        <f>IF(Gastos[[#This Row],[Divisa]]="$", I2767*1, IF(Gastos[[#This Row],[Divisa]]="U$D", I2767*$N$1, IF(Gastos[[#This Row],[Divisa]]="EUR", I2767*$N$2, 0)))</f>
        <v>564254.68999999994</v>
      </c>
      <c r="K2767" s="54">
        <f>Gastos[[#This Row],[Importe AR$]]/$N$1</f>
        <v>361.70172435897433</v>
      </c>
      <c r="M2767" s="69"/>
      <c r="N2767" s="43" t="str">
        <f>IF(Gastos[[#This Row],[Fecha_Cheque]]&gt;0,WEEKNUM(Gastos[[#This Row],[Fecha_Cheque]]),MID(Gastos[[#This Row],[Semana]],6,2))</f>
        <v>40</v>
      </c>
      <c r="O2767" t="s">
        <v>4402</v>
      </c>
      <c r="P2767" t="s">
        <v>27</v>
      </c>
    </row>
    <row r="2768" spans="1:16" hidden="1" x14ac:dyDescent="0.25">
      <c r="A2768" s="3" t="s">
        <v>4409</v>
      </c>
      <c r="B2768" t="s">
        <v>2940</v>
      </c>
      <c r="C2768" t="s">
        <v>4401</v>
      </c>
      <c r="D2768" t="s">
        <v>26</v>
      </c>
      <c r="E2768" t="s">
        <v>91</v>
      </c>
      <c r="F2768">
        <v>2</v>
      </c>
      <c r="G2768" s="3" t="s">
        <v>4</v>
      </c>
      <c r="H2768" s="44" t="s">
        <v>15</v>
      </c>
      <c r="I2768" s="17">
        <v>276183.24</v>
      </c>
      <c r="J2768" s="17">
        <f>IF(Gastos[[#This Row],[Divisa]]="$", I2768*1, IF(Gastos[[#This Row],[Divisa]]="U$D", I2768*$N$1, IF(Gastos[[#This Row],[Divisa]]="EUR", I2768*$N$2, 0)))</f>
        <v>276183.24</v>
      </c>
      <c r="K2768" s="54">
        <f>Gastos[[#This Row],[Importe AR$]]/$N$1</f>
        <v>177.04053846153846</v>
      </c>
      <c r="M2768" s="69"/>
      <c r="N2768" s="43" t="str">
        <f>IF(Gastos[[#This Row],[Fecha_Cheque]]&gt;0,WEEKNUM(Gastos[[#This Row],[Fecha_Cheque]]),MID(Gastos[[#This Row],[Semana]],6,2))</f>
        <v>40</v>
      </c>
      <c r="O2768" t="s">
        <v>4403</v>
      </c>
      <c r="P2768" t="s">
        <v>27</v>
      </c>
    </row>
    <row r="2769" spans="1:16" hidden="1" x14ac:dyDescent="0.25">
      <c r="A2769" s="3" t="s">
        <v>4569</v>
      </c>
      <c r="B2769" t="s">
        <v>2940</v>
      </c>
      <c r="C2769" t="s">
        <v>1655</v>
      </c>
      <c r="D2769" t="s">
        <v>26</v>
      </c>
      <c r="E2769" t="s">
        <v>91</v>
      </c>
      <c r="F2769">
        <v>2</v>
      </c>
      <c r="G2769" s="3" t="s">
        <v>4</v>
      </c>
      <c r="H2769" s="44" t="s">
        <v>15</v>
      </c>
      <c r="I2769" s="17">
        <v>588363.96</v>
      </c>
      <c r="J2769" s="17">
        <f>IF(Gastos[[#This Row],[Divisa]]="$", I2769*1, IF(Gastos[[#This Row],[Divisa]]="U$D", I2769*$N$1, IF(Gastos[[#This Row],[Divisa]]="EUR", I2769*$N$2, 0)))</f>
        <v>588363.96</v>
      </c>
      <c r="K2769" s="54">
        <f>Gastos[[#This Row],[Importe AR$]]/$N$1</f>
        <v>377.15638461538458</v>
      </c>
      <c r="M2769" s="69"/>
      <c r="N2769" s="43" t="str">
        <f>IF(Gastos[[#This Row],[Fecha_Cheque]]&gt;0,WEEKNUM(Gastos[[#This Row],[Fecha_Cheque]]),MID(Gastos[[#This Row],[Semana]],6,2))</f>
        <v>43</v>
      </c>
      <c r="O2769" t="s">
        <v>4616</v>
      </c>
      <c r="P2769" t="s">
        <v>27</v>
      </c>
    </row>
    <row r="2770" spans="1:16" hidden="1" x14ac:dyDescent="0.25">
      <c r="A2770" s="3" t="s">
        <v>232</v>
      </c>
      <c r="B2770" t="s">
        <v>1659</v>
      </c>
      <c r="C2770" t="s">
        <v>1660</v>
      </c>
      <c r="D2770" t="s">
        <v>26</v>
      </c>
      <c r="E2770" t="s">
        <v>31</v>
      </c>
      <c r="F2770">
        <v>1</v>
      </c>
      <c r="G2770" s="3" t="s">
        <v>5</v>
      </c>
      <c r="H2770" s="46" t="s">
        <v>15</v>
      </c>
      <c r="I2770" s="17">
        <v>144450</v>
      </c>
      <c r="J2770" s="17">
        <f>IF(Gastos[[#This Row],[Divisa]]="$", I2770*1, IF(Gastos[[#This Row],[Divisa]]="U$D", I2770*$N$1, IF(Gastos[[#This Row],[Divisa]]="EUR", I2770*$N$2, 0)))</f>
        <v>144450</v>
      </c>
      <c r="K2770" s="54">
        <f>Gastos[[#This Row],[Importe AR$]]/$N$1</f>
        <v>92.59615384615384</v>
      </c>
      <c r="M2770" s="69"/>
      <c r="N2770" s="43" t="str">
        <f>IF(Gastos[[#This Row],[Fecha_Cheque]]&gt;0,WEEKNUM(Gastos[[#This Row],[Fecha_Cheque]]),MID(Gastos[[#This Row],[Semana]],6,2))</f>
        <v>44</v>
      </c>
      <c r="O2770" t="s">
        <v>1661</v>
      </c>
      <c r="P2770" t="s">
        <v>27</v>
      </c>
    </row>
    <row r="2771" spans="1:16" hidden="1" x14ac:dyDescent="0.25">
      <c r="A2771" s="3" t="s">
        <v>72</v>
      </c>
      <c r="B2771" t="s">
        <v>1662</v>
      </c>
      <c r="C2771" t="s">
        <v>1663</v>
      </c>
      <c r="D2771" t="s">
        <v>26</v>
      </c>
      <c r="E2771" t="s">
        <v>31</v>
      </c>
      <c r="F2771">
        <v>1</v>
      </c>
      <c r="G2771" s="3" t="s">
        <v>32</v>
      </c>
      <c r="H2771" s="46" t="s">
        <v>15</v>
      </c>
      <c r="I2771" s="17">
        <v>40000</v>
      </c>
      <c r="J2771" s="17">
        <f>IF(Gastos[[#This Row],[Divisa]]="$", I2771*1, IF(Gastos[[#This Row],[Divisa]]="U$D", I2771*$N$1, IF(Gastos[[#This Row],[Divisa]]="EUR", I2771*$N$2, 0)))</f>
        <v>40000</v>
      </c>
      <c r="K2771" s="54">
        <f>Gastos[[#This Row],[Importe AR$]]/$N$1</f>
        <v>25.641025641025642</v>
      </c>
      <c r="M2771" s="69">
        <v>45988</v>
      </c>
      <c r="N2771" s="43">
        <f>IF(Gastos[[#This Row],[Fecha_Cheque]]&gt;0,WEEKNUM(Gastos[[#This Row],[Fecha_Cheque]]),MID(Gastos[[#This Row],[Semana]],6,2))</f>
        <v>48</v>
      </c>
      <c r="O2771" t="s">
        <v>1664</v>
      </c>
      <c r="P2771" t="s">
        <v>27</v>
      </c>
    </row>
    <row r="2772" spans="1:16" hidden="1" x14ac:dyDescent="0.25">
      <c r="A2772" s="3" t="s">
        <v>72</v>
      </c>
      <c r="B2772" t="s">
        <v>1662</v>
      </c>
      <c r="C2772" t="s">
        <v>1663</v>
      </c>
      <c r="D2772" t="s">
        <v>26</v>
      </c>
      <c r="E2772" t="s">
        <v>31</v>
      </c>
      <c r="F2772">
        <v>1</v>
      </c>
      <c r="G2772" s="3" t="s">
        <v>32</v>
      </c>
      <c r="H2772" s="46" t="s">
        <v>15</v>
      </c>
      <c r="I2772" s="17">
        <v>141170</v>
      </c>
      <c r="J2772" s="17">
        <f>IF(Gastos[[#This Row],[Divisa]]="$", I2772*1, IF(Gastos[[#This Row],[Divisa]]="U$D", I2772*$N$1, IF(Gastos[[#This Row],[Divisa]]="EUR", I2772*$N$2, 0)))</f>
        <v>141170</v>
      </c>
      <c r="K2772" s="54">
        <f>Gastos[[#This Row],[Importe AR$]]/$N$1</f>
        <v>90.493589743589737</v>
      </c>
      <c r="M2772" s="69">
        <v>45988</v>
      </c>
      <c r="N2772" s="43">
        <f>IF(Gastos[[#This Row],[Fecha_Cheque]]&gt;0,WEEKNUM(Gastos[[#This Row],[Fecha_Cheque]]),MID(Gastos[[#This Row],[Semana]],6,2))</f>
        <v>48</v>
      </c>
      <c r="O2772" t="s">
        <v>1664</v>
      </c>
      <c r="P2772" t="s">
        <v>27</v>
      </c>
    </row>
    <row r="2773" spans="1:16" hidden="1" x14ac:dyDescent="0.25">
      <c r="A2773" s="3" t="s">
        <v>72</v>
      </c>
      <c r="B2773" t="s">
        <v>1662</v>
      </c>
      <c r="C2773" t="s">
        <v>1663</v>
      </c>
      <c r="D2773" t="s">
        <v>26</v>
      </c>
      <c r="E2773" t="s">
        <v>31</v>
      </c>
      <c r="F2773">
        <v>1</v>
      </c>
      <c r="G2773" s="3" t="s">
        <v>32</v>
      </c>
      <c r="H2773" s="46" t="s">
        <v>15</v>
      </c>
      <c r="I2773" s="17">
        <v>143729.81</v>
      </c>
      <c r="J2773" s="17">
        <f>IF(Gastos[[#This Row],[Divisa]]="$", I2773*1, IF(Gastos[[#This Row],[Divisa]]="U$D", I2773*$N$1, IF(Gastos[[#This Row],[Divisa]]="EUR", I2773*$N$2, 0)))</f>
        <v>143729.81</v>
      </c>
      <c r="K2773" s="54">
        <f>Gastos[[#This Row],[Importe AR$]]/$N$1</f>
        <v>92.134493589743585</v>
      </c>
      <c r="M2773" s="69">
        <v>45961</v>
      </c>
      <c r="N2773" s="43">
        <f>IF(Gastos[[#This Row],[Fecha_Cheque]]&gt;0,WEEKNUM(Gastos[[#This Row],[Fecha_Cheque]]),MID(Gastos[[#This Row],[Semana]],6,2))</f>
        <v>44</v>
      </c>
      <c r="O2773" t="s">
        <v>1664</v>
      </c>
      <c r="P2773" t="s">
        <v>27</v>
      </c>
    </row>
    <row r="2774" spans="1:16" hidden="1" x14ac:dyDescent="0.25">
      <c r="A2774" s="3" t="s">
        <v>72</v>
      </c>
      <c r="B2774" t="s">
        <v>1662</v>
      </c>
      <c r="C2774" t="s">
        <v>1663</v>
      </c>
      <c r="D2774" t="s">
        <v>26</v>
      </c>
      <c r="E2774" t="s">
        <v>31</v>
      </c>
      <c r="F2774">
        <v>1</v>
      </c>
      <c r="G2774" s="3" t="s">
        <v>32</v>
      </c>
      <c r="H2774" s="46" t="s">
        <v>15</v>
      </c>
      <c r="I2774" s="17">
        <v>600000</v>
      </c>
      <c r="J2774" s="17">
        <f>IF(Gastos[[#This Row],[Divisa]]="$", I2774*1, IF(Gastos[[#This Row],[Divisa]]="U$D", I2774*$N$1, IF(Gastos[[#This Row],[Divisa]]="EUR", I2774*$N$2, 0)))</f>
        <v>600000</v>
      </c>
      <c r="K2774" s="54">
        <f>Gastos[[#This Row],[Importe AR$]]/$N$1</f>
        <v>384.61538461538464</v>
      </c>
      <c r="M2774" s="69">
        <v>45960</v>
      </c>
      <c r="N2774" s="43">
        <f>IF(Gastos[[#This Row],[Fecha_Cheque]]&gt;0,WEEKNUM(Gastos[[#This Row],[Fecha_Cheque]]),MID(Gastos[[#This Row],[Semana]],6,2))</f>
        <v>44</v>
      </c>
      <c r="O2774" t="s">
        <v>1664</v>
      </c>
      <c r="P2774" t="s">
        <v>27</v>
      </c>
    </row>
    <row r="2775" spans="1:16" hidden="1" x14ac:dyDescent="0.25">
      <c r="A2775" s="3" t="s">
        <v>72</v>
      </c>
      <c r="B2775" t="s">
        <v>1662</v>
      </c>
      <c r="C2775" t="s">
        <v>1663</v>
      </c>
      <c r="D2775" t="s">
        <v>26</v>
      </c>
      <c r="E2775" t="s">
        <v>31</v>
      </c>
      <c r="F2775">
        <v>1</v>
      </c>
      <c r="G2775" s="3" t="s">
        <v>5</v>
      </c>
      <c r="H2775" s="46" t="s">
        <v>15</v>
      </c>
      <c r="I2775" s="17">
        <v>494490.19</v>
      </c>
      <c r="J2775" s="17">
        <f>IF(Gastos[[#This Row],[Divisa]]="$", I2775*1, IF(Gastos[[#This Row],[Divisa]]="U$D", I2775*$N$1, IF(Gastos[[#This Row],[Divisa]]="EUR", I2775*$N$2, 0)))</f>
        <v>494490.19</v>
      </c>
      <c r="K2775" s="54">
        <f>Gastos[[#This Row],[Importe AR$]]/$N$1</f>
        <v>316.98089102564103</v>
      </c>
      <c r="M2775" s="69"/>
      <c r="N2775" s="43" t="str">
        <f>IF(Gastos[[#This Row],[Fecha_Cheque]]&gt;0,WEEKNUM(Gastos[[#This Row],[Fecha_Cheque]]),MID(Gastos[[#This Row],[Semana]],6,2))</f>
        <v>48</v>
      </c>
      <c r="O2775" t="s">
        <v>1664</v>
      </c>
      <c r="P2775" t="s">
        <v>27</v>
      </c>
    </row>
    <row r="2776" spans="1:16" hidden="1" x14ac:dyDescent="0.25">
      <c r="A2776" s="3" t="s">
        <v>44</v>
      </c>
      <c r="B2776" t="s">
        <v>1662</v>
      </c>
      <c r="C2776" t="s">
        <v>1665</v>
      </c>
      <c r="D2776" t="s">
        <v>26</v>
      </c>
      <c r="E2776" t="s">
        <v>31</v>
      </c>
      <c r="F2776">
        <v>1</v>
      </c>
      <c r="G2776" s="3" t="s">
        <v>32</v>
      </c>
      <c r="H2776" s="46" t="s">
        <v>15</v>
      </c>
      <c r="I2776" s="17">
        <v>750000</v>
      </c>
      <c r="J2776" s="17">
        <f>IF(Gastos[[#This Row],[Divisa]]="$", I2776*1, IF(Gastos[[#This Row],[Divisa]]="U$D", I2776*$N$1, IF(Gastos[[#This Row],[Divisa]]="EUR", I2776*$N$2, 0)))</f>
        <v>750000</v>
      </c>
      <c r="K2776" s="54">
        <f>Gastos[[#This Row],[Importe AR$]]/$N$1</f>
        <v>480.76923076923077</v>
      </c>
      <c r="M2776" s="69">
        <v>46003</v>
      </c>
      <c r="N2776" s="43">
        <f>IF(Gastos[[#This Row],[Fecha_Cheque]]&gt;0,WEEKNUM(Gastos[[#This Row],[Fecha_Cheque]]),MID(Gastos[[#This Row],[Semana]],6,2))</f>
        <v>50</v>
      </c>
      <c r="O2776" t="s">
        <v>1666</v>
      </c>
      <c r="P2776" t="s">
        <v>27</v>
      </c>
    </row>
    <row r="2777" spans="1:16" hidden="1" x14ac:dyDescent="0.25">
      <c r="A2777" s="3" t="s">
        <v>44</v>
      </c>
      <c r="B2777" t="s">
        <v>1662</v>
      </c>
      <c r="C2777" t="s">
        <v>1665</v>
      </c>
      <c r="D2777" t="s">
        <v>26</v>
      </c>
      <c r="E2777" t="s">
        <v>31</v>
      </c>
      <c r="F2777">
        <v>1</v>
      </c>
      <c r="G2777" s="3" t="s">
        <v>4</v>
      </c>
      <c r="H2777" s="46" t="s">
        <v>15</v>
      </c>
      <c r="I2777" s="17">
        <v>13000</v>
      </c>
      <c r="J2777" s="17">
        <f>IF(Gastos[[#This Row],[Divisa]]="$", I2777*1, IF(Gastos[[#This Row],[Divisa]]="U$D", I2777*$N$1, IF(Gastos[[#This Row],[Divisa]]="EUR", I2777*$N$2, 0)))</f>
        <v>13000</v>
      </c>
      <c r="K2777" s="54">
        <f>Gastos[[#This Row],[Importe AR$]]/$N$1</f>
        <v>8.3333333333333339</v>
      </c>
      <c r="M2777" s="69"/>
      <c r="N2777" s="43" t="str">
        <f>IF(Gastos[[#This Row],[Fecha_Cheque]]&gt;0,WEEKNUM(Gastos[[#This Row],[Fecha_Cheque]]),MID(Gastos[[#This Row],[Semana]],6,2))</f>
        <v>51</v>
      </c>
      <c r="O2777" t="s">
        <v>1666</v>
      </c>
      <c r="P2777" t="s">
        <v>27</v>
      </c>
    </row>
    <row r="2778" spans="1:16" hidden="1" x14ac:dyDescent="0.25">
      <c r="A2778" s="3" t="s">
        <v>416</v>
      </c>
      <c r="B2778" t="s">
        <v>1662</v>
      </c>
      <c r="C2778" t="s">
        <v>1667</v>
      </c>
      <c r="D2778" t="s">
        <v>26</v>
      </c>
      <c r="E2778" t="s">
        <v>31</v>
      </c>
      <c r="F2778">
        <v>1</v>
      </c>
      <c r="G2778" s="3" t="s">
        <v>5</v>
      </c>
      <c r="H2778" s="46" t="s">
        <v>15</v>
      </c>
      <c r="I2778" s="17">
        <v>5325000</v>
      </c>
      <c r="J2778" s="17">
        <f>IF(Gastos[[#This Row],[Divisa]]="$", I2778*1, IF(Gastos[[#This Row],[Divisa]]="U$D", I2778*$N$1, IF(Gastos[[#This Row],[Divisa]]="EUR", I2778*$N$2, 0)))</f>
        <v>5325000</v>
      </c>
      <c r="K2778" s="54">
        <f>Gastos[[#This Row],[Importe AR$]]/$N$1</f>
        <v>3413.4615384615386</v>
      </c>
      <c r="M2778" s="69"/>
      <c r="N2778" s="43" t="str">
        <f>IF(Gastos[[#This Row],[Fecha_Cheque]]&gt;0,WEEKNUM(Gastos[[#This Row],[Fecha_Cheque]]),MID(Gastos[[#This Row],[Semana]],6,2))</f>
        <v>52</v>
      </c>
      <c r="O2778" t="s">
        <v>1668</v>
      </c>
      <c r="P2778" t="s">
        <v>27</v>
      </c>
    </row>
    <row r="2779" spans="1:16" hidden="1" x14ac:dyDescent="0.25">
      <c r="A2779" s="3" t="s">
        <v>152</v>
      </c>
      <c r="B2779" t="s">
        <v>1662</v>
      </c>
      <c r="C2779" t="s">
        <v>1669</v>
      </c>
      <c r="D2779" t="s">
        <v>26</v>
      </c>
      <c r="E2779" t="s">
        <v>62</v>
      </c>
      <c r="F2779">
        <v>1</v>
      </c>
      <c r="G2779" s="3" t="s">
        <v>5</v>
      </c>
      <c r="H2779" s="46" t="s">
        <v>15</v>
      </c>
      <c r="I2779" s="17">
        <v>1550000</v>
      </c>
      <c r="J2779" s="17">
        <f>IF(Gastos[[#This Row],[Divisa]]="$", I2779*1, IF(Gastos[[#This Row],[Divisa]]="U$D", I2779*$N$1, IF(Gastos[[#This Row],[Divisa]]="EUR", I2779*$N$2, 0)))</f>
        <v>1550000</v>
      </c>
      <c r="K2779" s="54">
        <f>Gastos[[#This Row],[Importe AR$]]/$N$1</f>
        <v>993.58974358974353</v>
      </c>
      <c r="M2779" s="69"/>
      <c r="N2779" s="43" t="str">
        <f>IF(Gastos[[#This Row],[Fecha_Cheque]]&gt;0,WEEKNUM(Gastos[[#This Row],[Fecha_Cheque]]),MID(Gastos[[#This Row],[Semana]],6,2))</f>
        <v>04</v>
      </c>
      <c r="O2779" t="s">
        <v>1670</v>
      </c>
      <c r="P2779" t="s">
        <v>27</v>
      </c>
    </row>
    <row r="2780" spans="1:16" hidden="1" x14ac:dyDescent="0.25">
      <c r="A2780" s="3" t="s">
        <v>68</v>
      </c>
      <c r="B2780" t="s">
        <v>1662</v>
      </c>
      <c r="C2780" t="s">
        <v>1669</v>
      </c>
      <c r="D2780" t="s">
        <v>26</v>
      </c>
      <c r="E2780" t="s">
        <v>62</v>
      </c>
      <c r="F2780">
        <v>1</v>
      </c>
      <c r="G2780" s="3" t="s">
        <v>32</v>
      </c>
      <c r="H2780" s="46" t="s">
        <v>15</v>
      </c>
      <c r="I2780" s="17">
        <v>2000000</v>
      </c>
      <c r="J2780" s="17">
        <f>IF(Gastos[[#This Row],[Divisa]]="$", I2780*1, IF(Gastos[[#This Row],[Divisa]]="U$D", I2780*$N$1, IF(Gastos[[#This Row],[Divisa]]="EUR", I2780*$N$2, 0)))</f>
        <v>2000000</v>
      </c>
      <c r="K2780" s="54">
        <f>Gastos[[#This Row],[Importe AR$]]/$N$1</f>
        <v>1282.051282051282</v>
      </c>
      <c r="L2780" t="s">
        <v>277</v>
      </c>
      <c r="M2780" s="69"/>
      <c r="N2780" s="43" t="str">
        <f>IF(Gastos[[#This Row],[Fecha_Cheque]]&gt;0,WEEKNUM(Gastos[[#This Row],[Fecha_Cheque]]),MID(Gastos[[#This Row],[Semana]],6,2))</f>
        <v>05</v>
      </c>
      <c r="O2780" t="s">
        <v>1671</v>
      </c>
      <c r="P2780" t="s">
        <v>27</v>
      </c>
    </row>
    <row r="2781" spans="1:16" hidden="1" x14ac:dyDescent="0.25">
      <c r="A2781" s="3" t="s">
        <v>180</v>
      </c>
      <c r="B2781" t="s">
        <v>1662</v>
      </c>
      <c r="C2781" t="s">
        <v>1917</v>
      </c>
      <c r="D2781" t="s">
        <v>26</v>
      </c>
      <c r="E2781" t="s">
        <v>31</v>
      </c>
      <c r="F2781">
        <v>1</v>
      </c>
      <c r="G2781" s="3" t="s">
        <v>5</v>
      </c>
      <c r="H2781" s="46" t="s">
        <v>15</v>
      </c>
      <c r="I2781" s="17">
        <v>2740000</v>
      </c>
      <c r="J2781" s="17">
        <f>IF(Gastos[[#This Row],[Divisa]]="$", I2781*1, IF(Gastos[[#This Row],[Divisa]]="U$D", I2781*$N$1, IF(Gastos[[#This Row],[Divisa]]="EUR", I2781*$N$2, 0)))</f>
        <v>2740000</v>
      </c>
      <c r="K2781" s="54">
        <f>Gastos[[#This Row],[Importe AR$]]/$N$1</f>
        <v>1756.4102564102564</v>
      </c>
      <c r="M2781" s="69"/>
      <c r="N2781" s="43" t="str">
        <f>IF(Gastos[[#This Row],[Fecha_Cheque]]&gt;0,WEEKNUM(Gastos[[#This Row],[Fecha_Cheque]]),MID(Gastos[[#This Row],[Semana]],6,2))</f>
        <v>09</v>
      </c>
      <c r="O2781" t="s">
        <v>1918</v>
      </c>
      <c r="P2781" t="s">
        <v>27</v>
      </c>
    </row>
    <row r="2782" spans="1:16" hidden="1" x14ac:dyDescent="0.25">
      <c r="A2782" s="3" t="s">
        <v>44</v>
      </c>
      <c r="B2782" t="s">
        <v>1674</v>
      </c>
      <c r="C2782" t="s">
        <v>1675</v>
      </c>
      <c r="D2782" t="s">
        <v>26</v>
      </c>
      <c r="E2782" t="s">
        <v>31</v>
      </c>
      <c r="F2782">
        <v>1</v>
      </c>
      <c r="G2782" s="3" t="s">
        <v>5</v>
      </c>
      <c r="H2782" s="46" t="s">
        <v>15</v>
      </c>
      <c r="I2782" s="17">
        <v>90000</v>
      </c>
      <c r="J2782" s="17">
        <f>IF(Gastos[[#This Row],[Divisa]]="$", I2782*1, IF(Gastos[[#This Row],[Divisa]]="U$D", I2782*$N$1, IF(Gastos[[#This Row],[Divisa]]="EUR", I2782*$N$2, 0)))</f>
        <v>90000</v>
      </c>
      <c r="K2782" s="54">
        <f>Gastos[[#This Row],[Importe AR$]]/$N$1</f>
        <v>57.692307692307693</v>
      </c>
      <c r="M2782" s="69"/>
      <c r="N2782" s="43" t="str">
        <f>IF(Gastos[[#This Row],[Fecha_Cheque]]&gt;0,WEEKNUM(Gastos[[#This Row],[Fecha_Cheque]]),MID(Gastos[[#This Row],[Semana]],6,2))</f>
        <v>51</v>
      </c>
      <c r="O2782" t="s">
        <v>1391</v>
      </c>
      <c r="P2782" t="s">
        <v>27</v>
      </c>
    </row>
    <row r="2783" spans="1:16" hidden="1" x14ac:dyDescent="0.25">
      <c r="A2783" s="3" t="s">
        <v>75</v>
      </c>
      <c r="B2783" t="s">
        <v>1674</v>
      </c>
      <c r="D2783" t="s">
        <v>26</v>
      </c>
      <c r="E2783" t="s">
        <v>91</v>
      </c>
      <c r="F2783">
        <v>1</v>
      </c>
      <c r="G2783" s="3" t="s">
        <v>5</v>
      </c>
      <c r="H2783" s="46" t="s">
        <v>15</v>
      </c>
      <c r="I2783" s="17">
        <v>17000</v>
      </c>
      <c r="J2783" s="17">
        <f>IF(Gastos[[#This Row],[Divisa]]="$", I2783*1, IF(Gastos[[#This Row],[Divisa]]="U$D", I2783*$N$1, IF(Gastos[[#This Row],[Divisa]]="EUR", I2783*$N$2, 0)))</f>
        <v>17000</v>
      </c>
      <c r="K2783" s="54">
        <f>Gastos[[#This Row],[Importe AR$]]/$N$1</f>
        <v>10.897435897435898</v>
      </c>
      <c r="M2783" s="69"/>
      <c r="N2783" s="43" t="str">
        <f>IF(Gastos[[#This Row],[Fecha_Cheque]]&gt;0,WEEKNUM(Gastos[[#This Row],[Fecha_Cheque]]),MID(Gastos[[#This Row],[Semana]],6,2))</f>
        <v>07</v>
      </c>
      <c r="O2783" t="s">
        <v>1676</v>
      </c>
      <c r="P2783" t="s">
        <v>27</v>
      </c>
    </row>
    <row r="2784" spans="1:16" hidden="1" x14ac:dyDescent="0.25">
      <c r="A2784" s="3" t="s">
        <v>39</v>
      </c>
      <c r="B2784" t="s">
        <v>1674</v>
      </c>
      <c r="C2784" t="s">
        <v>2650</v>
      </c>
      <c r="D2784" t="s">
        <v>26</v>
      </c>
      <c r="E2784" t="s">
        <v>42</v>
      </c>
      <c r="F2784">
        <v>1</v>
      </c>
      <c r="G2784" s="3" t="s">
        <v>4</v>
      </c>
      <c r="H2784" s="44" t="s">
        <v>15</v>
      </c>
      <c r="I2784" s="17">
        <v>60000</v>
      </c>
      <c r="J2784" s="17">
        <f>IF(Gastos[[#This Row],[Divisa]]="$", I2784*1, IF(Gastos[[#This Row],[Divisa]]="U$D", I2784*$N$1, IF(Gastos[[#This Row],[Divisa]]="EUR", I2784*$N$2, 0)))</f>
        <v>60000</v>
      </c>
      <c r="K2784" s="54">
        <f>Gastos[[#This Row],[Importe AR$]]/$N$1</f>
        <v>38.46153846153846</v>
      </c>
      <c r="M2784" s="69"/>
      <c r="N2784" s="43" t="str">
        <f>IF(Gastos[[#This Row],[Fecha_Cheque]]&gt;0,WEEKNUM(Gastos[[#This Row],[Fecha_Cheque]]),MID(Gastos[[#This Row],[Semana]],6,2))</f>
        <v>14</v>
      </c>
      <c r="O2784" t="s">
        <v>2651</v>
      </c>
      <c r="P2784" t="s">
        <v>27</v>
      </c>
    </row>
    <row r="2785" spans="1:16" hidden="1" x14ac:dyDescent="0.25">
      <c r="A2785" s="3" t="s">
        <v>828</v>
      </c>
      <c r="B2785" t="s">
        <v>1674</v>
      </c>
      <c r="C2785" t="s">
        <v>2819</v>
      </c>
      <c r="D2785" t="s">
        <v>26</v>
      </c>
      <c r="E2785" t="s">
        <v>42</v>
      </c>
      <c r="F2785">
        <v>1</v>
      </c>
      <c r="G2785" s="3" t="s">
        <v>4</v>
      </c>
      <c r="H2785" s="44" t="s">
        <v>15</v>
      </c>
      <c r="I2785" s="17">
        <v>20500</v>
      </c>
      <c r="J2785" s="17">
        <f>IF(Gastos[[#This Row],[Divisa]]="$", I2785*1, IF(Gastos[[#This Row],[Divisa]]="U$D", I2785*$N$1, IF(Gastos[[#This Row],[Divisa]]="EUR", I2785*$N$2, 0)))</f>
        <v>20500</v>
      </c>
      <c r="K2785" s="54">
        <f>Gastos[[#This Row],[Importe AR$]]/$N$1</f>
        <v>13.141025641025641</v>
      </c>
      <c r="M2785" s="69"/>
      <c r="N2785" s="43" t="str">
        <f>IF(Gastos[[#This Row],[Fecha_Cheque]]&gt;0,WEEKNUM(Gastos[[#This Row],[Fecha_Cheque]]),MID(Gastos[[#This Row],[Semana]],6,2))</f>
        <v>13</v>
      </c>
      <c r="O2785" t="s">
        <v>2820</v>
      </c>
      <c r="P2785" t="s">
        <v>27</v>
      </c>
    </row>
    <row r="2786" spans="1:16" hidden="1" x14ac:dyDescent="0.25">
      <c r="A2786" s="3" t="s">
        <v>2773</v>
      </c>
      <c r="B2786" t="s">
        <v>1674</v>
      </c>
      <c r="C2786" t="s">
        <v>3190</v>
      </c>
      <c r="D2786" t="s">
        <v>26</v>
      </c>
      <c r="E2786" t="s">
        <v>42</v>
      </c>
      <c r="F2786">
        <v>1</v>
      </c>
      <c r="G2786" s="3" t="s">
        <v>4</v>
      </c>
      <c r="H2786" s="44" t="s">
        <v>15</v>
      </c>
      <c r="I2786" s="17">
        <v>68000</v>
      </c>
      <c r="J2786" s="17">
        <f>IF(Gastos[[#This Row],[Divisa]]="$", I2786*1, IF(Gastos[[#This Row],[Divisa]]="U$D", I2786*$N$1, IF(Gastos[[#This Row],[Divisa]]="EUR", I2786*$N$2, 0)))</f>
        <v>68000</v>
      </c>
      <c r="K2786" s="54">
        <f>Gastos[[#This Row],[Importe AR$]]/$N$1</f>
        <v>43.589743589743591</v>
      </c>
      <c r="M2786" s="69"/>
      <c r="N2786" s="43" t="str">
        <f>IF(Gastos[[#This Row],[Fecha_Cheque]]&gt;0,WEEKNUM(Gastos[[#This Row],[Fecha_Cheque]]),MID(Gastos[[#This Row],[Semana]],6,2))</f>
        <v>20</v>
      </c>
      <c r="O2786" t="s">
        <v>3191</v>
      </c>
      <c r="P2786" t="s">
        <v>27</v>
      </c>
    </row>
    <row r="2787" spans="1:16" hidden="1" x14ac:dyDescent="0.25">
      <c r="A2787" s="3" t="s">
        <v>3754</v>
      </c>
      <c r="B2787" t="s">
        <v>1674</v>
      </c>
      <c r="C2787" t="s">
        <v>3799</v>
      </c>
      <c r="D2787" t="s">
        <v>26</v>
      </c>
      <c r="E2787" t="s">
        <v>42</v>
      </c>
      <c r="F2787">
        <v>1</v>
      </c>
      <c r="G2787" s="3" t="s">
        <v>4</v>
      </c>
      <c r="H2787" s="44" t="s">
        <v>15</v>
      </c>
      <c r="I2787" s="17">
        <v>160000</v>
      </c>
      <c r="J2787" s="17">
        <f>IF(Gastos[[#This Row],[Divisa]]="$", I2787*1, IF(Gastos[[#This Row],[Divisa]]="U$D", I2787*$N$1, IF(Gastos[[#This Row],[Divisa]]="EUR", I2787*$N$2, 0)))</f>
        <v>160000</v>
      </c>
      <c r="K2787" s="54">
        <f>Gastos[[#This Row],[Importe AR$]]/$N$1</f>
        <v>102.56410256410257</v>
      </c>
      <c r="M2787" s="69"/>
      <c r="N2787" s="43" t="str">
        <f>IF(Gastos[[#This Row],[Fecha_Cheque]]&gt;0,WEEKNUM(Gastos[[#This Row],[Fecha_Cheque]]),MID(Gastos[[#This Row],[Semana]],6,2))</f>
        <v>29</v>
      </c>
      <c r="O2787" t="s">
        <v>3800</v>
      </c>
      <c r="P2787" t="s">
        <v>27</v>
      </c>
    </row>
    <row r="2788" spans="1:16" hidden="1" x14ac:dyDescent="0.25">
      <c r="A2788" s="3" t="s">
        <v>3754</v>
      </c>
      <c r="B2788" t="s">
        <v>1674</v>
      </c>
      <c r="C2788" t="s">
        <v>2946</v>
      </c>
      <c r="D2788" t="s">
        <v>26</v>
      </c>
      <c r="E2788" t="s">
        <v>42</v>
      </c>
      <c r="F2788">
        <v>1</v>
      </c>
      <c r="G2788" s="3" t="s">
        <v>4</v>
      </c>
      <c r="H2788" s="44" t="s">
        <v>15</v>
      </c>
      <c r="I2788" s="17">
        <v>160000</v>
      </c>
      <c r="J2788" s="17">
        <f>IF(Gastos[[#This Row],[Divisa]]="$", I2788*1, IF(Gastos[[#This Row],[Divisa]]="U$D", I2788*$N$1, IF(Gastos[[#This Row],[Divisa]]="EUR", I2788*$N$2, 0)))</f>
        <v>160000</v>
      </c>
      <c r="K2788" s="54">
        <f>Gastos[[#This Row],[Importe AR$]]/$N$1</f>
        <v>102.56410256410257</v>
      </c>
      <c r="M2788" s="69"/>
      <c r="N2788" s="43" t="str">
        <f>IF(Gastos[[#This Row],[Fecha_Cheque]]&gt;0,WEEKNUM(Gastos[[#This Row],[Fecha_Cheque]]),MID(Gastos[[#This Row],[Semana]],6,2))</f>
        <v>29</v>
      </c>
      <c r="O2788" t="s">
        <v>3800</v>
      </c>
      <c r="P2788" t="s">
        <v>27</v>
      </c>
    </row>
    <row r="2789" spans="1:16" hidden="1" x14ac:dyDescent="0.25">
      <c r="A2789" s="3" t="s">
        <v>4513</v>
      </c>
      <c r="B2789" t="s">
        <v>4555</v>
      </c>
      <c r="C2789" t="s">
        <v>4556</v>
      </c>
      <c r="D2789" t="s">
        <v>26</v>
      </c>
      <c r="E2789" t="s">
        <v>31</v>
      </c>
      <c r="F2789">
        <v>1</v>
      </c>
      <c r="G2789" s="3" t="s">
        <v>5</v>
      </c>
      <c r="H2789" s="44" t="s">
        <v>15</v>
      </c>
      <c r="I2789" s="17">
        <v>107000</v>
      </c>
      <c r="J2789" s="17">
        <f>IF(Gastos[[#This Row],[Divisa]]="$", I2789*1, IF(Gastos[[#This Row],[Divisa]]="U$D", I2789*$N$1, IF(Gastos[[#This Row],[Divisa]]="EUR", I2789*$N$2, 0)))</f>
        <v>107000</v>
      </c>
      <c r="K2789" s="54">
        <f>Gastos[[#This Row],[Importe AR$]]/$N$1</f>
        <v>68.589743589743591</v>
      </c>
      <c r="M2789" s="69"/>
      <c r="N2789" s="43" t="str">
        <f>IF(Gastos[[#This Row],[Fecha_Cheque]]&gt;0,WEEKNUM(Gastos[[#This Row],[Fecha_Cheque]]),MID(Gastos[[#This Row],[Semana]],6,2))</f>
        <v>42</v>
      </c>
      <c r="O2789" t="s">
        <v>4557</v>
      </c>
      <c r="P2789" t="s">
        <v>27</v>
      </c>
    </row>
    <row r="2790" spans="1:16" hidden="1" x14ac:dyDescent="0.25">
      <c r="A2790" s="3" t="s">
        <v>56</v>
      </c>
      <c r="B2790" t="s">
        <v>1677</v>
      </c>
      <c r="C2790" t="s">
        <v>1678</v>
      </c>
      <c r="D2790" t="s">
        <v>26</v>
      </c>
      <c r="E2790" t="s">
        <v>42</v>
      </c>
      <c r="F2790">
        <v>2</v>
      </c>
      <c r="G2790" s="3" t="s">
        <v>4</v>
      </c>
      <c r="H2790" s="46" t="s">
        <v>15</v>
      </c>
      <c r="I2790" s="17">
        <v>2000000</v>
      </c>
      <c r="J2790" s="17">
        <f>IF(Gastos[[#This Row],[Divisa]]="$", I2790*1, IF(Gastos[[#This Row],[Divisa]]="U$D", I2790*$N$1, IF(Gastos[[#This Row],[Divisa]]="EUR", I2790*$N$2, 0)))</f>
        <v>2000000</v>
      </c>
      <c r="K2790" s="54">
        <f>Gastos[[#This Row],[Importe AR$]]/$N$1</f>
        <v>1282.051282051282</v>
      </c>
      <c r="M2790" s="69"/>
      <c r="N2790" s="43" t="str">
        <f>IF(Gastos[[#This Row],[Fecha_Cheque]]&gt;0,WEEKNUM(Gastos[[#This Row],[Fecha_Cheque]]),MID(Gastos[[#This Row],[Semana]],6,2))</f>
        <v>41</v>
      </c>
      <c r="O2790" t="s">
        <v>1679</v>
      </c>
      <c r="P2790" t="s">
        <v>27</v>
      </c>
    </row>
    <row r="2791" spans="1:16" hidden="1" x14ac:dyDescent="0.25">
      <c r="A2791" s="3" t="s">
        <v>128</v>
      </c>
      <c r="B2791" t="s">
        <v>1677</v>
      </c>
      <c r="C2791" t="s">
        <v>1680</v>
      </c>
      <c r="D2791" t="s">
        <v>26</v>
      </c>
      <c r="E2791" t="s">
        <v>31</v>
      </c>
      <c r="F2791">
        <v>2</v>
      </c>
      <c r="G2791" s="3" t="s">
        <v>4</v>
      </c>
      <c r="H2791" s="46" t="s">
        <v>15</v>
      </c>
      <c r="I2791" s="17">
        <v>4000000</v>
      </c>
      <c r="J2791" s="17">
        <f>IF(Gastos[[#This Row],[Divisa]]="$", I2791*1, IF(Gastos[[#This Row],[Divisa]]="U$D", I2791*$N$1, IF(Gastos[[#This Row],[Divisa]]="EUR", I2791*$N$2, 0)))</f>
        <v>4000000</v>
      </c>
      <c r="K2791" s="54">
        <f>Gastos[[#This Row],[Importe AR$]]/$N$1</f>
        <v>2564.102564102564</v>
      </c>
      <c r="M2791" s="69"/>
      <c r="N2791" s="43" t="str">
        <f>IF(Gastos[[#This Row],[Fecha_Cheque]]&gt;0,WEEKNUM(Gastos[[#This Row],[Fecha_Cheque]]),MID(Gastos[[#This Row],[Semana]],6,2))</f>
        <v>43</v>
      </c>
      <c r="O2791" t="s">
        <v>1681</v>
      </c>
      <c r="P2791" t="s">
        <v>27</v>
      </c>
    </row>
    <row r="2792" spans="1:16" hidden="1" x14ac:dyDescent="0.25">
      <c r="A2792" s="3" t="s">
        <v>130</v>
      </c>
      <c r="B2792" t="s">
        <v>1677</v>
      </c>
      <c r="C2792" t="s">
        <v>1682</v>
      </c>
      <c r="D2792" t="s">
        <v>26</v>
      </c>
      <c r="E2792" t="s">
        <v>31</v>
      </c>
      <c r="F2792">
        <v>2</v>
      </c>
      <c r="G2792" s="3" t="s">
        <v>4</v>
      </c>
      <c r="H2792" s="46" t="s">
        <v>15</v>
      </c>
      <c r="I2792" s="17">
        <v>4000000</v>
      </c>
      <c r="J2792" s="17">
        <f>IF(Gastos[[#This Row],[Divisa]]="$", I2792*1, IF(Gastos[[#This Row],[Divisa]]="U$D", I2792*$N$1, IF(Gastos[[#This Row],[Divisa]]="EUR", I2792*$N$2, 0)))</f>
        <v>4000000</v>
      </c>
      <c r="K2792" s="54">
        <f>Gastos[[#This Row],[Importe AR$]]/$N$1</f>
        <v>2564.102564102564</v>
      </c>
      <c r="M2792" s="69"/>
      <c r="N2792" s="43" t="str">
        <f>IF(Gastos[[#This Row],[Fecha_Cheque]]&gt;0,WEEKNUM(Gastos[[#This Row],[Fecha_Cheque]]),MID(Gastos[[#This Row],[Semana]],6,2))</f>
        <v>45</v>
      </c>
      <c r="O2792" t="s">
        <v>1683</v>
      </c>
      <c r="P2792" t="s">
        <v>27</v>
      </c>
    </row>
    <row r="2793" spans="1:16" hidden="1" x14ac:dyDescent="0.25">
      <c r="A2793" s="3" t="s">
        <v>81</v>
      </c>
      <c r="B2793" t="s">
        <v>1677</v>
      </c>
      <c r="C2793" t="s">
        <v>1682</v>
      </c>
      <c r="D2793" t="s">
        <v>26</v>
      </c>
      <c r="E2793" t="s">
        <v>62</v>
      </c>
      <c r="F2793">
        <v>2</v>
      </c>
      <c r="G2793" s="3" t="s">
        <v>32</v>
      </c>
      <c r="H2793" s="46" t="s">
        <v>15</v>
      </c>
      <c r="I2793" s="17">
        <v>327000</v>
      </c>
      <c r="J2793" s="17">
        <f>IF(Gastos[[#This Row],[Divisa]]="$", I2793*1, IF(Gastos[[#This Row],[Divisa]]="U$D", I2793*$N$1, IF(Gastos[[#This Row],[Divisa]]="EUR", I2793*$N$2, 0)))</f>
        <v>327000</v>
      </c>
      <c r="K2793" s="54">
        <f>Gastos[[#This Row],[Importe AR$]]/$N$1</f>
        <v>209.61538461538461</v>
      </c>
      <c r="M2793" s="69"/>
      <c r="N2793" s="43" t="str">
        <f>IF(Gastos[[#This Row],[Fecha_Cheque]]&gt;0,WEEKNUM(Gastos[[#This Row],[Fecha_Cheque]]),MID(Gastos[[#This Row],[Semana]],6,2))</f>
        <v>49</v>
      </c>
      <c r="O2793" t="s">
        <v>1684</v>
      </c>
      <c r="P2793" t="s">
        <v>27</v>
      </c>
    </row>
    <row r="2794" spans="1:16" hidden="1" x14ac:dyDescent="0.25">
      <c r="A2794" s="3" t="s">
        <v>81</v>
      </c>
      <c r="B2794" t="s">
        <v>1677</v>
      </c>
      <c r="C2794" t="s">
        <v>1682</v>
      </c>
      <c r="D2794" t="s">
        <v>26</v>
      </c>
      <c r="E2794" t="s">
        <v>62</v>
      </c>
      <c r="F2794">
        <v>2</v>
      </c>
      <c r="G2794" s="3" t="s">
        <v>32</v>
      </c>
      <c r="H2794" s="46" t="s">
        <v>15</v>
      </c>
      <c r="I2794" s="17">
        <v>10000000</v>
      </c>
      <c r="J2794" s="17">
        <f>IF(Gastos[[#This Row],[Divisa]]="$", I2794*1, IF(Gastos[[#This Row],[Divisa]]="U$D", I2794*$N$1, IF(Gastos[[#This Row],[Divisa]]="EUR", I2794*$N$2, 0)))</f>
        <v>10000000</v>
      </c>
      <c r="K2794" s="54">
        <f>Gastos[[#This Row],[Importe AR$]]/$N$1</f>
        <v>6410.2564102564102</v>
      </c>
      <c r="M2794" s="69">
        <v>46035</v>
      </c>
      <c r="N2794" s="43">
        <f>IF(Gastos[[#This Row],[Fecha_Cheque]]&gt;0,WEEKNUM(Gastos[[#This Row],[Fecha_Cheque]]),MID(Gastos[[#This Row],[Semana]],6,2))</f>
        <v>3</v>
      </c>
      <c r="O2794" t="s">
        <v>1685</v>
      </c>
      <c r="P2794" t="s">
        <v>27</v>
      </c>
    </row>
    <row r="2795" spans="1:16" hidden="1" x14ac:dyDescent="0.25">
      <c r="A2795" s="3" t="s">
        <v>81</v>
      </c>
      <c r="B2795" t="s">
        <v>1677</v>
      </c>
      <c r="C2795" t="s">
        <v>1682</v>
      </c>
      <c r="D2795" t="s">
        <v>26</v>
      </c>
      <c r="E2795" t="s">
        <v>62</v>
      </c>
      <c r="F2795">
        <v>2</v>
      </c>
      <c r="G2795" s="3" t="s">
        <v>4</v>
      </c>
      <c r="H2795" s="46" t="s">
        <v>15</v>
      </c>
      <c r="I2795" s="17">
        <v>2000000</v>
      </c>
      <c r="J2795" s="17">
        <f>IF(Gastos[[#This Row],[Divisa]]="$", I2795*1, IF(Gastos[[#This Row],[Divisa]]="U$D", I2795*$N$1, IF(Gastos[[#This Row],[Divisa]]="EUR", I2795*$N$2, 0)))</f>
        <v>2000000</v>
      </c>
      <c r="K2795" s="54">
        <f>Gastos[[#This Row],[Importe AR$]]/$N$1</f>
        <v>1282.051282051282</v>
      </c>
      <c r="M2795" s="69"/>
      <c r="N2795" s="43" t="str">
        <f>IF(Gastos[[#This Row],[Fecha_Cheque]]&gt;0,WEEKNUM(Gastos[[#This Row],[Fecha_Cheque]]),MID(Gastos[[#This Row],[Semana]],6,2))</f>
        <v>49</v>
      </c>
      <c r="O2795" t="s">
        <v>1685</v>
      </c>
      <c r="P2795" t="s">
        <v>27</v>
      </c>
    </row>
    <row r="2796" spans="1:16" hidden="1" x14ac:dyDescent="0.25">
      <c r="A2796" s="3" t="s">
        <v>93</v>
      </c>
      <c r="B2796" t="s">
        <v>1677</v>
      </c>
      <c r="C2796" t="s">
        <v>1682</v>
      </c>
      <c r="D2796" t="s">
        <v>26</v>
      </c>
      <c r="E2796" t="s">
        <v>62</v>
      </c>
      <c r="F2796">
        <v>2</v>
      </c>
      <c r="G2796" s="3" t="s">
        <v>4</v>
      </c>
      <c r="H2796" s="46" t="s">
        <v>15</v>
      </c>
      <c r="I2796" s="17">
        <v>2500000</v>
      </c>
      <c r="J2796" s="17">
        <f>IF(Gastos[[#This Row],[Divisa]]="$", I2796*1, IF(Gastos[[#This Row],[Divisa]]="U$D", I2796*$N$1, IF(Gastos[[#This Row],[Divisa]]="EUR", I2796*$N$2, 0)))</f>
        <v>2500000</v>
      </c>
      <c r="K2796" s="54">
        <f>Gastos[[#This Row],[Importe AR$]]/$N$1</f>
        <v>1602.5641025641025</v>
      </c>
      <c r="M2796" s="69"/>
      <c r="N2796" s="43" t="str">
        <f>IF(Gastos[[#This Row],[Fecha_Cheque]]&gt;0,WEEKNUM(Gastos[[#This Row],[Fecha_Cheque]]),MID(Gastos[[#This Row],[Semana]],6,2))</f>
        <v>50</v>
      </c>
      <c r="O2796" t="s">
        <v>1686</v>
      </c>
      <c r="P2796" t="s">
        <v>27</v>
      </c>
    </row>
    <row r="2797" spans="1:16" hidden="1" x14ac:dyDescent="0.25">
      <c r="A2797" s="3" t="s">
        <v>44</v>
      </c>
      <c r="B2797" t="s">
        <v>1677</v>
      </c>
      <c r="C2797" t="s">
        <v>1682</v>
      </c>
      <c r="D2797" t="s">
        <v>26</v>
      </c>
      <c r="E2797" t="s">
        <v>62</v>
      </c>
      <c r="F2797">
        <v>2</v>
      </c>
      <c r="G2797" s="3" t="s">
        <v>4</v>
      </c>
      <c r="H2797" s="46" t="s">
        <v>15</v>
      </c>
      <c r="I2797" s="17">
        <v>2500000</v>
      </c>
      <c r="J2797" s="17">
        <f>IF(Gastos[[#This Row],[Divisa]]="$", I2797*1, IF(Gastos[[#This Row],[Divisa]]="U$D", I2797*$N$1, IF(Gastos[[#This Row],[Divisa]]="EUR", I2797*$N$2, 0)))</f>
        <v>2500000</v>
      </c>
      <c r="K2797" s="54">
        <f>Gastos[[#This Row],[Importe AR$]]/$N$1</f>
        <v>1602.5641025641025</v>
      </c>
      <c r="M2797" s="69"/>
      <c r="N2797" s="43" t="str">
        <f>IF(Gastos[[#This Row],[Fecha_Cheque]]&gt;0,WEEKNUM(Gastos[[#This Row],[Fecha_Cheque]]),MID(Gastos[[#This Row],[Semana]],6,2))</f>
        <v>51</v>
      </c>
      <c r="O2797" t="s">
        <v>1687</v>
      </c>
      <c r="P2797" t="s">
        <v>27</v>
      </c>
    </row>
    <row r="2798" spans="1:16" hidden="1" x14ac:dyDescent="0.25">
      <c r="A2798" s="3" t="s">
        <v>378</v>
      </c>
      <c r="B2798" t="s">
        <v>1677</v>
      </c>
      <c r="C2798" t="s">
        <v>1688</v>
      </c>
      <c r="D2798" t="s">
        <v>26</v>
      </c>
      <c r="E2798" t="s">
        <v>31</v>
      </c>
      <c r="F2798">
        <v>2</v>
      </c>
      <c r="G2798" s="3" t="s">
        <v>4</v>
      </c>
      <c r="H2798" s="46" t="s">
        <v>15</v>
      </c>
      <c r="I2798" s="17">
        <v>1140000</v>
      </c>
      <c r="J2798" s="17">
        <f>IF(Gastos[[#This Row],[Divisa]]="$", I2798*1, IF(Gastos[[#This Row],[Divisa]]="U$D", I2798*$N$1, IF(Gastos[[#This Row],[Divisa]]="EUR", I2798*$N$2, 0)))</f>
        <v>1140000</v>
      </c>
      <c r="K2798" s="54">
        <f>Gastos[[#This Row],[Importe AR$]]/$N$1</f>
        <v>730.76923076923072</v>
      </c>
      <c r="M2798" s="69"/>
      <c r="N2798" s="43" t="str">
        <f>IF(Gastos[[#This Row],[Fecha_Cheque]]&gt;0,WEEKNUM(Gastos[[#This Row],[Fecha_Cheque]]),MID(Gastos[[#This Row],[Semana]],6,2))</f>
        <v>03</v>
      </c>
      <c r="O2798" t="s">
        <v>1689</v>
      </c>
      <c r="P2798" t="s">
        <v>27</v>
      </c>
    </row>
    <row r="2799" spans="1:16" hidden="1" x14ac:dyDescent="0.25">
      <c r="A2799" s="3" t="s">
        <v>4005</v>
      </c>
      <c r="B2799" t="s">
        <v>1677</v>
      </c>
      <c r="C2799" t="s">
        <v>4035</v>
      </c>
      <c r="D2799" t="s">
        <v>26</v>
      </c>
      <c r="E2799" t="s">
        <v>42</v>
      </c>
      <c r="F2799">
        <v>2</v>
      </c>
      <c r="G2799" s="3" t="s">
        <v>4</v>
      </c>
      <c r="H2799" s="44" t="s">
        <v>15</v>
      </c>
      <c r="I2799" s="17">
        <v>800000</v>
      </c>
      <c r="J2799" s="17">
        <f>IF(Gastos[[#This Row],[Divisa]]="$", I2799*1, IF(Gastos[[#This Row],[Divisa]]="U$D", I2799*$N$1, IF(Gastos[[#This Row],[Divisa]]="EUR", I2799*$N$2, 0)))</f>
        <v>800000</v>
      </c>
      <c r="K2799" s="54">
        <f>Gastos[[#This Row],[Importe AR$]]/$N$1</f>
        <v>512.82051282051282</v>
      </c>
      <c r="M2799" s="69"/>
      <c r="N2799" s="43" t="str">
        <f>IF(Gastos[[#This Row],[Fecha_Cheque]]&gt;0,WEEKNUM(Gastos[[#This Row],[Fecha_Cheque]]),MID(Gastos[[#This Row],[Semana]],6,2))</f>
        <v>33</v>
      </c>
      <c r="O2799" t="s">
        <v>4069</v>
      </c>
      <c r="P2799" t="s">
        <v>27</v>
      </c>
    </row>
    <row r="2800" spans="1:16" hidden="1" x14ac:dyDescent="0.25">
      <c r="A2800" s="3" t="s">
        <v>4119</v>
      </c>
      <c r="B2800" t="s">
        <v>1677</v>
      </c>
      <c r="C2800" t="s">
        <v>4035</v>
      </c>
      <c r="D2800" t="s">
        <v>26</v>
      </c>
      <c r="E2800" t="s">
        <v>42</v>
      </c>
      <c r="F2800">
        <v>2</v>
      </c>
      <c r="G2800" s="3" t="s">
        <v>4</v>
      </c>
      <c r="H2800" s="44" t="s">
        <v>15</v>
      </c>
      <c r="I2800" s="17">
        <v>700000</v>
      </c>
      <c r="J2800" s="17">
        <f>IF(Gastos[[#This Row],[Divisa]]="$", I2800*1, IF(Gastos[[#This Row],[Divisa]]="U$D", I2800*$N$1, IF(Gastos[[#This Row],[Divisa]]="EUR", I2800*$N$2, 0)))</f>
        <v>700000</v>
      </c>
      <c r="K2800" s="54">
        <f>Gastos[[#This Row],[Importe AR$]]/$N$1</f>
        <v>448.71794871794873</v>
      </c>
      <c r="M2800" s="69"/>
      <c r="N2800" s="43" t="str">
        <f>IF(Gastos[[#This Row],[Fecha_Cheque]]&gt;0,WEEKNUM(Gastos[[#This Row],[Fecha_Cheque]]),MID(Gastos[[#This Row],[Semana]],6,2))</f>
        <v>35</v>
      </c>
      <c r="O2800" t="s">
        <v>1563</v>
      </c>
      <c r="P2800" t="s">
        <v>27</v>
      </c>
    </row>
    <row r="2801" spans="1:16" hidden="1" x14ac:dyDescent="0.25">
      <c r="A2801" s="3" t="s">
        <v>4157</v>
      </c>
      <c r="B2801" t="s">
        <v>1677</v>
      </c>
      <c r="C2801" t="s">
        <v>4035</v>
      </c>
      <c r="D2801" t="s">
        <v>26</v>
      </c>
      <c r="E2801" t="s">
        <v>42</v>
      </c>
      <c r="F2801">
        <v>2</v>
      </c>
      <c r="G2801" s="3" t="s">
        <v>4</v>
      </c>
      <c r="H2801" s="44" t="s">
        <v>15</v>
      </c>
      <c r="I2801" s="17">
        <v>1000000</v>
      </c>
      <c r="J2801" s="17">
        <f>IF(Gastos[[#This Row],[Divisa]]="$", I2801*1, IF(Gastos[[#This Row],[Divisa]]="U$D", I2801*$N$1, IF(Gastos[[#This Row],[Divisa]]="EUR", I2801*$N$2, 0)))</f>
        <v>1000000</v>
      </c>
      <c r="K2801" s="54">
        <f>Gastos[[#This Row],[Importe AR$]]/$N$1</f>
        <v>641.02564102564099</v>
      </c>
      <c r="M2801" s="69"/>
      <c r="N2801" s="43" t="str">
        <f>IF(Gastos[[#This Row],[Fecha_Cheque]]&gt;0,WEEKNUM(Gastos[[#This Row],[Fecha_Cheque]]),MID(Gastos[[#This Row],[Semana]],6,2))</f>
        <v>36</v>
      </c>
      <c r="O2801" t="s">
        <v>4201</v>
      </c>
      <c r="P2801" t="s">
        <v>27</v>
      </c>
    </row>
    <row r="2802" spans="1:16" hidden="1" x14ac:dyDescent="0.25">
      <c r="A2802" s="3" t="s">
        <v>4211</v>
      </c>
      <c r="B2802" t="s">
        <v>1677</v>
      </c>
      <c r="C2802" t="s">
        <v>4035</v>
      </c>
      <c r="D2802" t="s">
        <v>26</v>
      </c>
      <c r="E2802" t="s">
        <v>42</v>
      </c>
      <c r="F2802">
        <v>2</v>
      </c>
      <c r="G2802" s="3" t="s">
        <v>4</v>
      </c>
      <c r="H2802" s="44" t="s">
        <v>15</v>
      </c>
      <c r="I2802" s="17">
        <v>1000000</v>
      </c>
      <c r="J2802" s="17">
        <f>IF(Gastos[[#This Row],[Divisa]]="$", I2802*1, IF(Gastos[[#This Row],[Divisa]]="U$D", I2802*$N$1, IF(Gastos[[#This Row],[Divisa]]="EUR", I2802*$N$2, 0)))</f>
        <v>1000000</v>
      </c>
      <c r="K2802" s="54">
        <f>Gastos[[#This Row],[Importe AR$]]/$N$1</f>
        <v>641.02564102564099</v>
      </c>
      <c r="M2802" s="69"/>
      <c r="N2802" s="43" t="str">
        <f>IF(Gastos[[#This Row],[Fecha_Cheque]]&gt;0,WEEKNUM(Gastos[[#This Row],[Fecha_Cheque]]),MID(Gastos[[#This Row],[Semana]],6,2))</f>
        <v>37</v>
      </c>
      <c r="O2802" t="s">
        <v>4307</v>
      </c>
      <c r="P2802" t="s">
        <v>27</v>
      </c>
    </row>
    <row r="2803" spans="1:16" hidden="1" x14ac:dyDescent="0.25">
      <c r="A2803" s="3" t="s">
        <v>4322</v>
      </c>
      <c r="B2803" t="s">
        <v>1677</v>
      </c>
      <c r="C2803" t="s">
        <v>4035</v>
      </c>
      <c r="D2803" t="s">
        <v>26</v>
      </c>
      <c r="E2803" t="s">
        <v>42</v>
      </c>
      <c r="F2803">
        <v>2</v>
      </c>
      <c r="G2803" s="3" t="s">
        <v>4</v>
      </c>
      <c r="H2803" s="44" t="s">
        <v>15</v>
      </c>
      <c r="I2803" s="17">
        <v>600000</v>
      </c>
      <c r="J2803" s="17">
        <f>IF(Gastos[[#This Row],[Divisa]]="$", I2803*1, IF(Gastos[[#This Row],[Divisa]]="U$D", I2803*$N$1, IF(Gastos[[#This Row],[Divisa]]="EUR", I2803*$N$2, 0)))</f>
        <v>600000</v>
      </c>
      <c r="K2803" s="54">
        <f>Gastos[[#This Row],[Importe AR$]]/$N$1</f>
        <v>384.61538461538464</v>
      </c>
      <c r="M2803" s="69"/>
      <c r="N2803" s="43" t="str">
        <f>IF(Gastos[[#This Row],[Fecha_Cheque]]&gt;0,WEEKNUM(Gastos[[#This Row],[Fecha_Cheque]]),MID(Gastos[[#This Row],[Semana]],6,2))</f>
        <v>38</v>
      </c>
      <c r="O2803" t="s">
        <v>4373</v>
      </c>
      <c r="P2803" t="s">
        <v>27</v>
      </c>
    </row>
    <row r="2804" spans="1:16" hidden="1" x14ac:dyDescent="0.25">
      <c r="A2804" s="3" t="s">
        <v>4374</v>
      </c>
      <c r="B2804" t="s">
        <v>1677</v>
      </c>
      <c r="C2804" t="s">
        <v>4035</v>
      </c>
      <c r="D2804" t="s">
        <v>26</v>
      </c>
      <c r="E2804" t="s">
        <v>42</v>
      </c>
      <c r="F2804">
        <v>2</v>
      </c>
      <c r="G2804" s="3" t="s">
        <v>4</v>
      </c>
      <c r="H2804" s="44" t="s">
        <v>15</v>
      </c>
      <c r="I2804" s="17">
        <v>1000000</v>
      </c>
      <c r="J2804" s="17">
        <f>IF(Gastos[[#This Row],[Divisa]]="$", I2804*1, IF(Gastos[[#This Row],[Divisa]]="U$D", I2804*$N$1, IF(Gastos[[#This Row],[Divisa]]="EUR", I2804*$N$2, 0)))</f>
        <v>1000000</v>
      </c>
      <c r="K2804" s="54">
        <f>Gastos[[#This Row],[Importe AR$]]/$N$1</f>
        <v>641.02564102564099</v>
      </c>
      <c r="M2804" s="69"/>
      <c r="N2804" s="43" t="str">
        <f>IF(Gastos[[#This Row],[Fecha_Cheque]]&gt;0,WEEKNUM(Gastos[[#This Row],[Fecha_Cheque]]),MID(Gastos[[#This Row],[Semana]],6,2))</f>
        <v>39</v>
      </c>
      <c r="O2804" t="s">
        <v>4400</v>
      </c>
      <c r="P2804" t="s">
        <v>27</v>
      </c>
    </row>
    <row r="2805" spans="1:16" hidden="1" x14ac:dyDescent="0.25">
      <c r="A2805" s="3" t="s">
        <v>4409</v>
      </c>
      <c r="B2805" t="s">
        <v>1677</v>
      </c>
      <c r="C2805" t="s">
        <v>4035</v>
      </c>
      <c r="D2805" t="s">
        <v>26</v>
      </c>
      <c r="E2805" t="s">
        <v>62</v>
      </c>
      <c r="F2805">
        <v>2</v>
      </c>
      <c r="G2805" s="3" t="s">
        <v>4</v>
      </c>
      <c r="H2805" s="44" t="s">
        <v>15</v>
      </c>
      <c r="I2805" s="17">
        <v>1000000</v>
      </c>
      <c r="J2805" s="17">
        <f>IF(Gastos[[#This Row],[Divisa]]="$", I2805*1, IF(Gastos[[#This Row],[Divisa]]="U$D", I2805*$N$1, IF(Gastos[[#This Row],[Divisa]]="EUR", I2805*$N$2, 0)))</f>
        <v>1000000</v>
      </c>
      <c r="K2805" s="54">
        <f>Gastos[[#This Row],[Importe AR$]]/$N$1</f>
        <v>641.02564102564099</v>
      </c>
      <c r="M2805" s="69"/>
      <c r="N2805" s="43" t="str">
        <f>IF(Gastos[[#This Row],[Fecha_Cheque]]&gt;0,WEEKNUM(Gastos[[#This Row],[Fecha_Cheque]]),MID(Gastos[[#This Row],[Semana]],6,2))</f>
        <v>40</v>
      </c>
      <c r="O2805" t="s">
        <v>4442</v>
      </c>
      <c r="P2805" t="s">
        <v>27</v>
      </c>
    </row>
    <row r="2806" spans="1:16" hidden="1" x14ac:dyDescent="0.25">
      <c r="A2806" s="3" t="s">
        <v>4513</v>
      </c>
      <c r="B2806" t="s">
        <v>1677</v>
      </c>
      <c r="C2806" t="s">
        <v>4035</v>
      </c>
      <c r="D2806" t="s">
        <v>26</v>
      </c>
      <c r="E2806" t="s">
        <v>42</v>
      </c>
      <c r="F2806">
        <v>2</v>
      </c>
      <c r="G2806" s="3" t="s">
        <v>4</v>
      </c>
      <c r="H2806" s="44" t="s">
        <v>15</v>
      </c>
      <c r="I2806" s="49">
        <v>1000000</v>
      </c>
      <c r="J2806" s="17">
        <f>IF(Gastos[[#This Row],[Divisa]]="$", I2806*1, IF(Gastos[[#This Row],[Divisa]]="U$D", I2806*$N$1, IF(Gastos[[#This Row],[Divisa]]="EUR", I2806*$N$2, 0)))</f>
        <v>1000000</v>
      </c>
      <c r="K2806" s="54">
        <f>Gastos[[#This Row],[Importe AR$]]/$N$1</f>
        <v>641.02564102564099</v>
      </c>
      <c r="M2806" s="69"/>
      <c r="N2806" s="43" t="str">
        <f>IF(Gastos[[#This Row],[Fecha_Cheque]]&gt;0,WEEKNUM(Gastos[[#This Row],[Fecha_Cheque]]),MID(Gastos[[#This Row],[Semana]],6,2))</f>
        <v>42</v>
      </c>
      <c r="O2806" t="s">
        <v>4562</v>
      </c>
      <c r="P2806" t="s">
        <v>27</v>
      </c>
    </row>
    <row r="2807" spans="1:16" x14ac:dyDescent="0.25">
      <c r="A2807" s="3" t="s">
        <v>4655</v>
      </c>
      <c r="B2807" t="s">
        <v>1525</v>
      </c>
      <c r="C2807" t="s">
        <v>4110</v>
      </c>
      <c r="D2807" t="s">
        <v>26</v>
      </c>
      <c r="E2807" t="s">
        <v>62</v>
      </c>
      <c r="F2807">
        <v>1</v>
      </c>
      <c r="G2807" s="3" t="s">
        <v>5</v>
      </c>
      <c r="H2807" s="44" t="s">
        <v>15</v>
      </c>
      <c r="I2807" s="17">
        <v>764793.46999999974</v>
      </c>
      <c r="J2807" s="17">
        <f>IF(Gastos[[#This Row],[Divisa]]="$", I2807*1, IF(Gastos[[#This Row],[Divisa]]="U$D", I2807*$N$1, IF(Gastos[[#This Row],[Divisa]]="EUR", I2807*$N$2, 0)))</f>
        <v>764793.46999999974</v>
      </c>
      <c r="K2807" s="54">
        <f>Gastos[[#This Row],[Importe AR$]]/$N$1</f>
        <v>490.25222435897422</v>
      </c>
      <c r="M2807" s="69"/>
      <c r="N2807" s="43" t="str">
        <f>IF(Gastos[[#This Row],[Fecha_Cheque]]&gt;0,WEEKNUM(Gastos[[#This Row],[Fecha_Cheque]]),MID(Gastos[[#This Row],[Semana]],6,2))</f>
        <v>44</v>
      </c>
      <c r="P2807" t="s">
        <v>7</v>
      </c>
    </row>
    <row r="2808" spans="1:16" x14ac:dyDescent="0.25">
      <c r="A2808" s="3" t="s">
        <v>4655</v>
      </c>
      <c r="B2808" t="s">
        <v>1571</v>
      </c>
      <c r="C2808" t="s">
        <v>155</v>
      </c>
      <c r="D2808" t="s">
        <v>26</v>
      </c>
      <c r="E2808" t="s">
        <v>42</v>
      </c>
      <c r="F2808">
        <v>1</v>
      </c>
      <c r="G2808" s="3" t="s">
        <v>4</v>
      </c>
      <c r="H2808" s="44" t="s">
        <v>15</v>
      </c>
      <c r="I2808" s="17">
        <v>204018.9</v>
      </c>
      <c r="J2808" s="17">
        <f>IF(Gastos[[#This Row],[Divisa]]="$", I2808*1, IF(Gastos[[#This Row],[Divisa]]="U$D", I2808*$N$1, IF(Gastos[[#This Row],[Divisa]]="EUR", I2808*$N$2, 0)))</f>
        <v>204018.9</v>
      </c>
      <c r="K2808" s="54">
        <f>Gastos[[#This Row],[Importe AR$]]/$N$1</f>
        <v>130.78134615384616</v>
      </c>
      <c r="M2808" s="69"/>
      <c r="N2808" s="43" t="str">
        <f>IF(Gastos[[#This Row],[Fecha_Cheque]]&gt;0,WEEKNUM(Gastos[[#This Row],[Fecha_Cheque]]),MID(Gastos[[#This Row],[Semana]],6,2))</f>
        <v>44</v>
      </c>
      <c r="O2808" t="s">
        <v>4663</v>
      </c>
      <c r="P2808" t="s">
        <v>27</v>
      </c>
    </row>
    <row r="2809" spans="1:16" hidden="1" x14ac:dyDescent="0.25">
      <c r="A2809" s="3" t="s">
        <v>122</v>
      </c>
      <c r="B2809" t="s">
        <v>1690</v>
      </c>
      <c r="C2809" t="s">
        <v>118</v>
      </c>
      <c r="D2809" t="s">
        <v>26</v>
      </c>
      <c r="E2809" t="s">
        <v>42</v>
      </c>
      <c r="F2809">
        <v>2</v>
      </c>
      <c r="G2809" s="3" t="s">
        <v>4</v>
      </c>
      <c r="H2809" s="46" t="s">
        <v>15</v>
      </c>
      <c r="I2809" s="17">
        <v>2000000</v>
      </c>
      <c r="J2809" s="17">
        <f>IF(Gastos[[#This Row],[Divisa]]="$", I2809*1, IF(Gastos[[#This Row],[Divisa]]="U$D", I2809*$N$1, IF(Gastos[[#This Row],[Divisa]]="EUR", I2809*$N$2, 0)))</f>
        <v>2000000</v>
      </c>
      <c r="K2809" s="54">
        <f>Gastos[[#This Row],[Importe AR$]]/$N$1</f>
        <v>1282.051282051282</v>
      </c>
      <c r="M2809" s="69"/>
      <c r="N2809" s="43" t="str">
        <f>IF(Gastos[[#This Row],[Fecha_Cheque]]&gt;0,WEEKNUM(Gastos[[#This Row],[Fecha_Cheque]]),MID(Gastos[[#This Row],[Semana]],6,2))</f>
        <v>40</v>
      </c>
      <c r="O2809" t="s">
        <v>1691</v>
      </c>
      <c r="P2809" t="s">
        <v>27</v>
      </c>
    </row>
    <row r="2810" spans="1:16" hidden="1" x14ac:dyDescent="0.25">
      <c r="A2810" s="3" t="s">
        <v>39</v>
      </c>
      <c r="B2810" t="s">
        <v>2652</v>
      </c>
      <c r="C2810" t="s">
        <v>2653</v>
      </c>
      <c r="D2810" t="s">
        <v>26</v>
      </c>
      <c r="E2810" t="s">
        <v>42</v>
      </c>
      <c r="F2810">
        <v>2</v>
      </c>
      <c r="G2810" s="3" t="s">
        <v>4</v>
      </c>
      <c r="H2810" s="44" t="s">
        <v>15</v>
      </c>
      <c r="I2810" s="17">
        <v>200000</v>
      </c>
      <c r="J2810" s="17">
        <f>IF(Gastos[[#This Row],[Divisa]]="$", I2810*1, IF(Gastos[[#This Row],[Divisa]]="U$D", I2810*$N$1, IF(Gastos[[#This Row],[Divisa]]="EUR", I2810*$N$2, 0)))</f>
        <v>200000</v>
      </c>
      <c r="K2810" s="54">
        <f>Gastos[[#This Row],[Importe AR$]]/$N$1</f>
        <v>128.2051282051282</v>
      </c>
      <c r="M2810" s="69"/>
      <c r="N2810" s="43" t="str">
        <f>IF(Gastos[[#This Row],[Fecha_Cheque]]&gt;0,WEEKNUM(Gastos[[#This Row],[Fecha_Cheque]]),MID(Gastos[[#This Row],[Semana]],6,2))</f>
        <v>14</v>
      </c>
      <c r="O2810" t="s">
        <v>2654</v>
      </c>
      <c r="P2810" t="s">
        <v>27</v>
      </c>
    </row>
    <row r="2811" spans="1:16" hidden="1" x14ac:dyDescent="0.25">
      <c r="A2811" s="3" t="s">
        <v>3754</v>
      </c>
      <c r="B2811" t="s">
        <v>2652</v>
      </c>
      <c r="C2811" t="s">
        <v>3765</v>
      </c>
      <c r="D2811" t="s">
        <v>26</v>
      </c>
      <c r="E2811" t="s">
        <v>42</v>
      </c>
      <c r="F2811">
        <v>2</v>
      </c>
      <c r="G2811" s="3" t="s">
        <v>4</v>
      </c>
      <c r="H2811" s="44" t="s">
        <v>15</v>
      </c>
      <c r="I2811" s="17">
        <v>500000</v>
      </c>
      <c r="J2811" s="17">
        <f>IF(Gastos[[#This Row],[Divisa]]="$", I2811*1, IF(Gastos[[#This Row],[Divisa]]="U$D", I2811*$N$1, IF(Gastos[[#This Row],[Divisa]]="EUR", I2811*$N$2, 0)))</f>
        <v>500000</v>
      </c>
      <c r="K2811" s="54">
        <f>Gastos[[#This Row],[Importe AR$]]/$N$1</f>
        <v>320.5128205128205</v>
      </c>
      <c r="M2811" s="69"/>
      <c r="N2811" s="43" t="str">
        <f>IF(Gastos[[#This Row],[Fecha_Cheque]]&gt;0,WEEKNUM(Gastos[[#This Row],[Fecha_Cheque]]),MID(Gastos[[#This Row],[Semana]],6,2))</f>
        <v>29</v>
      </c>
      <c r="O2811" t="s">
        <v>3813</v>
      </c>
      <c r="P2811" t="s">
        <v>27</v>
      </c>
    </row>
    <row r="2812" spans="1:16" hidden="1" x14ac:dyDescent="0.25">
      <c r="A2812" s="3" t="s">
        <v>3817</v>
      </c>
      <c r="B2812" t="s">
        <v>2652</v>
      </c>
      <c r="C2812" t="s">
        <v>3765</v>
      </c>
      <c r="D2812" t="s">
        <v>26</v>
      </c>
      <c r="E2812" t="s">
        <v>42</v>
      </c>
      <c r="F2812">
        <v>2</v>
      </c>
      <c r="G2812" s="3" t="s">
        <v>4</v>
      </c>
      <c r="H2812" s="44" t="s">
        <v>15</v>
      </c>
      <c r="I2812" s="17">
        <v>500000</v>
      </c>
      <c r="J2812" s="17">
        <f>IF(Gastos[[#This Row],[Divisa]]="$", I2812*1, IF(Gastos[[#This Row],[Divisa]]="U$D", I2812*$N$1, IF(Gastos[[#This Row],[Divisa]]="EUR", I2812*$N$2, 0)))</f>
        <v>500000</v>
      </c>
      <c r="K2812" s="54">
        <f>Gastos[[#This Row],[Importe AR$]]/$N$1</f>
        <v>320.5128205128205</v>
      </c>
      <c r="M2812" s="69"/>
      <c r="N2812" s="43" t="str">
        <f>IF(Gastos[[#This Row],[Fecha_Cheque]]&gt;0,WEEKNUM(Gastos[[#This Row],[Fecha_Cheque]]),MID(Gastos[[#This Row],[Semana]],6,2))</f>
        <v>30</v>
      </c>
      <c r="O2812" t="s">
        <v>3875</v>
      </c>
      <c r="P2812" t="s">
        <v>27</v>
      </c>
    </row>
    <row r="2813" spans="1:16" hidden="1" x14ac:dyDescent="0.25">
      <c r="A2813" s="3" t="s">
        <v>3882</v>
      </c>
      <c r="B2813" t="s">
        <v>2652</v>
      </c>
      <c r="C2813" t="s">
        <v>3765</v>
      </c>
      <c r="D2813" t="s">
        <v>26</v>
      </c>
      <c r="E2813" t="s">
        <v>62</v>
      </c>
      <c r="F2813">
        <v>2</v>
      </c>
      <c r="G2813" s="3" t="s">
        <v>4</v>
      </c>
      <c r="H2813" s="44" t="s">
        <v>15</v>
      </c>
      <c r="I2813" s="17">
        <v>500000</v>
      </c>
      <c r="J2813" s="17">
        <f>IF(Gastos[[#This Row],[Divisa]]="$", I2813*1, IF(Gastos[[#This Row],[Divisa]]="U$D", I2813*$N$1, IF(Gastos[[#This Row],[Divisa]]="EUR", I2813*$N$2, 0)))</f>
        <v>500000</v>
      </c>
      <c r="K2813" s="54">
        <f>Gastos[[#This Row],[Importe AR$]]/$N$1</f>
        <v>320.5128205128205</v>
      </c>
      <c r="M2813" s="69"/>
      <c r="N2813" s="43" t="str">
        <f>IF(Gastos[[#This Row],[Fecha_Cheque]]&gt;0,WEEKNUM(Gastos[[#This Row],[Fecha_Cheque]]),MID(Gastos[[#This Row],[Semana]],6,2))</f>
        <v>31</v>
      </c>
      <c r="O2813" t="s">
        <v>3955</v>
      </c>
      <c r="P2813" t="s">
        <v>27</v>
      </c>
    </row>
    <row r="2814" spans="1:16" hidden="1" x14ac:dyDescent="0.25">
      <c r="A2814" s="3" t="s">
        <v>4157</v>
      </c>
      <c r="B2814" t="s">
        <v>2652</v>
      </c>
      <c r="C2814" t="s">
        <v>3765</v>
      </c>
      <c r="D2814" t="s">
        <v>26</v>
      </c>
      <c r="E2814" t="s">
        <v>62</v>
      </c>
      <c r="F2814">
        <v>2</v>
      </c>
      <c r="G2814" s="3" t="s">
        <v>4</v>
      </c>
      <c r="H2814" s="44" t="s">
        <v>15</v>
      </c>
      <c r="I2814" s="17">
        <v>300000</v>
      </c>
      <c r="J2814" s="17">
        <f>IF(Gastos[[#This Row],[Divisa]]="$", I2814*1, IF(Gastos[[#This Row],[Divisa]]="U$D", I2814*$N$1, IF(Gastos[[#This Row],[Divisa]]="EUR", I2814*$N$2, 0)))</f>
        <v>300000</v>
      </c>
      <c r="K2814" s="54">
        <f>Gastos[[#This Row],[Importe AR$]]/$N$1</f>
        <v>192.30769230769232</v>
      </c>
      <c r="M2814" s="69"/>
      <c r="N2814" s="43" t="str">
        <f>IF(Gastos[[#This Row],[Fecha_Cheque]]&gt;0,WEEKNUM(Gastos[[#This Row],[Fecha_Cheque]]),MID(Gastos[[#This Row],[Semana]],6,2))</f>
        <v>36</v>
      </c>
      <c r="O2814" t="s">
        <v>4202</v>
      </c>
      <c r="P2814" t="s">
        <v>27</v>
      </c>
    </row>
    <row r="2815" spans="1:16" hidden="1" x14ac:dyDescent="0.25">
      <c r="A2815" s="3" t="s">
        <v>4409</v>
      </c>
      <c r="B2815" t="s">
        <v>2652</v>
      </c>
      <c r="C2815" t="s">
        <v>3765</v>
      </c>
      <c r="D2815" t="s">
        <v>26</v>
      </c>
      <c r="E2815" t="s">
        <v>62</v>
      </c>
      <c r="F2815">
        <v>2</v>
      </c>
      <c r="G2815" s="3" t="s">
        <v>4</v>
      </c>
      <c r="H2815" s="44" t="s">
        <v>15</v>
      </c>
      <c r="I2815" s="17">
        <v>648000</v>
      </c>
      <c r="J2815" s="17">
        <f>IF(Gastos[[#This Row],[Divisa]]="$", I2815*1, IF(Gastos[[#This Row],[Divisa]]="U$D", I2815*$N$1, IF(Gastos[[#This Row],[Divisa]]="EUR", I2815*$N$2, 0)))</f>
        <v>648000</v>
      </c>
      <c r="K2815" s="54">
        <f>Gastos[[#This Row],[Importe AR$]]/$N$1</f>
        <v>415.38461538461536</v>
      </c>
      <c r="M2815" s="69"/>
      <c r="N2815" s="43" t="str">
        <f>IF(Gastos[[#This Row],[Fecha_Cheque]]&gt;0,WEEKNUM(Gastos[[#This Row],[Fecha_Cheque]]),MID(Gastos[[#This Row],[Semana]],6,2))</f>
        <v>40</v>
      </c>
      <c r="O2815" t="s">
        <v>4439</v>
      </c>
      <c r="P2815" t="s">
        <v>27</v>
      </c>
    </row>
    <row r="2816" spans="1:16" hidden="1" x14ac:dyDescent="0.25">
      <c r="A2816" s="3" t="s">
        <v>52</v>
      </c>
      <c r="B2816" t="s">
        <v>1692</v>
      </c>
      <c r="C2816" t="s">
        <v>1693</v>
      </c>
      <c r="D2816" t="s">
        <v>26</v>
      </c>
      <c r="E2816" t="s">
        <v>31</v>
      </c>
      <c r="F2816">
        <v>2</v>
      </c>
      <c r="G2816" s="3" t="s">
        <v>4</v>
      </c>
      <c r="H2816" s="46" t="s">
        <v>15</v>
      </c>
      <c r="I2816" s="17">
        <v>500000</v>
      </c>
      <c r="J2816" s="17">
        <f>IF(Gastos[[#This Row],[Divisa]]="$", I2816*1, IF(Gastos[[#This Row],[Divisa]]="U$D", I2816*$N$1, IF(Gastos[[#This Row],[Divisa]]="EUR", I2816*$N$2, 0)))</f>
        <v>500000</v>
      </c>
      <c r="K2816" s="54">
        <f>Gastos[[#This Row],[Importe AR$]]/$N$1</f>
        <v>320.5128205128205</v>
      </c>
      <c r="M2816" s="69"/>
      <c r="N2816" s="43" t="str">
        <f>IF(Gastos[[#This Row],[Fecha_Cheque]]&gt;0,WEEKNUM(Gastos[[#This Row],[Fecha_Cheque]]),MID(Gastos[[#This Row],[Semana]],6,2))</f>
        <v>12</v>
      </c>
      <c r="P2816" t="s">
        <v>27</v>
      </c>
    </row>
    <row r="2817" spans="1:16" hidden="1" x14ac:dyDescent="0.25">
      <c r="A2817" s="3" t="s">
        <v>1018</v>
      </c>
      <c r="B2817" t="s">
        <v>1692</v>
      </c>
      <c r="C2817" t="s">
        <v>1693</v>
      </c>
      <c r="D2817" t="s">
        <v>26</v>
      </c>
      <c r="E2817" t="s">
        <v>31</v>
      </c>
      <c r="F2817">
        <v>2</v>
      </c>
      <c r="G2817" s="3" t="s">
        <v>4</v>
      </c>
      <c r="H2817" s="46" t="s">
        <v>15</v>
      </c>
      <c r="I2817" s="17">
        <v>500000</v>
      </c>
      <c r="J2817" s="17">
        <f>IF(Gastos[[#This Row],[Divisa]]="$", I2817*1, IF(Gastos[[#This Row],[Divisa]]="U$D", I2817*$N$1, IF(Gastos[[#This Row],[Divisa]]="EUR", I2817*$N$2, 0)))</f>
        <v>500000</v>
      </c>
      <c r="K2817" s="54">
        <f>Gastos[[#This Row],[Importe AR$]]/$N$1</f>
        <v>320.5128205128205</v>
      </c>
      <c r="M2817" s="69"/>
      <c r="N2817" s="43" t="str">
        <f>IF(Gastos[[#This Row],[Fecha_Cheque]]&gt;0,WEEKNUM(Gastos[[#This Row],[Fecha_Cheque]]),MID(Gastos[[#This Row],[Semana]],6,2))</f>
        <v>14</v>
      </c>
      <c r="P2817" t="s">
        <v>27</v>
      </c>
    </row>
    <row r="2818" spans="1:16" hidden="1" x14ac:dyDescent="0.25">
      <c r="A2818" s="3" t="s">
        <v>144</v>
      </c>
      <c r="B2818" t="s">
        <v>1692</v>
      </c>
      <c r="C2818" t="s">
        <v>1694</v>
      </c>
      <c r="D2818" t="s">
        <v>26</v>
      </c>
      <c r="E2818" t="s">
        <v>31</v>
      </c>
      <c r="F2818">
        <v>2</v>
      </c>
      <c r="G2818" s="3" t="s">
        <v>4</v>
      </c>
      <c r="H2818" s="46" t="s">
        <v>15</v>
      </c>
      <c r="I2818" s="17">
        <v>500000</v>
      </c>
      <c r="J2818" s="17">
        <f>IF(Gastos[[#This Row],[Divisa]]="$", I2818*1, IF(Gastos[[#This Row],[Divisa]]="U$D", I2818*$N$1, IF(Gastos[[#This Row],[Divisa]]="EUR", I2818*$N$2, 0)))</f>
        <v>500000</v>
      </c>
      <c r="K2818" s="54">
        <f>Gastos[[#This Row],[Importe AR$]]/$N$1</f>
        <v>320.5128205128205</v>
      </c>
      <c r="M2818" s="69"/>
      <c r="N2818" s="43" t="str">
        <f>IF(Gastos[[#This Row],[Fecha_Cheque]]&gt;0,WEEKNUM(Gastos[[#This Row],[Fecha_Cheque]]),MID(Gastos[[#This Row],[Semana]],6,2))</f>
        <v>16</v>
      </c>
      <c r="P2818" t="s">
        <v>27</v>
      </c>
    </row>
    <row r="2819" spans="1:16" hidden="1" x14ac:dyDescent="0.25">
      <c r="A2819" s="3" t="s">
        <v>718</v>
      </c>
      <c r="B2819" t="s">
        <v>1692</v>
      </c>
      <c r="C2819" t="s">
        <v>1695</v>
      </c>
      <c r="D2819" t="s">
        <v>26</v>
      </c>
      <c r="E2819" t="s">
        <v>31</v>
      </c>
      <c r="F2819">
        <v>2</v>
      </c>
      <c r="G2819" s="3" t="s">
        <v>4</v>
      </c>
      <c r="H2819" s="46" t="s">
        <v>15</v>
      </c>
      <c r="I2819" s="17">
        <v>500000</v>
      </c>
      <c r="J2819" s="17">
        <f>IF(Gastos[[#This Row],[Divisa]]="$", I2819*1, IF(Gastos[[#This Row],[Divisa]]="U$D", I2819*$N$1, IF(Gastos[[#This Row],[Divisa]]="EUR", I2819*$N$2, 0)))</f>
        <v>500000</v>
      </c>
      <c r="K2819" s="54">
        <f>Gastos[[#This Row],[Importe AR$]]/$N$1</f>
        <v>320.5128205128205</v>
      </c>
      <c r="M2819" s="69"/>
      <c r="N2819" s="43" t="str">
        <f>IF(Gastos[[#This Row],[Fecha_Cheque]]&gt;0,WEEKNUM(Gastos[[#This Row],[Fecha_Cheque]]),MID(Gastos[[#This Row],[Semana]],6,2))</f>
        <v>18</v>
      </c>
      <c r="O2819" t="s">
        <v>1696</v>
      </c>
      <c r="P2819" t="s">
        <v>27</v>
      </c>
    </row>
    <row r="2820" spans="1:16" hidden="1" x14ac:dyDescent="0.25">
      <c r="A2820" s="3" t="s">
        <v>52</v>
      </c>
      <c r="B2820" t="s">
        <v>1697</v>
      </c>
      <c r="C2820" t="s">
        <v>155</v>
      </c>
      <c r="D2820" t="s">
        <v>26</v>
      </c>
      <c r="E2820" t="s">
        <v>42</v>
      </c>
      <c r="F2820">
        <v>1</v>
      </c>
      <c r="G2820" s="3" t="s">
        <v>4</v>
      </c>
      <c r="H2820" s="46" t="s">
        <v>15</v>
      </c>
      <c r="I2820" s="17">
        <v>70000</v>
      </c>
      <c r="J2820" s="17">
        <f>IF(Gastos[[#This Row],[Divisa]]="$", I2820*1, IF(Gastos[[#This Row],[Divisa]]="U$D", I2820*$N$1, IF(Gastos[[#This Row],[Divisa]]="EUR", I2820*$N$2, 0)))</f>
        <v>70000</v>
      </c>
      <c r="K2820" s="54">
        <f>Gastos[[#This Row],[Importe AR$]]/$N$1</f>
        <v>44.871794871794869</v>
      </c>
      <c r="M2820" s="69"/>
      <c r="N2820" s="43" t="str">
        <f>IF(Gastos[[#This Row],[Fecha_Cheque]]&gt;0,WEEKNUM(Gastos[[#This Row],[Fecha_Cheque]]),MID(Gastos[[#This Row],[Semana]],6,2))</f>
        <v>12</v>
      </c>
      <c r="O2820" t="s">
        <v>21</v>
      </c>
      <c r="P2820" t="s">
        <v>27</v>
      </c>
    </row>
    <row r="2821" spans="1:16" hidden="1" x14ac:dyDescent="0.25">
      <c r="A2821" s="3" t="s">
        <v>538</v>
      </c>
      <c r="B2821" t="s">
        <v>1697</v>
      </c>
      <c r="C2821" t="s">
        <v>155</v>
      </c>
      <c r="D2821" t="s">
        <v>26</v>
      </c>
      <c r="E2821" t="s">
        <v>42</v>
      </c>
      <c r="F2821">
        <v>1</v>
      </c>
      <c r="G2821" s="3" t="s">
        <v>4</v>
      </c>
      <c r="H2821" s="46" t="s">
        <v>15</v>
      </c>
      <c r="I2821" s="17">
        <v>70000</v>
      </c>
      <c r="J2821" s="17">
        <f>IF(Gastos[[#This Row],[Divisa]]="$", I2821*1, IF(Gastos[[#This Row],[Divisa]]="U$D", I2821*$N$1, IF(Gastos[[#This Row],[Divisa]]="EUR", I2821*$N$2, 0)))</f>
        <v>70000</v>
      </c>
      <c r="K2821" s="54">
        <f>Gastos[[#This Row],[Importe AR$]]/$N$1</f>
        <v>44.871794871794869</v>
      </c>
      <c r="M2821" s="69"/>
      <c r="N2821" s="43" t="str">
        <f>IF(Gastos[[#This Row],[Fecha_Cheque]]&gt;0,WEEKNUM(Gastos[[#This Row],[Fecha_Cheque]]),MID(Gastos[[#This Row],[Semana]],6,2))</f>
        <v>13</v>
      </c>
      <c r="P2821" t="s">
        <v>27</v>
      </c>
    </row>
    <row r="2822" spans="1:16" hidden="1" x14ac:dyDescent="0.25">
      <c r="A2822" s="3" t="s">
        <v>1018</v>
      </c>
      <c r="B2822" t="s">
        <v>1697</v>
      </c>
      <c r="C2822" t="s">
        <v>155</v>
      </c>
      <c r="D2822" t="s">
        <v>26</v>
      </c>
      <c r="E2822" t="s">
        <v>42</v>
      </c>
      <c r="F2822">
        <v>1</v>
      </c>
      <c r="G2822" s="3" t="s">
        <v>4</v>
      </c>
      <c r="H2822" s="46" t="s">
        <v>15</v>
      </c>
      <c r="I2822" s="17">
        <v>70000</v>
      </c>
      <c r="J2822" s="17">
        <f>IF(Gastos[[#This Row],[Divisa]]="$", I2822*1, IF(Gastos[[#This Row],[Divisa]]="U$D", I2822*$N$1, IF(Gastos[[#This Row],[Divisa]]="EUR", I2822*$N$2, 0)))</f>
        <v>70000</v>
      </c>
      <c r="K2822" s="54">
        <f>Gastos[[#This Row],[Importe AR$]]/$N$1</f>
        <v>44.871794871794869</v>
      </c>
      <c r="M2822" s="69"/>
      <c r="N2822" s="43" t="str">
        <f>IF(Gastos[[#This Row],[Fecha_Cheque]]&gt;0,WEEKNUM(Gastos[[#This Row],[Fecha_Cheque]]),MID(Gastos[[#This Row],[Semana]],6,2))</f>
        <v>14</v>
      </c>
      <c r="P2822" t="s">
        <v>27</v>
      </c>
    </row>
    <row r="2823" spans="1:16" hidden="1" x14ac:dyDescent="0.25">
      <c r="A2823" s="3" t="s">
        <v>216</v>
      </c>
      <c r="B2823" t="s">
        <v>1697</v>
      </c>
      <c r="C2823" t="s">
        <v>155</v>
      </c>
      <c r="D2823" t="s">
        <v>26</v>
      </c>
      <c r="E2823" t="s">
        <v>42</v>
      </c>
      <c r="F2823">
        <v>1</v>
      </c>
      <c r="G2823" s="3" t="s">
        <v>4</v>
      </c>
      <c r="H2823" s="46" t="s">
        <v>15</v>
      </c>
      <c r="I2823" s="17">
        <v>60000</v>
      </c>
      <c r="J2823" s="17">
        <f>IF(Gastos[[#This Row],[Divisa]]="$", I2823*1, IF(Gastos[[#This Row],[Divisa]]="U$D", I2823*$N$1, IF(Gastos[[#This Row],[Divisa]]="EUR", I2823*$N$2, 0)))</f>
        <v>60000</v>
      </c>
      <c r="K2823" s="54">
        <f>Gastos[[#This Row],[Importe AR$]]/$N$1</f>
        <v>38.46153846153846</v>
      </c>
      <c r="M2823" s="69"/>
      <c r="N2823" s="43" t="str">
        <f>IF(Gastos[[#This Row],[Fecha_Cheque]]&gt;0,WEEKNUM(Gastos[[#This Row],[Fecha_Cheque]]),MID(Gastos[[#This Row],[Semana]],6,2))</f>
        <v>15</v>
      </c>
      <c r="P2823" t="s">
        <v>27</v>
      </c>
    </row>
    <row r="2824" spans="1:16" hidden="1" x14ac:dyDescent="0.25">
      <c r="A2824" s="3" t="s">
        <v>310</v>
      </c>
      <c r="B2824" t="s">
        <v>1698</v>
      </c>
      <c r="D2824" t="s">
        <v>26</v>
      </c>
      <c r="E2824" t="s">
        <v>31</v>
      </c>
      <c r="F2824">
        <v>2</v>
      </c>
      <c r="G2824" s="3" t="s">
        <v>32</v>
      </c>
      <c r="H2824" s="46" t="s">
        <v>15</v>
      </c>
      <c r="I2824" s="17"/>
      <c r="J2824" s="17">
        <f>IF(Gastos[[#This Row],[Divisa]]="$", I2824*1, IF(Gastos[[#This Row],[Divisa]]="U$D", I2824*$N$1, IF(Gastos[[#This Row],[Divisa]]="EUR", I2824*$N$2, 0)))</f>
        <v>0</v>
      </c>
      <c r="K2824" s="54">
        <f>Gastos[[#This Row],[Importe AR$]]/$N$1</f>
        <v>0</v>
      </c>
      <c r="M2824" s="69">
        <v>45888</v>
      </c>
      <c r="N2824" s="43">
        <f>IF(Gastos[[#This Row],[Fecha_Cheque]]&gt;0,WEEKNUM(Gastos[[#This Row],[Fecha_Cheque]]),MID(Gastos[[#This Row],[Semana]],6,2))</f>
        <v>34</v>
      </c>
      <c r="O2824" t="s">
        <v>1699</v>
      </c>
      <c r="P2824" t="s">
        <v>27</v>
      </c>
    </row>
    <row r="2825" spans="1:16" hidden="1" x14ac:dyDescent="0.25">
      <c r="A2825" s="3" t="s">
        <v>34</v>
      </c>
      <c r="B2825" t="s">
        <v>1700</v>
      </c>
      <c r="C2825" t="s">
        <v>1701</v>
      </c>
      <c r="D2825" t="s">
        <v>26</v>
      </c>
      <c r="E2825" t="s">
        <v>31</v>
      </c>
      <c r="F2825">
        <v>1</v>
      </c>
      <c r="G2825" s="3" t="s">
        <v>5</v>
      </c>
      <c r="H2825" s="46" t="s">
        <v>15</v>
      </c>
      <c r="I2825" s="17">
        <v>158000</v>
      </c>
      <c r="J2825" s="17">
        <f>IF(Gastos[[#This Row],[Divisa]]="$", I2825*1, IF(Gastos[[#This Row],[Divisa]]="U$D", I2825*$N$1, IF(Gastos[[#This Row],[Divisa]]="EUR", I2825*$N$2, 0)))</f>
        <v>158000</v>
      </c>
      <c r="K2825" s="54">
        <f>Gastos[[#This Row],[Importe AR$]]/$N$1</f>
        <v>101.28205128205128</v>
      </c>
      <c r="M2825" s="69"/>
      <c r="N2825" s="43" t="str">
        <f>IF(Gastos[[#This Row],[Fecha_Cheque]]&gt;0,WEEKNUM(Gastos[[#This Row],[Fecha_Cheque]]),MID(Gastos[[#This Row],[Semana]],6,2))</f>
        <v>32</v>
      </c>
      <c r="O2825" t="s">
        <v>123</v>
      </c>
      <c r="P2825" t="s">
        <v>27</v>
      </c>
    </row>
    <row r="2826" spans="1:16" hidden="1" x14ac:dyDescent="0.25">
      <c r="A2826" s="3" t="s">
        <v>53</v>
      </c>
      <c r="B2826" t="s">
        <v>1700</v>
      </c>
      <c r="C2826" t="s">
        <v>1702</v>
      </c>
      <c r="D2826" t="s">
        <v>26</v>
      </c>
      <c r="E2826" t="s">
        <v>31</v>
      </c>
      <c r="F2826">
        <v>1</v>
      </c>
      <c r="G2826" s="3" t="s">
        <v>5</v>
      </c>
      <c r="H2826" s="46" t="s">
        <v>15</v>
      </c>
      <c r="I2826" s="17">
        <v>188000</v>
      </c>
      <c r="J2826" s="17">
        <f>IF(Gastos[[#This Row],[Divisa]]="$", I2826*1, IF(Gastos[[#This Row],[Divisa]]="U$D", I2826*$N$1, IF(Gastos[[#This Row],[Divisa]]="EUR", I2826*$N$2, 0)))</f>
        <v>188000</v>
      </c>
      <c r="K2826" s="54">
        <f>Gastos[[#This Row],[Importe AR$]]/$N$1</f>
        <v>120.51282051282051</v>
      </c>
      <c r="M2826" s="69"/>
      <c r="N2826" s="43" t="str">
        <f>IF(Gastos[[#This Row],[Fecha_Cheque]]&gt;0,WEEKNUM(Gastos[[#This Row],[Fecha_Cheque]]),MID(Gastos[[#This Row],[Semana]],6,2))</f>
        <v>34</v>
      </c>
      <c r="O2826" t="s">
        <v>1703</v>
      </c>
      <c r="P2826" t="s">
        <v>27</v>
      </c>
    </row>
    <row r="2827" spans="1:16" hidden="1" x14ac:dyDescent="0.25">
      <c r="A2827" s="3" t="s">
        <v>53</v>
      </c>
      <c r="B2827" t="s">
        <v>1700</v>
      </c>
      <c r="C2827" t="s">
        <v>1702</v>
      </c>
      <c r="D2827" t="s">
        <v>26</v>
      </c>
      <c r="E2827" t="s">
        <v>31</v>
      </c>
      <c r="F2827">
        <v>1</v>
      </c>
      <c r="G2827" s="3" t="s">
        <v>5</v>
      </c>
      <c r="H2827" s="46" t="s">
        <v>15</v>
      </c>
      <c r="I2827" s="17">
        <v>144000</v>
      </c>
      <c r="J2827" s="17">
        <f>IF(Gastos[[#This Row],[Divisa]]="$", I2827*1, IF(Gastos[[#This Row],[Divisa]]="U$D", I2827*$N$1, IF(Gastos[[#This Row],[Divisa]]="EUR", I2827*$N$2, 0)))</f>
        <v>144000</v>
      </c>
      <c r="K2827" s="54">
        <f>Gastos[[#This Row],[Importe AR$]]/$N$1</f>
        <v>92.307692307692307</v>
      </c>
      <c r="M2827" s="69"/>
      <c r="N2827" s="43" t="str">
        <f>IF(Gastos[[#This Row],[Fecha_Cheque]]&gt;0,WEEKNUM(Gastos[[#This Row],[Fecha_Cheque]]),MID(Gastos[[#This Row],[Semana]],6,2))</f>
        <v>34</v>
      </c>
      <c r="O2827" t="s">
        <v>1704</v>
      </c>
      <c r="P2827" t="s">
        <v>27</v>
      </c>
    </row>
    <row r="2828" spans="1:16" hidden="1" x14ac:dyDescent="0.25">
      <c r="A2828" s="3" t="s">
        <v>89</v>
      </c>
      <c r="B2828" t="s">
        <v>1700</v>
      </c>
      <c r="C2828" t="s">
        <v>1705</v>
      </c>
      <c r="D2828" t="s">
        <v>26</v>
      </c>
      <c r="E2828" t="s">
        <v>42</v>
      </c>
      <c r="F2828">
        <v>1</v>
      </c>
      <c r="G2828" s="3" t="s">
        <v>4</v>
      </c>
      <c r="H2828" s="46" t="s">
        <v>15</v>
      </c>
      <c r="I2828" s="17">
        <v>160000</v>
      </c>
      <c r="J2828" s="17">
        <f>IF(Gastos[[#This Row],[Divisa]]="$", I2828*1, IF(Gastos[[#This Row],[Divisa]]="U$D", I2828*$N$1, IF(Gastos[[#This Row],[Divisa]]="EUR", I2828*$N$2, 0)))</f>
        <v>160000</v>
      </c>
      <c r="K2828" s="54">
        <f>Gastos[[#This Row],[Importe AR$]]/$N$1</f>
        <v>102.56410256410257</v>
      </c>
      <c r="M2828" s="69"/>
      <c r="N2828" s="43" t="str">
        <f>IF(Gastos[[#This Row],[Fecha_Cheque]]&gt;0,WEEKNUM(Gastos[[#This Row],[Fecha_Cheque]]),MID(Gastos[[#This Row],[Semana]],6,2))</f>
        <v>39</v>
      </c>
      <c r="O2828" t="s">
        <v>1706</v>
      </c>
      <c r="P2828" t="s">
        <v>27</v>
      </c>
    </row>
    <row r="2829" spans="1:16" hidden="1" x14ac:dyDescent="0.25">
      <c r="A2829" s="3" t="s">
        <v>124</v>
      </c>
      <c r="B2829" t="s">
        <v>1700</v>
      </c>
      <c r="C2829" t="s">
        <v>1707</v>
      </c>
      <c r="D2829" t="s">
        <v>26</v>
      </c>
      <c r="E2829" t="s">
        <v>42</v>
      </c>
      <c r="F2829">
        <v>1</v>
      </c>
      <c r="G2829" s="3" t="s">
        <v>4</v>
      </c>
      <c r="H2829" s="46" t="s">
        <v>15</v>
      </c>
      <c r="I2829" s="17">
        <v>160000</v>
      </c>
      <c r="J2829" s="17">
        <f>IF(Gastos[[#This Row],[Divisa]]="$", I2829*1, IF(Gastos[[#This Row],[Divisa]]="U$D", I2829*$N$1, IF(Gastos[[#This Row],[Divisa]]="EUR", I2829*$N$2, 0)))</f>
        <v>160000</v>
      </c>
      <c r="K2829" s="54">
        <f>Gastos[[#This Row],[Importe AR$]]/$N$1</f>
        <v>102.56410256410257</v>
      </c>
      <c r="M2829" s="69"/>
      <c r="N2829" s="43" t="str">
        <f>IF(Gastos[[#This Row],[Fecha_Cheque]]&gt;0,WEEKNUM(Gastos[[#This Row],[Fecha_Cheque]]),MID(Gastos[[#This Row],[Semana]],6,2))</f>
        <v>42</v>
      </c>
      <c r="O2829" t="s">
        <v>1708</v>
      </c>
      <c r="P2829" t="s">
        <v>27</v>
      </c>
    </row>
    <row r="2830" spans="1:16" hidden="1" x14ac:dyDescent="0.25">
      <c r="A2830" s="3" t="s">
        <v>68</v>
      </c>
      <c r="B2830" t="s">
        <v>1700</v>
      </c>
      <c r="C2830" t="s">
        <v>1709</v>
      </c>
      <c r="D2830" t="s">
        <v>26</v>
      </c>
      <c r="E2830" t="s">
        <v>31</v>
      </c>
      <c r="F2830">
        <v>1</v>
      </c>
      <c r="G2830" s="3" t="s">
        <v>5</v>
      </c>
      <c r="H2830" s="46" t="s">
        <v>15</v>
      </c>
      <c r="I2830" s="17">
        <v>190000</v>
      </c>
      <c r="J2830" s="17">
        <f>IF(Gastos[[#This Row],[Divisa]]="$", I2830*1, IF(Gastos[[#This Row],[Divisa]]="U$D", I2830*$N$1, IF(Gastos[[#This Row],[Divisa]]="EUR", I2830*$N$2, 0)))</f>
        <v>190000</v>
      </c>
      <c r="K2830" s="54">
        <f>Gastos[[#This Row],[Importe AR$]]/$N$1</f>
        <v>121.7948717948718</v>
      </c>
      <c r="M2830" s="69"/>
      <c r="N2830" s="43" t="str">
        <f>IF(Gastos[[#This Row],[Fecha_Cheque]]&gt;0,WEEKNUM(Gastos[[#This Row],[Fecha_Cheque]]),MID(Gastos[[#This Row],[Semana]],6,2))</f>
        <v>05</v>
      </c>
      <c r="O2830" t="s">
        <v>1710</v>
      </c>
      <c r="P2830" t="s">
        <v>27</v>
      </c>
    </row>
    <row r="2831" spans="1:16" hidden="1" x14ac:dyDescent="0.25">
      <c r="A2831" s="3" t="s">
        <v>39</v>
      </c>
      <c r="B2831" t="s">
        <v>1700</v>
      </c>
      <c r="C2831" t="s">
        <v>2659</v>
      </c>
      <c r="D2831" t="s">
        <v>26</v>
      </c>
      <c r="E2831" t="s">
        <v>42</v>
      </c>
      <c r="F2831">
        <v>1</v>
      </c>
      <c r="G2831" s="3" t="s">
        <v>4</v>
      </c>
      <c r="H2831" s="44" t="s">
        <v>15</v>
      </c>
      <c r="I2831" s="17">
        <v>108000</v>
      </c>
      <c r="J2831" s="17">
        <f>IF(Gastos[[#This Row],[Divisa]]="$", I2831*1, IF(Gastos[[#This Row],[Divisa]]="U$D", I2831*$N$1, IF(Gastos[[#This Row],[Divisa]]="EUR", I2831*$N$2, 0)))</f>
        <v>108000</v>
      </c>
      <c r="K2831" s="54">
        <f>Gastos[[#This Row],[Importe AR$]]/$N$1</f>
        <v>69.230769230769226</v>
      </c>
      <c r="M2831" s="69"/>
      <c r="N2831" s="43" t="str">
        <f>IF(Gastos[[#This Row],[Fecha_Cheque]]&gt;0,WEEKNUM(Gastos[[#This Row],[Fecha_Cheque]]),MID(Gastos[[#This Row],[Semana]],6,2))</f>
        <v>14</v>
      </c>
      <c r="O2831" t="s">
        <v>2660</v>
      </c>
      <c r="P2831" t="s">
        <v>27</v>
      </c>
    </row>
    <row r="2832" spans="1:16" hidden="1" x14ac:dyDescent="0.25">
      <c r="A2832" s="3" t="s">
        <v>2763</v>
      </c>
      <c r="B2832" t="s">
        <v>3343</v>
      </c>
      <c r="C2832" t="s">
        <v>3344</v>
      </c>
      <c r="D2832" t="s">
        <v>26</v>
      </c>
      <c r="E2832" t="s">
        <v>31</v>
      </c>
      <c r="F2832">
        <v>1</v>
      </c>
      <c r="G2832" s="3" t="s">
        <v>5</v>
      </c>
      <c r="H2832" s="44" t="s">
        <v>15</v>
      </c>
      <c r="I2832" s="17">
        <v>332000</v>
      </c>
      <c r="J2832" s="17">
        <f>IF(Gastos[[#This Row],[Divisa]]="$", I2832*1, IF(Gastos[[#This Row],[Divisa]]="U$D", I2832*$N$1, IF(Gastos[[#This Row],[Divisa]]="EUR", I2832*$N$2, 0)))</f>
        <v>332000</v>
      </c>
      <c r="K2832" s="54">
        <f>Gastos[[#This Row],[Importe AR$]]/$N$1</f>
        <v>212.82051282051282</v>
      </c>
      <c r="M2832" s="69"/>
      <c r="N2832" s="43" t="str">
        <f>IF(Gastos[[#This Row],[Fecha_Cheque]]&gt;0,WEEKNUM(Gastos[[#This Row],[Fecha_Cheque]]),MID(Gastos[[#This Row],[Semana]],6,2))</f>
        <v>23</v>
      </c>
      <c r="O2832" t="s">
        <v>3345</v>
      </c>
      <c r="P2832" t="s">
        <v>27</v>
      </c>
    </row>
    <row r="2833" spans="1:16" hidden="1" x14ac:dyDescent="0.25">
      <c r="A2833" s="3" t="s">
        <v>3693</v>
      </c>
      <c r="B2833" t="s">
        <v>3343</v>
      </c>
      <c r="C2833" t="s">
        <v>4336</v>
      </c>
      <c r="D2833" t="s">
        <v>26</v>
      </c>
      <c r="E2833" t="s">
        <v>62</v>
      </c>
      <c r="F2833">
        <v>1</v>
      </c>
      <c r="G2833" s="3" t="s">
        <v>32</v>
      </c>
      <c r="H2833" s="44" t="s">
        <v>15</v>
      </c>
      <c r="I2833" s="17">
        <v>571543.89</v>
      </c>
      <c r="J2833" s="17">
        <f>IF(Gastos[[#This Row],[Divisa]]="$", I2833*1, IF(Gastos[[#This Row],[Divisa]]="U$D", I2833*$N$1, IF(Gastos[[#This Row],[Divisa]]="EUR", I2833*$N$2, 0)))</f>
        <v>571543.89</v>
      </c>
      <c r="K2833" s="54">
        <f>Gastos[[#This Row],[Importe AR$]]/$N$1</f>
        <v>366.37428846153847</v>
      </c>
      <c r="M2833" s="69">
        <v>46310</v>
      </c>
      <c r="N2833" s="43">
        <f>IF(Gastos[[#This Row],[Fecha_Cheque]]&gt;0,WEEKNUM(Gastos[[#This Row],[Fecha_Cheque]]),MID(Gastos[[#This Row],[Semana]],6,2))</f>
        <v>42</v>
      </c>
      <c r="O2833" t="s">
        <v>4337</v>
      </c>
      <c r="P2833" t="s">
        <v>27</v>
      </c>
    </row>
    <row r="2834" spans="1:16" hidden="1" x14ac:dyDescent="0.25">
      <c r="A2834" s="3" t="s">
        <v>3693</v>
      </c>
      <c r="B2834" t="s">
        <v>3343</v>
      </c>
      <c r="C2834" t="s">
        <v>4336</v>
      </c>
      <c r="D2834" t="s">
        <v>26</v>
      </c>
      <c r="E2834" t="s">
        <v>42</v>
      </c>
      <c r="F2834">
        <v>1</v>
      </c>
      <c r="G2834" s="3" t="s">
        <v>4</v>
      </c>
      <c r="H2834" s="44" t="s">
        <v>15</v>
      </c>
      <c r="I2834" s="17">
        <v>16451.11</v>
      </c>
      <c r="J2834" s="17">
        <f>IF(Gastos[[#This Row],[Divisa]]="$", I2834*1, IF(Gastos[[#This Row],[Divisa]]="U$D", I2834*$N$1, IF(Gastos[[#This Row],[Divisa]]="EUR", I2834*$N$2, 0)))</f>
        <v>16451.11</v>
      </c>
      <c r="K2834" s="54">
        <f>Gastos[[#This Row],[Importe AR$]]/$N$1</f>
        <v>10.545583333333333</v>
      </c>
      <c r="M2834" s="69"/>
      <c r="N2834" s="43" t="str">
        <f>IF(Gastos[[#This Row],[Fecha_Cheque]]&gt;0,WEEKNUM(Gastos[[#This Row],[Fecha_Cheque]]),MID(Gastos[[#This Row],[Semana]],6,2))</f>
        <v>28</v>
      </c>
      <c r="O2834" t="s">
        <v>4337</v>
      </c>
      <c r="P2834" t="s">
        <v>27</v>
      </c>
    </row>
    <row r="2835" spans="1:16" hidden="1" x14ac:dyDescent="0.25">
      <c r="A2835" s="3" t="s">
        <v>39</v>
      </c>
      <c r="B2835" t="s">
        <v>2661</v>
      </c>
      <c r="C2835" t="s">
        <v>2662</v>
      </c>
      <c r="D2835" t="s">
        <v>26</v>
      </c>
      <c r="E2835" t="s">
        <v>42</v>
      </c>
      <c r="F2835">
        <v>1</v>
      </c>
      <c r="G2835" s="3" t="s">
        <v>4</v>
      </c>
      <c r="H2835" s="44" t="s">
        <v>15</v>
      </c>
      <c r="I2835" s="17">
        <v>12000</v>
      </c>
      <c r="J2835" s="17">
        <f>IF(Gastos[[#This Row],[Divisa]]="$", I2835*1, IF(Gastos[[#This Row],[Divisa]]="U$D", I2835*$N$1, IF(Gastos[[#This Row],[Divisa]]="EUR", I2835*$N$2, 0)))</f>
        <v>12000</v>
      </c>
      <c r="K2835" s="54">
        <f>Gastos[[#This Row],[Importe AR$]]/$N$1</f>
        <v>7.6923076923076925</v>
      </c>
      <c r="M2835" s="69"/>
      <c r="N2835" s="43" t="str">
        <f>IF(Gastos[[#This Row],[Fecha_Cheque]]&gt;0,WEEKNUM(Gastos[[#This Row],[Fecha_Cheque]]),MID(Gastos[[#This Row],[Semana]],6,2))</f>
        <v>14</v>
      </c>
      <c r="O2835" t="s">
        <v>2663</v>
      </c>
      <c r="P2835" t="s">
        <v>27</v>
      </c>
    </row>
    <row r="2836" spans="1:16" hidden="1" x14ac:dyDescent="0.25">
      <c r="A2836" s="3" t="s">
        <v>4211</v>
      </c>
      <c r="B2836" t="s">
        <v>4245</v>
      </c>
      <c r="C2836" t="s">
        <v>4250</v>
      </c>
      <c r="D2836" t="s">
        <v>26</v>
      </c>
      <c r="E2836" t="s">
        <v>62</v>
      </c>
      <c r="F2836">
        <v>1</v>
      </c>
      <c r="G2836" s="3" t="s">
        <v>5</v>
      </c>
      <c r="H2836" s="44" t="s">
        <v>15</v>
      </c>
      <c r="I2836" s="17">
        <v>2574256.6</v>
      </c>
      <c r="J2836" s="17">
        <f>IF(Gastos[[#This Row],[Divisa]]="$", I2836*1, IF(Gastos[[#This Row],[Divisa]]="U$D", I2836*$N$1, IF(Gastos[[#This Row],[Divisa]]="EUR", I2836*$N$2, 0)))</f>
        <v>2574256.6</v>
      </c>
      <c r="K2836" s="54">
        <f>Gastos[[#This Row],[Importe AR$]]/$N$1</f>
        <v>1650.1644871794872</v>
      </c>
      <c r="M2836" s="69"/>
      <c r="N2836" s="43" t="str">
        <f>IF(Gastos[[#This Row],[Fecha_Cheque]]&gt;0,WEEKNUM(Gastos[[#This Row],[Fecha_Cheque]]),MID(Gastos[[#This Row],[Semana]],6,2))</f>
        <v>37</v>
      </c>
      <c r="O2836" t="s">
        <v>4246</v>
      </c>
      <c r="P2836" t="s">
        <v>27</v>
      </c>
    </row>
    <row r="2837" spans="1:16" hidden="1" x14ac:dyDescent="0.25">
      <c r="A2837" s="3" t="s">
        <v>3617</v>
      </c>
      <c r="B2837" t="s">
        <v>3652</v>
      </c>
      <c r="C2837" t="s">
        <v>3644</v>
      </c>
      <c r="D2837" t="s">
        <v>26</v>
      </c>
      <c r="E2837" t="s">
        <v>31</v>
      </c>
      <c r="F2837">
        <v>1</v>
      </c>
      <c r="G2837" s="3" t="s">
        <v>5</v>
      </c>
      <c r="H2837" s="44" t="s">
        <v>15</v>
      </c>
      <c r="I2837" s="17">
        <v>1335700</v>
      </c>
      <c r="J2837" s="17">
        <f>IF(Gastos[[#This Row],[Divisa]]="$", I2837*1, IF(Gastos[[#This Row],[Divisa]]="U$D", I2837*$N$1, IF(Gastos[[#This Row],[Divisa]]="EUR", I2837*$N$2, 0)))</f>
        <v>1335700</v>
      </c>
      <c r="K2837" s="54">
        <f>Gastos[[#This Row],[Importe AR$]]/$N$1</f>
        <v>856.21794871794873</v>
      </c>
      <c r="M2837" s="69"/>
      <c r="N2837" s="43" t="str">
        <f>IF(Gastos[[#This Row],[Fecha_Cheque]]&gt;0,WEEKNUM(Gastos[[#This Row],[Fecha_Cheque]]),MID(Gastos[[#This Row],[Semana]],6,2))</f>
        <v>27</v>
      </c>
      <c r="O2837" t="s">
        <v>3667</v>
      </c>
      <c r="P2837" t="s">
        <v>27</v>
      </c>
    </row>
    <row r="2838" spans="1:16" hidden="1" x14ac:dyDescent="0.25">
      <c r="A2838" s="3" t="s">
        <v>50</v>
      </c>
      <c r="B2838" t="s">
        <v>1711</v>
      </c>
      <c r="C2838" t="s">
        <v>1200</v>
      </c>
      <c r="D2838" t="s">
        <v>26</v>
      </c>
      <c r="E2838" t="s">
        <v>31</v>
      </c>
      <c r="F2838">
        <v>1</v>
      </c>
      <c r="G2838" s="3" t="s">
        <v>32</v>
      </c>
      <c r="H2838" s="46" t="s">
        <v>15</v>
      </c>
      <c r="I2838" s="17">
        <v>132132</v>
      </c>
      <c r="J2838" s="17">
        <f>IF(Gastos[[#This Row],[Divisa]]="$", I2838*1, IF(Gastos[[#This Row],[Divisa]]="U$D", I2838*$N$1, IF(Gastos[[#This Row],[Divisa]]="EUR", I2838*$N$2, 0)))</f>
        <v>132132</v>
      </c>
      <c r="K2838" s="54">
        <f>Gastos[[#This Row],[Importe AR$]]/$N$1</f>
        <v>84.7</v>
      </c>
      <c r="L2838" t="s">
        <v>215</v>
      </c>
      <c r="M2838" s="69">
        <v>45856</v>
      </c>
      <c r="N2838" s="43">
        <f>IF(Gastos[[#This Row],[Fecha_Cheque]]&gt;0,WEEKNUM(Gastos[[#This Row],[Fecha_Cheque]]),MID(Gastos[[#This Row],[Semana]],6,2))</f>
        <v>29</v>
      </c>
      <c r="P2838" t="s">
        <v>27</v>
      </c>
    </row>
    <row r="2839" spans="1:16" hidden="1" x14ac:dyDescent="0.25">
      <c r="A2839" s="3" t="s">
        <v>290</v>
      </c>
      <c r="B2839" t="s">
        <v>1711</v>
      </c>
      <c r="C2839" t="s">
        <v>1712</v>
      </c>
      <c r="D2839" t="s">
        <v>61</v>
      </c>
      <c r="E2839" t="s">
        <v>31</v>
      </c>
      <c r="F2839">
        <v>1</v>
      </c>
      <c r="G2839" s="3" t="s">
        <v>32</v>
      </c>
      <c r="H2839" s="46" t="s">
        <v>15</v>
      </c>
      <c r="I2839" s="17">
        <v>487707.92</v>
      </c>
      <c r="J2839" s="17">
        <f>IF(Gastos[[#This Row],[Divisa]]="$", I2839*1, IF(Gastos[[#This Row],[Divisa]]="U$D", I2839*$N$1, IF(Gastos[[#This Row],[Divisa]]="EUR", I2839*$N$2, 0)))</f>
        <v>487707.92</v>
      </c>
      <c r="K2839" s="54">
        <f>Gastos[[#This Row],[Importe AR$]]/$N$1</f>
        <v>312.63328205128204</v>
      </c>
      <c r="L2839" t="s">
        <v>1713</v>
      </c>
      <c r="M2839" s="69"/>
      <c r="N2839" s="43" t="str">
        <f>IF(Gastos[[#This Row],[Fecha_Cheque]]&gt;0,WEEKNUM(Gastos[[#This Row],[Fecha_Cheque]]),MID(Gastos[[#This Row],[Semana]],6,2))</f>
        <v>23</v>
      </c>
      <c r="O2839" t="s">
        <v>1714</v>
      </c>
      <c r="P2839" t="s">
        <v>27</v>
      </c>
    </row>
    <row r="2840" spans="1:16" hidden="1" x14ac:dyDescent="0.25">
      <c r="A2840" s="3" t="s">
        <v>217</v>
      </c>
      <c r="B2840" t="s">
        <v>1711</v>
      </c>
      <c r="C2840" t="s">
        <v>1715</v>
      </c>
      <c r="D2840" t="s">
        <v>26</v>
      </c>
      <c r="E2840" t="s">
        <v>31</v>
      </c>
      <c r="F2840">
        <v>1</v>
      </c>
      <c r="G2840" s="3" t="s">
        <v>32</v>
      </c>
      <c r="H2840" s="46" t="s">
        <v>15</v>
      </c>
      <c r="I2840" s="17">
        <v>218845.44</v>
      </c>
      <c r="J2840" s="17">
        <f>IF(Gastos[[#This Row],[Divisa]]="$", I2840*1, IF(Gastos[[#This Row],[Divisa]]="U$D", I2840*$N$1, IF(Gastos[[#This Row],[Divisa]]="EUR", I2840*$N$2, 0)))</f>
        <v>218845.44</v>
      </c>
      <c r="K2840" s="54">
        <f>Gastos[[#This Row],[Importe AR$]]/$N$1</f>
        <v>140.28553846153847</v>
      </c>
      <c r="M2840" s="69">
        <v>45892</v>
      </c>
      <c r="N2840" s="43">
        <f>IF(Gastos[[#This Row],[Fecha_Cheque]]&gt;0,WEEKNUM(Gastos[[#This Row],[Fecha_Cheque]]),MID(Gastos[[#This Row],[Semana]],6,2))</f>
        <v>34</v>
      </c>
      <c r="O2840" t="s">
        <v>1716</v>
      </c>
      <c r="P2840" t="s">
        <v>27</v>
      </c>
    </row>
    <row r="2841" spans="1:16" hidden="1" x14ac:dyDescent="0.25">
      <c r="A2841" s="3" t="s">
        <v>305</v>
      </c>
      <c r="B2841" t="s">
        <v>1711</v>
      </c>
      <c r="C2841" t="s">
        <v>1717</v>
      </c>
      <c r="D2841" t="s">
        <v>26</v>
      </c>
      <c r="E2841" t="s">
        <v>31</v>
      </c>
      <c r="F2841">
        <v>1</v>
      </c>
      <c r="G2841" s="3" t="s">
        <v>32</v>
      </c>
      <c r="H2841" s="46" t="s">
        <v>15</v>
      </c>
      <c r="I2841" s="17">
        <f>136125+218845.44</f>
        <v>354970.44</v>
      </c>
      <c r="J2841" s="17">
        <f>IF(Gastos[[#This Row],[Divisa]]="$", I2841*1, IF(Gastos[[#This Row],[Divisa]]="U$D", I2841*$N$1, IF(Gastos[[#This Row],[Divisa]]="EUR", I2841*$N$2, 0)))</f>
        <v>354970.44</v>
      </c>
      <c r="K2841" s="54">
        <f>Gastos[[#This Row],[Importe AR$]]/$N$1</f>
        <v>227.54515384615385</v>
      </c>
      <c r="M2841" s="69"/>
      <c r="N2841" s="43" t="str">
        <f>IF(Gastos[[#This Row],[Fecha_Cheque]]&gt;0,WEEKNUM(Gastos[[#This Row],[Fecha_Cheque]]),MID(Gastos[[#This Row],[Semana]],6,2))</f>
        <v>31</v>
      </c>
      <c r="O2841" t="s">
        <v>1718</v>
      </c>
      <c r="P2841" t="s">
        <v>27</v>
      </c>
    </row>
    <row r="2842" spans="1:16" hidden="1" x14ac:dyDescent="0.25">
      <c r="A2842" s="3" t="s">
        <v>64</v>
      </c>
      <c r="B2842" t="s">
        <v>1719</v>
      </c>
      <c r="C2842" t="s">
        <v>1720</v>
      </c>
      <c r="D2842" t="s">
        <v>26</v>
      </c>
      <c r="E2842" t="s">
        <v>31</v>
      </c>
      <c r="F2842">
        <v>1</v>
      </c>
      <c r="G2842" s="3" t="s">
        <v>32</v>
      </c>
      <c r="H2842" s="46" t="s">
        <v>15</v>
      </c>
      <c r="I2842" s="17">
        <v>136125</v>
      </c>
      <c r="J2842" s="17">
        <f>IF(Gastos[[#This Row],[Divisa]]="$", I2842*1, IF(Gastos[[#This Row],[Divisa]]="U$D", I2842*$N$1, IF(Gastos[[#This Row],[Divisa]]="EUR", I2842*$N$2, 0)))</f>
        <v>136125</v>
      </c>
      <c r="K2842" s="54">
        <f>Gastos[[#This Row],[Importe AR$]]/$N$1</f>
        <v>87.259615384615387</v>
      </c>
      <c r="M2842" s="69">
        <v>45914</v>
      </c>
      <c r="N2842" s="43">
        <f>IF(Gastos[[#This Row],[Fecha_Cheque]]&gt;0,WEEKNUM(Gastos[[#This Row],[Fecha_Cheque]]),MID(Gastos[[#This Row],[Semana]],6,2))</f>
        <v>38</v>
      </c>
      <c r="P2842" t="s">
        <v>27</v>
      </c>
    </row>
    <row r="2843" spans="1:16" hidden="1" x14ac:dyDescent="0.25">
      <c r="A2843" s="3" t="s">
        <v>310</v>
      </c>
      <c r="B2843" t="s">
        <v>1719</v>
      </c>
      <c r="C2843" t="s">
        <v>1721</v>
      </c>
      <c r="D2843" t="s">
        <v>26</v>
      </c>
      <c r="E2843" t="s">
        <v>31</v>
      </c>
      <c r="F2843">
        <v>1</v>
      </c>
      <c r="G2843" s="3" t="s">
        <v>32</v>
      </c>
      <c r="H2843" s="46" t="s">
        <v>15</v>
      </c>
      <c r="I2843" s="17">
        <v>353838.76</v>
      </c>
      <c r="J2843" s="17">
        <f>IF(Gastos[[#This Row],[Divisa]]="$", I2843*1, IF(Gastos[[#This Row],[Divisa]]="U$D", I2843*$N$1, IF(Gastos[[#This Row],[Divisa]]="EUR", I2843*$N$2, 0)))</f>
        <v>353838.76</v>
      </c>
      <c r="K2843" s="54">
        <f>Gastos[[#This Row],[Importe AR$]]/$N$1</f>
        <v>226.81971794871797</v>
      </c>
      <c r="M2843" s="69">
        <v>45940</v>
      </c>
      <c r="N2843" s="43">
        <f>IF(Gastos[[#This Row],[Fecha_Cheque]]&gt;0,WEEKNUM(Gastos[[#This Row],[Fecha_Cheque]]),MID(Gastos[[#This Row],[Semana]],6,2))</f>
        <v>41</v>
      </c>
      <c r="O2843" t="s">
        <v>1722</v>
      </c>
      <c r="P2843" t="s">
        <v>27</v>
      </c>
    </row>
    <row r="2844" spans="1:16" hidden="1" x14ac:dyDescent="0.25">
      <c r="A2844" s="3" t="s">
        <v>122</v>
      </c>
      <c r="B2844" t="s">
        <v>1719</v>
      </c>
      <c r="C2844" t="s">
        <v>1723</v>
      </c>
      <c r="D2844" t="s">
        <v>26</v>
      </c>
      <c r="E2844" t="s">
        <v>31</v>
      </c>
      <c r="F2844">
        <v>1</v>
      </c>
      <c r="G2844" s="3" t="s">
        <v>32</v>
      </c>
      <c r="H2844" s="46" t="s">
        <v>15</v>
      </c>
      <c r="I2844" s="17">
        <v>300000</v>
      </c>
      <c r="J2844" s="17">
        <f>IF(Gastos[[#This Row],[Divisa]]="$", I2844*1, IF(Gastos[[#This Row],[Divisa]]="U$D", I2844*$N$1, IF(Gastos[[#This Row],[Divisa]]="EUR", I2844*$N$2, 0)))</f>
        <v>300000</v>
      </c>
      <c r="K2844" s="54">
        <f>Gastos[[#This Row],[Importe AR$]]/$N$1</f>
        <v>192.30769230769232</v>
      </c>
      <c r="M2844" s="69">
        <v>45915</v>
      </c>
      <c r="N2844" s="43">
        <f>IF(Gastos[[#This Row],[Fecha_Cheque]]&gt;0,WEEKNUM(Gastos[[#This Row],[Fecha_Cheque]]),MID(Gastos[[#This Row],[Semana]],6,2))</f>
        <v>38</v>
      </c>
      <c r="O2844" t="s">
        <v>1724</v>
      </c>
      <c r="P2844" t="s">
        <v>27</v>
      </c>
    </row>
    <row r="2845" spans="1:16" hidden="1" x14ac:dyDescent="0.25">
      <c r="A2845" s="3" t="s">
        <v>122</v>
      </c>
      <c r="B2845" t="s">
        <v>1719</v>
      </c>
      <c r="C2845" t="s">
        <v>1723</v>
      </c>
      <c r="D2845" t="s">
        <v>26</v>
      </c>
      <c r="E2845" t="s">
        <v>31</v>
      </c>
      <c r="F2845">
        <v>1</v>
      </c>
      <c r="G2845" s="3" t="s">
        <v>32</v>
      </c>
      <c r="H2845" s="46" t="s">
        <v>15</v>
      </c>
      <c r="I2845" s="17">
        <v>237838</v>
      </c>
      <c r="J2845" s="17">
        <f>IF(Gastos[[#This Row],[Divisa]]="$", I2845*1, IF(Gastos[[#This Row],[Divisa]]="U$D", I2845*$N$1, IF(Gastos[[#This Row],[Divisa]]="EUR", I2845*$N$2, 0)))</f>
        <v>237838</v>
      </c>
      <c r="K2845" s="54">
        <f>Gastos[[#This Row],[Importe AR$]]/$N$1</f>
        <v>152.46025641025642</v>
      </c>
      <c r="M2845" s="69">
        <v>45939</v>
      </c>
      <c r="N2845" s="43">
        <f>IF(Gastos[[#This Row],[Fecha_Cheque]]&gt;0,WEEKNUM(Gastos[[#This Row],[Fecha_Cheque]]),MID(Gastos[[#This Row],[Semana]],6,2))</f>
        <v>41</v>
      </c>
      <c r="O2845" t="s">
        <v>1724</v>
      </c>
      <c r="P2845" t="s">
        <v>27</v>
      </c>
    </row>
    <row r="2846" spans="1:16" hidden="1" x14ac:dyDescent="0.25">
      <c r="A2846" s="3" t="s">
        <v>130</v>
      </c>
      <c r="B2846" t="s">
        <v>1719</v>
      </c>
      <c r="C2846" t="s">
        <v>1725</v>
      </c>
      <c r="D2846" t="s">
        <v>26</v>
      </c>
      <c r="E2846" t="s">
        <v>31</v>
      </c>
      <c r="F2846">
        <v>1</v>
      </c>
      <c r="G2846" s="3" t="s">
        <v>5</v>
      </c>
      <c r="H2846" s="46" t="s">
        <v>15</v>
      </c>
      <c r="I2846" s="17">
        <v>23516.27</v>
      </c>
      <c r="J2846" s="17">
        <f>IF(Gastos[[#This Row],[Divisa]]="$", I2846*1, IF(Gastos[[#This Row],[Divisa]]="U$D", I2846*$N$1, IF(Gastos[[#This Row],[Divisa]]="EUR", I2846*$N$2, 0)))</f>
        <v>23516.27</v>
      </c>
      <c r="K2846" s="54">
        <f>Gastos[[#This Row],[Importe AR$]]/$N$1</f>
        <v>15.074532051282052</v>
      </c>
      <c r="M2846" s="69"/>
      <c r="N2846" s="43" t="str">
        <f>IF(Gastos[[#This Row],[Fecha_Cheque]]&gt;0,WEEKNUM(Gastos[[#This Row],[Fecha_Cheque]]),MID(Gastos[[#This Row],[Semana]],6,2))</f>
        <v>45</v>
      </c>
      <c r="O2846" t="s">
        <v>1726</v>
      </c>
      <c r="P2846" t="s">
        <v>27</v>
      </c>
    </row>
    <row r="2847" spans="1:16" hidden="1" x14ac:dyDescent="0.25">
      <c r="A2847" s="3" t="s">
        <v>130</v>
      </c>
      <c r="B2847" t="s">
        <v>1719</v>
      </c>
      <c r="C2847" t="s">
        <v>1725</v>
      </c>
      <c r="D2847" t="s">
        <v>26</v>
      </c>
      <c r="E2847" t="s">
        <v>31</v>
      </c>
      <c r="F2847">
        <v>1</v>
      </c>
      <c r="G2847" s="3" t="s">
        <v>32</v>
      </c>
      <c r="H2847" s="46" t="s">
        <v>15</v>
      </c>
      <c r="I2847" s="17">
        <v>468419.38</v>
      </c>
      <c r="J2847" s="17">
        <f>IF(Gastos[[#This Row],[Divisa]]="$", I2847*1, IF(Gastos[[#This Row],[Divisa]]="U$D", I2847*$N$1, IF(Gastos[[#This Row],[Divisa]]="EUR", I2847*$N$2, 0)))</f>
        <v>468419.38</v>
      </c>
      <c r="K2847" s="54">
        <f>Gastos[[#This Row],[Importe AR$]]/$N$1</f>
        <v>300.26883333333336</v>
      </c>
      <c r="M2847" s="69"/>
      <c r="N2847" s="43" t="str">
        <f>IF(Gastos[[#This Row],[Fecha_Cheque]]&gt;0,WEEKNUM(Gastos[[#This Row],[Fecha_Cheque]]),MID(Gastos[[#This Row],[Semana]],6,2))</f>
        <v>45</v>
      </c>
      <c r="O2847" t="s">
        <v>1726</v>
      </c>
      <c r="P2847" t="s">
        <v>27</v>
      </c>
    </row>
    <row r="2848" spans="1:16" hidden="1" x14ac:dyDescent="0.25">
      <c r="A2848" s="3" t="s">
        <v>44</v>
      </c>
      <c r="B2848" t="s">
        <v>1719</v>
      </c>
      <c r="C2848" t="s">
        <v>1727</v>
      </c>
      <c r="D2848" t="s">
        <v>26</v>
      </c>
      <c r="E2848" t="s">
        <v>31</v>
      </c>
      <c r="F2848">
        <v>1</v>
      </c>
      <c r="G2848" s="3" t="s">
        <v>32</v>
      </c>
      <c r="H2848" s="46" t="s">
        <v>15</v>
      </c>
      <c r="I2848" s="17">
        <v>140471.32999999999</v>
      </c>
      <c r="J2848" s="17">
        <f>IF(Gastos[[#This Row],[Divisa]]="$", I2848*1, IF(Gastos[[#This Row],[Divisa]]="U$D", I2848*$N$1, IF(Gastos[[#This Row],[Divisa]]="EUR", I2848*$N$2, 0)))</f>
        <v>140471.32999999999</v>
      </c>
      <c r="K2848" s="54">
        <f>Gastos[[#This Row],[Importe AR$]]/$N$1</f>
        <v>90.045724358974354</v>
      </c>
      <c r="M2848" s="69"/>
      <c r="N2848" s="43" t="str">
        <f>IF(Gastos[[#This Row],[Fecha_Cheque]]&gt;0,WEEKNUM(Gastos[[#This Row],[Fecha_Cheque]]),MID(Gastos[[#This Row],[Semana]],6,2))</f>
        <v>51</v>
      </c>
      <c r="O2848" t="s">
        <v>1728</v>
      </c>
      <c r="P2848" t="s">
        <v>27</v>
      </c>
    </row>
    <row r="2849" spans="1:16" hidden="1" x14ac:dyDescent="0.25">
      <c r="A2849" s="3" t="s">
        <v>378</v>
      </c>
      <c r="B2849" t="s">
        <v>1719</v>
      </c>
      <c r="C2849" t="s">
        <v>1721</v>
      </c>
      <c r="D2849" t="s">
        <v>26</v>
      </c>
      <c r="E2849" t="s">
        <v>31</v>
      </c>
      <c r="F2849">
        <v>1</v>
      </c>
      <c r="G2849" s="3" t="s">
        <v>32</v>
      </c>
      <c r="H2849" s="46" t="s">
        <v>15</v>
      </c>
      <c r="I2849" s="17">
        <v>333327.62</v>
      </c>
      <c r="J2849" s="17">
        <f>IF(Gastos[[#This Row],[Divisa]]="$", I2849*1, IF(Gastos[[#This Row],[Divisa]]="U$D", I2849*$N$1, IF(Gastos[[#This Row],[Divisa]]="EUR", I2849*$N$2, 0)))</f>
        <v>333327.62</v>
      </c>
      <c r="K2849" s="54">
        <f>Gastos[[#This Row],[Importe AR$]]/$N$1</f>
        <v>213.67155128205127</v>
      </c>
      <c r="M2849" s="69">
        <v>46066</v>
      </c>
      <c r="N2849" s="43">
        <f>IF(Gastos[[#This Row],[Fecha_Cheque]]&gt;0,WEEKNUM(Gastos[[#This Row],[Fecha_Cheque]]),MID(Gastos[[#This Row],[Semana]],6,2))</f>
        <v>7</v>
      </c>
      <c r="O2849" t="s">
        <v>1729</v>
      </c>
      <c r="P2849" t="s">
        <v>27</v>
      </c>
    </row>
    <row r="2850" spans="1:16" hidden="1" x14ac:dyDescent="0.25">
      <c r="A2850" s="3" t="s">
        <v>68</v>
      </c>
      <c r="B2850" t="s">
        <v>1719</v>
      </c>
      <c r="C2850" t="s">
        <v>1721</v>
      </c>
      <c r="D2850" t="s">
        <v>26</v>
      </c>
      <c r="E2850" t="s">
        <v>31</v>
      </c>
      <c r="F2850">
        <v>1</v>
      </c>
      <c r="G2850" s="3" t="s">
        <v>32</v>
      </c>
      <c r="H2850" s="46" t="s">
        <v>15</v>
      </c>
      <c r="I2850" s="17">
        <v>136491.04</v>
      </c>
      <c r="J2850" s="17">
        <f>IF(Gastos[[#This Row],[Divisa]]="$", I2850*1, IF(Gastos[[#This Row],[Divisa]]="U$D", I2850*$N$1, IF(Gastos[[#This Row],[Divisa]]="EUR", I2850*$N$2, 0)))</f>
        <v>136491.04</v>
      </c>
      <c r="K2850" s="54">
        <f>Gastos[[#This Row],[Importe AR$]]/$N$1</f>
        <v>87.494256410256412</v>
      </c>
      <c r="M2850" s="69">
        <v>46051</v>
      </c>
      <c r="N2850" s="43">
        <f>IF(Gastos[[#This Row],[Fecha_Cheque]]&gt;0,WEEKNUM(Gastos[[#This Row],[Fecha_Cheque]]),MID(Gastos[[#This Row],[Semana]],6,2))</f>
        <v>5</v>
      </c>
      <c r="O2850" t="s">
        <v>1671</v>
      </c>
      <c r="P2850" t="s">
        <v>27</v>
      </c>
    </row>
    <row r="2851" spans="1:16" hidden="1" x14ac:dyDescent="0.25">
      <c r="A2851" s="3" t="s">
        <v>180</v>
      </c>
      <c r="B2851" t="s">
        <v>1719</v>
      </c>
      <c r="C2851" t="s">
        <v>1721</v>
      </c>
      <c r="D2851" t="s">
        <v>26</v>
      </c>
      <c r="E2851" t="s">
        <v>31</v>
      </c>
      <c r="F2851">
        <v>1</v>
      </c>
      <c r="G2851" s="3" t="s">
        <v>32</v>
      </c>
      <c r="H2851" s="46" t="s">
        <v>15</v>
      </c>
      <c r="I2851" s="17">
        <v>238940.58</v>
      </c>
      <c r="J2851" s="17">
        <f>IF(Gastos[[#This Row],[Divisa]]="$", I2851*1, IF(Gastos[[#This Row],[Divisa]]="U$D", I2851*$N$1, IF(Gastos[[#This Row],[Divisa]]="EUR", I2851*$N$2, 0)))</f>
        <v>238940.58</v>
      </c>
      <c r="K2851" s="54">
        <f>Gastos[[#This Row],[Importe AR$]]/$N$1</f>
        <v>153.16703846153845</v>
      </c>
      <c r="M2851" s="69">
        <v>46108</v>
      </c>
      <c r="N2851" s="43">
        <f>IF(Gastos[[#This Row],[Fecha_Cheque]]&gt;0,WEEKNUM(Gastos[[#This Row],[Fecha_Cheque]]),MID(Gastos[[#This Row],[Semana]],6,2))</f>
        <v>13</v>
      </c>
      <c r="O2851" t="s">
        <v>1919</v>
      </c>
      <c r="P2851" t="s">
        <v>27</v>
      </c>
    </row>
    <row r="2852" spans="1:16" hidden="1" x14ac:dyDescent="0.25">
      <c r="A2852" s="3" t="s">
        <v>397</v>
      </c>
      <c r="B2852" t="s">
        <v>1719</v>
      </c>
      <c r="C2852" t="s">
        <v>2605</v>
      </c>
      <c r="D2852" t="s">
        <v>26</v>
      </c>
      <c r="E2852" t="s">
        <v>31</v>
      </c>
      <c r="F2852">
        <v>1</v>
      </c>
      <c r="G2852" s="3" t="s">
        <v>32</v>
      </c>
      <c r="H2852" s="44" t="s">
        <v>15</v>
      </c>
      <c r="I2852" s="17">
        <v>180000</v>
      </c>
      <c r="J2852" s="17">
        <f>IF(Gastos[[#This Row],[Divisa]]="$", I2852*1, IF(Gastos[[#This Row],[Divisa]]="U$D", I2852*$N$1, IF(Gastos[[#This Row],[Divisa]]="EUR", I2852*$N$2, 0)))</f>
        <v>180000</v>
      </c>
      <c r="K2852" s="54">
        <f>Gastos[[#This Row],[Importe AR$]]/$N$1</f>
        <v>115.38461538461539</v>
      </c>
      <c r="M2852" s="69">
        <v>46122</v>
      </c>
      <c r="N2852" s="43">
        <f>IF(Gastos[[#This Row],[Fecha_Cheque]]&gt;0,WEEKNUM(Gastos[[#This Row],[Fecha_Cheque]]),MID(Gastos[[#This Row],[Semana]],6,2))</f>
        <v>15</v>
      </c>
      <c r="O2852" t="s">
        <v>2606</v>
      </c>
      <c r="P2852" t="s">
        <v>27</v>
      </c>
    </row>
    <row r="2853" spans="1:16" hidden="1" x14ac:dyDescent="0.25">
      <c r="A2853" s="3" t="s">
        <v>2751</v>
      </c>
      <c r="B2853" t="s">
        <v>1719</v>
      </c>
      <c r="C2853" t="s">
        <v>3062</v>
      </c>
      <c r="D2853" t="s">
        <v>26</v>
      </c>
      <c r="E2853" t="s">
        <v>31</v>
      </c>
      <c r="F2853">
        <v>1</v>
      </c>
      <c r="G2853" s="3" t="s">
        <v>32</v>
      </c>
      <c r="H2853" s="44" t="s">
        <v>15</v>
      </c>
      <c r="I2853" s="17">
        <v>484572.33</v>
      </c>
      <c r="J2853" s="17">
        <f>IF(Gastos[[#This Row],[Divisa]]="$", I2853*1, IF(Gastos[[#This Row],[Divisa]]="U$D", I2853*$N$1, IF(Gastos[[#This Row],[Divisa]]="EUR", I2853*$N$2, 0)))</f>
        <v>484572.33</v>
      </c>
      <c r="K2853" s="54">
        <f>Gastos[[#This Row],[Importe AR$]]/$N$1</f>
        <v>310.62328846153849</v>
      </c>
      <c r="M2853" s="69"/>
      <c r="N2853" s="43" t="str">
        <f>IF(Gastos[[#This Row],[Fecha_Cheque]]&gt;0,WEEKNUM(Gastos[[#This Row],[Fecha_Cheque]]),MID(Gastos[[#This Row],[Semana]],6,2))</f>
        <v>18</v>
      </c>
      <c r="O2853" t="s">
        <v>3111</v>
      </c>
      <c r="P2853" t="s">
        <v>27</v>
      </c>
    </row>
    <row r="2854" spans="1:16" hidden="1" x14ac:dyDescent="0.25">
      <c r="A2854" s="3" t="s">
        <v>2726</v>
      </c>
      <c r="B2854" t="s">
        <v>1719</v>
      </c>
      <c r="C2854" t="s">
        <v>3417</v>
      </c>
      <c r="D2854" t="s">
        <v>26</v>
      </c>
      <c r="E2854" t="s">
        <v>31</v>
      </c>
      <c r="F2854">
        <v>1</v>
      </c>
      <c r="G2854" s="3" t="s">
        <v>32</v>
      </c>
      <c r="H2854" s="44" t="s">
        <v>15</v>
      </c>
      <c r="I2854" s="17">
        <v>586238.68999999994</v>
      </c>
      <c r="J2854" s="17">
        <f>IF(Gastos[[#This Row],[Divisa]]="$", I2854*1, IF(Gastos[[#This Row],[Divisa]]="U$D", I2854*$N$1, IF(Gastos[[#This Row],[Divisa]]="EUR", I2854*$N$2, 0)))</f>
        <v>586238.68999999994</v>
      </c>
      <c r="K2854" s="54">
        <f>Gastos[[#This Row],[Importe AR$]]/$N$1</f>
        <v>375.79403205128199</v>
      </c>
      <c r="M2854" s="69">
        <v>46212</v>
      </c>
      <c r="N2854" s="43">
        <f>IF(Gastos[[#This Row],[Fecha_Cheque]]&gt;0,WEEKNUM(Gastos[[#This Row],[Fecha_Cheque]]),MID(Gastos[[#This Row],[Semana]],6,2))</f>
        <v>28</v>
      </c>
      <c r="O2854" t="s">
        <v>3418</v>
      </c>
      <c r="P2854" t="s">
        <v>27</v>
      </c>
    </row>
    <row r="2855" spans="1:16" hidden="1" x14ac:dyDescent="0.25">
      <c r="A2855" s="3" t="s">
        <v>2726</v>
      </c>
      <c r="B2855" t="s">
        <v>1719</v>
      </c>
      <c r="C2855" t="s">
        <v>3417</v>
      </c>
      <c r="D2855" t="s">
        <v>26</v>
      </c>
      <c r="E2855" t="s">
        <v>31</v>
      </c>
      <c r="F2855">
        <v>1</v>
      </c>
      <c r="G2855" s="3" t="s">
        <v>32</v>
      </c>
      <c r="H2855" s="44" t="s">
        <v>15</v>
      </c>
      <c r="I2855" s="17">
        <v>7392.63</v>
      </c>
      <c r="J2855" s="17">
        <f>IF(Gastos[[#This Row],[Divisa]]="$", I2855*1, IF(Gastos[[#This Row],[Divisa]]="U$D", I2855*$N$1, IF(Gastos[[#This Row],[Divisa]]="EUR", I2855*$N$2, 0)))</f>
        <v>7392.63</v>
      </c>
      <c r="K2855" s="54">
        <f>Gastos[[#This Row],[Importe AR$]]/$N$1</f>
        <v>4.7388653846153845</v>
      </c>
      <c r="L2855" t="s">
        <v>340</v>
      </c>
      <c r="M2855" s="69"/>
      <c r="N2855" s="43" t="str">
        <f>IF(Gastos[[#This Row],[Fecha_Cheque]]&gt;0,WEEKNUM(Gastos[[#This Row],[Fecha_Cheque]]),MID(Gastos[[#This Row],[Semana]],6,2))</f>
        <v>24</v>
      </c>
      <c r="O2855" t="s">
        <v>3418</v>
      </c>
      <c r="P2855" t="s">
        <v>27</v>
      </c>
    </row>
    <row r="2856" spans="1:16" hidden="1" x14ac:dyDescent="0.25">
      <c r="A2856" s="3" t="s">
        <v>3567</v>
      </c>
      <c r="B2856" t="s">
        <v>1719</v>
      </c>
      <c r="C2856" t="s">
        <v>3582</v>
      </c>
      <c r="D2856" t="s">
        <v>26</v>
      </c>
      <c r="E2856" t="s">
        <v>31</v>
      </c>
      <c r="F2856">
        <v>1</v>
      </c>
      <c r="G2856" s="3" t="s">
        <v>32</v>
      </c>
      <c r="H2856" s="44" t="s">
        <v>15</v>
      </c>
      <c r="I2856" s="17">
        <v>592590.98</v>
      </c>
      <c r="J2856" s="17">
        <f>IF(Gastos[[#This Row],[Divisa]]="$", I2856*1, IF(Gastos[[#This Row],[Divisa]]="U$D", I2856*$N$1, IF(Gastos[[#This Row],[Divisa]]="EUR", I2856*$N$2, 0)))</f>
        <v>592590.98</v>
      </c>
      <c r="K2856" s="54">
        <f>Gastos[[#This Row],[Importe AR$]]/$N$1</f>
        <v>379.86601282051282</v>
      </c>
      <c r="M2856" s="69">
        <v>46198</v>
      </c>
      <c r="N2856" s="43">
        <f>IF(Gastos[[#This Row],[Fecha_Cheque]]&gt;0,WEEKNUM(Gastos[[#This Row],[Fecha_Cheque]]),MID(Gastos[[#This Row],[Semana]],6,2))</f>
        <v>26</v>
      </c>
      <c r="O2856" t="s">
        <v>3588</v>
      </c>
      <c r="P2856" t="s">
        <v>27</v>
      </c>
    </row>
    <row r="2857" spans="1:16" hidden="1" x14ac:dyDescent="0.25">
      <c r="A2857" s="3" t="s">
        <v>3567</v>
      </c>
      <c r="B2857" t="s">
        <v>1719</v>
      </c>
      <c r="C2857" t="s">
        <v>3582</v>
      </c>
      <c r="D2857" t="s">
        <v>26</v>
      </c>
      <c r="E2857" t="s">
        <v>31</v>
      </c>
      <c r="F2857">
        <v>1</v>
      </c>
      <c r="G2857" s="3" t="s">
        <v>32</v>
      </c>
      <c r="H2857" s="44" t="s">
        <v>15</v>
      </c>
      <c r="I2857" s="17">
        <v>12093.69</v>
      </c>
      <c r="J2857" s="17">
        <f>IF(Gastos[[#This Row],[Divisa]]="$", I2857*1, IF(Gastos[[#This Row],[Divisa]]="U$D", I2857*$N$1, IF(Gastos[[#This Row],[Divisa]]="EUR", I2857*$N$2, 0)))</f>
        <v>12093.69</v>
      </c>
      <c r="K2857" s="54">
        <f>Gastos[[#This Row],[Importe AR$]]/$N$1</f>
        <v>7.752365384615385</v>
      </c>
      <c r="L2857" t="s">
        <v>340</v>
      </c>
      <c r="M2857" s="69"/>
      <c r="N2857" s="43" t="str">
        <f>IF(Gastos[[#This Row],[Fecha_Cheque]]&gt;0,WEEKNUM(Gastos[[#This Row],[Fecha_Cheque]]),MID(Gastos[[#This Row],[Semana]],6,2))</f>
        <v>26</v>
      </c>
      <c r="O2857" t="s">
        <v>3588</v>
      </c>
      <c r="P2857" t="s">
        <v>27</v>
      </c>
    </row>
    <row r="2858" spans="1:16" hidden="1" x14ac:dyDescent="0.25">
      <c r="A2858" s="3" t="s">
        <v>3693</v>
      </c>
      <c r="B2858" t="s">
        <v>1719</v>
      </c>
      <c r="C2858" t="s">
        <v>3417</v>
      </c>
      <c r="D2858" t="s">
        <v>26</v>
      </c>
      <c r="E2858" t="s">
        <v>31</v>
      </c>
      <c r="F2858">
        <v>1</v>
      </c>
      <c r="G2858" s="3" t="s">
        <v>32</v>
      </c>
      <c r="H2858" s="44" t="s">
        <v>15</v>
      </c>
      <c r="I2858" s="17">
        <v>230214.6</v>
      </c>
      <c r="J2858" s="17">
        <f>IF(Gastos[[#This Row],[Divisa]]="$", I2858*1, IF(Gastos[[#This Row],[Divisa]]="U$D", I2858*$N$1, IF(Gastos[[#This Row],[Divisa]]="EUR", I2858*$N$2, 0)))</f>
        <v>230214.6</v>
      </c>
      <c r="K2858" s="54">
        <f>Gastos[[#This Row],[Importe AR$]]/$N$1</f>
        <v>147.57346153846154</v>
      </c>
      <c r="M2858" s="69">
        <v>46244</v>
      </c>
      <c r="N2858" s="43">
        <f>IF(Gastos[[#This Row],[Fecha_Cheque]]&gt;0,WEEKNUM(Gastos[[#This Row],[Fecha_Cheque]]),MID(Gastos[[#This Row],[Semana]],6,2))</f>
        <v>33</v>
      </c>
      <c r="O2858" t="s">
        <v>3759</v>
      </c>
      <c r="P2858" t="s">
        <v>27</v>
      </c>
    </row>
    <row r="2859" spans="1:16" hidden="1" x14ac:dyDescent="0.25">
      <c r="A2859" s="3" t="s">
        <v>4005</v>
      </c>
      <c r="B2859" t="s">
        <v>1719</v>
      </c>
      <c r="C2859" t="s">
        <v>4026</v>
      </c>
      <c r="D2859" t="s">
        <v>26</v>
      </c>
      <c r="E2859" t="s">
        <v>31</v>
      </c>
      <c r="F2859">
        <v>1</v>
      </c>
      <c r="G2859" s="3" t="s">
        <v>32</v>
      </c>
      <c r="H2859" s="44" t="s">
        <v>15</v>
      </c>
      <c r="I2859" s="17">
        <v>627700.91</v>
      </c>
      <c r="J2859" s="17">
        <f>IF(Gastos[[#This Row],[Divisa]]="$", I2859*1, IF(Gastos[[#This Row],[Divisa]]="U$D", I2859*$N$1, IF(Gastos[[#This Row],[Divisa]]="EUR", I2859*$N$2, 0)))</f>
        <v>627700.91</v>
      </c>
      <c r="K2859" s="54">
        <f>Gastos[[#This Row],[Importe AR$]]/$N$1</f>
        <v>402.3723782051282</v>
      </c>
      <c r="M2859" s="69">
        <v>46276</v>
      </c>
      <c r="N2859" s="43">
        <f>IF(Gastos[[#This Row],[Fecha_Cheque]]&gt;0,WEEKNUM(Gastos[[#This Row],[Fecha_Cheque]]),MID(Gastos[[#This Row],[Semana]],6,2))</f>
        <v>37</v>
      </c>
      <c r="O2859" t="s">
        <v>4027</v>
      </c>
      <c r="P2859" t="s">
        <v>27</v>
      </c>
    </row>
    <row r="2860" spans="1:16" hidden="1" x14ac:dyDescent="0.25">
      <c r="A2860" s="3" t="s">
        <v>4005</v>
      </c>
      <c r="B2860" t="s">
        <v>1719</v>
      </c>
      <c r="C2860" t="s">
        <v>4026</v>
      </c>
      <c r="D2860" t="s">
        <v>26</v>
      </c>
      <c r="E2860" t="s">
        <v>31</v>
      </c>
      <c r="F2860">
        <v>1</v>
      </c>
      <c r="G2860" s="3" t="s">
        <v>32</v>
      </c>
      <c r="H2860" s="44" t="s">
        <v>15</v>
      </c>
      <c r="I2860" s="17">
        <v>8238.7900000000009</v>
      </c>
      <c r="J2860" s="17">
        <f>IF(Gastos[[#This Row],[Divisa]]="$", I2860*1, IF(Gastos[[#This Row],[Divisa]]="U$D", I2860*$N$1, IF(Gastos[[#This Row],[Divisa]]="EUR", I2860*$N$2, 0)))</f>
        <v>8238.7900000000009</v>
      </c>
      <c r="K2860" s="54">
        <f>Gastos[[#This Row],[Importe AR$]]/$N$1</f>
        <v>5.2812756410256414</v>
      </c>
      <c r="L2860" t="s">
        <v>340</v>
      </c>
      <c r="M2860" s="69"/>
      <c r="N2860" s="43" t="str">
        <f>IF(Gastos[[#This Row],[Fecha_Cheque]]&gt;0,WEEKNUM(Gastos[[#This Row],[Fecha_Cheque]]),MID(Gastos[[#This Row],[Semana]],6,2))</f>
        <v>33</v>
      </c>
      <c r="O2860" t="s">
        <v>4027</v>
      </c>
      <c r="P2860" t="s">
        <v>27</v>
      </c>
    </row>
    <row r="2861" spans="1:16" hidden="1" x14ac:dyDescent="0.25">
      <c r="A2861" s="3" t="s">
        <v>4157</v>
      </c>
      <c r="B2861" t="s">
        <v>1719</v>
      </c>
      <c r="C2861" t="s">
        <v>4110</v>
      </c>
      <c r="D2861" t="s">
        <v>26</v>
      </c>
      <c r="E2861" t="s">
        <v>62</v>
      </c>
      <c r="F2861">
        <v>1</v>
      </c>
      <c r="G2861" s="3" t="s">
        <v>5</v>
      </c>
      <c r="H2861" s="44" t="s">
        <v>15</v>
      </c>
      <c r="I2861" s="17">
        <v>627700.91</v>
      </c>
      <c r="J2861" s="17">
        <f>IF(Gastos[[#This Row],[Divisa]]="$", I2861*1, IF(Gastos[[#This Row],[Divisa]]="U$D", I2861*$N$1, IF(Gastos[[#This Row],[Divisa]]="EUR", I2861*$N$2, 0)))</f>
        <v>627700.91</v>
      </c>
      <c r="K2861" s="54">
        <f>Gastos[[#This Row],[Importe AR$]]/$N$1</f>
        <v>402.3723782051282</v>
      </c>
      <c r="M2861" s="69"/>
      <c r="N2861" s="43" t="str">
        <f>IF(Gastos[[#This Row],[Fecha_Cheque]]&gt;0,WEEKNUM(Gastos[[#This Row],[Fecha_Cheque]]),MID(Gastos[[#This Row],[Semana]],6,2))</f>
        <v>36</v>
      </c>
      <c r="O2861" t="s">
        <v>4027</v>
      </c>
      <c r="P2861" t="s">
        <v>27</v>
      </c>
    </row>
    <row r="2862" spans="1:16" hidden="1" x14ac:dyDescent="0.25">
      <c r="A2862" s="3" t="s">
        <v>4157</v>
      </c>
      <c r="B2862" t="s">
        <v>1719</v>
      </c>
      <c r="C2862" t="s">
        <v>4110</v>
      </c>
      <c r="D2862" t="s">
        <v>26</v>
      </c>
      <c r="E2862" t="s">
        <v>62</v>
      </c>
      <c r="F2862">
        <v>1</v>
      </c>
      <c r="G2862" s="3" t="s">
        <v>5</v>
      </c>
      <c r="H2862" s="44" t="s">
        <v>15</v>
      </c>
      <c r="I2862" s="17">
        <v>8238.7900000000009</v>
      </c>
      <c r="J2862" s="17">
        <f>IF(Gastos[[#This Row],[Divisa]]="$", I2862*1, IF(Gastos[[#This Row],[Divisa]]="U$D", I2862*$N$1, IF(Gastos[[#This Row],[Divisa]]="EUR", I2862*$N$2, 0)))</f>
        <v>8238.7900000000009</v>
      </c>
      <c r="K2862" s="54">
        <f>Gastos[[#This Row],[Importe AR$]]/$N$1</f>
        <v>5.2812756410256414</v>
      </c>
      <c r="L2862" t="s">
        <v>340</v>
      </c>
      <c r="M2862" s="69"/>
      <c r="N2862" s="43" t="str">
        <f>IF(Gastos[[#This Row],[Fecha_Cheque]]&gt;0,WEEKNUM(Gastos[[#This Row],[Fecha_Cheque]]),MID(Gastos[[#This Row],[Semana]],6,2))</f>
        <v>36</v>
      </c>
      <c r="O2862" t="s">
        <v>4027</v>
      </c>
      <c r="P2862" t="s">
        <v>27</v>
      </c>
    </row>
    <row r="2863" spans="1:16" hidden="1" x14ac:dyDescent="0.25">
      <c r="A2863" s="3" t="s">
        <v>4513</v>
      </c>
      <c r="B2863" t="s">
        <v>1719</v>
      </c>
      <c r="C2863" t="s">
        <v>4500</v>
      </c>
      <c r="D2863" t="s">
        <v>26</v>
      </c>
      <c r="E2863" t="s">
        <v>31</v>
      </c>
      <c r="F2863">
        <v>1</v>
      </c>
      <c r="G2863" s="3" t="s">
        <v>32</v>
      </c>
      <c r="H2863" s="44" t="s">
        <v>15</v>
      </c>
      <c r="I2863" s="17">
        <v>373837.74</v>
      </c>
      <c r="J2863" s="17">
        <f>IF(Gastos[[#This Row],[Divisa]]="$", I2863*1, IF(Gastos[[#This Row],[Divisa]]="U$D", I2863*$N$1, IF(Gastos[[#This Row],[Divisa]]="EUR", I2863*$N$2, 0)))</f>
        <v>373837.74</v>
      </c>
      <c r="K2863" s="54">
        <f>Gastos[[#This Row],[Importe AR$]]/$N$1</f>
        <v>239.63957692307693</v>
      </c>
      <c r="M2863" s="69">
        <v>46333</v>
      </c>
      <c r="N2863" s="43">
        <f>IF(Gastos[[#This Row],[Fecha_Cheque]]&gt;0,WEEKNUM(Gastos[[#This Row],[Fecha_Cheque]]),MID(Gastos[[#This Row],[Semana]],6,2))</f>
        <v>45</v>
      </c>
      <c r="O2863" t="s">
        <v>4501</v>
      </c>
      <c r="P2863" t="s">
        <v>27</v>
      </c>
    </row>
    <row r="2864" spans="1:16" hidden="1" x14ac:dyDescent="0.25">
      <c r="A2864" s="3" t="s">
        <v>4513</v>
      </c>
      <c r="B2864" t="s">
        <v>1719</v>
      </c>
      <c r="C2864" t="s">
        <v>4500</v>
      </c>
      <c r="D2864" t="s">
        <v>26</v>
      </c>
      <c r="E2864" t="s">
        <v>31</v>
      </c>
      <c r="F2864">
        <v>1</v>
      </c>
      <c r="G2864" s="3" t="s">
        <v>32</v>
      </c>
      <c r="H2864" s="44" t="s">
        <v>15</v>
      </c>
      <c r="I2864" s="17">
        <v>220865.28</v>
      </c>
      <c r="J2864" s="17">
        <f>IF(Gastos[[#This Row],[Divisa]]="$", I2864*1, IF(Gastos[[#This Row],[Divisa]]="U$D", I2864*$N$1, IF(Gastos[[#This Row],[Divisa]]="EUR", I2864*$N$2, 0)))</f>
        <v>220865.28</v>
      </c>
      <c r="K2864" s="54">
        <f>Gastos[[#This Row],[Importe AR$]]/$N$1</f>
        <v>141.58030769230768</v>
      </c>
      <c r="M2864" s="69">
        <v>46337</v>
      </c>
      <c r="N2864" s="43">
        <f>IF(Gastos[[#This Row],[Fecha_Cheque]]&gt;0,WEEKNUM(Gastos[[#This Row],[Fecha_Cheque]]),MID(Gastos[[#This Row],[Semana]],6,2))</f>
        <v>46</v>
      </c>
      <c r="O2864" t="s">
        <v>4501</v>
      </c>
      <c r="P2864" t="s">
        <v>27</v>
      </c>
    </row>
    <row r="2865" spans="1:16" hidden="1" x14ac:dyDescent="0.25">
      <c r="A2865" s="3" t="s">
        <v>4513</v>
      </c>
      <c r="B2865" t="s">
        <v>1719</v>
      </c>
      <c r="C2865" t="s">
        <v>4500</v>
      </c>
      <c r="D2865" t="s">
        <v>26</v>
      </c>
      <c r="E2865" t="s">
        <v>31</v>
      </c>
      <c r="F2865">
        <v>1</v>
      </c>
      <c r="G2865" s="3" t="s">
        <v>32</v>
      </c>
      <c r="H2865" s="44" t="s">
        <v>15</v>
      </c>
      <c r="I2865" s="17">
        <v>1189.4100000000001</v>
      </c>
      <c r="J2865" s="17">
        <f>IF(Gastos[[#This Row],[Divisa]]="$", I2865*1, IF(Gastos[[#This Row],[Divisa]]="U$D", I2865*$N$1, IF(Gastos[[#This Row],[Divisa]]="EUR", I2865*$N$2, 0)))</f>
        <v>1189.4100000000001</v>
      </c>
      <c r="K2865" s="54">
        <f>Gastos[[#This Row],[Importe AR$]]/$N$1</f>
        <v>0.7624423076923077</v>
      </c>
      <c r="L2865" t="s">
        <v>340</v>
      </c>
      <c r="M2865" s="69"/>
      <c r="N2865" s="43" t="str">
        <f>IF(Gastos[[#This Row],[Fecha_Cheque]]&gt;0,WEEKNUM(Gastos[[#This Row],[Fecha_Cheque]]),MID(Gastos[[#This Row],[Semana]],6,2))</f>
        <v>42</v>
      </c>
      <c r="O2865" t="s">
        <v>4501</v>
      </c>
      <c r="P2865" t="s">
        <v>27</v>
      </c>
    </row>
    <row r="2866" spans="1:16" hidden="1" x14ac:dyDescent="0.25">
      <c r="A2866" s="3" t="s">
        <v>4513</v>
      </c>
      <c r="B2866" t="s">
        <v>1719</v>
      </c>
      <c r="C2866" t="s">
        <v>4500</v>
      </c>
      <c r="D2866" t="s">
        <v>26</v>
      </c>
      <c r="E2866" t="s">
        <v>31</v>
      </c>
      <c r="F2866">
        <v>1</v>
      </c>
      <c r="G2866" s="3" t="s">
        <v>32</v>
      </c>
      <c r="H2866" s="44" t="s">
        <v>15</v>
      </c>
      <c r="I2866" s="17">
        <v>244103.38</v>
      </c>
      <c r="J2866" s="17">
        <f>IF(Gastos[[#This Row],[Divisa]]="$", I2866*1, IF(Gastos[[#This Row],[Divisa]]="U$D", I2866*$N$1, IF(Gastos[[#This Row],[Divisa]]="EUR", I2866*$N$2, 0)))</f>
        <v>244103.38</v>
      </c>
      <c r="K2866" s="54">
        <f>Gastos[[#This Row],[Importe AR$]]/$N$1</f>
        <v>156.47652564102563</v>
      </c>
      <c r="M2866" s="69">
        <v>46332</v>
      </c>
      <c r="N2866" s="43">
        <f>IF(Gastos[[#This Row],[Fecha_Cheque]]&gt;0,WEEKNUM(Gastos[[#This Row],[Fecha_Cheque]]),MID(Gastos[[#This Row],[Semana]],6,2))</f>
        <v>45</v>
      </c>
      <c r="O2866" t="s">
        <v>4548</v>
      </c>
      <c r="P2866" t="s">
        <v>27</v>
      </c>
    </row>
    <row r="2867" spans="1:16" hidden="1" x14ac:dyDescent="0.25">
      <c r="A2867" s="3" t="s">
        <v>4513</v>
      </c>
      <c r="B2867" t="s">
        <v>1719</v>
      </c>
      <c r="C2867" t="s">
        <v>4500</v>
      </c>
      <c r="D2867" t="s">
        <v>26</v>
      </c>
      <c r="E2867" t="s">
        <v>31</v>
      </c>
      <c r="F2867">
        <v>1</v>
      </c>
      <c r="G2867" s="3" t="s">
        <v>32</v>
      </c>
      <c r="H2867" s="44" t="s">
        <v>15</v>
      </c>
      <c r="I2867" s="17">
        <v>488.21</v>
      </c>
      <c r="J2867" s="17">
        <f>IF(Gastos[[#This Row],[Divisa]]="$", I2867*1, IF(Gastos[[#This Row],[Divisa]]="U$D", I2867*$N$1, IF(Gastos[[#This Row],[Divisa]]="EUR", I2867*$N$2, 0)))</f>
        <v>488.21</v>
      </c>
      <c r="K2867" s="54">
        <f>Gastos[[#This Row],[Importe AR$]]/$N$1</f>
        <v>0.31295512820512822</v>
      </c>
      <c r="M2867" s="69"/>
      <c r="N2867" s="43" t="str">
        <f>IF(Gastos[[#This Row],[Fecha_Cheque]]&gt;0,WEEKNUM(Gastos[[#This Row],[Fecha_Cheque]]),MID(Gastos[[#This Row],[Semana]],6,2))</f>
        <v>42</v>
      </c>
      <c r="O2867" t="s">
        <v>4548</v>
      </c>
      <c r="P2867" t="s">
        <v>27</v>
      </c>
    </row>
    <row r="2868" spans="1:16" hidden="1" x14ac:dyDescent="0.25">
      <c r="A2868" s="3" t="s">
        <v>2740</v>
      </c>
      <c r="B2868" t="s">
        <v>2966</v>
      </c>
      <c r="C2868" t="s">
        <v>2967</v>
      </c>
      <c r="D2868" t="s">
        <v>26</v>
      </c>
      <c r="E2868" t="s">
        <v>31</v>
      </c>
      <c r="F2868">
        <v>1</v>
      </c>
      <c r="G2868" s="3" t="s">
        <v>32</v>
      </c>
      <c r="H2868" s="44" t="s">
        <v>15</v>
      </c>
      <c r="I2868" s="17">
        <v>2265480</v>
      </c>
      <c r="J2868" s="17">
        <f>IF(Gastos[[#This Row],[Divisa]]="$", I2868*1, IF(Gastos[[#This Row],[Divisa]]="U$D", I2868*$N$1, IF(Gastos[[#This Row],[Divisa]]="EUR", I2868*$N$2, 0)))</f>
        <v>2265480</v>
      </c>
      <c r="K2868" s="54">
        <f>Gastos[[#This Row],[Importe AR$]]/$N$1</f>
        <v>1452.2307692307693</v>
      </c>
      <c r="M2868" s="69">
        <v>46159</v>
      </c>
      <c r="N2868" s="43">
        <f>IF(Gastos[[#This Row],[Fecha_Cheque]]&gt;0,WEEKNUM(Gastos[[#This Row],[Fecha_Cheque]]),MID(Gastos[[#This Row],[Semana]],6,2))</f>
        <v>21</v>
      </c>
      <c r="O2868" t="s">
        <v>2968</v>
      </c>
      <c r="P2868" t="s">
        <v>27</v>
      </c>
    </row>
    <row r="2869" spans="1:16" hidden="1" x14ac:dyDescent="0.25">
      <c r="A2869" s="3" t="s">
        <v>2740</v>
      </c>
      <c r="B2869" t="s">
        <v>2966</v>
      </c>
      <c r="C2869" t="s">
        <v>2967</v>
      </c>
      <c r="D2869" t="s">
        <v>26</v>
      </c>
      <c r="E2869" t="s">
        <v>31</v>
      </c>
      <c r="F2869">
        <v>1</v>
      </c>
      <c r="G2869" s="3" t="s">
        <v>32</v>
      </c>
      <c r="H2869" s="44" t="s">
        <v>15</v>
      </c>
      <c r="I2869" s="17">
        <v>33520</v>
      </c>
      <c r="J2869" s="17">
        <f>IF(Gastos[[#This Row],[Divisa]]="$", I2869*1, IF(Gastos[[#This Row],[Divisa]]="U$D", I2869*$N$1, IF(Gastos[[#This Row],[Divisa]]="EUR", I2869*$N$2, 0)))</f>
        <v>33520</v>
      </c>
      <c r="K2869" s="54">
        <f>Gastos[[#This Row],[Importe AR$]]/$N$1</f>
        <v>21.487179487179485</v>
      </c>
      <c r="L2869" t="s">
        <v>340</v>
      </c>
      <c r="M2869" s="69"/>
      <c r="N2869" s="43" t="str">
        <f>IF(Gastos[[#This Row],[Fecha_Cheque]]&gt;0,WEEKNUM(Gastos[[#This Row],[Fecha_Cheque]]),MID(Gastos[[#This Row],[Semana]],6,2))</f>
        <v>16</v>
      </c>
      <c r="O2869" t="s">
        <v>2968</v>
      </c>
      <c r="P2869" t="s">
        <v>27</v>
      </c>
    </row>
    <row r="2870" spans="1:16" hidden="1" x14ac:dyDescent="0.25">
      <c r="A2870" s="3" t="s">
        <v>2804</v>
      </c>
      <c r="B2870" t="s">
        <v>2966</v>
      </c>
      <c r="C2870" t="s">
        <v>1736</v>
      </c>
      <c r="D2870" t="s">
        <v>26</v>
      </c>
      <c r="E2870" t="s">
        <v>31</v>
      </c>
      <c r="F2870">
        <v>1</v>
      </c>
      <c r="G2870" s="3" t="s">
        <v>32</v>
      </c>
      <c r="H2870" s="44" t="s">
        <v>15</v>
      </c>
      <c r="I2870" s="17">
        <v>1132740</v>
      </c>
      <c r="J2870" s="17">
        <f>IF(Gastos[[#This Row],[Divisa]]="$", I2870*1, IF(Gastos[[#This Row],[Divisa]]="U$D", I2870*$N$1, IF(Gastos[[#This Row],[Divisa]]="EUR", I2870*$N$2, 0)))</f>
        <v>1132740</v>
      </c>
      <c r="K2870" s="54">
        <f>Gastos[[#This Row],[Importe AR$]]/$N$1</f>
        <v>726.11538461538464</v>
      </c>
      <c r="M2870" s="69">
        <v>46178</v>
      </c>
      <c r="N2870" s="43">
        <f>IF(Gastos[[#This Row],[Fecha_Cheque]]&gt;0,WEEKNUM(Gastos[[#This Row],[Fecha_Cheque]]),MID(Gastos[[#This Row],[Semana]],6,2))</f>
        <v>23</v>
      </c>
      <c r="O2870" t="s">
        <v>3152</v>
      </c>
      <c r="P2870" t="s">
        <v>27</v>
      </c>
    </row>
    <row r="2871" spans="1:16" hidden="1" x14ac:dyDescent="0.25">
      <c r="A2871" s="3" t="s">
        <v>2804</v>
      </c>
      <c r="B2871" t="s">
        <v>2966</v>
      </c>
      <c r="C2871" t="s">
        <v>1736</v>
      </c>
      <c r="D2871" t="s">
        <v>26</v>
      </c>
      <c r="E2871" t="s">
        <v>31</v>
      </c>
      <c r="F2871">
        <v>1</v>
      </c>
      <c r="G2871" s="3" t="s">
        <v>32</v>
      </c>
      <c r="H2871" s="44" t="s">
        <v>15</v>
      </c>
      <c r="I2871" s="17">
        <v>1132740</v>
      </c>
      <c r="J2871" s="17">
        <f>IF(Gastos[[#This Row],[Divisa]]="$", I2871*1, IF(Gastos[[#This Row],[Divisa]]="U$D", I2871*$N$1, IF(Gastos[[#This Row],[Divisa]]="EUR", I2871*$N$2, 0)))</f>
        <v>1132740</v>
      </c>
      <c r="K2871" s="54">
        <f>Gastos[[#This Row],[Importe AR$]]/$N$1</f>
        <v>726.11538461538464</v>
      </c>
      <c r="M2871" s="69">
        <v>46188</v>
      </c>
      <c r="N2871" s="43">
        <f>IF(Gastos[[#This Row],[Fecha_Cheque]]&gt;0,WEEKNUM(Gastos[[#This Row],[Fecha_Cheque]]),MID(Gastos[[#This Row],[Semana]],6,2))</f>
        <v>25</v>
      </c>
      <c r="O2871" t="s">
        <v>3152</v>
      </c>
      <c r="P2871" t="s">
        <v>27</v>
      </c>
    </row>
    <row r="2872" spans="1:16" hidden="1" x14ac:dyDescent="0.25">
      <c r="A2872" s="3" t="s">
        <v>2804</v>
      </c>
      <c r="B2872" t="s">
        <v>2966</v>
      </c>
      <c r="C2872" t="s">
        <v>1736</v>
      </c>
      <c r="D2872" t="s">
        <v>26</v>
      </c>
      <c r="E2872" t="s">
        <v>31</v>
      </c>
      <c r="F2872">
        <v>1</v>
      </c>
      <c r="G2872" s="3" t="s">
        <v>32</v>
      </c>
      <c r="H2872" s="44" t="s">
        <v>15</v>
      </c>
      <c r="I2872" s="17">
        <v>33520</v>
      </c>
      <c r="J2872" s="17">
        <f>IF(Gastos[[#This Row],[Divisa]]="$", I2872*1, IF(Gastos[[#This Row],[Divisa]]="U$D", I2872*$N$1, IF(Gastos[[#This Row],[Divisa]]="EUR", I2872*$N$2, 0)))</f>
        <v>33520</v>
      </c>
      <c r="K2872" s="54">
        <f>Gastos[[#This Row],[Importe AR$]]/$N$1</f>
        <v>21.487179487179485</v>
      </c>
      <c r="L2872" t="s">
        <v>340</v>
      </c>
      <c r="M2872" s="69"/>
      <c r="N2872" s="43" t="str">
        <f>IF(Gastos[[#This Row],[Fecha_Cheque]]&gt;0,WEEKNUM(Gastos[[#This Row],[Fecha_Cheque]]),MID(Gastos[[#This Row],[Semana]],6,2))</f>
        <v>19</v>
      </c>
      <c r="O2872" t="s">
        <v>3152</v>
      </c>
      <c r="P2872" t="s">
        <v>27</v>
      </c>
    </row>
    <row r="2873" spans="1:16" ht="14.25" hidden="1" customHeight="1" x14ac:dyDescent="0.25">
      <c r="A2873" s="3" t="s">
        <v>60</v>
      </c>
      <c r="B2873" t="s">
        <v>1730</v>
      </c>
      <c r="C2873" t="s">
        <v>1731</v>
      </c>
      <c r="D2873" t="s">
        <v>26</v>
      </c>
      <c r="E2873" t="s">
        <v>31</v>
      </c>
      <c r="F2873">
        <v>1</v>
      </c>
      <c r="G2873" s="3" t="s">
        <v>5</v>
      </c>
      <c r="H2873" s="46" t="s">
        <v>15</v>
      </c>
      <c r="I2873" s="17">
        <v>987951.07</v>
      </c>
      <c r="J2873" s="17">
        <f>IF(Gastos[[#This Row],[Divisa]]="$", I2873*1, IF(Gastos[[#This Row],[Divisa]]="U$D", I2873*$N$1, IF(Gastos[[#This Row],[Divisa]]="EUR", I2873*$N$2, 0)))</f>
        <v>987951.07</v>
      </c>
      <c r="K2873" s="54">
        <f>Gastos[[#This Row],[Importe AR$]]/$N$1</f>
        <v>633.3019679487179</v>
      </c>
      <c r="M2873" s="69"/>
      <c r="N2873" s="43" t="str">
        <f>IF(Gastos[[#This Row],[Fecha_Cheque]]&gt;0,WEEKNUM(Gastos[[#This Row],[Fecha_Cheque]]),MID(Gastos[[#This Row],[Semana]],6,2))</f>
        <v>46</v>
      </c>
      <c r="O2873" t="s">
        <v>1732</v>
      </c>
      <c r="P2873" t="s">
        <v>27</v>
      </c>
    </row>
    <row r="2874" spans="1:16" hidden="1" x14ac:dyDescent="0.25">
      <c r="A2874" s="3" t="s">
        <v>253</v>
      </c>
      <c r="B2874" t="s">
        <v>1730</v>
      </c>
      <c r="C2874" t="s">
        <v>1733</v>
      </c>
      <c r="D2874" t="s">
        <v>61</v>
      </c>
      <c r="E2874" t="s">
        <v>62</v>
      </c>
      <c r="F2874">
        <v>1</v>
      </c>
      <c r="G2874" s="3" t="s">
        <v>32</v>
      </c>
      <c r="H2874" s="46" t="s">
        <v>15</v>
      </c>
      <c r="I2874" s="17">
        <v>968000</v>
      </c>
      <c r="J2874" s="17">
        <f>IF(Gastos[[#This Row],[Divisa]]="$", I2874*1, IF(Gastos[[#This Row],[Divisa]]="U$D", I2874*$N$1, IF(Gastos[[#This Row],[Divisa]]="EUR", I2874*$N$2, 0)))</f>
        <v>968000</v>
      </c>
      <c r="K2874" s="54">
        <f>Gastos[[#This Row],[Importe AR$]]/$N$1</f>
        <v>620.51282051282055</v>
      </c>
      <c r="L2874" t="s">
        <v>983</v>
      </c>
      <c r="M2874" s="69">
        <v>45831</v>
      </c>
      <c r="N2874" s="43">
        <f>IF(Gastos[[#This Row],[Fecha_Cheque]]&gt;0,WEEKNUM(Gastos[[#This Row],[Fecha_Cheque]]),MID(Gastos[[#This Row],[Semana]],6,2))</f>
        <v>26</v>
      </c>
      <c r="P2874" t="s">
        <v>27</v>
      </c>
    </row>
    <row r="2875" spans="1:16" hidden="1" x14ac:dyDescent="0.25">
      <c r="A2875" s="3" t="s">
        <v>53</v>
      </c>
      <c r="B2875" t="s">
        <v>1730</v>
      </c>
      <c r="C2875" t="s">
        <v>1734</v>
      </c>
      <c r="D2875" t="s">
        <v>26</v>
      </c>
      <c r="E2875" t="s">
        <v>31</v>
      </c>
      <c r="F2875">
        <v>1</v>
      </c>
      <c r="G2875" s="3" t="s">
        <v>32</v>
      </c>
      <c r="H2875" s="46" t="s">
        <v>15</v>
      </c>
      <c r="I2875" s="17">
        <v>530000</v>
      </c>
      <c r="J2875" s="17">
        <f>IF(Gastos[[#This Row],[Divisa]]="$", I2875*1, IF(Gastos[[#This Row],[Divisa]]="U$D", I2875*$N$1, IF(Gastos[[#This Row],[Divisa]]="EUR", I2875*$N$2, 0)))</f>
        <v>530000</v>
      </c>
      <c r="K2875" s="54">
        <f>Gastos[[#This Row],[Importe AR$]]/$N$1</f>
        <v>339.74358974358972</v>
      </c>
      <c r="M2875" s="69">
        <v>45888</v>
      </c>
      <c r="N2875" s="43">
        <f>IF(Gastos[[#This Row],[Fecha_Cheque]]&gt;0,WEEKNUM(Gastos[[#This Row],[Fecha_Cheque]]),MID(Gastos[[#This Row],[Semana]],6,2))</f>
        <v>34</v>
      </c>
      <c r="O2875" t="s">
        <v>1735</v>
      </c>
      <c r="P2875" t="s">
        <v>27</v>
      </c>
    </row>
    <row r="2876" spans="1:16" hidden="1" x14ac:dyDescent="0.25">
      <c r="A2876" s="3" t="s">
        <v>53</v>
      </c>
      <c r="B2876" t="s">
        <v>1730</v>
      </c>
      <c r="C2876" t="s">
        <v>1734</v>
      </c>
      <c r="D2876" t="s">
        <v>26</v>
      </c>
      <c r="E2876" t="s">
        <v>31</v>
      </c>
      <c r="F2876">
        <v>1</v>
      </c>
      <c r="G2876" s="3" t="s">
        <v>32</v>
      </c>
      <c r="H2876" s="46" t="s">
        <v>15</v>
      </c>
      <c r="I2876" s="17">
        <v>756770.94</v>
      </c>
      <c r="J2876" s="17">
        <f>IF(Gastos[[#This Row],[Divisa]]="$", I2876*1, IF(Gastos[[#This Row],[Divisa]]="U$D", I2876*$N$1, IF(Gastos[[#This Row],[Divisa]]="EUR", I2876*$N$2, 0)))</f>
        <v>756770.94</v>
      </c>
      <c r="K2876" s="54">
        <f>Gastos[[#This Row],[Importe AR$]]/$N$1</f>
        <v>485.10957692307687</v>
      </c>
      <c r="M2876" s="69">
        <v>45887</v>
      </c>
      <c r="N2876" s="43">
        <f>IF(Gastos[[#This Row],[Fecha_Cheque]]&gt;0,WEEKNUM(Gastos[[#This Row],[Fecha_Cheque]]),MID(Gastos[[#This Row],[Semana]],6,2))</f>
        <v>34</v>
      </c>
      <c r="O2876" t="s">
        <v>1735</v>
      </c>
      <c r="P2876" t="s">
        <v>27</v>
      </c>
    </row>
    <row r="2877" spans="1:16" hidden="1" x14ac:dyDescent="0.25">
      <c r="A2877" s="3" t="s">
        <v>53</v>
      </c>
      <c r="B2877" t="s">
        <v>1730</v>
      </c>
      <c r="C2877" t="s">
        <v>1734</v>
      </c>
      <c r="D2877" t="s">
        <v>26</v>
      </c>
      <c r="E2877" t="s">
        <v>31</v>
      </c>
      <c r="F2877">
        <v>1</v>
      </c>
      <c r="G2877" s="3" t="s">
        <v>32</v>
      </c>
      <c r="H2877" s="46" t="s">
        <v>15</v>
      </c>
      <c r="I2877" s="17">
        <v>849925</v>
      </c>
      <c r="J2877" s="17">
        <f>IF(Gastos[[#This Row],[Divisa]]="$", I2877*1, IF(Gastos[[#This Row],[Divisa]]="U$D", I2877*$N$1, IF(Gastos[[#This Row],[Divisa]]="EUR", I2877*$N$2, 0)))</f>
        <v>849925</v>
      </c>
      <c r="K2877" s="54">
        <f>Gastos[[#This Row],[Importe AR$]]/$N$1</f>
        <v>544.8237179487179</v>
      </c>
      <c r="M2877" s="69">
        <v>45877</v>
      </c>
      <c r="N2877" s="43">
        <f>IF(Gastos[[#This Row],[Fecha_Cheque]]&gt;0,WEEKNUM(Gastos[[#This Row],[Fecha_Cheque]]),MID(Gastos[[#This Row],[Semana]],6,2))</f>
        <v>32</v>
      </c>
      <c r="O2877" t="s">
        <v>1735</v>
      </c>
      <c r="P2877" t="s">
        <v>27</v>
      </c>
    </row>
    <row r="2878" spans="1:16" hidden="1" x14ac:dyDescent="0.25">
      <c r="A2878" s="3" t="s">
        <v>53</v>
      </c>
      <c r="B2878" t="s">
        <v>1730</v>
      </c>
      <c r="C2878" t="s">
        <v>1734</v>
      </c>
      <c r="D2878" t="s">
        <v>26</v>
      </c>
      <c r="E2878" t="s">
        <v>31</v>
      </c>
      <c r="F2878">
        <v>1</v>
      </c>
      <c r="G2878" s="3" t="s">
        <v>4</v>
      </c>
      <c r="H2878" s="46" t="s">
        <v>15</v>
      </c>
      <c r="I2878" s="17">
        <v>9784.06</v>
      </c>
      <c r="J2878" s="17">
        <f>IF(Gastos[[#This Row],[Divisa]]="$", I2878*1, IF(Gastos[[#This Row],[Divisa]]="U$D", I2878*$N$1, IF(Gastos[[#This Row],[Divisa]]="EUR", I2878*$N$2, 0)))</f>
        <v>9784.06</v>
      </c>
      <c r="K2878" s="54">
        <f>Gastos[[#This Row],[Importe AR$]]/$N$1</f>
        <v>6.2718333333333334</v>
      </c>
      <c r="M2878" s="69"/>
      <c r="N2878" s="43" t="str">
        <f>IF(Gastos[[#This Row],[Fecha_Cheque]]&gt;0,WEEKNUM(Gastos[[#This Row],[Fecha_Cheque]]),MID(Gastos[[#This Row],[Semana]],6,2))</f>
        <v>34</v>
      </c>
      <c r="O2878" t="s">
        <v>1735</v>
      </c>
      <c r="P2878" t="s">
        <v>27</v>
      </c>
    </row>
    <row r="2879" spans="1:16" hidden="1" x14ac:dyDescent="0.25">
      <c r="A2879" s="3" t="s">
        <v>128</v>
      </c>
      <c r="B2879" t="s">
        <v>1730</v>
      </c>
      <c r="C2879" t="s">
        <v>1736</v>
      </c>
      <c r="D2879" t="s">
        <v>26</v>
      </c>
      <c r="E2879" t="s">
        <v>31</v>
      </c>
      <c r="F2879">
        <v>1</v>
      </c>
      <c r="G2879" s="3" t="s">
        <v>32</v>
      </c>
      <c r="H2879" s="46" t="s">
        <v>15</v>
      </c>
      <c r="I2879" s="17">
        <v>694000</v>
      </c>
      <c r="J2879" s="17">
        <f>IF(Gastos[[#This Row],[Divisa]]="$", I2879*1, IF(Gastos[[#This Row],[Divisa]]="U$D", I2879*$N$1, IF(Gastos[[#This Row],[Divisa]]="EUR", I2879*$N$2, 0)))</f>
        <v>694000</v>
      </c>
      <c r="K2879" s="54">
        <f>Gastos[[#This Row],[Importe AR$]]/$N$1</f>
        <v>444.87179487179486</v>
      </c>
      <c r="M2879" s="69"/>
      <c r="N2879" s="43" t="str">
        <f>IF(Gastos[[#This Row],[Fecha_Cheque]]&gt;0,WEEKNUM(Gastos[[#This Row],[Fecha_Cheque]]),MID(Gastos[[#This Row],[Semana]],6,2))</f>
        <v>43</v>
      </c>
      <c r="O2879" t="s">
        <v>1737</v>
      </c>
      <c r="P2879" t="s">
        <v>27</v>
      </c>
    </row>
    <row r="2880" spans="1:16" hidden="1" x14ac:dyDescent="0.25">
      <c r="A2880" s="3" t="s">
        <v>3754</v>
      </c>
      <c r="B2880" t="s">
        <v>3802</v>
      </c>
      <c r="C2880" t="s">
        <v>574</v>
      </c>
      <c r="D2880" t="s">
        <v>26</v>
      </c>
      <c r="E2880" t="s">
        <v>31</v>
      </c>
      <c r="F2880">
        <v>1</v>
      </c>
      <c r="G2880" s="3" t="s">
        <v>32</v>
      </c>
      <c r="H2880" s="44" t="s">
        <v>15</v>
      </c>
      <c r="I2880" s="17">
        <v>1230000</v>
      </c>
      <c r="J2880" s="17">
        <f>IF(Gastos[[#This Row],[Divisa]]="$", I2880*1, IF(Gastos[[#This Row],[Divisa]]="U$D", I2880*$N$1, IF(Gastos[[#This Row],[Divisa]]="EUR", I2880*$N$2, 0)))</f>
        <v>1230000</v>
      </c>
      <c r="K2880" s="54">
        <f>Gastos[[#This Row],[Importe AR$]]/$N$1</f>
        <v>788.46153846153845</v>
      </c>
      <c r="M2880" s="69">
        <v>46239</v>
      </c>
      <c r="N2880" s="43">
        <f>IF(Gastos[[#This Row],[Fecha_Cheque]]&gt;0,WEEKNUM(Gastos[[#This Row],[Fecha_Cheque]]),MID(Gastos[[#This Row],[Semana]],6,2))</f>
        <v>32</v>
      </c>
      <c r="O2880" t="s">
        <v>3803</v>
      </c>
      <c r="P2880" t="s">
        <v>27</v>
      </c>
    </row>
    <row r="2881" spans="1:16" hidden="1" x14ac:dyDescent="0.25">
      <c r="A2881" s="3" t="s">
        <v>3754</v>
      </c>
      <c r="B2881" t="s">
        <v>3802</v>
      </c>
      <c r="C2881" t="s">
        <v>574</v>
      </c>
      <c r="D2881" t="s">
        <v>26</v>
      </c>
      <c r="E2881" t="s">
        <v>42</v>
      </c>
      <c r="F2881">
        <v>1</v>
      </c>
      <c r="G2881" s="3" t="s">
        <v>32</v>
      </c>
      <c r="H2881" s="44" t="s">
        <v>15</v>
      </c>
      <c r="I2881" s="17">
        <v>202480</v>
      </c>
      <c r="J2881" s="17">
        <f>IF(Gastos[[#This Row],[Divisa]]="$", I2881*1, IF(Gastos[[#This Row],[Divisa]]="U$D", I2881*$N$1, IF(Gastos[[#This Row],[Divisa]]="EUR", I2881*$N$2, 0)))</f>
        <v>202480</v>
      </c>
      <c r="K2881" s="54">
        <f>Gastos[[#This Row],[Importe AR$]]/$N$1</f>
        <v>129.7948717948718</v>
      </c>
      <c r="M2881" s="69"/>
      <c r="N2881" s="43" t="str">
        <f>IF(Gastos[[#This Row],[Fecha_Cheque]]&gt;0,WEEKNUM(Gastos[[#This Row],[Fecha_Cheque]]),MID(Gastos[[#This Row],[Semana]],6,2))</f>
        <v>29</v>
      </c>
      <c r="O2881" t="s">
        <v>3803</v>
      </c>
      <c r="P2881" t="s">
        <v>27</v>
      </c>
    </row>
    <row r="2882" spans="1:16" hidden="1" x14ac:dyDescent="0.25">
      <c r="A2882" s="3" t="s">
        <v>3754</v>
      </c>
      <c r="B2882" t="s">
        <v>3802</v>
      </c>
      <c r="C2882" t="s">
        <v>574</v>
      </c>
      <c r="D2882" t="s">
        <v>26</v>
      </c>
      <c r="E2882" t="s">
        <v>31</v>
      </c>
      <c r="F2882">
        <v>1</v>
      </c>
      <c r="G2882" s="3" t="s">
        <v>32</v>
      </c>
      <c r="H2882" s="44" t="s">
        <v>15</v>
      </c>
      <c r="I2882" s="17">
        <v>19520</v>
      </c>
      <c r="J2882" s="17">
        <f>IF(Gastos[[#This Row],[Divisa]]="$", I2882*1, IF(Gastos[[#This Row],[Divisa]]="U$D", I2882*$N$1, IF(Gastos[[#This Row],[Divisa]]="EUR", I2882*$N$2, 0)))</f>
        <v>19520</v>
      </c>
      <c r="K2882" s="54">
        <f>Gastos[[#This Row],[Importe AR$]]/$N$1</f>
        <v>12.512820512820513</v>
      </c>
      <c r="L2882" t="s">
        <v>340</v>
      </c>
      <c r="M2882" s="69"/>
      <c r="N2882" s="43" t="str">
        <f>IF(Gastos[[#This Row],[Fecha_Cheque]]&gt;0,WEEKNUM(Gastos[[#This Row],[Fecha_Cheque]]),MID(Gastos[[#This Row],[Semana]],6,2))</f>
        <v>29</v>
      </c>
      <c r="O2882" t="s">
        <v>3803</v>
      </c>
      <c r="P2882" t="s">
        <v>27</v>
      </c>
    </row>
    <row r="2883" spans="1:16" x14ac:dyDescent="0.25">
      <c r="A2883" s="3" t="s">
        <v>4655</v>
      </c>
      <c r="B2883" t="s">
        <v>1580</v>
      </c>
      <c r="C2883" t="s">
        <v>155</v>
      </c>
      <c r="D2883" t="s">
        <v>26</v>
      </c>
      <c r="E2883" t="s">
        <v>42</v>
      </c>
      <c r="F2883">
        <v>1</v>
      </c>
      <c r="G2883" s="3" t="s">
        <v>4</v>
      </c>
      <c r="H2883" s="44" t="s">
        <v>15</v>
      </c>
      <c r="I2883" s="49">
        <v>199997.99</v>
      </c>
      <c r="J2883" s="17">
        <f>IF(Gastos[[#This Row],[Divisa]]="$", I2883*1, IF(Gastos[[#This Row],[Divisa]]="U$D", I2883*$N$1, IF(Gastos[[#This Row],[Divisa]]="EUR", I2883*$N$2, 0)))</f>
        <v>199997.99</v>
      </c>
      <c r="K2883" s="54">
        <f>Gastos[[#This Row],[Importe AR$]]/$N$1</f>
        <v>128.20383974358973</v>
      </c>
      <c r="M2883" s="69"/>
      <c r="N2883" s="43" t="str">
        <f>IF(Gastos[[#This Row],[Fecha_Cheque]]&gt;0,WEEKNUM(Gastos[[#This Row],[Fecha_Cheque]]),MID(Gastos[[#This Row],[Semana]],6,2))</f>
        <v>44</v>
      </c>
      <c r="O2883" t="s">
        <v>4666</v>
      </c>
      <c r="P2883" t="s">
        <v>27</v>
      </c>
    </row>
    <row r="2884" spans="1:16" hidden="1" x14ac:dyDescent="0.25">
      <c r="A2884" s="3" t="s">
        <v>99</v>
      </c>
      <c r="B2884" t="s">
        <v>1742</v>
      </c>
      <c r="C2884" t="s">
        <v>1743</v>
      </c>
      <c r="D2884" t="s">
        <v>26</v>
      </c>
      <c r="E2884" t="s">
        <v>42</v>
      </c>
      <c r="F2884">
        <v>1</v>
      </c>
      <c r="G2884" s="3" t="s">
        <v>4</v>
      </c>
      <c r="H2884" s="46" t="s">
        <v>15</v>
      </c>
      <c r="I2884" s="17">
        <v>100000</v>
      </c>
      <c r="J2884" s="17">
        <f>IF(Gastos[[#This Row],[Divisa]]="$", I2884*1, IF(Gastos[[#This Row],[Divisa]]="U$D", I2884*$N$1, IF(Gastos[[#This Row],[Divisa]]="EUR", I2884*$N$2, 0)))</f>
        <v>100000</v>
      </c>
      <c r="K2884" s="54">
        <f>Gastos[[#This Row],[Importe AR$]]/$N$1</f>
        <v>64.102564102564102</v>
      </c>
      <c r="M2884" s="69"/>
      <c r="N2884" s="43" t="str">
        <f>IF(Gastos[[#This Row],[Fecha_Cheque]]&gt;0,WEEKNUM(Gastos[[#This Row],[Fecha_Cheque]]),MID(Gastos[[#This Row],[Semana]],6,2))</f>
        <v>28</v>
      </c>
      <c r="O2884" t="s">
        <v>1744</v>
      </c>
      <c r="P2884" t="s">
        <v>27</v>
      </c>
    </row>
    <row r="2885" spans="1:16" hidden="1" x14ac:dyDescent="0.25">
      <c r="A2885" s="3" t="s">
        <v>114</v>
      </c>
      <c r="B2885" t="s">
        <v>1742</v>
      </c>
      <c r="C2885" t="s">
        <v>1743</v>
      </c>
      <c r="D2885" t="s">
        <v>26</v>
      </c>
      <c r="E2885" t="s">
        <v>42</v>
      </c>
      <c r="F2885">
        <v>1</v>
      </c>
      <c r="G2885" s="3" t="s">
        <v>4</v>
      </c>
      <c r="H2885" s="46" t="s">
        <v>15</v>
      </c>
      <c r="I2885" s="17">
        <v>100000</v>
      </c>
      <c r="J2885" s="17">
        <f>IF(Gastos[[#This Row],[Divisa]]="$", I2885*1, IF(Gastos[[#This Row],[Divisa]]="U$D", I2885*$N$1, IF(Gastos[[#This Row],[Divisa]]="EUR", I2885*$N$2, 0)))</f>
        <v>100000</v>
      </c>
      <c r="K2885" s="54">
        <f>Gastos[[#This Row],[Importe AR$]]/$N$1</f>
        <v>64.102564102564102</v>
      </c>
      <c r="M2885" s="69"/>
      <c r="N2885" s="43" t="str">
        <f>IF(Gastos[[#This Row],[Fecha_Cheque]]&gt;0,WEEKNUM(Gastos[[#This Row],[Fecha_Cheque]]),MID(Gastos[[#This Row],[Semana]],6,2))</f>
        <v>29</v>
      </c>
      <c r="O2885" t="s">
        <v>1745</v>
      </c>
      <c r="P2885" t="s">
        <v>27</v>
      </c>
    </row>
    <row r="2886" spans="1:16" hidden="1" x14ac:dyDescent="0.25">
      <c r="A2886" s="3" t="s">
        <v>34</v>
      </c>
      <c r="B2886" t="s">
        <v>1742</v>
      </c>
      <c r="C2886" t="s">
        <v>1743</v>
      </c>
      <c r="D2886" t="s">
        <v>26</v>
      </c>
      <c r="E2886" t="s">
        <v>42</v>
      </c>
      <c r="F2886">
        <v>1</v>
      </c>
      <c r="G2886" s="3" t="s">
        <v>4</v>
      </c>
      <c r="H2886" s="46" t="s">
        <v>15</v>
      </c>
      <c r="I2886" s="17">
        <v>140000</v>
      </c>
      <c r="J2886" s="17">
        <f>IF(Gastos[[#This Row],[Divisa]]="$", I2886*1, IF(Gastos[[#This Row],[Divisa]]="U$D", I2886*$N$1, IF(Gastos[[#This Row],[Divisa]]="EUR", I2886*$N$2, 0)))</f>
        <v>140000</v>
      </c>
      <c r="K2886" s="54">
        <f>Gastos[[#This Row],[Importe AR$]]/$N$1</f>
        <v>89.743589743589737</v>
      </c>
      <c r="M2886" s="69"/>
      <c r="N2886" s="43" t="str">
        <f>IF(Gastos[[#This Row],[Fecha_Cheque]]&gt;0,WEEKNUM(Gastos[[#This Row],[Fecha_Cheque]]),MID(Gastos[[#This Row],[Semana]],6,2))</f>
        <v>32</v>
      </c>
      <c r="O2886" t="s">
        <v>123</v>
      </c>
      <c r="P2886" t="s">
        <v>27</v>
      </c>
    </row>
    <row r="2887" spans="1:16" hidden="1" x14ac:dyDescent="0.25">
      <c r="A2887" s="3" t="s">
        <v>34</v>
      </c>
      <c r="B2887" t="s">
        <v>1742</v>
      </c>
      <c r="C2887" t="s">
        <v>1746</v>
      </c>
      <c r="D2887" t="s">
        <v>26</v>
      </c>
      <c r="E2887" t="s">
        <v>42</v>
      </c>
      <c r="F2887">
        <v>1</v>
      </c>
      <c r="G2887" s="3" t="s">
        <v>4</v>
      </c>
      <c r="H2887" s="46" t="s">
        <v>15</v>
      </c>
      <c r="I2887" s="17">
        <v>50000</v>
      </c>
      <c r="J2887" s="17">
        <f>IF(Gastos[[#This Row],[Divisa]]="$", I2887*1, IF(Gastos[[#This Row],[Divisa]]="U$D", I2887*$N$1, IF(Gastos[[#This Row],[Divisa]]="EUR", I2887*$N$2, 0)))</f>
        <v>50000</v>
      </c>
      <c r="K2887" s="54">
        <f>Gastos[[#This Row],[Importe AR$]]/$N$1</f>
        <v>32.051282051282051</v>
      </c>
      <c r="M2887" s="69"/>
      <c r="N2887" s="43" t="str">
        <f>IF(Gastos[[#This Row],[Fecha_Cheque]]&gt;0,WEEKNUM(Gastos[[#This Row],[Fecha_Cheque]]),MID(Gastos[[#This Row],[Semana]],6,2))</f>
        <v>32</v>
      </c>
      <c r="P2887" t="s">
        <v>27</v>
      </c>
    </row>
    <row r="2888" spans="1:16" hidden="1" x14ac:dyDescent="0.25">
      <c r="A2888" s="3" t="s">
        <v>117</v>
      </c>
      <c r="B2888" t="s">
        <v>1742</v>
      </c>
      <c r="C2888" t="s">
        <v>1747</v>
      </c>
      <c r="D2888" t="s">
        <v>26</v>
      </c>
      <c r="E2888" t="s">
        <v>42</v>
      </c>
      <c r="F2888">
        <v>1</v>
      </c>
      <c r="G2888" s="3" t="s">
        <v>4</v>
      </c>
      <c r="H2888" s="46" t="s">
        <v>15</v>
      </c>
      <c r="I2888" s="17">
        <v>140000</v>
      </c>
      <c r="J2888" s="17">
        <f>IF(Gastos[[#This Row],[Divisa]]="$", I2888*1, IF(Gastos[[#This Row],[Divisa]]="U$D", I2888*$N$1, IF(Gastos[[#This Row],[Divisa]]="EUR", I2888*$N$2, 0)))</f>
        <v>140000</v>
      </c>
      <c r="K2888" s="54">
        <f>Gastos[[#This Row],[Importe AR$]]/$N$1</f>
        <v>89.743589743589737</v>
      </c>
      <c r="M2888" s="69"/>
      <c r="N2888" s="43" t="str">
        <f>IF(Gastos[[#This Row],[Fecha_Cheque]]&gt;0,WEEKNUM(Gastos[[#This Row],[Fecha_Cheque]]),MID(Gastos[[#This Row],[Semana]],6,2))</f>
        <v>35</v>
      </c>
      <c r="O2888" t="s">
        <v>123</v>
      </c>
      <c r="P2888" t="s">
        <v>27</v>
      </c>
    </row>
    <row r="2889" spans="1:16" hidden="1" x14ac:dyDescent="0.25">
      <c r="A2889" s="3" t="s">
        <v>310</v>
      </c>
      <c r="B2889" t="s">
        <v>1742</v>
      </c>
      <c r="C2889" t="s">
        <v>1748</v>
      </c>
      <c r="D2889" t="s">
        <v>26</v>
      </c>
      <c r="E2889" t="s">
        <v>42</v>
      </c>
      <c r="F2889">
        <v>1</v>
      </c>
      <c r="G2889" s="3" t="s">
        <v>4</v>
      </c>
      <c r="H2889" s="46" t="s">
        <v>15</v>
      </c>
      <c r="I2889" s="17">
        <v>140000</v>
      </c>
      <c r="J2889" s="17">
        <f>IF(Gastos[[#This Row],[Divisa]]="$", I2889*1, IF(Gastos[[#This Row],[Divisa]]="U$D", I2889*$N$1, IF(Gastos[[#This Row],[Divisa]]="EUR", I2889*$N$2, 0)))</f>
        <v>140000</v>
      </c>
      <c r="K2889" s="54">
        <f>Gastos[[#This Row],[Importe AR$]]/$N$1</f>
        <v>89.743589743589737</v>
      </c>
      <c r="M2889" s="69"/>
      <c r="N2889" s="43" t="str">
        <f>IF(Gastos[[#This Row],[Fecha_Cheque]]&gt;0,WEEKNUM(Gastos[[#This Row],[Fecha_Cheque]]),MID(Gastos[[#This Row],[Semana]],6,2))</f>
        <v>36</v>
      </c>
      <c r="O2889" t="s">
        <v>1749</v>
      </c>
      <c r="P2889" t="s">
        <v>27</v>
      </c>
    </row>
    <row r="2890" spans="1:16" hidden="1" x14ac:dyDescent="0.25">
      <c r="A2890" s="3" t="s">
        <v>89</v>
      </c>
      <c r="B2890" t="s">
        <v>1742</v>
      </c>
      <c r="C2890" t="s">
        <v>1748</v>
      </c>
      <c r="D2890" t="s">
        <v>26</v>
      </c>
      <c r="E2890" t="s">
        <v>42</v>
      </c>
      <c r="F2890">
        <v>1</v>
      </c>
      <c r="G2890" s="3" t="s">
        <v>4</v>
      </c>
      <c r="H2890" s="46" t="s">
        <v>15</v>
      </c>
      <c r="I2890" s="17">
        <v>140000</v>
      </c>
      <c r="J2890" s="17">
        <f>IF(Gastos[[#This Row],[Divisa]]="$", I2890*1, IF(Gastos[[#This Row],[Divisa]]="U$D", I2890*$N$1, IF(Gastos[[#This Row],[Divisa]]="EUR", I2890*$N$2, 0)))</f>
        <v>140000</v>
      </c>
      <c r="K2890" s="54">
        <f>Gastos[[#This Row],[Importe AR$]]/$N$1</f>
        <v>89.743589743589737</v>
      </c>
      <c r="M2890" s="69"/>
      <c r="N2890" s="43" t="str">
        <f>IF(Gastos[[#This Row],[Fecha_Cheque]]&gt;0,WEEKNUM(Gastos[[#This Row],[Fecha_Cheque]]),MID(Gastos[[#This Row],[Semana]],6,2))</f>
        <v>39</v>
      </c>
      <c r="O2890" t="s">
        <v>1750</v>
      </c>
      <c r="P2890" t="s">
        <v>27</v>
      </c>
    </row>
    <row r="2891" spans="1:16" hidden="1" x14ac:dyDescent="0.25">
      <c r="A2891" s="3" t="s">
        <v>122</v>
      </c>
      <c r="B2891" t="s">
        <v>1742</v>
      </c>
      <c r="C2891" t="s">
        <v>1748</v>
      </c>
      <c r="D2891" t="s">
        <v>26</v>
      </c>
      <c r="E2891" t="s">
        <v>42</v>
      </c>
      <c r="F2891">
        <v>1</v>
      </c>
      <c r="G2891" s="3" t="s">
        <v>4</v>
      </c>
      <c r="H2891" s="46" t="s">
        <v>15</v>
      </c>
      <c r="I2891" s="17">
        <v>140000</v>
      </c>
      <c r="J2891" s="17">
        <f>IF(Gastos[[#This Row],[Divisa]]="$", I2891*1, IF(Gastos[[#This Row],[Divisa]]="U$D", I2891*$N$1, IF(Gastos[[#This Row],[Divisa]]="EUR", I2891*$N$2, 0)))</f>
        <v>140000</v>
      </c>
      <c r="K2891" s="54">
        <f>Gastos[[#This Row],[Importe AR$]]/$N$1</f>
        <v>89.743589743589737</v>
      </c>
      <c r="M2891" s="69"/>
      <c r="N2891" s="43" t="str">
        <f>IF(Gastos[[#This Row],[Fecha_Cheque]]&gt;0,WEEKNUM(Gastos[[#This Row],[Fecha_Cheque]]),MID(Gastos[[#This Row],[Semana]],6,2))</f>
        <v>40</v>
      </c>
      <c r="O2891" t="s">
        <v>1751</v>
      </c>
      <c r="P2891" t="s">
        <v>27</v>
      </c>
    </row>
    <row r="2892" spans="1:16" hidden="1" x14ac:dyDescent="0.25">
      <c r="A2892" s="3" t="s">
        <v>128</v>
      </c>
      <c r="B2892" t="s">
        <v>1742</v>
      </c>
      <c r="C2892" t="s">
        <v>1748</v>
      </c>
      <c r="D2892" t="s">
        <v>26</v>
      </c>
      <c r="E2892" t="s">
        <v>42</v>
      </c>
      <c r="F2892">
        <v>1</v>
      </c>
      <c r="G2892" s="3" t="s">
        <v>4</v>
      </c>
      <c r="H2892" s="46" t="s">
        <v>15</v>
      </c>
      <c r="I2892" s="17">
        <v>140000</v>
      </c>
      <c r="J2892" s="17">
        <f>IF(Gastos[[#This Row],[Divisa]]="$", I2892*1, IF(Gastos[[#This Row],[Divisa]]="U$D", I2892*$N$1, IF(Gastos[[#This Row],[Divisa]]="EUR", I2892*$N$2, 0)))</f>
        <v>140000</v>
      </c>
      <c r="K2892" s="54">
        <f>Gastos[[#This Row],[Importe AR$]]/$N$1</f>
        <v>89.743589743589737</v>
      </c>
      <c r="M2892" s="69"/>
      <c r="N2892" s="43" t="str">
        <f>IF(Gastos[[#This Row],[Fecha_Cheque]]&gt;0,WEEKNUM(Gastos[[#This Row],[Fecha_Cheque]]),MID(Gastos[[#This Row],[Semana]],6,2))</f>
        <v>43</v>
      </c>
      <c r="O2892" t="s">
        <v>1752</v>
      </c>
      <c r="P2892" t="s">
        <v>27</v>
      </c>
    </row>
    <row r="2893" spans="1:16" hidden="1" x14ac:dyDescent="0.25">
      <c r="A2893" s="3" t="s">
        <v>130</v>
      </c>
      <c r="B2893" t="s">
        <v>1742</v>
      </c>
      <c r="C2893" t="s">
        <v>1748</v>
      </c>
      <c r="D2893" t="s">
        <v>26</v>
      </c>
      <c r="E2893" t="s">
        <v>42</v>
      </c>
      <c r="F2893">
        <v>1</v>
      </c>
      <c r="G2893" s="3" t="s">
        <v>4</v>
      </c>
      <c r="H2893" s="46" t="s">
        <v>15</v>
      </c>
      <c r="I2893" s="17">
        <v>140000</v>
      </c>
      <c r="J2893" s="17">
        <f>IF(Gastos[[#This Row],[Divisa]]="$", I2893*1, IF(Gastos[[#This Row],[Divisa]]="U$D", I2893*$N$1, IF(Gastos[[#This Row],[Divisa]]="EUR", I2893*$N$2, 0)))</f>
        <v>140000</v>
      </c>
      <c r="K2893" s="54">
        <f>Gastos[[#This Row],[Importe AR$]]/$N$1</f>
        <v>89.743589743589737</v>
      </c>
      <c r="M2893" s="69"/>
      <c r="N2893" s="43" t="str">
        <f>IF(Gastos[[#This Row],[Fecha_Cheque]]&gt;0,WEEKNUM(Gastos[[#This Row],[Fecha_Cheque]]),MID(Gastos[[#This Row],[Semana]],6,2))</f>
        <v>45</v>
      </c>
      <c r="O2893" t="s">
        <v>1753</v>
      </c>
      <c r="P2893" t="s">
        <v>27</v>
      </c>
    </row>
    <row r="2894" spans="1:16" hidden="1" x14ac:dyDescent="0.25">
      <c r="A2894" s="3" t="s">
        <v>60</v>
      </c>
      <c r="B2894" t="s">
        <v>1742</v>
      </c>
      <c r="C2894" t="s">
        <v>1748</v>
      </c>
      <c r="D2894" t="s">
        <v>26</v>
      </c>
      <c r="E2894" t="s">
        <v>42</v>
      </c>
      <c r="F2894">
        <v>1</v>
      </c>
      <c r="G2894" s="3" t="s">
        <v>4</v>
      </c>
      <c r="H2894" s="46" t="s">
        <v>15</v>
      </c>
      <c r="I2894" s="17">
        <v>90000</v>
      </c>
      <c r="J2894" s="17">
        <f>IF(Gastos[[#This Row],[Divisa]]="$", I2894*1, IF(Gastos[[#This Row],[Divisa]]="U$D", I2894*$N$1, IF(Gastos[[#This Row],[Divisa]]="EUR", I2894*$N$2, 0)))</f>
        <v>90000</v>
      </c>
      <c r="K2894" s="54">
        <f>Gastos[[#This Row],[Importe AR$]]/$N$1</f>
        <v>57.692307692307693</v>
      </c>
      <c r="M2894" s="69"/>
      <c r="N2894" s="43" t="str">
        <f>IF(Gastos[[#This Row],[Fecha_Cheque]]&gt;0,WEEKNUM(Gastos[[#This Row],[Fecha_Cheque]]),MID(Gastos[[#This Row],[Semana]],6,2))</f>
        <v>46</v>
      </c>
      <c r="O2894" t="s">
        <v>1754</v>
      </c>
      <c r="P2894" t="s">
        <v>27</v>
      </c>
    </row>
    <row r="2895" spans="1:16" hidden="1" x14ac:dyDescent="0.25">
      <c r="A2895" s="3" t="s">
        <v>72</v>
      </c>
      <c r="B2895" t="s">
        <v>1742</v>
      </c>
      <c r="C2895" t="s">
        <v>1748</v>
      </c>
      <c r="D2895" t="s">
        <v>26</v>
      </c>
      <c r="E2895" t="s">
        <v>42</v>
      </c>
      <c r="F2895">
        <v>1</v>
      </c>
      <c r="G2895" s="3" t="s">
        <v>4</v>
      </c>
      <c r="H2895" s="46" t="s">
        <v>15</v>
      </c>
      <c r="I2895" s="17">
        <v>140000</v>
      </c>
      <c r="J2895" s="17">
        <f>IF(Gastos[[#This Row],[Divisa]]="$", I2895*1, IF(Gastos[[#This Row],[Divisa]]="U$D", I2895*$N$1, IF(Gastos[[#This Row],[Divisa]]="EUR", I2895*$N$2, 0)))</f>
        <v>140000</v>
      </c>
      <c r="K2895" s="54">
        <f>Gastos[[#This Row],[Importe AR$]]/$N$1</f>
        <v>89.743589743589737</v>
      </c>
      <c r="M2895" s="69"/>
      <c r="N2895" s="43" t="str">
        <f>IF(Gastos[[#This Row],[Fecha_Cheque]]&gt;0,WEEKNUM(Gastos[[#This Row],[Fecha_Cheque]]),MID(Gastos[[#This Row],[Semana]],6,2))</f>
        <v>48</v>
      </c>
      <c r="O2895" t="s">
        <v>1755</v>
      </c>
      <c r="P2895" t="s">
        <v>27</v>
      </c>
    </row>
    <row r="2896" spans="1:16" hidden="1" x14ac:dyDescent="0.25">
      <c r="A2896" s="3" t="s">
        <v>378</v>
      </c>
      <c r="B2896" t="s">
        <v>1742</v>
      </c>
      <c r="C2896" t="s">
        <v>1748</v>
      </c>
      <c r="D2896" t="s">
        <v>26</v>
      </c>
      <c r="E2896" t="s">
        <v>42</v>
      </c>
      <c r="F2896">
        <v>1</v>
      </c>
      <c r="G2896" s="3" t="s">
        <v>4</v>
      </c>
      <c r="H2896" s="46" t="s">
        <v>15</v>
      </c>
      <c r="I2896" s="17">
        <v>140000</v>
      </c>
      <c r="J2896" s="17">
        <f>IF(Gastos[[#This Row],[Divisa]]="$", I2896*1, IF(Gastos[[#This Row],[Divisa]]="U$D", I2896*$N$1, IF(Gastos[[#This Row],[Divisa]]="EUR", I2896*$N$2, 0)))</f>
        <v>140000</v>
      </c>
      <c r="K2896" s="54">
        <f>Gastos[[#This Row],[Importe AR$]]/$N$1</f>
        <v>89.743589743589737</v>
      </c>
      <c r="M2896" s="69"/>
      <c r="N2896" s="43" t="str">
        <f>IF(Gastos[[#This Row],[Fecha_Cheque]]&gt;0,WEEKNUM(Gastos[[#This Row],[Fecha_Cheque]]),MID(Gastos[[#This Row],[Semana]],6,2))</f>
        <v>03</v>
      </c>
      <c r="O2896" t="s">
        <v>1756</v>
      </c>
      <c r="P2896" t="s">
        <v>27</v>
      </c>
    </row>
    <row r="2897" spans="1:16" hidden="1" x14ac:dyDescent="0.25">
      <c r="A2897" s="3" t="s">
        <v>152</v>
      </c>
      <c r="B2897" t="s">
        <v>1742</v>
      </c>
      <c r="C2897" t="s">
        <v>1748</v>
      </c>
      <c r="D2897" t="s">
        <v>26</v>
      </c>
      <c r="E2897" t="s">
        <v>42</v>
      </c>
      <c r="F2897">
        <v>1</v>
      </c>
      <c r="G2897" s="3" t="s">
        <v>4</v>
      </c>
      <c r="H2897" s="46" t="s">
        <v>15</v>
      </c>
      <c r="I2897" s="17">
        <v>140000</v>
      </c>
      <c r="J2897" s="17">
        <f>IF(Gastos[[#This Row],[Divisa]]="$", I2897*1, IF(Gastos[[#This Row],[Divisa]]="U$D", I2897*$N$1, IF(Gastos[[#This Row],[Divisa]]="EUR", I2897*$N$2, 0)))</f>
        <v>140000</v>
      </c>
      <c r="K2897" s="54">
        <f>Gastos[[#This Row],[Importe AR$]]/$N$1</f>
        <v>89.743589743589737</v>
      </c>
      <c r="M2897" s="69"/>
      <c r="N2897" s="43" t="str">
        <f>IF(Gastos[[#This Row],[Fecha_Cheque]]&gt;0,WEEKNUM(Gastos[[#This Row],[Fecha_Cheque]]),MID(Gastos[[#This Row],[Semana]],6,2))</f>
        <v>04</v>
      </c>
      <c r="O2897" t="s">
        <v>1757</v>
      </c>
      <c r="P2897" t="s">
        <v>27</v>
      </c>
    </row>
    <row r="2898" spans="1:16" hidden="1" x14ac:dyDescent="0.25">
      <c r="A2898" s="3" t="s">
        <v>206</v>
      </c>
      <c r="B2898" t="s">
        <v>1742</v>
      </c>
      <c r="C2898" t="s">
        <v>1748</v>
      </c>
      <c r="D2898" t="s">
        <v>26</v>
      </c>
      <c r="E2898" t="s">
        <v>42</v>
      </c>
      <c r="F2898">
        <v>1</v>
      </c>
      <c r="G2898" s="3" t="s">
        <v>4</v>
      </c>
      <c r="H2898" s="46" t="s">
        <v>15</v>
      </c>
      <c r="I2898" s="17">
        <v>140000</v>
      </c>
      <c r="J2898" s="17">
        <f>IF(Gastos[[#This Row],[Divisa]]="$", I2898*1, IF(Gastos[[#This Row],[Divisa]]="U$D", I2898*$N$1, IF(Gastos[[#This Row],[Divisa]]="EUR", I2898*$N$2, 0)))</f>
        <v>140000</v>
      </c>
      <c r="K2898" s="54">
        <f>Gastos[[#This Row],[Importe AR$]]/$N$1</f>
        <v>89.743589743589737</v>
      </c>
      <c r="M2898" s="69"/>
      <c r="N2898" s="43" t="str">
        <f>IF(Gastos[[#This Row],[Fecha_Cheque]]&gt;0,WEEKNUM(Gastos[[#This Row],[Fecha_Cheque]]),MID(Gastos[[#This Row],[Semana]],6,2))</f>
        <v>06</v>
      </c>
      <c r="O2898" t="s">
        <v>1758</v>
      </c>
      <c r="P2898" t="s">
        <v>27</v>
      </c>
    </row>
    <row r="2899" spans="1:16" hidden="1" x14ac:dyDescent="0.25">
      <c r="A2899" s="3" t="s">
        <v>139</v>
      </c>
      <c r="B2899" t="s">
        <v>1742</v>
      </c>
      <c r="C2899" t="s">
        <v>1748</v>
      </c>
      <c r="D2899" t="s">
        <v>26</v>
      </c>
      <c r="E2899" t="s">
        <v>42</v>
      </c>
      <c r="F2899">
        <v>1</v>
      </c>
      <c r="G2899" s="3" t="s">
        <v>4</v>
      </c>
      <c r="H2899" s="46" t="s">
        <v>15</v>
      </c>
      <c r="I2899" s="17">
        <v>140000</v>
      </c>
      <c r="J2899" s="17">
        <f>IF(Gastos[[#This Row],[Divisa]]="$", I2899*1, IF(Gastos[[#This Row],[Divisa]]="U$D", I2899*$N$1, IF(Gastos[[#This Row],[Divisa]]="EUR", I2899*$N$2, 0)))</f>
        <v>140000</v>
      </c>
      <c r="K2899" s="54">
        <f>Gastos[[#This Row],[Importe AR$]]/$N$1</f>
        <v>89.743589743589737</v>
      </c>
      <c r="M2899" s="69"/>
      <c r="N2899" s="43" t="str">
        <f>IF(Gastos[[#This Row],[Fecha_Cheque]]&gt;0,WEEKNUM(Gastos[[#This Row],[Fecha_Cheque]]),MID(Gastos[[#This Row],[Semana]],6,2))</f>
        <v>08</v>
      </c>
      <c r="O2899" t="s">
        <v>1759</v>
      </c>
      <c r="P2899" t="s">
        <v>27</v>
      </c>
    </row>
    <row r="2900" spans="1:16" hidden="1" x14ac:dyDescent="0.25">
      <c r="A2900" s="3" t="s">
        <v>619</v>
      </c>
      <c r="B2900" t="s">
        <v>1742</v>
      </c>
      <c r="C2900" t="s">
        <v>1748</v>
      </c>
      <c r="D2900" t="s">
        <v>26</v>
      </c>
      <c r="E2900" t="s">
        <v>42</v>
      </c>
      <c r="F2900">
        <v>1</v>
      </c>
      <c r="G2900" s="3" t="s">
        <v>4</v>
      </c>
      <c r="H2900" s="46" t="s">
        <v>15</v>
      </c>
      <c r="I2900" s="17">
        <v>149999.94</v>
      </c>
      <c r="J2900" s="17">
        <f>IF(Gastos[[#This Row],[Divisa]]="$", I2900*1, IF(Gastos[[#This Row],[Divisa]]="U$D", I2900*$N$1, IF(Gastos[[#This Row],[Divisa]]="EUR", I2900*$N$2, 0)))</f>
        <v>149999.94</v>
      </c>
      <c r="K2900" s="54">
        <f>Gastos[[#This Row],[Importe AR$]]/$N$1</f>
        <v>96.153807692307694</v>
      </c>
      <c r="M2900" s="69"/>
      <c r="N2900" s="43" t="str">
        <f>IF(Gastos[[#This Row],[Fecha_Cheque]]&gt;0,WEEKNUM(Gastos[[#This Row],[Fecha_Cheque]]),MID(Gastos[[#This Row],[Semana]],6,2))</f>
        <v>10</v>
      </c>
      <c r="O2900" t="s">
        <v>2391</v>
      </c>
      <c r="P2900" t="s">
        <v>27</v>
      </c>
    </row>
    <row r="2901" spans="1:16" hidden="1" x14ac:dyDescent="0.25">
      <c r="A2901" s="3" t="s">
        <v>397</v>
      </c>
      <c r="B2901" t="s">
        <v>1742</v>
      </c>
      <c r="C2901" t="s">
        <v>1748</v>
      </c>
      <c r="D2901" t="s">
        <v>26</v>
      </c>
      <c r="E2901" t="s">
        <v>42</v>
      </c>
      <c r="F2901">
        <v>1</v>
      </c>
      <c r="G2901" s="3" t="s">
        <v>4</v>
      </c>
      <c r="H2901" s="46" t="s">
        <v>15</v>
      </c>
      <c r="I2901" s="49">
        <v>139999.94</v>
      </c>
      <c r="J2901" s="17">
        <f>IF(Gastos[[#This Row],[Divisa]]="$", I2901*1, IF(Gastos[[#This Row],[Divisa]]="U$D", I2901*$N$1, IF(Gastos[[#This Row],[Divisa]]="EUR", I2901*$N$2, 0)))</f>
        <v>139999.94</v>
      </c>
      <c r="K2901" s="54">
        <f>Gastos[[#This Row],[Importe AR$]]/$N$1</f>
        <v>89.743551282051286</v>
      </c>
      <c r="M2901" s="69"/>
      <c r="N2901" s="43" t="str">
        <f>IF(Gastos[[#This Row],[Fecha_Cheque]]&gt;0,WEEKNUM(Gastos[[#This Row],[Fecha_Cheque]]),MID(Gastos[[#This Row],[Semana]],6,2))</f>
        <v>11</v>
      </c>
      <c r="O2901" t="s">
        <v>2607</v>
      </c>
      <c r="P2901" t="s">
        <v>27</v>
      </c>
    </row>
    <row r="2902" spans="1:16" hidden="1" x14ac:dyDescent="0.25">
      <c r="A2902" s="3" t="s">
        <v>828</v>
      </c>
      <c r="B2902" t="s">
        <v>1742</v>
      </c>
      <c r="C2902" t="s">
        <v>1748</v>
      </c>
      <c r="D2902" t="s">
        <v>26</v>
      </c>
      <c r="E2902" t="s">
        <v>42</v>
      </c>
      <c r="F2902">
        <v>1</v>
      </c>
      <c r="G2902" s="3" t="s">
        <v>4</v>
      </c>
      <c r="H2902" s="46" t="s">
        <v>15</v>
      </c>
      <c r="I2902" s="17">
        <v>50000.53</v>
      </c>
      <c r="J2902" s="17">
        <f>IF(Gastos[[#This Row],[Divisa]]="$", I2902*1, IF(Gastos[[#This Row],[Divisa]]="U$D", I2902*$N$1, IF(Gastos[[#This Row],[Divisa]]="EUR", I2902*$N$2, 0)))</f>
        <v>50000.53</v>
      </c>
      <c r="K2902" s="54">
        <f>Gastos[[#This Row],[Importe AR$]]/$N$1</f>
        <v>32.051621794871792</v>
      </c>
      <c r="M2902" s="69"/>
      <c r="N2902" s="43" t="str">
        <f>IF(Gastos[[#This Row],[Fecha_Cheque]]&gt;0,WEEKNUM(Gastos[[#This Row],[Fecha_Cheque]]),MID(Gastos[[#This Row],[Semana]],6,2))</f>
        <v>13</v>
      </c>
      <c r="O2902" t="s">
        <v>2677</v>
      </c>
      <c r="P2902" t="s">
        <v>27</v>
      </c>
    </row>
    <row r="2903" spans="1:16" hidden="1" x14ac:dyDescent="0.25">
      <c r="A2903" s="3" t="s">
        <v>2711</v>
      </c>
      <c r="B2903" t="s">
        <v>1742</v>
      </c>
      <c r="C2903" t="s">
        <v>155</v>
      </c>
      <c r="D2903" t="s">
        <v>26</v>
      </c>
      <c r="E2903" t="s">
        <v>42</v>
      </c>
      <c r="F2903">
        <v>1</v>
      </c>
      <c r="G2903" s="3" t="s">
        <v>4</v>
      </c>
      <c r="H2903" s="44" t="s">
        <v>15</v>
      </c>
      <c r="I2903" s="17">
        <v>100016.7</v>
      </c>
      <c r="J2903" s="17">
        <f>IF(Gastos[[#This Row],[Divisa]]="$", I2903*1, IF(Gastos[[#This Row],[Divisa]]="U$D", I2903*$N$1, IF(Gastos[[#This Row],[Divisa]]="EUR", I2903*$N$2, 0)))</f>
        <v>100016.7</v>
      </c>
      <c r="K2903" s="54">
        <f>Gastos[[#This Row],[Importe AR$]]/$N$1</f>
        <v>64.113269230769234</v>
      </c>
      <c r="M2903" s="69"/>
      <c r="N2903" s="43" t="str">
        <f>IF(Gastos[[#This Row],[Fecha_Cheque]]&gt;0,WEEKNUM(Gastos[[#This Row],[Fecha_Cheque]]),MID(Gastos[[#This Row],[Semana]],6,2))</f>
        <v>15</v>
      </c>
      <c r="O2903" t="s">
        <v>2942</v>
      </c>
      <c r="P2903" t="s">
        <v>27</v>
      </c>
    </row>
    <row r="2904" spans="1:16" hidden="1" x14ac:dyDescent="0.25">
      <c r="A2904" s="3" t="s">
        <v>2740</v>
      </c>
      <c r="B2904" t="s">
        <v>1742</v>
      </c>
      <c r="C2904" t="s">
        <v>1748</v>
      </c>
      <c r="D2904" t="s">
        <v>26</v>
      </c>
      <c r="E2904" t="s">
        <v>42</v>
      </c>
      <c r="F2904">
        <v>1</v>
      </c>
      <c r="G2904" s="3" t="s">
        <v>4</v>
      </c>
      <c r="H2904" s="46" t="s">
        <v>15</v>
      </c>
      <c r="I2904" s="17">
        <v>150003</v>
      </c>
      <c r="J2904" s="17">
        <f>IF(Gastos[[#This Row],[Divisa]]="$", I2904*1, IF(Gastos[[#This Row],[Divisa]]="U$D", I2904*$N$1, IF(Gastos[[#This Row],[Divisa]]="EUR", I2904*$N$2, 0)))</f>
        <v>150003</v>
      </c>
      <c r="K2904" s="54">
        <f>Gastos[[#This Row],[Importe AR$]]/$N$1</f>
        <v>96.155769230769238</v>
      </c>
      <c r="M2904" s="69"/>
      <c r="N2904" s="43" t="str">
        <f>IF(Gastos[[#This Row],[Fecha_Cheque]]&gt;0,WEEKNUM(Gastos[[#This Row],[Fecha_Cheque]]),MID(Gastos[[#This Row],[Semana]],6,2))</f>
        <v>16</v>
      </c>
      <c r="O2904" t="s">
        <v>2973</v>
      </c>
      <c r="P2904" t="s">
        <v>27</v>
      </c>
    </row>
    <row r="2905" spans="1:16" hidden="1" x14ac:dyDescent="0.25">
      <c r="A2905" s="3" t="s">
        <v>2740</v>
      </c>
      <c r="B2905" t="s">
        <v>1742</v>
      </c>
      <c r="C2905" t="s">
        <v>2974</v>
      </c>
      <c r="D2905" t="s">
        <v>26</v>
      </c>
      <c r="E2905" t="s">
        <v>42</v>
      </c>
      <c r="F2905">
        <v>1</v>
      </c>
      <c r="G2905" s="3" t="s">
        <v>4</v>
      </c>
      <c r="H2905" s="44" t="s">
        <v>15</v>
      </c>
      <c r="I2905" s="17">
        <v>100006.2</v>
      </c>
      <c r="J2905" s="17">
        <f>IF(Gastos[[#This Row],[Divisa]]="$", I2905*1, IF(Gastos[[#This Row],[Divisa]]="U$D", I2905*$N$1, IF(Gastos[[#This Row],[Divisa]]="EUR", I2905*$N$2, 0)))</f>
        <v>100006.2</v>
      </c>
      <c r="K2905" s="54">
        <f>Gastos[[#This Row],[Importe AR$]]/$N$1</f>
        <v>64.106538461538463</v>
      </c>
      <c r="M2905" s="69"/>
      <c r="N2905" s="43" t="str">
        <f>IF(Gastos[[#This Row],[Fecha_Cheque]]&gt;0,WEEKNUM(Gastos[[#This Row],[Fecha_Cheque]]),MID(Gastos[[#This Row],[Semana]],6,2))</f>
        <v>16</v>
      </c>
      <c r="O2905" t="s">
        <v>2975</v>
      </c>
      <c r="P2905" t="s">
        <v>27</v>
      </c>
    </row>
    <row r="2906" spans="1:16" hidden="1" x14ac:dyDescent="0.25">
      <c r="A2906" s="3" t="s">
        <v>2731</v>
      </c>
      <c r="B2906" t="s">
        <v>1742</v>
      </c>
      <c r="C2906" t="s">
        <v>1748</v>
      </c>
      <c r="D2906" t="s">
        <v>26</v>
      </c>
      <c r="E2906" t="s">
        <v>42</v>
      </c>
      <c r="F2906">
        <v>1</v>
      </c>
      <c r="G2906" s="3" t="s">
        <v>4</v>
      </c>
      <c r="H2906" s="46" t="s">
        <v>15</v>
      </c>
      <c r="I2906" s="17">
        <v>140000.70000000001</v>
      </c>
      <c r="J2906" s="17">
        <f>IF(Gastos[[#This Row],[Divisa]]="$", I2906*1, IF(Gastos[[#This Row],[Divisa]]="U$D", I2906*$N$1, IF(Gastos[[#This Row],[Divisa]]="EUR", I2906*$N$2, 0)))</f>
        <v>140000.70000000001</v>
      </c>
      <c r="K2906" s="54">
        <f>Gastos[[#This Row],[Importe AR$]]/$N$1</f>
        <v>89.744038461538466</v>
      </c>
      <c r="M2906" s="69"/>
      <c r="N2906" s="43" t="str">
        <f>IF(Gastos[[#This Row],[Fecha_Cheque]]&gt;0,WEEKNUM(Gastos[[#This Row],[Fecha_Cheque]]),MID(Gastos[[#This Row],[Semana]],6,2))</f>
        <v>17</v>
      </c>
      <c r="O2906" t="s">
        <v>3067</v>
      </c>
      <c r="P2906" t="s">
        <v>27</v>
      </c>
    </row>
    <row r="2907" spans="1:16" hidden="1" x14ac:dyDescent="0.25">
      <c r="A2907" s="3" t="s">
        <v>2751</v>
      </c>
      <c r="B2907" t="s">
        <v>1742</v>
      </c>
      <c r="C2907" t="s">
        <v>1748</v>
      </c>
      <c r="D2907" t="s">
        <v>26</v>
      </c>
      <c r="E2907" t="s">
        <v>42</v>
      </c>
      <c r="F2907">
        <v>1</v>
      </c>
      <c r="G2907" s="3" t="s">
        <v>4</v>
      </c>
      <c r="H2907" s="46" t="s">
        <v>15</v>
      </c>
      <c r="I2907" s="17">
        <v>150000.89000000001</v>
      </c>
      <c r="J2907" s="17">
        <f>IF(Gastos[[#This Row],[Divisa]]="$", I2907*1, IF(Gastos[[#This Row],[Divisa]]="U$D", I2907*$N$1, IF(Gastos[[#This Row],[Divisa]]="EUR", I2907*$N$2, 0)))</f>
        <v>150000.89000000001</v>
      </c>
      <c r="K2907" s="54">
        <f>Gastos[[#This Row],[Importe AR$]]/$N$1</f>
        <v>96.154416666666677</v>
      </c>
      <c r="M2907" s="69"/>
      <c r="N2907" s="43" t="str">
        <f>IF(Gastos[[#This Row],[Fecha_Cheque]]&gt;0,WEEKNUM(Gastos[[#This Row],[Fecha_Cheque]]),MID(Gastos[[#This Row],[Semana]],6,2))</f>
        <v>18</v>
      </c>
      <c r="O2907" t="s">
        <v>3112</v>
      </c>
      <c r="P2907" t="s">
        <v>27</v>
      </c>
    </row>
    <row r="2908" spans="1:16" hidden="1" x14ac:dyDescent="0.25">
      <c r="A2908" s="3" t="s">
        <v>2731</v>
      </c>
      <c r="B2908" t="s">
        <v>1742</v>
      </c>
      <c r="C2908" t="s">
        <v>1748</v>
      </c>
      <c r="D2908" t="s">
        <v>26</v>
      </c>
      <c r="E2908" t="s">
        <v>42</v>
      </c>
      <c r="F2908">
        <v>1</v>
      </c>
      <c r="G2908" s="3" t="s">
        <v>4</v>
      </c>
      <c r="H2908" s="44" t="s">
        <v>15</v>
      </c>
      <c r="I2908" s="17">
        <v>59999.94</v>
      </c>
      <c r="J2908" s="17">
        <f>IF(Gastos[[#This Row],[Divisa]]="$", I2908*1, IF(Gastos[[#This Row],[Divisa]]="U$D", I2908*$N$1, IF(Gastos[[#This Row],[Divisa]]="EUR", I2908*$N$2, 0)))</f>
        <v>59999.94</v>
      </c>
      <c r="K2908" s="54">
        <f>Gastos[[#This Row],[Importe AR$]]/$N$1</f>
        <v>38.461500000000001</v>
      </c>
      <c r="M2908" s="69"/>
      <c r="N2908" s="43" t="str">
        <f>IF(Gastos[[#This Row],[Fecha_Cheque]]&gt;0,WEEKNUM(Gastos[[#This Row],[Fecha_Cheque]]),MID(Gastos[[#This Row],[Semana]],6,2))</f>
        <v>17</v>
      </c>
      <c r="O2908" t="s">
        <v>3145</v>
      </c>
      <c r="P2908" t="s">
        <v>27</v>
      </c>
    </row>
    <row r="2909" spans="1:16" hidden="1" x14ac:dyDescent="0.25">
      <c r="A2909" s="3" t="s">
        <v>2804</v>
      </c>
      <c r="B2909" t="s">
        <v>1742</v>
      </c>
      <c r="C2909" t="s">
        <v>1748</v>
      </c>
      <c r="D2909" t="s">
        <v>26</v>
      </c>
      <c r="E2909" t="s">
        <v>42</v>
      </c>
      <c r="F2909">
        <v>1</v>
      </c>
      <c r="G2909" s="3" t="s">
        <v>4</v>
      </c>
      <c r="H2909" s="46" t="s">
        <v>15</v>
      </c>
      <c r="I2909" s="17">
        <v>150089</v>
      </c>
      <c r="J2909" s="17">
        <f>IF(Gastos[[#This Row],[Divisa]]="$", I2909*1, IF(Gastos[[#This Row],[Divisa]]="U$D", I2909*$N$1, IF(Gastos[[#This Row],[Divisa]]="EUR", I2909*$N$2, 0)))</f>
        <v>150089</v>
      </c>
      <c r="K2909" s="54">
        <f>Gastos[[#This Row],[Importe AR$]]/$N$1</f>
        <v>96.210897435897436</v>
      </c>
      <c r="M2909" s="69"/>
      <c r="N2909" s="43" t="str">
        <f>IF(Gastos[[#This Row],[Fecha_Cheque]]&gt;0,WEEKNUM(Gastos[[#This Row],[Fecha_Cheque]]),MID(Gastos[[#This Row],[Semana]],6,2))</f>
        <v>19</v>
      </c>
      <c r="O2909" t="s">
        <v>3153</v>
      </c>
      <c r="P2909" t="s">
        <v>27</v>
      </c>
    </row>
    <row r="2910" spans="1:16" hidden="1" x14ac:dyDescent="0.25">
      <c r="A2910" s="3" t="s">
        <v>50</v>
      </c>
      <c r="B2910" t="s">
        <v>1760</v>
      </c>
      <c r="C2910" t="s">
        <v>1761</v>
      </c>
      <c r="D2910" t="s">
        <v>26</v>
      </c>
      <c r="E2910" t="s">
        <v>31</v>
      </c>
      <c r="F2910">
        <v>1</v>
      </c>
      <c r="G2910" s="3" t="s">
        <v>32</v>
      </c>
      <c r="H2910" s="46" t="s">
        <v>15</v>
      </c>
      <c r="I2910" s="17">
        <v>780000</v>
      </c>
      <c r="J2910" s="17">
        <f>IF(Gastos[[#This Row],[Divisa]]="$", I2910*1, IF(Gastos[[#This Row],[Divisa]]="U$D", I2910*$N$1, IF(Gastos[[#This Row],[Divisa]]="EUR", I2910*$N$2, 0)))</f>
        <v>780000</v>
      </c>
      <c r="K2910" s="54">
        <f>Gastos[[#This Row],[Importe AR$]]/$N$1</f>
        <v>500</v>
      </c>
      <c r="L2910" t="s">
        <v>361</v>
      </c>
      <c r="M2910" s="69">
        <v>45849</v>
      </c>
      <c r="N2910" s="43">
        <f>IF(Gastos[[#This Row],[Fecha_Cheque]]&gt;0,WEEKNUM(Gastos[[#This Row],[Fecha_Cheque]]),MID(Gastos[[#This Row],[Semana]],6,2))</f>
        <v>28</v>
      </c>
      <c r="O2910" t="s">
        <v>1762</v>
      </c>
      <c r="P2910" t="s">
        <v>27</v>
      </c>
    </row>
    <row r="2911" spans="1:16" hidden="1" x14ac:dyDescent="0.25">
      <c r="A2911" s="3" t="s">
        <v>50</v>
      </c>
      <c r="B2911" t="s">
        <v>1760</v>
      </c>
      <c r="C2911" t="s">
        <v>1425</v>
      </c>
      <c r="D2911" t="s">
        <v>26</v>
      </c>
      <c r="E2911" t="s">
        <v>31</v>
      </c>
      <c r="F2911">
        <v>1</v>
      </c>
      <c r="G2911" s="3" t="s">
        <v>32</v>
      </c>
      <c r="H2911" s="46" t="s">
        <v>15</v>
      </c>
      <c r="I2911" s="17">
        <f>370000+241500+202600+218500</f>
        <v>1032600</v>
      </c>
      <c r="J2911" s="17">
        <f>IF(Gastos[[#This Row],[Divisa]]="$", I2911*1, IF(Gastos[[#This Row],[Divisa]]="U$D", I2911*$N$1, IF(Gastos[[#This Row],[Divisa]]="EUR", I2911*$N$2, 0)))</f>
        <v>1032600</v>
      </c>
      <c r="K2911" s="54">
        <f>Gastos[[#This Row],[Importe AR$]]/$N$1</f>
        <v>661.92307692307691</v>
      </c>
      <c r="L2911" t="s">
        <v>150</v>
      </c>
      <c r="M2911" s="69">
        <v>45849</v>
      </c>
      <c r="N2911" s="43">
        <f>IF(Gastos[[#This Row],[Fecha_Cheque]]&gt;0,WEEKNUM(Gastos[[#This Row],[Fecha_Cheque]]),MID(Gastos[[#This Row],[Semana]],6,2))</f>
        <v>28</v>
      </c>
      <c r="O2911" t="s">
        <v>1763</v>
      </c>
      <c r="P2911" t="s">
        <v>27</v>
      </c>
    </row>
    <row r="2912" spans="1:16" hidden="1" x14ac:dyDescent="0.25">
      <c r="A2912" s="3" t="s">
        <v>290</v>
      </c>
      <c r="B2912" t="s">
        <v>1760</v>
      </c>
      <c r="C2912" t="s">
        <v>1764</v>
      </c>
      <c r="D2912" t="s">
        <v>26</v>
      </c>
      <c r="E2912" t="s">
        <v>31</v>
      </c>
      <c r="F2912">
        <v>2</v>
      </c>
      <c r="G2912" s="3" t="s">
        <v>4</v>
      </c>
      <c r="H2912" s="46" t="s">
        <v>15</v>
      </c>
      <c r="I2912" s="17">
        <v>180000</v>
      </c>
      <c r="J2912" s="17">
        <f>IF(Gastos[[#This Row],[Divisa]]="$", I2912*1, IF(Gastos[[#This Row],[Divisa]]="U$D", I2912*$N$1, IF(Gastos[[#This Row],[Divisa]]="EUR", I2912*$N$2, 0)))</f>
        <v>180000</v>
      </c>
      <c r="K2912" s="54">
        <f>Gastos[[#This Row],[Importe AR$]]/$N$1</f>
        <v>115.38461538461539</v>
      </c>
      <c r="L2912" t="s">
        <v>42</v>
      </c>
      <c r="M2912" s="69"/>
      <c r="N2912" s="43" t="str">
        <f>IF(Gastos[[#This Row],[Fecha_Cheque]]&gt;0,WEEKNUM(Gastos[[#This Row],[Fecha_Cheque]]),MID(Gastos[[#This Row],[Semana]],6,2))</f>
        <v>23</v>
      </c>
      <c r="P2912" t="s">
        <v>27</v>
      </c>
    </row>
    <row r="2913" spans="1:16" hidden="1" x14ac:dyDescent="0.25">
      <c r="A2913" s="3" t="s">
        <v>85</v>
      </c>
      <c r="B2913" t="s">
        <v>1760</v>
      </c>
      <c r="C2913" t="s">
        <v>1765</v>
      </c>
      <c r="D2913" t="s">
        <v>26</v>
      </c>
      <c r="E2913" t="s">
        <v>31</v>
      </c>
      <c r="F2913">
        <v>1</v>
      </c>
      <c r="G2913" s="3" t="s">
        <v>4</v>
      </c>
      <c r="H2913" s="46" t="s">
        <v>15</v>
      </c>
      <c r="I2913" s="17">
        <f>375000+517300</f>
        <v>892300</v>
      </c>
      <c r="J2913" s="17">
        <f>IF(Gastos[[#This Row],[Divisa]]="$", I2913*1, IF(Gastos[[#This Row],[Divisa]]="U$D", I2913*$N$1, IF(Gastos[[#This Row],[Divisa]]="EUR", I2913*$N$2, 0)))</f>
        <v>892300</v>
      </c>
      <c r="K2913" s="54">
        <f>Gastos[[#This Row],[Importe AR$]]/$N$1</f>
        <v>571.98717948717945</v>
      </c>
      <c r="M2913" s="69"/>
      <c r="N2913" s="43" t="str">
        <f>IF(Gastos[[#This Row],[Fecha_Cheque]]&gt;0,WEEKNUM(Gastos[[#This Row],[Fecha_Cheque]]),MID(Gastos[[#This Row],[Semana]],6,2))</f>
        <v>26</v>
      </c>
      <c r="O2913" t="s">
        <v>1766</v>
      </c>
      <c r="P2913" t="s">
        <v>27</v>
      </c>
    </row>
    <row r="2914" spans="1:16" hidden="1" x14ac:dyDescent="0.25">
      <c r="A2914" s="3" t="s">
        <v>144</v>
      </c>
      <c r="B2914" t="s">
        <v>1760</v>
      </c>
      <c r="C2914" t="s">
        <v>1767</v>
      </c>
      <c r="D2914" t="s">
        <v>26</v>
      </c>
      <c r="E2914" t="s">
        <v>31</v>
      </c>
      <c r="F2914">
        <v>1</v>
      </c>
      <c r="G2914" s="3" t="s">
        <v>4</v>
      </c>
      <c r="H2914" s="46" t="s">
        <v>15</v>
      </c>
      <c r="I2914" s="17">
        <v>50000</v>
      </c>
      <c r="J2914" s="17">
        <f>IF(Gastos[[#This Row],[Divisa]]="$", I2914*1, IF(Gastos[[#This Row],[Divisa]]="U$D", I2914*$N$1, IF(Gastos[[#This Row],[Divisa]]="EUR", I2914*$N$2, 0)))</f>
        <v>50000</v>
      </c>
      <c r="K2914" s="54">
        <f>Gastos[[#This Row],[Importe AR$]]/$N$1</f>
        <v>32.051282051282051</v>
      </c>
      <c r="M2914" s="69"/>
      <c r="N2914" s="43" t="str">
        <f>IF(Gastos[[#This Row],[Fecha_Cheque]]&gt;0,WEEKNUM(Gastos[[#This Row],[Fecha_Cheque]]),MID(Gastos[[#This Row],[Semana]],6,2))</f>
        <v>16</v>
      </c>
      <c r="P2914" t="s">
        <v>27</v>
      </c>
    </row>
    <row r="2915" spans="1:16" hidden="1" x14ac:dyDescent="0.25">
      <c r="A2915" s="3" t="s">
        <v>718</v>
      </c>
      <c r="B2915" t="s">
        <v>1760</v>
      </c>
      <c r="C2915" t="s">
        <v>1006</v>
      </c>
      <c r="D2915" t="s">
        <v>26</v>
      </c>
      <c r="E2915" t="s">
        <v>31</v>
      </c>
      <c r="F2915">
        <v>1</v>
      </c>
      <c r="G2915" s="3" t="s">
        <v>5</v>
      </c>
      <c r="H2915" s="46" t="s">
        <v>15</v>
      </c>
      <c r="I2915" s="17">
        <v>165000</v>
      </c>
      <c r="J2915" s="17">
        <f>IF(Gastos[[#This Row],[Divisa]]="$", I2915*1, IF(Gastos[[#This Row],[Divisa]]="U$D", I2915*$N$1, IF(Gastos[[#This Row],[Divisa]]="EUR", I2915*$N$2, 0)))</f>
        <v>165000</v>
      </c>
      <c r="K2915" s="54">
        <f>Gastos[[#This Row],[Importe AR$]]/$N$1</f>
        <v>105.76923076923077</v>
      </c>
      <c r="M2915" s="69"/>
      <c r="N2915" s="43" t="str">
        <f>IF(Gastos[[#This Row],[Fecha_Cheque]]&gt;0,WEEKNUM(Gastos[[#This Row],[Fecha_Cheque]]),MID(Gastos[[#This Row],[Semana]],6,2))</f>
        <v>18</v>
      </c>
      <c r="O2915" t="s">
        <v>1768</v>
      </c>
      <c r="P2915" t="s">
        <v>27</v>
      </c>
    </row>
    <row r="2916" spans="1:16" hidden="1" x14ac:dyDescent="0.25">
      <c r="A2916" s="3" t="s">
        <v>719</v>
      </c>
      <c r="B2916" t="s">
        <v>1760</v>
      </c>
      <c r="C2916" t="s">
        <v>1769</v>
      </c>
      <c r="D2916" t="s">
        <v>26</v>
      </c>
      <c r="E2916" t="s">
        <v>31</v>
      </c>
      <c r="F2916">
        <v>1</v>
      </c>
      <c r="G2916" s="3" t="s">
        <v>4</v>
      </c>
      <c r="H2916" s="46" t="s">
        <v>15</v>
      </c>
      <c r="I2916" s="17">
        <v>53941.31</v>
      </c>
      <c r="J2916" s="17">
        <f>IF(Gastos[[#This Row],[Divisa]]="$", I2916*1, IF(Gastos[[#This Row],[Divisa]]="U$D", I2916*$N$1, IF(Gastos[[#This Row],[Divisa]]="EUR", I2916*$N$2, 0)))</f>
        <v>53941.31</v>
      </c>
      <c r="K2916" s="54">
        <f>Gastos[[#This Row],[Importe AR$]]/$N$1</f>
        <v>34.577762820512817</v>
      </c>
      <c r="M2916" s="69"/>
      <c r="N2916" s="43" t="str">
        <f>IF(Gastos[[#This Row],[Fecha_Cheque]]&gt;0,WEEKNUM(Gastos[[#This Row],[Fecha_Cheque]]),MID(Gastos[[#This Row],[Semana]],6,2))</f>
        <v>20</v>
      </c>
      <c r="P2916" t="s">
        <v>27</v>
      </c>
    </row>
    <row r="2917" spans="1:16" hidden="1" x14ac:dyDescent="0.25">
      <c r="A2917" s="3" t="s">
        <v>305</v>
      </c>
      <c r="B2917" t="s">
        <v>1760</v>
      </c>
      <c r="C2917" t="s">
        <v>1770</v>
      </c>
      <c r="D2917" t="s">
        <v>26</v>
      </c>
      <c r="E2917" t="s">
        <v>31</v>
      </c>
      <c r="F2917">
        <v>1</v>
      </c>
      <c r="G2917" s="3" t="s">
        <v>32</v>
      </c>
      <c r="H2917" s="46" t="s">
        <v>15</v>
      </c>
      <c r="I2917" s="17">
        <v>1500000</v>
      </c>
      <c r="J2917" s="17">
        <f>IF(Gastos[[#This Row],[Divisa]]="$", I2917*1, IF(Gastos[[#This Row],[Divisa]]="U$D", I2917*$N$1, IF(Gastos[[#This Row],[Divisa]]="EUR", I2917*$N$2, 0)))</f>
        <v>1500000</v>
      </c>
      <c r="K2917" s="54">
        <f>Gastos[[#This Row],[Importe AR$]]/$N$1</f>
        <v>961.53846153846155</v>
      </c>
      <c r="L2917" t="s">
        <v>361</v>
      </c>
      <c r="M2917" s="69">
        <v>45879</v>
      </c>
      <c r="N2917" s="43">
        <f>IF(Gastos[[#This Row],[Fecha_Cheque]]&gt;0,WEEKNUM(Gastos[[#This Row],[Fecha_Cheque]]),MID(Gastos[[#This Row],[Semana]],6,2))</f>
        <v>33</v>
      </c>
      <c r="O2917" t="s">
        <v>1771</v>
      </c>
      <c r="P2917" t="s">
        <v>27</v>
      </c>
    </row>
    <row r="2918" spans="1:16" hidden="1" x14ac:dyDescent="0.25">
      <c r="A2918" s="3" t="s">
        <v>53</v>
      </c>
      <c r="B2918" t="s">
        <v>1760</v>
      </c>
      <c r="C2918" t="s">
        <v>1772</v>
      </c>
      <c r="D2918" t="s">
        <v>26</v>
      </c>
      <c r="E2918" t="s">
        <v>31</v>
      </c>
      <c r="F2918">
        <v>2</v>
      </c>
      <c r="G2918" s="3" t="s">
        <v>32</v>
      </c>
      <c r="H2918" s="46" t="s">
        <v>15</v>
      </c>
      <c r="I2918" s="17">
        <v>550000</v>
      </c>
      <c r="J2918" s="17">
        <f>IF(Gastos[[#This Row],[Divisa]]="$", I2918*1, IF(Gastos[[#This Row],[Divisa]]="U$D", I2918*$N$1, IF(Gastos[[#This Row],[Divisa]]="EUR", I2918*$N$2, 0)))</f>
        <v>550000</v>
      </c>
      <c r="K2918" s="54">
        <f>Gastos[[#This Row],[Importe AR$]]/$N$1</f>
        <v>352.56410256410254</v>
      </c>
      <c r="M2918" s="69">
        <v>45892</v>
      </c>
      <c r="N2918" s="43">
        <f>IF(Gastos[[#This Row],[Fecha_Cheque]]&gt;0,WEEKNUM(Gastos[[#This Row],[Fecha_Cheque]]),MID(Gastos[[#This Row],[Semana]],6,2))</f>
        <v>34</v>
      </c>
      <c r="O2918" t="s">
        <v>1773</v>
      </c>
      <c r="P2918" t="s">
        <v>27</v>
      </c>
    </row>
    <row r="2919" spans="1:16" hidden="1" x14ac:dyDescent="0.25">
      <c r="A2919" s="3" t="s">
        <v>53</v>
      </c>
      <c r="B2919" t="s">
        <v>1760</v>
      </c>
      <c r="C2919" t="s">
        <v>1772</v>
      </c>
      <c r="D2919" t="s">
        <v>26</v>
      </c>
      <c r="E2919" t="s">
        <v>31</v>
      </c>
      <c r="F2919">
        <v>2</v>
      </c>
      <c r="G2919" s="3" t="s">
        <v>32</v>
      </c>
      <c r="H2919" s="46" t="s">
        <v>15</v>
      </c>
      <c r="I2919" s="17">
        <v>511060</v>
      </c>
      <c r="J2919" s="17">
        <f>IF(Gastos[[#This Row],[Divisa]]="$", I2919*1, IF(Gastos[[#This Row],[Divisa]]="U$D", I2919*$N$1, IF(Gastos[[#This Row],[Divisa]]="EUR", I2919*$N$2, 0)))</f>
        <v>511060</v>
      </c>
      <c r="K2919" s="54">
        <f>Gastos[[#This Row],[Importe AR$]]/$N$1</f>
        <v>327.60256410256409</v>
      </c>
      <c r="M2919" s="69">
        <v>45892</v>
      </c>
      <c r="N2919" s="43">
        <f>IF(Gastos[[#This Row],[Fecha_Cheque]]&gt;0,WEEKNUM(Gastos[[#This Row],[Fecha_Cheque]]),MID(Gastos[[#This Row],[Semana]],6,2))</f>
        <v>34</v>
      </c>
      <c r="O2919" t="s">
        <v>1773</v>
      </c>
      <c r="P2919" t="s">
        <v>27</v>
      </c>
    </row>
    <row r="2920" spans="1:16" hidden="1" x14ac:dyDescent="0.25">
      <c r="A2920" s="3" t="s">
        <v>53</v>
      </c>
      <c r="B2920" t="s">
        <v>1760</v>
      </c>
      <c r="C2920" t="s">
        <v>1772</v>
      </c>
      <c r="D2920" t="s">
        <v>26</v>
      </c>
      <c r="E2920" t="s">
        <v>31</v>
      </c>
      <c r="F2920">
        <v>2</v>
      </c>
      <c r="G2920" s="3" t="s">
        <v>32</v>
      </c>
      <c r="H2920" s="46" t="s">
        <v>15</v>
      </c>
      <c r="I2920" s="17">
        <v>176090</v>
      </c>
      <c r="J2920" s="17">
        <f>IF(Gastos[[#This Row],[Divisa]]="$", I2920*1, IF(Gastos[[#This Row],[Divisa]]="U$D", I2920*$N$1, IF(Gastos[[#This Row],[Divisa]]="EUR", I2920*$N$2, 0)))</f>
        <v>176090</v>
      </c>
      <c r="K2920" s="54">
        <f>Gastos[[#This Row],[Importe AR$]]/$N$1</f>
        <v>112.87820512820512</v>
      </c>
      <c r="M2920" s="69">
        <v>45891</v>
      </c>
      <c r="N2920" s="43">
        <f>IF(Gastos[[#This Row],[Fecha_Cheque]]&gt;0,WEEKNUM(Gastos[[#This Row],[Fecha_Cheque]]),MID(Gastos[[#This Row],[Semana]],6,2))</f>
        <v>34</v>
      </c>
      <c r="O2920" t="s">
        <v>1773</v>
      </c>
      <c r="P2920" t="s">
        <v>27</v>
      </c>
    </row>
    <row r="2921" spans="1:16" hidden="1" x14ac:dyDescent="0.25">
      <c r="A2921" s="3" t="s">
        <v>89</v>
      </c>
      <c r="B2921" t="s">
        <v>1760</v>
      </c>
      <c r="C2921" t="s">
        <v>1425</v>
      </c>
      <c r="D2921" t="s">
        <v>26</v>
      </c>
      <c r="E2921" t="s">
        <v>31</v>
      </c>
      <c r="F2921">
        <v>1</v>
      </c>
      <c r="G2921" s="3" t="s">
        <v>32</v>
      </c>
      <c r="H2921" s="46" t="s">
        <v>15</v>
      </c>
      <c r="I2921" s="17">
        <v>747834.73</v>
      </c>
      <c r="J2921" s="17">
        <f>IF(Gastos[[#This Row],[Divisa]]="$", I2921*1, IF(Gastos[[#This Row],[Divisa]]="U$D", I2921*$N$1, IF(Gastos[[#This Row],[Divisa]]="EUR", I2921*$N$2, 0)))</f>
        <v>747834.73</v>
      </c>
      <c r="K2921" s="54">
        <f>Gastos[[#This Row],[Importe AR$]]/$N$1</f>
        <v>479.38123717948719</v>
      </c>
      <c r="M2921" s="69">
        <v>45915</v>
      </c>
      <c r="N2921" s="43">
        <f>IF(Gastos[[#This Row],[Fecha_Cheque]]&gt;0,WEEKNUM(Gastos[[#This Row],[Fecha_Cheque]]),MID(Gastos[[#This Row],[Semana]],6,2))</f>
        <v>38</v>
      </c>
      <c r="O2921" t="s">
        <v>1774</v>
      </c>
      <c r="P2921" t="s">
        <v>27</v>
      </c>
    </row>
    <row r="2922" spans="1:16" hidden="1" x14ac:dyDescent="0.25">
      <c r="A2922" s="3" t="s">
        <v>89</v>
      </c>
      <c r="B2922" t="s">
        <v>1760</v>
      </c>
      <c r="C2922" t="s">
        <v>1425</v>
      </c>
      <c r="D2922" t="s">
        <v>26</v>
      </c>
      <c r="E2922" t="s">
        <v>31</v>
      </c>
      <c r="F2922">
        <v>1</v>
      </c>
      <c r="G2922" s="3" t="s">
        <v>32</v>
      </c>
      <c r="H2922" s="46" t="s">
        <v>15</v>
      </c>
      <c r="I2922" s="17">
        <v>305474.78000000003</v>
      </c>
      <c r="J2922" s="17">
        <f>IF(Gastos[[#This Row],[Divisa]]="$", I2922*1, IF(Gastos[[#This Row],[Divisa]]="U$D", I2922*$N$1, IF(Gastos[[#This Row],[Divisa]]="EUR", I2922*$N$2, 0)))</f>
        <v>305474.78000000003</v>
      </c>
      <c r="K2922" s="54">
        <f>Gastos[[#This Row],[Importe AR$]]/$N$1</f>
        <v>195.81716666666668</v>
      </c>
      <c r="M2922" s="69">
        <v>45950</v>
      </c>
      <c r="N2922" s="43">
        <f>IF(Gastos[[#This Row],[Fecha_Cheque]]&gt;0,WEEKNUM(Gastos[[#This Row],[Fecha_Cheque]]),MID(Gastos[[#This Row],[Semana]],6,2))</f>
        <v>43</v>
      </c>
      <c r="O2922" t="s">
        <v>1774</v>
      </c>
      <c r="P2922" t="s">
        <v>27</v>
      </c>
    </row>
    <row r="2923" spans="1:16" hidden="1" x14ac:dyDescent="0.25">
      <c r="A2923" s="3" t="s">
        <v>89</v>
      </c>
      <c r="B2923" t="s">
        <v>1760</v>
      </c>
      <c r="C2923" t="s">
        <v>1425</v>
      </c>
      <c r="D2923" t="s">
        <v>26</v>
      </c>
      <c r="E2923" t="s">
        <v>31</v>
      </c>
      <c r="F2923">
        <v>1</v>
      </c>
      <c r="G2923" s="3" t="s">
        <v>32</v>
      </c>
      <c r="H2923" s="46" t="s">
        <v>15</v>
      </c>
      <c r="I2923" s="17">
        <v>175990.49</v>
      </c>
      <c r="J2923" s="17">
        <f>IF(Gastos[[#This Row],[Divisa]]="$", I2923*1, IF(Gastos[[#This Row],[Divisa]]="U$D", I2923*$N$1, IF(Gastos[[#This Row],[Divisa]]="EUR", I2923*$N$2, 0)))</f>
        <v>175990.49</v>
      </c>
      <c r="K2923" s="54">
        <f>Gastos[[#This Row],[Importe AR$]]/$N$1</f>
        <v>112.81441666666666</v>
      </c>
      <c r="M2923" s="69">
        <v>45954</v>
      </c>
      <c r="N2923" s="43">
        <f>IF(Gastos[[#This Row],[Fecha_Cheque]]&gt;0,WEEKNUM(Gastos[[#This Row],[Fecha_Cheque]]),MID(Gastos[[#This Row],[Semana]],6,2))</f>
        <v>43</v>
      </c>
      <c r="O2923" t="s">
        <v>1774</v>
      </c>
      <c r="P2923" t="s">
        <v>27</v>
      </c>
    </row>
    <row r="2924" spans="1:16" hidden="1" x14ac:dyDescent="0.25">
      <c r="A2924" s="3" t="s">
        <v>122</v>
      </c>
      <c r="B2924" t="s">
        <v>1760</v>
      </c>
      <c r="C2924" t="s">
        <v>1775</v>
      </c>
      <c r="D2924" t="s">
        <v>26</v>
      </c>
      <c r="E2924" t="s">
        <v>31</v>
      </c>
      <c r="F2924">
        <v>1</v>
      </c>
      <c r="G2924" s="3" t="s">
        <v>32</v>
      </c>
      <c r="H2924" s="46" t="s">
        <v>15</v>
      </c>
      <c r="I2924" s="17">
        <v>200000</v>
      </c>
      <c r="J2924" s="17">
        <f>IF(Gastos[[#This Row],[Divisa]]="$", I2924*1, IF(Gastos[[#This Row],[Divisa]]="U$D", I2924*$N$1, IF(Gastos[[#This Row],[Divisa]]="EUR", I2924*$N$2, 0)))</f>
        <v>200000</v>
      </c>
      <c r="K2924" s="54">
        <f>Gastos[[#This Row],[Importe AR$]]/$N$1</f>
        <v>128.2051282051282</v>
      </c>
      <c r="M2924" s="69">
        <v>45982</v>
      </c>
      <c r="N2924" s="43">
        <f>IF(Gastos[[#This Row],[Fecha_Cheque]]&gt;0,WEEKNUM(Gastos[[#This Row],[Fecha_Cheque]]),MID(Gastos[[#This Row],[Semana]],6,2))</f>
        <v>47</v>
      </c>
      <c r="O2924" t="s">
        <v>1776</v>
      </c>
      <c r="P2924" t="s">
        <v>27</v>
      </c>
    </row>
    <row r="2925" spans="1:16" hidden="1" x14ac:dyDescent="0.25">
      <c r="A2925" s="3" t="s">
        <v>122</v>
      </c>
      <c r="B2925" t="s">
        <v>1760</v>
      </c>
      <c r="C2925" t="s">
        <v>1775</v>
      </c>
      <c r="D2925" t="s">
        <v>26</v>
      </c>
      <c r="E2925" t="s">
        <v>31</v>
      </c>
      <c r="F2925">
        <v>1</v>
      </c>
      <c r="G2925" s="3" t="s">
        <v>32</v>
      </c>
      <c r="H2925" s="46" t="s">
        <v>15</v>
      </c>
      <c r="I2925" s="17">
        <v>800000</v>
      </c>
      <c r="J2925" s="17">
        <f>IF(Gastos[[#This Row],[Divisa]]="$", I2925*1, IF(Gastos[[#This Row],[Divisa]]="U$D", I2925*$N$1, IF(Gastos[[#This Row],[Divisa]]="EUR", I2925*$N$2, 0)))</f>
        <v>800000</v>
      </c>
      <c r="K2925" s="54">
        <f>Gastos[[#This Row],[Importe AR$]]/$N$1</f>
        <v>512.82051282051282</v>
      </c>
      <c r="M2925" s="69">
        <v>45985</v>
      </c>
      <c r="N2925" s="43">
        <f>IF(Gastos[[#This Row],[Fecha_Cheque]]&gt;0,WEEKNUM(Gastos[[#This Row],[Fecha_Cheque]]),MID(Gastos[[#This Row],[Semana]],6,2))</f>
        <v>48</v>
      </c>
      <c r="O2925" t="s">
        <v>1776</v>
      </c>
      <c r="P2925" t="s">
        <v>27</v>
      </c>
    </row>
    <row r="2926" spans="1:16" hidden="1" x14ac:dyDescent="0.25">
      <c r="A2926" s="3" t="s">
        <v>122</v>
      </c>
      <c r="B2926" t="s">
        <v>1760</v>
      </c>
      <c r="C2926" t="s">
        <v>1775</v>
      </c>
      <c r="D2926" t="s">
        <v>26</v>
      </c>
      <c r="E2926" t="s">
        <v>31</v>
      </c>
      <c r="F2926">
        <v>1</v>
      </c>
      <c r="G2926" s="3" t="s">
        <v>32</v>
      </c>
      <c r="H2926" s="46" t="s">
        <v>15</v>
      </c>
      <c r="I2926" s="17">
        <v>800000</v>
      </c>
      <c r="J2926" s="17">
        <f>IF(Gastos[[#This Row],[Divisa]]="$", I2926*1, IF(Gastos[[#This Row],[Divisa]]="U$D", I2926*$N$1, IF(Gastos[[#This Row],[Divisa]]="EUR", I2926*$N$2, 0)))</f>
        <v>800000</v>
      </c>
      <c r="K2926" s="54">
        <f>Gastos[[#This Row],[Importe AR$]]/$N$1</f>
        <v>512.82051282051282</v>
      </c>
      <c r="L2926" t="s">
        <v>361</v>
      </c>
      <c r="M2926" s="69">
        <v>45982</v>
      </c>
      <c r="N2926" s="43">
        <f>IF(Gastos[[#This Row],[Fecha_Cheque]]&gt;0,WEEKNUM(Gastos[[#This Row],[Fecha_Cheque]]),MID(Gastos[[#This Row],[Semana]],6,2))</f>
        <v>47</v>
      </c>
      <c r="O2926" t="s">
        <v>1776</v>
      </c>
      <c r="P2926" t="s">
        <v>27</v>
      </c>
    </row>
    <row r="2927" spans="1:16" hidden="1" x14ac:dyDescent="0.25">
      <c r="A2927" s="3" t="s">
        <v>128</v>
      </c>
      <c r="B2927" t="s">
        <v>1760</v>
      </c>
      <c r="C2927" t="s">
        <v>1777</v>
      </c>
      <c r="D2927" t="s">
        <v>26</v>
      </c>
      <c r="E2927" t="s">
        <v>31</v>
      </c>
      <c r="F2927">
        <v>1</v>
      </c>
      <c r="G2927" s="3" t="s">
        <v>32</v>
      </c>
      <c r="H2927" s="46" t="s">
        <v>15</v>
      </c>
      <c r="I2927" s="17">
        <v>500000</v>
      </c>
      <c r="J2927" s="17">
        <f>IF(Gastos[[#This Row],[Divisa]]="$", I2927*1, IF(Gastos[[#This Row],[Divisa]]="U$D", I2927*$N$1, IF(Gastos[[#This Row],[Divisa]]="EUR", I2927*$N$2, 0)))</f>
        <v>500000</v>
      </c>
      <c r="K2927" s="54">
        <f>Gastos[[#This Row],[Importe AR$]]/$N$1</f>
        <v>320.5128205128205</v>
      </c>
      <c r="M2927" s="69">
        <v>45948</v>
      </c>
      <c r="N2927" s="43">
        <f>IF(Gastos[[#This Row],[Fecha_Cheque]]&gt;0,WEEKNUM(Gastos[[#This Row],[Fecha_Cheque]]),MID(Gastos[[#This Row],[Semana]],6,2))</f>
        <v>42</v>
      </c>
      <c r="O2927" t="s">
        <v>1778</v>
      </c>
      <c r="P2927" t="s">
        <v>27</v>
      </c>
    </row>
    <row r="2928" spans="1:16" hidden="1" x14ac:dyDescent="0.25">
      <c r="A2928" s="3" t="s">
        <v>128</v>
      </c>
      <c r="B2928" t="s">
        <v>1760</v>
      </c>
      <c r="C2928" t="s">
        <v>1777</v>
      </c>
      <c r="D2928" t="s">
        <v>26</v>
      </c>
      <c r="E2928" t="s">
        <v>31</v>
      </c>
      <c r="F2928">
        <v>1</v>
      </c>
      <c r="G2928" s="3" t="s">
        <v>32</v>
      </c>
      <c r="H2928" s="46" t="s">
        <v>15</v>
      </c>
      <c r="I2928" s="17">
        <v>350000</v>
      </c>
      <c r="J2928" s="17">
        <f>IF(Gastos[[#This Row],[Divisa]]="$", I2928*1, IF(Gastos[[#This Row],[Divisa]]="U$D", I2928*$N$1, IF(Gastos[[#This Row],[Divisa]]="EUR", I2928*$N$2, 0)))</f>
        <v>350000</v>
      </c>
      <c r="K2928" s="54">
        <f>Gastos[[#This Row],[Importe AR$]]/$N$1</f>
        <v>224.35897435897436</v>
      </c>
      <c r="M2928" s="69">
        <v>45956</v>
      </c>
      <c r="N2928" s="43">
        <f>IF(Gastos[[#This Row],[Fecha_Cheque]]&gt;0,WEEKNUM(Gastos[[#This Row],[Fecha_Cheque]]),MID(Gastos[[#This Row],[Semana]],6,2))</f>
        <v>44</v>
      </c>
      <c r="O2928" t="s">
        <v>1778</v>
      </c>
      <c r="P2928" t="s">
        <v>27</v>
      </c>
    </row>
    <row r="2929" spans="1:16" hidden="1" x14ac:dyDescent="0.25">
      <c r="A2929" s="3" t="s">
        <v>128</v>
      </c>
      <c r="B2929" t="s">
        <v>1760</v>
      </c>
      <c r="C2929" t="s">
        <v>1777</v>
      </c>
      <c r="D2929" t="s">
        <v>26</v>
      </c>
      <c r="E2929" t="s">
        <v>31</v>
      </c>
      <c r="F2929">
        <v>1</v>
      </c>
      <c r="G2929" s="3" t="s">
        <v>4</v>
      </c>
      <c r="H2929" s="46" t="s">
        <v>15</v>
      </c>
      <c r="I2929" s="17">
        <v>16600</v>
      </c>
      <c r="J2929" s="17">
        <f>IF(Gastos[[#This Row],[Divisa]]="$", I2929*1, IF(Gastos[[#This Row],[Divisa]]="U$D", I2929*$N$1, IF(Gastos[[#This Row],[Divisa]]="EUR", I2929*$N$2, 0)))</f>
        <v>16600</v>
      </c>
      <c r="K2929" s="54">
        <f>Gastos[[#This Row],[Importe AR$]]/$N$1</f>
        <v>10.641025641025641</v>
      </c>
      <c r="M2929" s="69"/>
      <c r="N2929" s="43" t="str">
        <f>IF(Gastos[[#This Row],[Fecha_Cheque]]&gt;0,WEEKNUM(Gastos[[#This Row],[Fecha_Cheque]]),MID(Gastos[[#This Row],[Semana]],6,2))</f>
        <v>43</v>
      </c>
      <c r="O2929" t="s">
        <v>1778</v>
      </c>
      <c r="P2929" t="s">
        <v>27</v>
      </c>
    </row>
    <row r="2930" spans="1:16" hidden="1" x14ac:dyDescent="0.25">
      <c r="A2930" s="3" t="s">
        <v>72</v>
      </c>
      <c r="B2930" t="s">
        <v>1760</v>
      </c>
      <c r="C2930" t="s">
        <v>1779</v>
      </c>
      <c r="D2930" t="s">
        <v>26</v>
      </c>
      <c r="E2930" t="s">
        <v>31</v>
      </c>
      <c r="F2930">
        <v>1</v>
      </c>
      <c r="G2930" s="3" t="s">
        <v>32</v>
      </c>
      <c r="H2930" s="46" t="s">
        <v>15</v>
      </c>
      <c r="I2930" s="17">
        <v>870800</v>
      </c>
      <c r="J2930" s="17">
        <f>IF(Gastos[[#This Row],[Divisa]]="$", I2930*1, IF(Gastos[[#This Row],[Divisa]]="U$D", I2930*$N$1, IF(Gastos[[#This Row],[Divisa]]="EUR", I2930*$N$2, 0)))</f>
        <v>870800</v>
      </c>
      <c r="K2930" s="54">
        <f>Gastos[[#This Row],[Importe AR$]]/$N$1</f>
        <v>558.20512820512818</v>
      </c>
      <c r="M2930" s="69"/>
      <c r="N2930" s="43" t="str">
        <f>IF(Gastos[[#This Row],[Fecha_Cheque]]&gt;0,WEEKNUM(Gastos[[#This Row],[Fecha_Cheque]]),MID(Gastos[[#This Row],[Semana]],6,2))</f>
        <v>48</v>
      </c>
      <c r="O2930" t="s">
        <v>1780</v>
      </c>
      <c r="P2930" t="s">
        <v>27</v>
      </c>
    </row>
    <row r="2931" spans="1:16" hidden="1" x14ac:dyDescent="0.25">
      <c r="A2931" s="3" t="s">
        <v>81</v>
      </c>
      <c r="B2931" t="s">
        <v>1760</v>
      </c>
      <c r="C2931" t="s">
        <v>1781</v>
      </c>
      <c r="D2931" t="s">
        <v>26</v>
      </c>
      <c r="E2931" t="s">
        <v>31</v>
      </c>
      <c r="F2931">
        <v>1</v>
      </c>
      <c r="G2931" s="3" t="s">
        <v>32</v>
      </c>
      <c r="H2931" s="46" t="s">
        <v>15</v>
      </c>
      <c r="I2931" s="17">
        <v>75940</v>
      </c>
      <c r="J2931" s="17">
        <f>IF(Gastos[[#This Row],[Divisa]]="$", I2931*1, IF(Gastos[[#This Row],[Divisa]]="U$D", I2931*$N$1, IF(Gastos[[#This Row],[Divisa]]="EUR", I2931*$N$2, 0)))</f>
        <v>75940</v>
      </c>
      <c r="K2931" s="54">
        <f>Gastos[[#This Row],[Importe AR$]]/$N$1</f>
        <v>48.679487179487182</v>
      </c>
      <c r="M2931" s="69">
        <v>46009</v>
      </c>
      <c r="N2931" s="43">
        <f>IF(Gastos[[#This Row],[Fecha_Cheque]]&gt;0,WEEKNUM(Gastos[[#This Row],[Fecha_Cheque]]),MID(Gastos[[#This Row],[Semana]],6,2))</f>
        <v>51</v>
      </c>
      <c r="O2931" t="s">
        <v>1782</v>
      </c>
      <c r="P2931" t="s">
        <v>27</v>
      </c>
    </row>
    <row r="2932" spans="1:16" hidden="1" x14ac:dyDescent="0.25">
      <c r="A2932" s="3" t="s">
        <v>81</v>
      </c>
      <c r="B2932" t="s">
        <v>1760</v>
      </c>
      <c r="C2932" t="s">
        <v>1781</v>
      </c>
      <c r="D2932" t="s">
        <v>26</v>
      </c>
      <c r="E2932" t="s">
        <v>31</v>
      </c>
      <c r="F2932">
        <v>1</v>
      </c>
      <c r="G2932" s="3" t="s">
        <v>32</v>
      </c>
      <c r="H2932" s="46" t="s">
        <v>15</v>
      </c>
      <c r="I2932" s="17">
        <v>404506</v>
      </c>
      <c r="J2932" s="17">
        <f>IF(Gastos[[#This Row],[Divisa]]="$", I2932*1, IF(Gastos[[#This Row],[Divisa]]="U$D", I2932*$N$1, IF(Gastos[[#This Row],[Divisa]]="EUR", I2932*$N$2, 0)))</f>
        <v>404506</v>
      </c>
      <c r="K2932" s="54">
        <f>Gastos[[#This Row],[Importe AR$]]/$N$1</f>
        <v>259.29871794871792</v>
      </c>
      <c r="M2932" s="69">
        <v>45998</v>
      </c>
      <c r="N2932" s="43">
        <f>IF(Gastos[[#This Row],[Fecha_Cheque]]&gt;0,WEEKNUM(Gastos[[#This Row],[Fecha_Cheque]]),MID(Gastos[[#This Row],[Semana]],6,2))</f>
        <v>50</v>
      </c>
      <c r="O2932" t="s">
        <v>1782</v>
      </c>
      <c r="P2932" t="s">
        <v>27</v>
      </c>
    </row>
    <row r="2933" spans="1:16" hidden="1" x14ac:dyDescent="0.25">
      <c r="A2933" s="3" t="s">
        <v>81</v>
      </c>
      <c r="B2933" t="s">
        <v>1760</v>
      </c>
      <c r="C2933" t="s">
        <v>1781</v>
      </c>
      <c r="D2933" t="s">
        <v>26</v>
      </c>
      <c r="E2933" t="s">
        <v>42</v>
      </c>
      <c r="F2933">
        <v>1</v>
      </c>
      <c r="G2933" s="3" t="s">
        <v>4</v>
      </c>
      <c r="H2933" s="46" t="s">
        <v>15</v>
      </c>
      <c r="I2933" s="17">
        <v>14554</v>
      </c>
      <c r="J2933" s="17">
        <f>IF(Gastos[[#This Row],[Divisa]]="$", I2933*1, IF(Gastos[[#This Row],[Divisa]]="U$D", I2933*$N$1, IF(Gastos[[#This Row],[Divisa]]="EUR", I2933*$N$2, 0)))</f>
        <v>14554</v>
      </c>
      <c r="K2933" s="54">
        <f>Gastos[[#This Row],[Importe AR$]]/$N$1</f>
        <v>9.3294871794871792</v>
      </c>
      <c r="M2933" s="69"/>
      <c r="N2933" s="43" t="str">
        <f>IF(Gastos[[#This Row],[Fecha_Cheque]]&gt;0,WEEKNUM(Gastos[[#This Row],[Fecha_Cheque]]),MID(Gastos[[#This Row],[Semana]],6,2))</f>
        <v>49</v>
      </c>
      <c r="O2933" t="s">
        <v>1782</v>
      </c>
      <c r="P2933" t="s">
        <v>27</v>
      </c>
    </row>
    <row r="2934" spans="1:16" hidden="1" x14ac:dyDescent="0.25">
      <c r="A2934" s="3" t="s">
        <v>44</v>
      </c>
      <c r="B2934" t="s">
        <v>1760</v>
      </c>
      <c r="C2934" t="s">
        <v>1783</v>
      </c>
      <c r="D2934" t="s">
        <v>26</v>
      </c>
      <c r="E2934" t="s">
        <v>31</v>
      </c>
      <c r="F2934">
        <v>1</v>
      </c>
      <c r="G2934" s="3" t="s">
        <v>4</v>
      </c>
      <c r="H2934" s="46" t="s">
        <v>15</v>
      </c>
      <c r="I2934" s="17">
        <v>34800</v>
      </c>
      <c r="J2934" s="17">
        <f>IF(Gastos[[#This Row],[Divisa]]="$", I2934*1, IF(Gastos[[#This Row],[Divisa]]="U$D", I2934*$N$1, IF(Gastos[[#This Row],[Divisa]]="EUR", I2934*$N$2, 0)))</f>
        <v>34800</v>
      </c>
      <c r="K2934" s="54">
        <f>Gastos[[#This Row],[Importe AR$]]/$N$1</f>
        <v>22.307692307692307</v>
      </c>
      <c r="M2934" s="69"/>
      <c r="N2934" s="43" t="str">
        <f>IF(Gastos[[#This Row],[Fecha_Cheque]]&gt;0,WEEKNUM(Gastos[[#This Row],[Fecha_Cheque]]),MID(Gastos[[#This Row],[Semana]],6,2))</f>
        <v>51</v>
      </c>
      <c r="O2934" t="s">
        <v>1784</v>
      </c>
      <c r="P2934" t="s">
        <v>27</v>
      </c>
    </row>
    <row r="2935" spans="1:16" hidden="1" x14ac:dyDescent="0.25">
      <c r="A2935" s="3" t="s">
        <v>44</v>
      </c>
      <c r="B2935" t="s">
        <v>1760</v>
      </c>
      <c r="C2935" t="s">
        <v>1783</v>
      </c>
      <c r="D2935" t="s">
        <v>26</v>
      </c>
      <c r="E2935" t="s">
        <v>31</v>
      </c>
      <c r="F2935">
        <v>1</v>
      </c>
      <c r="G2935" s="3" t="s">
        <v>32</v>
      </c>
      <c r="H2935" s="46" t="s">
        <v>15</v>
      </c>
      <c r="I2935" s="17">
        <v>297000</v>
      </c>
      <c r="J2935" s="17">
        <f>IF(Gastos[[#This Row],[Divisa]]="$", I2935*1, IF(Gastos[[#This Row],[Divisa]]="U$D", I2935*$N$1, IF(Gastos[[#This Row],[Divisa]]="EUR", I2935*$N$2, 0)))</f>
        <v>297000</v>
      </c>
      <c r="K2935" s="54">
        <f>Gastos[[#This Row],[Importe AR$]]/$N$1</f>
        <v>190.38461538461539</v>
      </c>
      <c r="M2935" s="69">
        <v>46005</v>
      </c>
      <c r="N2935" s="43">
        <f>IF(Gastos[[#This Row],[Fecha_Cheque]]&gt;0,WEEKNUM(Gastos[[#This Row],[Fecha_Cheque]]),MID(Gastos[[#This Row],[Semana]],6,2))</f>
        <v>51</v>
      </c>
      <c r="O2935" t="s">
        <v>1784</v>
      </c>
      <c r="P2935" t="s">
        <v>27</v>
      </c>
    </row>
    <row r="2936" spans="1:16" hidden="1" x14ac:dyDescent="0.25">
      <c r="A2936" s="3" t="s">
        <v>44</v>
      </c>
      <c r="B2936" t="s">
        <v>1760</v>
      </c>
      <c r="C2936" t="s">
        <v>1783</v>
      </c>
      <c r="D2936" t="s">
        <v>26</v>
      </c>
      <c r="E2936" t="s">
        <v>31</v>
      </c>
      <c r="F2936">
        <v>1</v>
      </c>
      <c r="G2936" s="3" t="s">
        <v>32</v>
      </c>
      <c r="H2936" s="46" t="s">
        <v>15</v>
      </c>
      <c r="I2936" s="17">
        <v>350000</v>
      </c>
      <c r="J2936" s="17">
        <f>IF(Gastos[[#This Row],[Divisa]]="$", I2936*1, IF(Gastos[[#This Row],[Divisa]]="U$D", I2936*$N$1, IF(Gastos[[#This Row],[Divisa]]="EUR", I2936*$N$2, 0)))</f>
        <v>350000</v>
      </c>
      <c r="K2936" s="54">
        <f>Gastos[[#This Row],[Importe AR$]]/$N$1</f>
        <v>224.35897435897436</v>
      </c>
      <c r="M2936" s="69">
        <v>46021</v>
      </c>
      <c r="N2936" s="43">
        <f>IF(Gastos[[#This Row],[Fecha_Cheque]]&gt;0,WEEKNUM(Gastos[[#This Row],[Fecha_Cheque]]),MID(Gastos[[#This Row],[Semana]],6,2))</f>
        <v>53</v>
      </c>
      <c r="O2936" t="s">
        <v>1784</v>
      </c>
      <c r="P2936" t="s">
        <v>27</v>
      </c>
    </row>
    <row r="2937" spans="1:16" hidden="1" x14ac:dyDescent="0.25">
      <c r="A2937" s="3" t="s">
        <v>378</v>
      </c>
      <c r="B2937" t="s">
        <v>1760</v>
      </c>
      <c r="C2937" t="s">
        <v>1785</v>
      </c>
      <c r="D2937" t="s">
        <v>26</v>
      </c>
      <c r="E2937" t="s">
        <v>31</v>
      </c>
      <c r="F2937">
        <v>2</v>
      </c>
      <c r="G2937" s="3" t="s">
        <v>32</v>
      </c>
      <c r="H2937" s="46" t="s">
        <v>15</v>
      </c>
      <c r="I2937" s="17">
        <v>73300</v>
      </c>
      <c r="J2937" s="17">
        <f>IF(Gastos[[#This Row],[Divisa]]="$", I2937*1, IF(Gastos[[#This Row],[Divisa]]="U$D", I2937*$N$1, IF(Gastos[[#This Row],[Divisa]]="EUR", I2937*$N$2, 0)))</f>
        <v>73300</v>
      </c>
      <c r="K2937" s="54">
        <f>Gastos[[#This Row],[Importe AR$]]/$N$1</f>
        <v>46.987179487179489</v>
      </c>
      <c r="M2937" s="69">
        <v>46027</v>
      </c>
      <c r="N2937" s="43">
        <f>IF(Gastos[[#This Row],[Fecha_Cheque]]&gt;0,WEEKNUM(Gastos[[#This Row],[Fecha_Cheque]]),MID(Gastos[[#This Row],[Semana]],6,2))</f>
        <v>2</v>
      </c>
      <c r="O2937" t="s">
        <v>1786</v>
      </c>
      <c r="P2937" t="s">
        <v>27</v>
      </c>
    </row>
    <row r="2938" spans="1:16" hidden="1" x14ac:dyDescent="0.25">
      <c r="A2938" s="3" t="s">
        <v>378</v>
      </c>
      <c r="B2938" t="s">
        <v>1760</v>
      </c>
      <c r="C2938" t="s">
        <v>1785</v>
      </c>
      <c r="D2938" t="s">
        <v>26</v>
      </c>
      <c r="E2938" t="s">
        <v>31</v>
      </c>
      <c r="F2938">
        <v>2</v>
      </c>
      <c r="G2938" s="3" t="s">
        <v>32</v>
      </c>
      <c r="H2938" s="46" t="s">
        <v>15</v>
      </c>
      <c r="I2938" s="17">
        <v>930000</v>
      </c>
      <c r="J2938" s="17">
        <f>IF(Gastos[[#This Row],[Divisa]]="$", I2938*1, IF(Gastos[[#This Row],[Divisa]]="U$D", I2938*$N$1, IF(Gastos[[#This Row],[Divisa]]="EUR", I2938*$N$2, 0)))</f>
        <v>930000</v>
      </c>
      <c r="K2938" s="54">
        <f>Gastos[[#This Row],[Importe AR$]]/$N$1</f>
        <v>596.15384615384619</v>
      </c>
      <c r="M2938" s="69">
        <v>46015</v>
      </c>
      <c r="N2938" s="43">
        <f>IF(Gastos[[#This Row],[Fecha_Cheque]]&gt;0,WEEKNUM(Gastos[[#This Row],[Fecha_Cheque]]),MID(Gastos[[#This Row],[Semana]],6,2))</f>
        <v>52</v>
      </c>
      <c r="O2938" t="s">
        <v>1786</v>
      </c>
      <c r="P2938" t="s">
        <v>27</v>
      </c>
    </row>
    <row r="2939" spans="1:16" hidden="1" x14ac:dyDescent="0.25">
      <c r="A2939" s="3" t="s">
        <v>68</v>
      </c>
      <c r="B2939" t="s">
        <v>1760</v>
      </c>
      <c r="C2939" t="s">
        <v>1787</v>
      </c>
      <c r="D2939" t="s">
        <v>26</v>
      </c>
      <c r="E2939" t="s">
        <v>62</v>
      </c>
      <c r="F2939">
        <v>1</v>
      </c>
      <c r="G2939" s="3" t="s">
        <v>4</v>
      </c>
      <c r="H2939" s="46" t="s">
        <v>15</v>
      </c>
      <c r="I2939" s="17">
        <v>1170000</v>
      </c>
      <c r="J2939" s="17">
        <f>IF(Gastos[[#This Row],[Divisa]]="$", I2939*1, IF(Gastos[[#This Row],[Divisa]]="U$D", I2939*$N$1, IF(Gastos[[#This Row],[Divisa]]="EUR", I2939*$N$2, 0)))</f>
        <v>1170000</v>
      </c>
      <c r="K2939" s="54">
        <f>Gastos[[#This Row],[Importe AR$]]/$N$1</f>
        <v>750</v>
      </c>
      <c r="M2939" s="69"/>
      <c r="N2939" s="43" t="str">
        <f>IF(Gastos[[#This Row],[Fecha_Cheque]]&gt;0,WEEKNUM(Gastos[[#This Row],[Fecha_Cheque]]),MID(Gastos[[#This Row],[Semana]],6,2))</f>
        <v>05</v>
      </c>
      <c r="O2939" t="s">
        <v>1788</v>
      </c>
      <c r="P2939" t="s">
        <v>27</v>
      </c>
    </row>
    <row r="2940" spans="1:16" hidden="1" x14ac:dyDescent="0.25">
      <c r="A2940" s="3" t="s">
        <v>206</v>
      </c>
      <c r="B2940" t="s">
        <v>1760</v>
      </c>
      <c r="C2940" t="s">
        <v>1787</v>
      </c>
      <c r="D2940" t="s">
        <v>26</v>
      </c>
      <c r="E2940" t="s">
        <v>62</v>
      </c>
      <c r="F2940">
        <v>1</v>
      </c>
      <c r="G2940" s="3" t="s">
        <v>32</v>
      </c>
      <c r="H2940" s="46" t="s">
        <v>15</v>
      </c>
      <c r="I2940" s="17">
        <v>500000</v>
      </c>
      <c r="J2940" s="17">
        <f>IF(Gastos[[#This Row],[Divisa]]="$", I2940*1, IF(Gastos[[#This Row],[Divisa]]="U$D", I2940*$N$1, IF(Gastos[[#This Row],[Divisa]]="EUR", I2940*$N$2, 0)))</f>
        <v>500000</v>
      </c>
      <c r="K2940" s="54">
        <f>Gastos[[#This Row],[Importe AR$]]/$N$1</f>
        <v>320.5128205128205</v>
      </c>
      <c r="M2940" s="69">
        <v>46080</v>
      </c>
      <c r="N2940" s="43">
        <f>IF(Gastos[[#This Row],[Fecha_Cheque]]&gt;0,WEEKNUM(Gastos[[#This Row],[Fecha_Cheque]]),MID(Gastos[[#This Row],[Semana]],6,2))</f>
        <v>9</v>
      </c>
      <c r="O2940" t="s">
        <v>1789</v>
      </c>
      <c r="P2940" t="s">
        <v>27</v>
      </c>
    </row>
    <row r="2941" spans="1:16" hidden="1" x14ac:dyDescent="0.25">
      <c r="A2941" s="3" t="s">
        <v>206</v>
      </c>
      <c r="B2941" t="s">
        <v>1760</v>
      </c>
      <c r="C2941" t="s">
        <v>1787</v>
      </c>
      <c r="D2941" t="s">
        <v>26</v>
      </c>
      <c r="E2941" t="s">
        <v>62</v>
      </c>
      <c r="F2941">
        <v>1</v>
      </c>
      <c r="G2941" s="3" t="s">
        <v>32</v>
      </c>
      <c r="H2941" s="46" t="s">
        <v>15</v>
      </c>
      <c r="I2941" s="17">
        <v>278400</v>
      </c>
      <c r="J2941" s="17">
        <f>IF(Gastos[[#This Row],[Divisa]]="$", I2941*1, IF(Gastos[[#This Row],[Divisa]]="U$D", I2941*$N$1, IF(Gastos[[#This Row],[Divisa]]="EUR", I2941*$N$2, 0)))</f>
        <v>278400</v>
      </c>
      <c r="K2941" s="54">
        <f>Gastos[[#This Row],[Importe AR$]]/$N$1</f>
        <v>178.46153846153845</v>
      </c>
      <c r="M2941" s="69">
        <v>46080</v>
      </c>
      <c r="N2941" s="43">
        <f>IF(Gastos[[#This Row],[Fecha_Cheque]]&gt;0,WEEKNUM(Gastos[[#This Row],[Fecha_Cheque]]),MID(Gastos[[#This Row],[Semana]],6,2))</f>
        <v>9</v>
      </c>
      <c r="O2941" t="s">
        <v>1789</v>
      </c>
      <c r="P2941" t="s">
        <v>27</v>
      </c>
    </row>
    <row r="2942" spans="1:16" hidden="1" x14ac:dyDescent="0.25">
      <c r="A2942" s="3" t="s">
        <v>206</v>
      </c>
      <c r="B2942" t="s">
        <v>1760</v>
      </c>
      <c r="C2942" t="s">
        <v>1787</v>
      </c>
      <c r="D2942" t="s">
        <v>26</v>
      </c>
      <c r="E2942" t="s">
        <v>62</v>
      </c>
      <c r="F2942">
        <v>1</v>
      </c>
      <c r="G2942" s="3" t="s">
        <v>32</v>
      </c>
      <c r="H2942" s="46" t="s">
        <v>15</v>
      </c>
      <c r="I2942" s="17">
        <v>300000</v>
      </c>
      <c r="J2942" s="17">
        <f>IF(Gastos[[#This Row],[Divisa]]="$", I2942*1, IF(Gastos[[#This Row],[Divisa]]="U$D", I2942*$N$1, IF(Gastos[[#This Row],[Divisa]]="EUR", I2942*$N$2, 0)))</f>
        <v>300000</v>
      </c>
      <c r="K2942" s="54">
        <f>Gastos[[#This Row],[Importe AR$]]/$N$1</f>
        <v>192.30769230769232</v>
      </c>
      <c r="M2942" s="69">
        <v>46083</v>
      </c>
      <c r="N2942" s="43">
        <f>IF(Gastos[[#This Row],[Fecha_Cheque]]&gt;0,WEEKNUM(Gastos[[#This Row],[Fecha_Cheque]]),MID(Gastos[[#This Row],[Semana]],6,2))</f>
        <v>10</v>
      </c>
      <c r="O2942" t="s">
        <v>1789</v>
      </c>
      <c r="P2942" t="s">
        <v>27</v>
      </c>
    </row>
    <row r="2943" spans="1:16" hidden="1" x14ac:dyDescent="0.25">
      <c r="A2943" s="3" t="s">
        <v>206</v>
      </c>
      <c r="B2943" t="s">
        <v>1760</v>
      </c>
      <c r="C2943" t="s">
        <v>1787</v>
      </c>
      <c r="D2943" t="s">
        <v>26</v>
      </c>
      <c r="E2943" t="s">
        <v>62</v>
      </c>
      <c r="F2943">
        <v>1</v>
      </c>
      <c r="G2943" s="3" t="s">
        <v>5</v>
      </c>
      <c r="H2943" s="46" t="s">
        <v>15</v>
      </c>
      <c r="I2943" s="17">
        <v>115100</v>
      </c>
      <c r="J2943" s="17">
        <f>IF(Gastos[[#This Row],[Divisa]]="$", I2943*1, IF(Gastos[[#This Row],[Divisa]]="U$D", I2943*$N$1, IF(Gastos[[#This Row],[Divisa]]="EUR", I2943*$N$2, 0)))</f>
        <v>115100</v>
      </c>
      <c r="K2943" s="54">
        <f>Gastos[[#This Row],[Importe AR$]]/$N$1</f>
        <v>73.782051282051285</v>
      </c>
      <c r="M2943" s="69"/>
      <c r="N2943" s="43" t="str">
        <f>IF(Gastos[[#This Row],[Fecha_Cheque]]&gt;0,WEEKNUM(Gastos[[#This Row],[Fecha_Cheque]]),MID(Gastos[[#This Row],[Semana]],6,2))</f>
        <v>06</v>
      </c>
      <c r="O2943" t="s">
        <v>1789</v>
      </c>
      <c r="P2943" t="s">
        <v>27</v>
      </c>
    </row>
    <row r="2944" spans="1:16" hidden="1" x14ac:dyDescent="0.25">
      <c r="A2944" s="3" t="s">
        <v>206</v>
      </c>
      <c r="B2944" t="s">
        <v>1760</v>
      </c>
      <c r="C2944" t="s">
        <v>1790</v>
      </c>
      <c r="D2944" t="s">
        <v>26</v>
      </c>
      <c r="E2944" t="s">
        <v>42</v>
      </c>
      <c r="F2944">
        <v>1</v>
      </c>
      <c r="G2944" s="3" t="s">
        <v>4</v>
      </c>
      <c r="H2944" s="46" t="s">
        <v>15</v>
      </c>
      <c r="I2944" s="17">
        <v>200000</v>
      </c>
      <c r="J2944" s="17">
        <f>IF(Gastos[[#This Row],[Divisa]]="$", I2944*1, IF(Gastos[[#This Row],[Divisa]]="U$D", I2944*$N$1, IF(Gastos[[#This Row],[Divisa]]="EUR", I2944*$N$2, 0)))</f>
        <v>200000</v>
      </c>
      <c r="K2944" s="54">
        <f>Gastos[[#This Row],[Importe AR$]]/$N$1</f>
        <v>128.2051282051282</v>
      </c>
      <c r="M2944" s="69"/>
      <c r="N2944" s="43" t="str">
        <f>IF(Gastos[[#This Row],[Fecha_Cheque]]&gt;0,WEEKNUM(Gastos[[#This Row],[Fecha_Cheque]]),MID(Gastos[[#This Row],[Semana]],6,2))</f>
        <v>06</v>
      </c>
      <c r="O2944" t="s">
        <v>1791</v>
      </c>
      <c r="P2944" t="s">
        <v>27</v>
      </c>
    </row>
    <row r="2945" spans="1:16" hidden="1" x14ac:dyDescent="0.25">
      <c r="A2945" s="3" t="s">
        <v>206</v>
      </c>
      <c r="B2945" t="s">
        <v>1760</v>
      </c>
      <c r="C2945" t="s">
        <v>1792</v>
      </c>
      <c r="D2945" t="s">
        <v>26</v>
      </c>
      <c r="E2945" t="s">
        <v>42</v>
      </c>
      <c r="F2945">
        <v>2</v>
      </c>
      <c r="G2945" s="3" t="s">
        <v>4</v>
      </c>
      <c r="H2945" s="46" t="s">
        <v>15</v>
      </c>
      <c r="I2945" s="17">
        <v>600000</v>
      </c>
      <c r="J2945" s="17">
        <f>IF(Gastos[[#This Row],[Divisa]]="$", I2945*1, IF(Gastos[[#This Row],[Divisa]]="U$D", I2945*$N$1, IF(Gastos[[#This Row],[Divisa]]="EUR", I2945*$N$2, 0)))</f>
        <v>600000</v>
      </c>
      <c r="K2945" s="54">
        <f>Gastos[[#This Row],[Importe AR$]]/$N$1</f>
        <v>384.61538461538464</v>
      </c>
      <c r="M2945" s="69"/>
      <c r="N2945" s="43" t="str">
        <f>IF(Gastos[[#This Row],[Fecha_Cheque]]&gt;0,WEEKNUM(Gastos[[#This Row],[Fecha_Cheque]]),MID(Gastos[[#This Row],[Semana]],6,2))</f>
        <v>06</v>
      </c>
      <c r="O2945" t="s">
        <v>1793</v>
      </c>
      <c r="P2945" t="s">
        <v>27</v>
      </c>
    </row>
    <row r="2946" spans="1:16" hidden="1" x14ac:dyDescent="0.25">
      <c r="A2946" s="3" t="s">
        <v>619</v>
      </c>
      <c r="B2946" t="s">
        <v>1760</v>
      </c>
      <c r="C2946" t="s">
        <v>2076</v>
      </c>
      <c r="D2946" t="s">
        <v>26</v>
      </c>
      <c r="E2946" t="s">
        <v>62</v>
      </c>
      <c r="F2946">
        <v>2</v>
      </c>
      <c r="G2946" s="3" t="s">
        <v>4</v>
      </c>
      <c r="H2946" s="46" t="s">
        <v>15</v>
      </c>
      <c r="I2946" s="17">
        <v>390000</v>
      </c>
      <c r="J2946" s="17">
        <f>IF(Gastos[[#This Row],[Divisa]]="$", I2946*1, IF(Gastos[[#This Row],[Divisa]]="U$D", I2946*$N$1, IF(Gastos[[#This Row],[Divisa]]="EUR", I2946*$N$2, 0)))</f>
        <v>390000</v>
      </c>
      <c r="K2946" s="54">
        <f>Gastos[[#This Row],[Importe AR$]]/$N$1</f>
        <v>250</v>
      </c>
      <c r="M2946" s="69"/>
      <c r="N2946" s="43" t="str">
        <f>IF(Gastos[[#This Row],[Fecha_Cheque]]&gt;0,WEEKNUM(Gastos[[#This Row],[Fecha_Cheque]]),MID(Gastos[[#This Row],[Semana]],6,2))</f>
        <v>10</v>
      </c>
      <c r="O2946" t="s">
        <v>2077</v>
      </c>
      <c r="P2946" t="s">
        <v>27</v>
      </c>
    </row>
    <row r="2947" spans="1:16" hidden="1" x14ac:dyDescent="0.25">
      <c r="A2947" s="3" t="s">
        <v>619</v>
      </c>
      <c r="B2947" t="s">
        <v>1760</v>
      </c>
      <c r="C2947" t="s">
        <v>2098</v>
      </c>
      <c r="D2947" t="s">
        <v>26</v>
      </c>
      <c r="E2947" t="s">
        <v>62</v>
      </c>
      <c r="F2947">
        <v>1</v>
      </c>
      <c r="G2947" s="3" t="s">
        <v>32</v>
      </c>
      <c r="H2947" s="44" t="s">
        <v>15</v>
      </c>
      <c r="I2947" s="17">
        <v>800000</v>
      </c>
      <c r="J2947" s="17">
        <f>IF(Gastos[[#This Row],[Divisa]]="$", I2947*1, IF(Gastos[[#This Row],[Divisa]]="U$D", I2947*$N$1, IF(Gastos[[#This Row],[Divisa]]="EUR", I2947*$N$2, 0)))</f>
        <v>800000</v>
      </c>
      <c r="K2947" s="54">
        <f>Gastos[[#This Row],[Importe AR$]]/$N$1</f>
        <v>512.82051282051282</v>
      </c>
      <c r="M2947" s="69">
        <v>46082</v>
      </c>
      <c r="N2947" s="43">
        <f>IF(Gastos[[#This Row],[Fecha_Cheque]]&gt;0,WEEKNUM(Gastos[[#This Row],[Fecha_Cheque]]),MID(Gastos[[#This Row],[Semana]],6,2))</f>
        <v>10</v>
      </c>
      <c r="O2947" t="s">
        <v>2099</v>
      </c>
      <c r="P2947" t="s">
        <v>27</v>
      </c>
    </row>
    <row r="2948" spans="1:16" hidden="1" x14ac:dyDescent="0.25">
      <c r="A2948" s="3" t="s">
        <v>619</v>
      </c>
      <c r="B2948" t="s">
        <v>1760</v>
      </c>
      <c r="C2948" t="s">
        <v>2098</v>
      </c>
      <c r="D2948" t="s">
        <v>26</v>
      </c>
      <c r="E2948" t="s">
        <v>62</v>
      </c>
      <c r="F2948">
        <v>1</v>
      </c>
      <c r="G2948" s="3" t="s">
        <v>32</v>
      </c>
      <c r="H2948" s="44" t="s">
        <v>15</v>
      </c>
      <c r="I2948" s="17">
        <v>6800</v>
      </c>
      <c r="J2948" s="17">
        <f>IF(Gastos[[#This Row],[Divisa]]="$", I2948*1, IF(Gastos[[#This Row],[Divisa]]="U$D", I2948*$N$1, IF(Gastos[[#This Row],[Divisa]]="EUR", I2948*$N$2, 0)))</f>
        <v>6800</v>
      </c>
      <c r="K2948" s="54">
        <f>Gastos[[#This Row],[Importe AR$]]/$N$1</f>
        <v>4.3589743589743586</v>
      </c>
      <c r="M2948" s="69"/>
      <c r="N2948" s="43" t="str">
        <f>IF(Gastos[[#This Row],[Fecha_Cheque]]&gt;0,WEEKNUM(Gastos[[#This Row],[Fecha_Cheque]]),MID(Gastos[[#This Row],[Semana]],6,2))</f>
        <v>10</v>
      </c>
      <c r="O2948" t="s">
        <v>2099</v>
      </c>
      <c r="P2948" t="s">
        <v>27</v>
      </c>
    </row>
    <row r="2949" spans="1:16" hidden="1" x14ac:dyDescent="0.25">
      <c r="A2949" s="3" t="s">
        <v>332</v>
      </c>
      <c r="B2949" t="s">
        <v>1760</v>
      </c>
      <c r="C2949" t="s">
        <v>2098</v>
      </c>
      <c r="D2949" t="s">
        <v>26</v>
      </c>
      <c r="E2949" t="s">
        <v>62</v>
      </c>
      <c r="F2949">
        <v>1</v>
      </c>
      <c r="G2949" s="3" t="s">
        <v>32</v>
      </c>
      <c r="H2949" s="46" t="s">
        <v>15</v>
      </c>
      <c r="I2949" s="17">
        <v>438627</v>
      </c>
      <c r="J2949" s="17">
        <f>IF(Gastos[[#This Row],[Divisa]]="$", I2949*1, IF(Gastos[[#This Row],[Divisa]]="U$D", I2949*$N$1, IF(Gastos[[#This Row],[Divisa]]="EUR", I2949*$N$2, 0)))</f>
        <v>438627</v>
      </c>
      <c r="K2949" s="54">
        <f>Gastos[[#This Row],[Importe AR$]]/$N$1</f>
        <v>281.17115384615386</v>
      </c>
      <c r="M2949" s="69">
        <v>46115</v>
      </c>
      <c r="N2949" s="43">
        <f>IF(Gastos[[#This Row],[Fecha_Cheque]]&gt;0,WEEKNUM(Gastos[[#This Row],[Fecha_Cheque]]),MID(Gastos[[#This Row],[Semana]],6,2))</f>
        <v>14</v>
      </c>
      <c r="O2949" t="s">
        <v>2656</v>
      </c>
      <c r="P2949" t="s">
        <v>27</v>
      </c>
    </row>
    <row r="2950" spans="1:16" hidden="1" x14ac:dyDescent="0.25">
      <c r="A2950" s="3" t="s">
        <v>2731</v>
      </c>
      <c r="B2950" t="s">
        <v>1760</v>
      </c>
      <c r="C2950" t="s">
        <v>3070</v>
      </c>
      <c r="D2950" t="s">
        <v>26</v>
      </c>
      <c r="E2950" t="s">
        <v>31</v>
      </c>
      <c r="F2950">
        <v>2</v>
      </c>
      <c r="G2950" s="3" t="s">
        <v>32</v>
      </c>
      <c r="H2950" s="44" t="s">
        <v>15</v>
      </c>
      <c r="I2950" s="17">
        <v>5200</v>
      </c>
      <c r="J2950" s="17">
        <f>IF(Gastos[[#This Row],[Divisa]]="$", I2950*1, IF(Gastos[[#This Row],[Divisa]]="U$D", I2950*$N$1, IF(Gastos[[#This Row],[Divisa]]="EUR", I2950*$N$2, 0)))</f>
        <v>5200</v>
      </c>
      <c r="K2950" s="54">
        <f>Gastos[[#This Row],[Importe AR$]]/$N$1</f>
        <v>3.3333333333333335</v>
      </c>
      <c r="M2950" s="69"/>
      <c r="N2950" s="43" t="str">
        <f>IF(Gastos[[#This Row],[Fecha_Cheque]]&gt;0,WEEKNUM(Gastos[[#This Row],[Fecha_Cheque]]),MID(Gastos[[#This Row],[Semana]],6,2))</f>
        <v>17</v>
      </c>
      <c r="O2950" t="s">
        <v>3071</v>
      </c>
      <c r="P2950" t="s">
        <v>27</v>
      </c>
    </row>
    <row r="2951" spans="1:16" hidden="1" x14ac:dyDescent="0.25">
      <c r="A2951" s="3" t="s">
        <v>2731</v>
      </c>
      <c r="B2951" t="s">
        <v>1760</v>
      </c>
      <c r="C2951" t="s">
        <v>3070</v>
      </c>
      <c r="D2951" t="s">
        <v>26</v>
      </c>
      <c r="E2951" t="s">
        <v>31</v>
      </c>
      <c r="F2951">
        <v>2</v>
      </c>
      <c r="G2951" s="3" t="s">
        <v>32</v>
      </c>
      <c r="H2951" s="44" t="s">
        <v>15</v>
      </c>
      <c r="I2951" s="17">
        <v>300000</v>
      </c>
      <c r="J2951" s="17">
        <f>IF(Gastos[[#This Row],[Divisa]]="$", I2951*1, IF(Gastos[[#This Row],[Divisa]]="U$D", I2951*$N$1, IF(Gastos[[#This Row],[Divisa]]="EUR", I2951*$N$2, 0)))</f>
        <v>300000</v>
      </c>
      <c r="K2951" s="54">
        <f>Gastos[[#This Row],[Importe AR$]]/$N$1</f>
        <v>192.30769230769232</v>
      </c>
      <c r="M2951" s="69">
        <v>46142</v>
      </c>
      <c r="N2951" s="43">
        <f>IF(Gastos[[#This Row],[Fecha_Cheque]]&gt;0,WEEKNUM(Gastos[[#This Row],[Fecha_Cheque]]),MID(Gastos[[#This Row],[Semana]],6,2))</f>
        <v>18</v>
      </c>
      <c r="O2951" t="s">
        <v>3071</v>
      </c>
      <c r="P2951" t="s">
        <v>27</v>
      </c>
    </row>
    <row r="2952" spans="1:16" hidden="1" x14ac:dyDescent="0.25">
      <c r="A2952" s="3" t="s">
        <v>2731</v>
      </c>
      <c r="B2952" t="s">
        <v>1760</v>
      </c>
      <c r="C2952" t="s">
        <v>3070</v>
      </c>
      <c r="D2952" t="s">
        <v>26</v>
      </c>
      <c r="E2952" t="s">
        <v>31</v>
      </c>
      <c r="F2952">
        <v>2</v>
      </c>
      <c r="G2952" s="3" t="s">
        <v>32</v>
      </c>
      <c r="H2952" s="44" t="s">
        <v>15</v>
      </c>
      <c r="I2952" s="17">
        <v>394800</v>
      </c>
      <c r="J2952" s="17">
        <f>IF(Gastos[[#This Row],[Divisa]]="$", I2952*1, IF(Gastos[[#This Row],[Divisa]]="U$D", I2952*$N$1, IF(Gastos[[#This Row],[Divisa]]="EUR", I2952*$N$2, 0)))</f>
        <v>394800</v>
      </c>
      <c r="K2952" s="54">
        <f>Gastos[[#This Row],[Importe AR$]]/$N$1</f>
        <v>253.07692307692307</v>
      </c>
      <c r="M2952" s="69">
        <v>46158</v>
      </c>
      <c r="N2952" s="43">
        <f>IF(Gastos[[#This Row],[Fecha_Cheque]]&gt;0,WEEKNUM(Gastos[[#This Row],[Fecha_Cheque]]),MID(Gastos[[#This Row],[Semana]],6,2))</f>
        <v>20</v>
      </c>
      <c r="O2952" t="s">
        <v>3071</v>
      </c>
      <c r="P2952" t="s">
        <v>27</v>
      </c>
    </row>
    <row r="2953" spans="1:16" hidden="1" x14ac:dyDescent="0.25">
      <c r="A2953" s="3" t="s">
        <v>2763</v>
      </c>
      <c r="B2953" t="s">
        <v>1760</v>
      </c>
      <c r="C2953" t="s">
        <v>3434</v>
      </c>
      <c r="D2953" t="s">
        <v>26</v>
      </c>
      <c r="E2953" t="s">
        <v>42</v>
      </c>
      <c r="F2953">
        <v>2</v>
      </c>
      <c r="G2953" s="3" t="s">
        <v>4</v>
      </c>
      <c r="H2953" s="44" t="s">
        <v>15</v>
      </c>
      <c r="I2953" s="17">
        <v>700000</v>
      </c>
      <c r="J2953" s="17">
        <f>IF(Gastos[[#This Row],[Divisa]]="$", I2953*1, IF(Gastos[[#This Row],[Divisa]]="U$D", I2953*$N$1, IF(Gastos[[#This Row],[Divisa]]="EUR", I2953*$N$2, 0)))</f>
        <v>700000</v>
      </c>
      <c r="K2953" s="54">
        <f>Gastos[[#This Row],[Importe AR$]]/$N$1</f>
        <v>448.71794871794873</v>
      </c>
      <c r="M2953" s="69"/>
      <c r="N2953" s="43" t="str">
        <f>IF(Gastos[[#This Row],[Fecha_Cheque]]&gt;0,WEEKNUM(Gastos[[#This Row],[Fecha_Cheque]]),MID(Gastos[[#This Row],[Semana]],6,2))</f>
        <v>23</v>
      </c>
      <c r="O2953" t="s">
        <v>3435</v>
      </c>
      <c r="P2953" t="s">
        <v>27</v>
      </c>
    </row>
    <row r="2954" spans="1:16" hidden="1" x14ac:dyDescent="0.25">
      <c r="A2954" s="3" t="s">
        <v>3882</v>
      </c>
      <c r="B2954" t="s">
        <v>1760</v>
      </c>
      <c r="C2954" t="s">
        <v>3918</v>
      </c>
      <c r="D2954" t="s">
        <v>26</v>
      </c>
      <c r="E2954" t="s">
        <v>62</v>
      </c>
      <c r="F2954">
        <v>2</v>
      </c>
      <c r="G2954" s="3" t="s">
        <v>4</v>
      </c>
      <c r="H2954" s="44" t="s">
        <v>15</v>
      </c>
      <c r="I2954" s="17">
        <v>924739</v>
      </c>
      <c r="J2954" s="17">
        <f>IF(Gastos[[#This Row],[Divisa]]="$", I2954*1, IF(Gastos[[#This Row],[Divisa]]="U$D", I2954*$N$1, IF(Gastos[[#This Row],[Divisa]]="EUR", I2954*$N$2, 0)))</f>
        <v>924739</v>
      </c>
      <c r="K2954" s="54">
        <f>Gastos[[#This Row],[Importe AR$]]/$N$1</f>
        <v>592.78141025641025</v>
      </c>
      <c r="M2954" s="69"/>
      <c r="N2954" s="43" t="str">
        <f>IF(Gastos[[#This Row],[Fecha_Cheque]]&gt;0,WEEKNUM(Gastos[[#This Row],[Fecha_Cheque]]),MID(Gastos[[#This Row],[Semana]],6,2))</f>
        <v>31</v>
      </c>
      <c r="O2954" t="s">
        <v>3954</v>
      </c>
      <c r="P2954" t="s">
        <v>27</v>
      </c>
    </row>
    <row r="2955" spans="1:16" hidden="1" x14ac:dyDescent="0.25">
      <c r="A2955" s="3" t="s">
        <v>3882</v>
      </c>
      <c r="B2955" t="s">
        <v>1760</v>
      </c>
      <c r="C2955" t="s">
        <v>3070</v>
      </c>
      <c r="D2955" t="s">
        <v>26</v>
      </c>
      <c r="E2955" t="s">
        <v>62</v>
      </c>
      <c r="F2955">
        <v>2</v>
      </c>
      <c r="G2955" s="3" t="s">
        <v>32</v>
      </c>
      <c r="H2955" s="44" t="s">
        <v>15</v>
      </c>
      <c r="I2955" s="17">
        <v>631970</v>
      </c>
      <c r="J2955" s="17">
        <f>IF(Gastos[[#This Row],[Divisa]]="$", I2955*1, IF(Gastos[[#This Row],[Divisa]]="U$D", I2955*$N$1, IF(Gastos[[#This Row],[Divisa]]="EUR", I2955*$N$2, 0)))</f>
        <v>631970</v>
      </c>
      <c r="K2955" s="54">
        <f>Gastos[[#This Row],[Importe AR$]]/$N$1</f>
        <v>405.10897435897436</v>
      </c>
      <c r="M2955" s="69">
        <v>46244</v>
      </c>
      <c r="N2955" s="43">
        <f>IF(Gastos[[#This Row],[Fecha_Cheque]]&gt;0,WEEKNUM(Gastos[[#This Row],[Fecha_Cheque]]),MID(Gastos[[#This Row],[Semana]],6,2))</f>
        <v>33</v>
      </c>
      <c r="O2955" t="s">
        <v>3917</v>
      </c>
      <c r="P2955" t="s">
        <v>27</v>
      </c>
    </row>
    <row r="2956" spans="1:16" hidden="1" x14ac:dyDescent="0.25">
      <c r="A2956" s="3" t="s">
        <v>3882</v>
      </c>
      <c r="B2956" t="s">
        <v>1760</v>
      </c>
      <c r="C2956" t="s">
        <v>3070</v>
      </c>
      <c r="D2956" t="s">
        <v>26</v>
      </c>
      <c r="E2956" t="s">
        <v>62</v>
      </c>
      <c r="F2956">
        <v>2</v>
      </c>
      <c r="G2956" s="3" t="s">
        <v>32</v>
      </c>
      <c r="H2956" s="44" t="s">
        <v>15</v>
      </c>
      <c r="I2956" s="17">
        <v>1081844</v>
      </c>
      <c r="J2956" s="17">
        <f>IF(Gastos[[#This Row],[Divisa]]="$", I2956*1, IF(Gastos[[#This Row],[Divisa]]="U$D", I2956*$N$1, IF(Gastos[[#This Row],[Divisa]]="EUR", I2956*$N$2, 0)))</f>
        <v>1081844</v>
      </c>
      <c r="K2956" s="54">
        <f>Gastos[[#This Row],[Importe AR$]]/$N$1</f>
        <v>693.48974358974363</v>
      </c>
      <c r="M2956" s="69">
        <v>46250</v>
      </c>
      <c r="N2956" s="43">
        <f>IF(Gastos[[#This Row],[Fecha_Cheque]]&gt;0,WEEKNUM(Gastos[[#This Row],[Fecha_Cheque]]),MID(Gastos[[#This Row],[Semana]],6,2))</f>
        <v>34</v>
      </c>
      <c r="O2956" t="s">
        <v>3917</v>
      </c>
      <c r="P2956" t="s">
        <v>27</v>
      </c>
    </row>
    <row r="2957" spans="1:16" hidden="1" x14ac:dyDescent="0.25">
      <c r="A2957" s="3" t="s">
        <v>3882</v>
      </c>
      <c r="B2957" t="s">
        <v>1760</v>
      </c>
      <c r="C2957" t="s">
        <v>3070</v>
      </c>
      <c r="D2957" t="s">
        <v>26</v>
      </c>
      <c r="E2957" t="s">
        <v>62</v>
      </c>
      <c r="F2957">
        <v>2</v>
      </c>
      <c r="G2957" s="3" t="s">
        <v>32</v>
      </c>
      <c r="H2957" s="44" t="s">
        <v>15</v>
      </c>
      <c r="I2957" s="17">
        <v>1200000</v>
      </c>
      <c r="J2957" s="17">
        <f>IF(Gastos[[#This Row],[Divisa]]="$", I2957*1, IF(Gastos[[#This Row],[Divisa]]="U$D", I2957*$N$1, IF(Gastos[[#This Row],[Divisa]]="EUR", I2957*$N$2, 0)))</f>
        <v>1200000</v>
      </c>
      <c r="K2957" s="54">
        <f>Gastos[[#This Row],[Importe AR$]]/$N$1</f>
        <v>769.23076923076928</v>
      </c>
      <c r="M2957" s="69">
        <v>46250</v>
      </c>
      <c r="N2957" s="43">
        <f>IF(Gastos[[#This Row],[Fecha_Cheque]]&gt;0,WEEKNUM(Gastos[[#This Row],[Fecha_Cheque]]),MID(Gastos[[#This Row],[Semana]],6,2))</f>
        <v>34</v>
      </c>
      <c r="O2957" t="s">
        <v>3917</v>
      </c>
      <c r="P2957" t="s">
        <v>27</v>
      </c>
    </row>
    <row r="2958" spans="1:16" hidden="1" x14ac:dyDescent="0.25">
      <c r="A2958" s="3" t="s">
        <v>3882</v>
      </c>
      <c r="B2958" t="s">
        <v>1760</v>
      </c>
      <c r="C2958" t="s">
        <v>3070</v>
      </c>
      <c r="D2958" t="s">
        <v>26</v>
      </c>
      <c r="E2958" t="s">
        <v>62</v>
      </c>
      <c r="F2958">
        <v>2</v>
      </c>
      <c r="G2958" s="3" t="s">
        <v>32</v>
      </c>
      <c r="H2958" s="44" t="s">
        <v>15</v>
      </c>
      <c r="I2958" s="17">
        <v>2500000</v>
      </c>
      <c r="J2958" s="17">
        <f>IF(Gastos[[#This Row],[Divisa]]="$", I2958*1, IF(Gastos[[#This Row],[Divisa]]="U$D", I2958*$N$1, IF(Gastos[[#This Row],[Divisa]]="EUR", I2958*$N$2, 0)))</f>
        <v>2500000</v>
      </c>
      <c r="K2958" s="54">
        <f>Gastos[[#This Row],[Importe AR$]]/$N$1</f>
        <v>1602.5641025641025</v>
      </c>
      <c r="M2958" s="69">
        <v>46254</v>
      </c>
      <c r="N2958" s="43">
        <f>IF(Gastos[[#This Row],[Fecha_Cheque]]&gt;0,WEEKNUM(Gastos[[#This Row],[Fecha_Cheque]]),MID(Gastos[[#This Row],[Semana]],6,2))</f>
        <v>34</v>
      </c>
      <c r="O2958" t="s">
        <v>3917</v>
      </c>
      <c r="P2958" t="s">
        <v>27</v>
      </c>
    </row>
    <row r="2959" spans="1:16" hidden="1" x14ac:dyDescent="0.25">
      <c r="A2959" s="3" t="s">
        <v>3882</v>
      </c>
      <c r="B2959" t="s">
        <v>1760</v>
      </c>
      <c r="C2959" t="s">
        <v>3070</v>
      </c>
      <c r="D2959" t="s">
        <v>26</v>
      </c>
      <c r="E2959" t="s">
        <v>62</v>
      </c>
      <c r="F2959">
        <v>2</v>
      </c>
      <c r="G2959" s="3" t="s">
        <v>32</v>
      </c>
      <c r="H2959" s="44" t="s">
        <v>15</v>
      </c>
      <c r="I2959" s="17">
        <v>400997</v>
      </c>
      <c r="J2959" s="17">
        <f>IF(Gastos[[#This Row],[Divisa]]="$", I2959*1, IF(Gastos[[#This Row],[Divisa]]="U$D", I2959*$N$1, IF(Gastos[[#This Row],[Divisa]]="EUR", I2959*$N$2, 0)))</f>
        <v>400997</v>
      </c>
      <c r="K2959" s="54">
        <f>Gastos[[#This Row],[Importe AR$]]/$N$1</f>
        <v>257.049358974359</v>
      </c>
      <c r="M2959" s="69">
        <v>46295</v>
      </c>
      <c r="N2959" s="43">
        <f>IF(Gastos[[#This Row],[Fecha_Cheque]]&gt;0,WEEKNUM(Gastos[[#This Row],[Fecha_Cheque]]),MID(Gastos[[#This Row],[Semana]],6,2))</f>
        <v>40</v>
      </c>
      <c r="O2959" t="s">
        <v>3917</v>
      </c>
      <c r="P2959" t="s">
        <v>27</v>
      </c>
    </row>
    <row r="2960" spans="1:16" hidden="1" x14ac:dyDescent="0.25">
      <c r="A2960" s="3" t="s">
        <v>3882</v>
      </c>
      <c r="B2960" t="s">
        <v>1760</v>
      </c>
      <c r="C2960" t="s">
        <v>3070</v>
      </c>
      <c r="D2960" t="s">
        <v>26</v>
      </c>
      <c r="E2960" t="s">
        <v>62</v>
      </c>
      <c r="F2960">
        <v>2</v>
      </c>
      <c r="G2960" s="3" t="s">
        <v>32</v>
      </c>
      <c r="H2960" s="44" t="s">
        <v>15</v>
      </c>
      <c r="I2960" s="17">
        <v>2511450</v>
      </c>
      <c r="J2960" s="17">
        <f>IF(Gastos[[#This Row],[Divisa]]="$", I2960*1, IF(Gastos[[#This Row],[Divisa]]="U$D", I2960*$N$1, IF(Gastos[[#This Row],[Divisa]]="EUR", I2960*$N$2, 0)))</f>
        <v>2511450</v>
      </c>
      <c r="K2960" s="54">
        <f>Gastos[[#This Row],[Importe AR$]]/$N$1</f>
        <v>1609.9038461538462</v>
      </c>
      <c r="M2960" s="69">
        <v>46261</v>
      </c>
      <c r="N2960" s="43">
        <f>IF(Gastos[[#This Row],[Fecha_Cheque]]&gt;0,WEEKNUM(Gastos[[#This Row],[Fecha_Cheque]]),MID(Gastos[[#This Row],[Semana]],6,2))</f>
        <v>35</v>
      </c>
      <c r="O2960" t="s">
        <v>3917</v>
      </c>
      <c r="P2960" t="s">
        <v>27</v>
      </c>
    </row>
    <row r="2961" spans="1:16" hidden="1" x14ac:dyDescent="0.25">
      <c r="A2961" s="3" t="s">
        <v>4005</v>
      </c>
      <c r="B2961" t="s">
        <v>1760</v>
      </c>
      <c r="C2961" t="s">
        <v>3916</v>
      </c>
      <c r="D2961" t="s">
        <v>26</v>
      </c>
      <c r="E2961" t="s">
        <v>62</v>
      </c>
      <c r="F2961">
        <v>1</v>
      </c>
      <c r="G2961" s="3" t="s">
        <v>32</v>
      </c>
      <c r="H2961" s="46" t="s">
        <v>15</v>
      </c>
      <c r="I2961" s="17">
        <v>902656.6</v>
      </c>
      <c r="J2961" s="17">
        <f>IF(Gastos[[#This Row],[Divisa]]="$", I2961*1, IF(Gastos[[#This Row],[Divisa]]="U$D", I2961*$N$1, IF(Gastos[[#This Row],[Divisa]]="EUR", I2961*$N$2, 0)))</f>
        <v>902656.6</v>
      </c>
      <c r="K2961" s="54">
        <f>Gastos[[#This Row],[Importe AR$]]/$N$1</f>
        <v>578.62602564102565</v>
      </c>
      <c r="M2961" s="69"/>
      <c r="N2961" s="43" t="str">
        <f>IF(Gastos[[#This Row],[Fecha_Cheque]]&gt;0,WEEKNUM(Gastos[[#This Row],[Fecha_Cheque]]),MID(Gastos[[#This Row],[Semana]],6,2))</f>
        <v>33</v>
      </c>
      <c r="O2961" t="s">
        <v>4057</v>
      </c>
      <c r="P2961" t="s">
        <v>27</v>
      </c>
    </row>
    <row r="2962" spans="1:16" hidden="1" x14ac:dyDescent="0.25">
      <c r="A2962" s="3" t="s">
        <v>4005</v>
      </c>
      <c r="B2962" t="s">
        <v>1760</v>
      </c>
      <c r="C2962" t="s">
        <v>4083</v>
      </c>
      <c r="D2962" t="s">
        <v>26</v>
      </c>
      <c r="E2962" t="s">
        <v>62</v>
      </c>
      <c r="F2962">
        <v>1</v>
      </c>
      <c r="G2962" s="3" t="s">
        <v>32</v>
      </c>
      <c r="H2962" s="44" t="s">
        <v>15</v>
      </c>
      <c r="I2962" s="17">
        <v>902656.6</v>
      </c>
      <c r="J2962" s="17">
        <f>IF(Gastos[[#This Row],[Divisa]]="$", I2962*1, IF(Gastos[[#This Row],[Divisa]]="U$D", I2962*$N$1, IF(Gastos[[#This Row],[Divisa]]="EUR", I2962*$N$2, 0)))</f>
        <v>902656.6</v>
      </c>
      <c r="K2962" s="54">
        <f>Gastos[[#This Row],[Importe AR$]]/$N$1</f>
        <v>578.62602564102565</v>
      </c>
      <c r="M2962" s="69">
        <v>46276</v>
      </c>
      <c r="N2962" s="43">
        <f>IF(Gastos[[#This Row],[Fecha_Cheque]]&gt;0,WEEKNUM(Gastos[[#This Row],[Fecha_Cheque]]),MID(Gastos[[#This Row],[Semana]],6,2))</f>
        <v>37</v>
      </c>
      <c r="O2962" t="s">
        <v>4084</v>
      </c>
      <c r="P2962" t="s">
        <v>27</v>
      </c>
    </row>
    <row r="2963" spans="1:16" hidden="1" x14ac:dyDescent="0.25">
      <c r="A2963" s="3" t="s">
        <v>4513</v>
      </c>
      <c r="B2963" t="s">
        <v>1760</v>
      </c>
      <c r="C2963" t="s">
        <v>4560</v>
      </c>
      <c r="D2963" t="s">
        <v>26</v>
      </c>
      <c r="E2963" t="s">
        <v>62</v>
      </c>
      <c r="F2963">
        <v>2</v>
      </c>
      <c r="G2963" s="3" t="s">
        <v>32</v>
      </c>
      <c r="H2963" s="46" t="s">
        <v>15</v>
      </c>
      <c r="I2963" s="17">
        <v>1000000</v>
      </c>
      <c r="J2963" s="17">
        <f>IF(Gastos[[#This Row],[Divisa]]="$", I2963*1, IF(Gastos[[#This Row],[Divisa]]="U$D", I2963*$N$1, IF(Gastos[[#This Row],[Divisa]]="EUR", I2963*$N$2, 0)))</f>
        <v>1000000</v>
      </c>
      <c r="K2963" s="54">
        <f>Gastos[[#This Row],[Importe AR$]]/$N$1</f>
        <v>641.02564102564099</v>
      </c>
      <c r="M2963" s="69">
        <v>46354</v>
      </c>
      <c r="N2963" s="43">
        <f>IF(Gastos[[#This Row],[Fecha_Cheque]]&gt;0,WEEKNUM(Gastos[[#This Row],[Fecha_Cheque]]),MID(Gastos[[#This Row],[Semana]],6,2))</f>
        <v>48</v>
      </c>
      <c r="O2963" t="s">
        <v>4561</v>
      </c>
      <c r="P2963" t="s">
        <v>27</v>
      </c>
    </row>
    <row r="2964" spans="1:16" x14ac:dyDescent="0.25">
      <c r="A2964" s="3" t="s">
        <v>4655</v>
      </c>
      <c r="B2964" t="s">
        <v>1580</v>
      </c>
      <c r="C2964" t="s">
        <v>3400</v>
      </c>
      <c r="D2964" t="s">
        <v>26</v>
      </c>
      <c r="E2964" t="s">
        <v>62</v>
      </c>
      <c r="F2964">
        <v>2</v>
      </c>
      <c r="G2964" s="3" t="s">
        <v>32</v>
      </c>
      <c r="H2964" s="44" t="s">
        <v>15</v>
      </c>
      <c r="I2964" s="17">
        <v>1700000</v>
      </c>
      <c r="J2964" s="17">
        <f>IF(Gastos[[#This Row],[Divisa]]="$", I2964*1, IF(Gastos[[#This Row],[Divisa]]="U$D", I2964*$N$1, IF(Gastos[[#This Row],[Divisa]]="EUR", I2964*$N$2, 0)))</f>
        <v>1700000</v>
      </c>
      <c r="K2964" s="54">
        <f>Gastos[[#This Row],[Importe AR$]]/$N$1</f>
        <v>1089.7435897435898</v>
      </c>
      <c r="M2964" s="69"/>
      <c r="N2964" s="43" t="str">
        <f>IF(Gastos[[#This Row],[Fecha_Cheque]]&gt;0,WEEKNUM(Gastos[[#This Row],[Fecha_Cheque]]),MID(Gastos[[#This Row],[Semana]],6,2))</f>
        <v>44</v>
      </c>
    </row>
    <row r="2965" spans="1:16" hidden="1" x14ac:dyDescent="0.25">
      <c r="A2965" s="3" t="s">
        <v>2792</v>
      </c>
      <c r="B2965" t="s">
        <v>3233</v>
      </c>
      <c r="C2965" t="s">
        <v>3234</v>
      </c>
      <c r="D2965" t="s">
        <v>26</v>
      </c>
      <c r="E2965" t="s">
        <v>62</v>
      </c>
      <c r="F2965">
        <v>1</v>
      </c>
      <c r="G2965" s="3" t="s">
        <v>32</v>
      </c>
      <c r="H2965" s="44" t="s">
        <v>15</v>
      </c>
      <c r="I2965" s="17">
        <v>300000</v>
      </c>
      <c r="J2965" s="17">
        <f>IF(Gastos[[#This Row],[Divisa]]="$", I2965*1, IF(Gastos[[#This Row],[Divisa]]="U$D", I2965*$N$1, IF(Gastos[[#This Row],[Divisa]]="EUR", I2965*$N$2, 0)))</f>
        <v>300000</v>
      </c>
      <c r="K2965" s="54">
        <f>Gastos[[#This Row],[Importe AR$]]/$N$1</f>
        <v>192.30769230769232</v>
      </c>
      <c r="M2965" s="69">
        <v>46174</v>
      </c>
      <c r="N2965" s="43">
        <f>IF(Gastos[[#This Row],[Fecha_Cheque]]&gt;0,WEEKNUM(Gastos[[#This Row],[Fecha_Cheque]]),MID(Gastos[[#This Row],[Semana]],6,2))</f>
        <v>23</v>
      </c>
      <c r="O2965" t="s">
        <v>3235</v>
      </c>
      <c r="P2965" t="s">
        <v>27</v>
      </c>
    </row>
    <row r="2966" spans="1:16" hidden="1" x14ac:dyDescent="0.25">
      <c r="A2966" s="3" t="s">
        <v>2792</v>
      </c>
      <c r="B2966" t="s">
        <v>3233</v>
      </c>
      <c r="C2966" t="s">
        <v>3234</v>
      </c>
      <c r="D2966" t="s">
        <v>26</v>
      </c>
      <c r="E2966" t="s">
        <v>62</v>
      </c>
      <c r="F2966">
        <v>1</v>
      </c>
      <c r="G2966" s="3" t="s">
        <v>32</v>
      </c>
      <c r="H2966" s="44" t="s">
        <v>15</v>
      </c>
      <c r="I2966" s="17">
        <v>300000</v>
      </c>
      <c r="J2966" s="17">
        <f>IF(Gastos[[#This Row],[Divisa]]="$", I2966*1, IF(Gastos[[#This Row],[Divisa]]="U$D", I2966*$N$1, IF(Gastos[[#This Row],[Divisa]]="EUR", I2966*$N$2, 0)))</f>
        <v>300000</v>
      </c>
      <c r="K2966" s="54">
        <f>Gastos[[#This Row],[Importe AR$]]/$N$1</f>
        <v>192.30769230769232</v>
      </c>
      <c r="M2966" s="69">
        <v>46177</v>
      </c>
      <c r="N2966" s="43">
        <f>IF(Gastos[[#This Row],[Fecha_Cheque]]&gt;0,WEEKNUM(Gastos[[#This Row],[Fecha_Cheque]]),MID(Gastos[[#This Row],[Semana]],6,2))</f>
        <v>23</v>
      </c>
      <c r="O2966" t="s">
        <v>3235</v>
      </c>
      <c r="P2966" t="s">
        <v>27</v>
      </c>
    </row>
    <row r="2967" spans="1:16" hidden="1" x14ac:dyDescent="0.25">
      <c r="A2967" s="3" t="s">
        <v>2792</v>
      </c>
      <c r="B2967" t="s">
        <v>3233</v>
      </c>
      <c r="C2967" t="s">
        <v>3234</v>
      </c>
      <c r="D2967" t="s">
        <v>26</v>
      </c>
      <c r="E2967" t="s">
        <v>62</v>
      </c>
      <c r="F2967">
        <v>1</v>
      </c>
      <c r="G2967" s="3" t="s">
        <v>32</v>
      </c>
      <c r="H2967" s="44" t="s">
        <v>15</v>
      </c>
      <c r="I2967" s="17">
        <v>1214000</v>
      </c>
      <c r="J2967" s="17">
        <f>IF(Gastos[[#This Row],[Divisa]]="$", I2967*1, IF(Gastos[[#This Row],[Divisa]]="U$D", I2967*$N$1, IF(Gastos[[#This Row],[Divisa]]="EUR", I2967*$N$2, 0)))</f>
        <v>1214000</v>
      </c>
      <c r="K2967" s="54">
        <f>Gastos[[#This Row],[Importe AR$]]/$N$1</f>
        <v>778.20512820512818</v>
      </c>
      <c r="M2967" s="69">
        <v>46186</v>
      </c>
      <c r="N2967" s="43">
        <f>IF(Gastos[[#This Row],[Fecha_Cheque]]&gt;0,WEEKNUM(Gastos[[#This Row],[Fecha_Cheque]]),MID(Gastos[[#This Row],[Semana]],6,2))</f>
        <v>24</v>
      </c>
      <c r="O2967" t="s">
        <v>3235</v>
      </c>
      <c r="P2967" t="s">
        <v>27</v>
      </c>
    </row>
    <row r="2968" spans="1:16" hidden="1" x14ac:dyDescent="0.25">
      <c r="A2968" s="3" t="s">
        <v>2792</v>
      </c>
      <c r="B2968" t="s">
        <v>3233</v>
      </c>
      <c r="C2968" t="s">
        <v>3234</v>
      </c>
      <c r="D2968" t="s">
        <v>26</v>
      </c>
      <c r="E2968" t="s">
        <v>62</v>
      </c>
      <c r="F2968">
        <v>1</v>
      </c>
      <c r="G2968" s="3" t="s">
        <v>32</v>
      </c>
      <c r="H2968" s="44" t="s">
        <v>15</v>
      </c>
      <c r="I2968" s="17">
        <v>2000000</v>
      </c>
      <c r="J2968" s="17">
        <f>IF(Gastos[[#This Row],[Divisa]]="$", I2968*1, IF(Gastos[[#This Row],[Divisa]]="U$D", I2968*$N$1, IF(Gastos[[#This Row],[Divisa]]="EUR", I2968*$N$2, 0)))</f>
        <v>2000000</v>
      </c>
      <c r="K2968" s="54">
        <f>Gastos[[#This Row],[Importe AR$]]/$N$1</f>
        <v>1282.051282051282</v>
      </c>
      <c r="M2968" s="69">
        <v>46202</v>
      </c>
      <c r="N2968" s="43">
        <f>IF(Gastos[[#This Row],[Fecha_Cheque]]&gt;0,WEEKNUM(Gastos[[#This Row],[Fecha_Cheque]]),MID(Gastos[[#This Row],[Semana]],6,2))</f>
        <v>27</v>
      </c>
      <c r="O2968" t="s">
        <v>3235</v>
      </c>
      <c r="P2968" t="s">
        <v>27</v>
      </c>
    </row>
    <row r="2969" spans="1:16" hidden="1" x14ac:dyDescent="0.25">
      <c r="A2969" s="3" t="s">
        <v>2792</v>
      </c>
      <c r="B2969" t="s">
        <v>3233</v>
      </c>
      <c r="C2969" t="s">
        <v>3234</v>
      </c>
      <c r="D2969" t="s">
        <v>26</v>
      </c>
      <c r="E2969" t="s">
        <v>62</v>
      </c>
      <c r="F2969">
        <v>1</v>
      </c>
      <c r="G2969" s="3" t="s">
        <v>32</v>
      </c>
      <c r="H2969" s="44" t="s">
        <v>15</v>
      </c>
      <c r="I2969" s="17">
        <v>61697.919999999998</v>
      </c>
      <c r="J2969" s="17">
        <f>IF(Gastos[[#This Row],[Divisa]]="$", I2969*1, IF(Gastos[[#This Row],[Divisa]]="U$D", I2969*$N$1, IF(Gastos[[#This Row],[Divisa]]="EUR", I2969*$N$2, 0)))</f>
        <v>61697.919999999998</v>
      </c>
      <c r="K2969" s="54">
        <f>Gastos[[#This Row],[Importe AR$]]/$N$1</f>
        <v>39.549948717948716</v>
      </c>
      <c r="L2969" t="s">
        <v>340</v>
      </c>
      <c r="M2969" s="69"/>
      <c r="N2969" s="43" t="str">
        <f>IF(Gastos[[#This Row],[Fecha_Cheque]]&gt;0,WEEKNUM(Gastos[[#This Row],[Fecha_Cheque]]),MID(Gastos[[#This Row],[Semana]],6,2))</f>
        <v>21</v>
      </c>
      <c r="O2969" t="s">
        <v>3235</v>
      </c>
      <c r="P2969" t="s">
        <v>27</v>
      </c>
    </row>
    <row r="2970" spans="1:16" hidden="1" x14ac:dyDescent="0.25">
      <c r="A2970" s="3" t="s">
        <v>4211</v>
      </c>
      <c r="B2970" t="s">
        <v>3233</v>
      </c>
      <c r="C2970" t="s">
        <v>4281</v>
      </c>
      <c r="D2970" t="s">
        <v>26</v>
      </c>
      <c r="E2970" t="s">
        <v>62</v>
      </c>
      <c r="F2970">
        <v>1</v>
      </c>
      <c r="G2970" s="3" t="s">
        <v>5</v>
      </c>
      <c r="H2970" s="44" t="s">
        <v>15</v>
      </c>
      <c r="I2970" s="17">
        <v>253295.23</v>
      </c>
      <c r="J2970" s="17">
        <f>IF(Gastos[[#This Row],[Divisa]]="$", I2970*1, IF(Gastos[[#This Row],[Divisa]]="U$D", I2970*$N$1, IF(Gastos[[#This Row],[Divisa]]="EUR", I2970*$N$2, 0)))</f>
        <v>253295.23</v>
      </c>
      <c r="K2970" s="54">
        <f>Gastos[[#This Row],[Importe AR$]]/$N$1</f>
        <v>162.3687371794872</v>
      </c>
      <c r="M2970" s="69"/>
      <c r="N2970" s="43" t="str">
        <f>IF(Gastos[[#This Row],[Fecha_Cheque]]&gt;0,WEEKNUM(Gastos[[#This Row],[Fecha_Cheque]]),MID(Gastos[[#This Row],[Semana]],6,2))</f>
        <v>37</v>
      </c>
      <c r="O2970" t="s">
        <v>4216</v>
      </c>
      <c r="P2970" t="s">
        <v>27</v>
      </c>
    </row>
    <row r="2971" spans="1:16" hidden="1" x14ac:dyDescent="0.25">
      <c r="A2971" s="3" t="s">
        <v>99</v>
      </c>
      <c r="B2971" t="s">
        <v>1797</v>
      </c>
      <c r="C2971" t="s">
        <v>932</v>
      </c>
      <c r="D2971" t="s">
        <v>26</v>
      </c>
      <c r="E2971" t="s">
        <v>132</v>
      </c>
      <c r="F2971">
        <v>1</v>
      </c>
      <c r="G2971" s="3" t="s">
        <v>5</v>
      </c>
      <c r="H2971" s="46" t="s">
        <v>15</v>
      </c>
      <c r="I2971" s="17">
        <v>423360</v>
      </c>
      <c r="J2971" s="17">
        <f>IF(Gastos[[#This Row],[Divisa]]="$", I2971*1, IF(Gastos[[#This Row],[Divisa]]="U$D", I2971*$N$1, IF(Gastos[[#This Row],[Divisa]]="EUR", I2971*$N$2, 0)))</f>
        <v>423360</v>
      </c>
      <c r="K2971" s="54">
        <f>Gastos[[#This Row],[Importe AR$]]/$N$1</f>
        <v>271.38461538461536</v>
      </c>
      <c r="M2971" s="69"/>
      <c r="N2971" s="43" t="str">
        <f>IF(Gastos[[#This Row],[Fecha_Cheque]]&gt;0,WEEKNUM(Gastos[[#This Row],[Fecha_Cheque]]),MID(Gastos[[#This Row],[Semana]],6,2))</f>
        <v>28</v>
      </c>
      <c r="O2971" t="s">
        <v>1798</v>
      </c>
      <c r="P2971" t="s">
        <v>27</v>
      </c>
    </row>
    <row r="2972" spans="1:16" hidden="1" x14ac:dyDescent="0.25">
      <c r="A2972" s="3" t="s">
        <v>538</v>
      </c>
      <c r="B2972" t="s">
        <v>1799</v>
      </c>
      <c r="C2972" t="s">
        <v>1800</v>
      </c>
      <c r="D2972" t="s">
        <v>26</v>
      </c>
      <c r="E2972" t="s">
        <v>31</v>
      </c>
      <c r="F2972">
        <v>1</v>
      </c>
      <c r="G2972" s="3" t="s">
        <v>5</v>
      </c>
      <c r="H2972" s="46" t="s">
        <v>15</v>
      </c>
      <c r="I2972" s="17">
        <v>1908340.8</v>
      </c>
      <c r="J2972" s="17">
        <f>IF(Gastos[[#This Row],[Divisa]]="$", I2972*1, IF(Gastos[[#This Row],[Divisa]]="U$D", I2972*$N$1, IF(Gastos[[#This Row],[Divisa]]="EUR", I2972*$N$2, 0)))</f>
        <v>1908340.8</v>
      </c>
      <c r="K2972" s="54">
        <f>Gastos[[#This Row],[Importe AR$]]/$N$1</f>
        <v>1223.2953846153846</v>
      </c>
      <c r="L2972" t="s">
        <v>850</v>
      </c>
      <c r="M2972" s="69"/>
      <c r="N2972" s="43" t="str">
        <f>IF(Gastos[[#This Row],[Fecha_Cheque]]&gt;0,WEEKNUM(Gastos[[#This Row],[Fecha_Cheque]]),MID(Gastos[[#This Row],[Semana]],6,2))</f>
        <v>13</v>
      </c>
      <c r="P2972" t="s">
        <v>27</v>
      </c>
    </row>
    <row r="2973" spans="1:16" hidden="1" x14ac:dyDescent="0.25">
      <c r="A2973" s="3" t="s">
        <v>253</v>
      </c>
      <c r="B2973" t="s">
        <v>1799</v>
      </c>
      <c r="C2973" t="s">
        <v>287</v>
      </c>
      <c r="D2973" t="s">
        <v>26</v>
      </c>
      <c r="E2973" t="s">
        <v>31</v>
      </c>
      <c r="F2973">
        <v>1</v>
      </c>
      <c r="G2973" s="3" t="s">
        <v>5</v>
      </c>
      <c r="H2973" s="46" t="s">
        <v>15</v>
      </c>
      <c r="I2973" s="17">
        <v>56448</v>
      </c>
      <c r="J2973" s="17">
        <f>IF(Gastos[[#This Row],[Divisa]]="$", I2973*1, IF(Gastos[[#This Row],[Divisa]]="U$D", I2973*$N$1, IF(Gastos[[#This Row],[Divisa]]="EUR", I2973*$N$2, 0)))</f>
        <v>56448</v>
      </c>
      <c r="K2973" s="54">
        <f>Gastos[[#This Row],[Importe AR$]]/$N$1</f>
        <v>36.184615384615384</v>
      </c>
      <c r="M2973" s="69"/>
      <c r="N2973" s="43" t="str">
        <f>IF(Gastos[[#This Row],[Fecha_Cheque]]&gt;0,WEEKNUM(Gastos[[#This Row],[Fecha_Cheque]]),MID(Gastos[[#This Row],[Semana]],6,2))</f>
        <v>24</v>
      </c>
      <c r="P2973" t="s">
        <v>27</v>
      </c>
    </row>
    <row r="2974" spans="1:16" hidden="1" x14ac:dyDescent="0.25">
      <c r="A2974" s="3" t="s">
        <v>64</v>
      </c>
      <c r="B2974" t="s">
        <v>1801</v>
      </c>
      <c r="C2974" t="s">
        <v>1802</v>
      </c>
      <c r="D2974" t="s">
        <v>26</v>
      </c>
      <c r="E2974" t="s">
        <v>31</v>
      </c>
      <c r="F2974">
        <v>1</v>
      </c>
      <c r="G2974" s="3" t="s">
        <v>32</v>
      </c>
      <c r="H2974" s="46" t="s">
        <v>15</v>
      </c>
      <c r="I2974" s="17">
        <v>962293.6</v>
      </c>
      <c r="J2974" s="17">
        <f>IF(Gastos[[#This Row],[Divisa]]="$", I2974*1, IF(Gastos[[#This Row],[Divisa]]="U$D", I2974*$N$1, IF(Gastos[[#This Row],[Divisa]]="EUR", I2974*$N$2, 0)))</f>
        <v>962293.6</v>
      </c>
      <c r="K2974" s="54">
        <f>Gastos[[#This Row],[Importe AR$]]/$N$1</f>
        <v>616.85487179487177</v>
      </c>
      <c r="M2974" s="69">
        <v>45882</v>
      </c>
      <c r="N2974" s="43">
        <f>IF(Gastos[[#This Row],[Fecha_Cheque]]&gt;0,WEEKNUM(Gastos[[#This Row],[Fecha_Cheque]]),MID(Gastos[[#This Row],[Semana]],6,2))</f>
        <v>33</v>
      </c>
      <c r="P2974" t="s">
        <v>27</v>
      </c>
    </row>
    <row r="2975" spans="1:16" hidden="1" x14ac:dyDescent="0.25">
      <c r="A2975" s="3" t="s">
        <v>64</v>
      </c>
      <c r="B2975" t="s">
        <v>1801</v>
      </c>
      <c r="C2975" t="s">
        <v>1802</v>
      </c>
      <c r="D2975" t="s">
        <v>26</v>
      </c>
      <c r="E2975" t="s">
        <v>31</v>
      </c>
      <c r="F2975">
        <v>1</v>
      </c>
      <c r="G2975" s="3" t="s">
        <v>32</v>
      </c>
      <c r="H2975" s="46" t="s">
        <v>15</v>
      </c>
      <c r="I2975" s="17">
        <v>1060510</v>
      </c>
      <c r="J2975" s="17">
        <f>IF(Gastos[[#This Row],[Divisa]]="$", I2975*1, IF(Gastos[[#This Row],[Divisa]]="U$D", I2975*$N$1, IF(Gastos[[#This Row],[Divisa]]="EUR", I2975*$N$2, 0)))</f>
        <v>1060510</v>
      </c>
      <c r="K2975" s="54">
        <f>Gastos[[#This Row],[Importe AR$]]/$N$1</f>
        <v>679.81410256410254</v>
      </c>
      <c r="M2975" s="69">
        <v>45926</v>
      </c>
      <c r="N2975" s="43">
        <f>IF(Gastos[[#This Row],[Fecha_Cheque]]&gt;0,WEEKNUM(Gastos[[#This Row],[Fecha_Cheque]]),MID(Gastos[[#This Row],[Semana]],6,2))</f>
        <v>39</v>
      </c>
      <c r="P2975" t="s">
        <v>27</v>
      </c>
    </row>
    <row r="2976" spans="1:16" hidden="1" x14ac:dyDescent="0.25">
      <c r="A2976" s="3" t="s">
        <v>64</v>
      </c>
      <c r="B2976" t="s">
        <v>1801</v>
      </c>
      <c r="C2976" t="s">
        <v>1802</v>
      </c>
      <c r="D2976" t="s">
        <v>26</v>
      </c>
      <c r="E2976" t="s">
        <v>31</v>
      </c>
      <c r="F2976">
        <v>1</v>
      </c>
      <c r="G2976" s="3" t="s">
        <v>32</v>
      </c>
      <c r="H2976" s="46" t="s">
        <v>15</v>
      </c>
      <c r="I2976" s="17">
        <v>1100000</v>
      </c>
      <c r="J2976" s="17">
        <f>IF(Gastos[[#This Row],[Divisa]]="$", I2976*1, IF(Gastos[[#This Row],[Divisa]]="U$D", I2976*$N$1, IF(Gastos[[#This Row],[Divisa]]="EUR", I2976*$N$2, 0)))</f>
        <v>1100000</v>
      </c>
      <c r="K2976" s="54">
        <f>Gastos[[#This Row],[Importe AR$]]/$N$1</f>
        <v>705.12820512820508</v>
      </c>
      <c r="M2976" s="69">
        <v>45905</v>
      </c>
      <c r="N2976" s="43">
        <f>IF(Gastos[[#This Row],[Fecha_Cheque]]&gt;0,WEEKNUM(Gastos[[#This Row],[Fecha_Cheque]]),MID(Gastos[[#This Row],[Semana]],6,2))</f>
        <v>36</v>
      </c>
      <c r="P2976" t="s">
        <v>27</v>
      </c>
    </row>
    <row r="2977" spans="1:16" hidden="1" x14ac:dyDescent="0.25">
      <c r="A2977" s="3" t="s">
        <v>72</v>
      </c>
      <c r="B2977" t="s">
        <v>1801</v>
      </c>
      <c r="C2977" t="s">
        <v>1803</v>
      </c>
      <c r="D2977" t="s">
        <v>26</v>
      </c>
      <c r="E2977" t="s">
        <v>31</v>
      </c>
      <c r="F2977">
        <v>1</v>
      </c>
      <c r="G2977" s="3" t="s">
        <v>32</v>
      </c>
      <c r="H2977" s="46" t="s">
        <v>15</v>
      </c>
      <c r="I2977" s="17">
        <v>1950000</v>
      </c>
      <c r="J2977" s="17">
        <f>IF(Gastos[[#This Row],[Divisa]]="$", I2977*1, IF(Gastos[[#This Row],[Divisa]]="U$D", I2977*$N$1, IF(Gastos[[#This Row],[Divisa]]="EUR", I2977*$N$2, 0)))</f>
        <v>1950000</v>
      </c>
      <c r="K2977" s="54">
        <f>Gastos[[#This Row],[Importe AR$]]/$N$1</f>
        <v>1250</v>
      </c>
      <c r="M2977" s="69">
        <v>46029</v>
      </c>
      <c r="N2977" s="43">
        <f>IF(Gastos[[#This Row],[Fecha_Cheque]]&gt;0,WEEKNUM(Gastos[[#This Row],[Fecha_Cheque]]),MID(Gastos[[#This Row],[Semana]],6,2))</f>
        <v>2</v>
      </c>
      <c r="O2977" t="s">
        <v>1804</v>
      </c>
      <c r="P2977" t="s">
        <v>27</v>
      </c>
    </row>
    <row r="2978" spans="1:16" hidden="1" x14ac:dyDescent="0.25">
      <c r="A2978" s="3" t="s">
        <v>72</v>
      </c>
      <c r="B2978" t="s">
        <v>1801</v>
      </c>
      <c r="C2978" t="s">
        <v>1803</v>
      </c>
      <c r="D2978" t="s">
        <v>26</v>
      </c>
      <c r="E2978" t="s">
        <v>31</v>
      </c>
      <c r="F2978">
        <v>1</v>
      </c>
      <c r="G2978" s="3" t="s">
        <v>32</v>
      </c>
      <c r="H2978" s="46" t="s">
        <v>15</v>
      </c>
      <c r="I2978" s="17">
        <v>320240</v>
      </c>
      <c r="J2978" s="17">
        <f>IF(Gastos[[#This Row],[Divisa]]="$", I2978*1, IF(Gastos[[#This Row],[Divisa]]="U$D", I2978*$N$1, IF(Gastos[[#This Row],[Divisa]]="EUR", I2978*$N$2, 0)))</f>
        <v>320240</v>
      </c>
      <c r="K2978" s="54">
        <f>Gastos[[#This Row],[Importe AR$]]/$N$1</f>
        <v>205.28205128205127</v>
      </c>
      <c r="M2978" s="69">
        <v>46029</v>
      </c>
      <c r="N2978" s="43">
        <f>IF(Gastos[[#This Row],[Fecha_Cheque]]&gt;0,WEEKNUM(Gastos[[#This Row],[Fecha_Cheque]]),MID(Gastos[[#This Row],[Semana]],6,2))</f>
        <v>2</v>
      </c>
      <c r="O2978" t="s">
        <v>1804</v>
      </c>
      <c r="P2978" t="s">
        <v>27</v>
      </c>
    </row>
    <row r="2979" spans="1:16" hidden="1" x14ac:dyDescent="0.25">
      <c r="A2979" s="3" t="s">
        <v>75</v>
      </c>
      <c r="B2979" t="s">
        <v>1805</v>
      </c>
      <c r="D2979" t="s">
        <v>26</v>
      </c>
      <c r="E2979" t="s">
        <v>31</v>
      </c>
      <c r="F2979">
        <v>2</v>
      </c>
      <c r="G2979" s="3" t="s">
        <v>32</v>
      </c>
      <c r="H2979" s="46" t="s">
        <v>15</v>
      </c>
      <c r="I2979" s="17">
        <v>500000</v>
      </c>
      <c r="J2979" s="17">
        <f>IF(Gastos[[#This Row],[Divisa]]="$", I2979*1, IF(Gastos[[#This Row],[Divisa]]="U$D", I2979*$N$1, IF(Gastos[[#This Row],[Divisa]]="EUR", I2979*$N$2, 0)))</f>
        <v>500000</v>
      </c>
      <c r="K2979" s="54">
        <f>Gastos[[#This Row],[Importe AR$]]/$N$1</f>
        <v>320.5128205128205</v>
      </c>
      <c r="M2979" s="69">
        <v>46098</v>
      </c>
      <c r="N2979" s="43">
        <f>IF(Gastos[[#This Row],[Fecha_Cheque]]&gt;0,WEEKNUM(Gastos[[#This Row],[Fecha_Cheque]]),MID(Gastos[[#This Row],[Semana]],6,2))</f>
        <v>12</v>
      </c>
      <c r="O2979" t="s">
        <v>1806</v>
      </c>
      <c r="P2979" t="s">
        <v>27</v>
      </c>
    </row>
    <row r="2980" spans="1:16" hidden="1" x14ac:dyDescent="0.25">
      <c r="A2980" s="3" t="s">
        <v>75</v>
      </c>
      <c r="B2980" t="s">
        <v>1805</v>
      </c>
      <c r="D2980" t="s">
        <v>26</v>
      </c>
      <c r="E2980" t="s">
        <v>31</v>
      </c>
      <c r="F2980">
        <v>2</v>
      </c>
      <c r="G2980" s="3" t="s">
        <v>32</v>
      </c>
      <c r="H2980" s="46" t="s">
        <v>15</v>
      </c>
      <c r="I2980" s="17">
        <v>547000</v>
      </c>
      <c r="J2980" s="17">
        <f>IF(Gastos[[#This Row],[Divisa]]="$", I2980*1, IF(Gastos[[#This Row],[Divisa]]="U$D", I2980*$N$1, IF(Gastos[[#This Row],[Divisa]]="EUR", I2980*$N$2, 0)))</f>
        <v>547000</v>
      </c>
      <c r="K2980" s="54">
        <f>Gastos[[#This Row],[Importe AR$]]/$N$1</f>
        <v>350.64102564102564</v>
      </c>
      <c r="M2980" s="69">
        <v>46100</v>
      </c>
      <c r="N2980" s="43">
        <f>IF(Gastos[[#This Row],[Fecha_Cheque]]&gt;0,WEEKNUM(Gastos[[#This Row],[Fecha_Cheque]]),MID(Gastos[[#This Row],[Semana]],6,2))</f>
        <v>12</v>
      </c>
      <c r="O2980" t="s">
        <v>1806</v>
      </c>
      <c r="P2980" t="s">
        <v>27</v>
      </c>
    </row>
    <row r="2981" spans="1:16" hidden="1" x14ac:dyDescent="0.25">
      <c r="A2981" s="3" t="s">
        <v>75</v>
      </c>
      <c r="B2981" t="s">
        <v>1805</v>
      </c>
      <c r="D2981" t="s">
        <v>26</v>
      </c>
      <c r="E2981" t="s">
        <v>31</v>
      </c>
      <c r="F2981">
        <v>2</v>
      </c>
      <c r="G2981" s="3" t="s">
        <v>32</v>
      </c>
      <c r="H2981" s="46" t="s">
        <v>15</v>
      </c>
      <c r="I2981" s="17">
        <v>550000</v>
      </c>
      <c r="J2981" s="17">
        <f>IF(Gastos[[#This Row],[Divisa]]="$", I2981*1, IF(Gastos[[#This Row],[Divisa]]="U$D", I2981*$N$1, IF(Gastos[[#This Row],[Divisa]]="EUR", I2981*$N$2, 0)))</f>
        <v>550000</v>
      </c>
      <c r="K2981" s="54">
        <f>Gastos[[#This Row],[Importe AR$]]/$N$1</f>
        <v>352.56410256410254</v>
      </c>
      <c r="M2981" s="69">
        <v>46092</v>
      </c>
      <c r="N2981" s="43">
        <f>IF(Gastos[[#This Row],[Fecha_Cheque]]&gt;0,WEEKNUM(Gastos[[#This Row],[Fecha_Cheque]]),MID(Gastos[[#This Row],[Semana]],6,2))</f>
        <v>11</v>
      </c>
      <c r="O2981" t="s">
        <v>1806</v>
      </c>
      <c r="P2981" t="s">
        <v>27</v>
      </c>
    </row>
    <row r="2982" spans="1:16" hidden="1" x14ac:dyDescent="0.25">
      <c r="A2982" s="3" t="s">
        <v>75</v>
      </c>
      <c r="B2982" t="s">
        <v>1805</v>
      </c>
      <c r="D2982" t="s">
        <v>26</v>
      </c>
      <c r="E2982" t="s">
        <v>31</v>
      </c>
      <c r="F2982">
        <v>2</v>
      </c>
      <c r="G2982" s="3" t="s">
        <v>32</v>
      </c>
      <c r="H2982" s="46" t="s">
        <v>15</v>
      </c>
      <c r="I2982" s="17">
        <v>901034</v>
      </c>
      <c r="J2982" s="17">
        <f>IF(Gastos[[#This Row],[Divisa]]="$", I2982*1, IF(Gastos[[#This Row],[Divisa]]="U$D", I2982*$N$1, IF(Gastos[[#This Row],[Divisa]]="EUR", I2982*$N$2, 0)))</f>
        <v>901034</v>
      </c>
      <c r="K2982" s="54">
        <f>Gastos[[#This Row],[Importe AR$]]/$N$1</f>
        <v>577.58589743589744</v>
      </c>
      <c r="M2982" s="69">
        <v>46105</v>
      </c>
      <c r="N2982" s="43">
        <f>IF(Gastos[[#This Row],[Fecha_Cheque]]&gt;0,WEEKNUM(Gastos[[#This Row],[Fecha_Cheque]]),MID(Gastos[[#This Row],[Semana]],6,2))</f>
        <v>13</v>
      </c>
      <c r="O2982" t="s">
        <v>1806</v>
      </c>
      <c r="P2982" t="s">
        <v>27</v>
      </c>
    </row>
    <row r="2983" spans="1:16" hidden="1" x14ac:dyDescent="0.25">
      <c r="A2983" s="3" t="s">
        <v>75</v>
      </c>
      <c r="B2983" t="s">
        <v>1805</v>
      </c>
      <c r="D2983" t="s">
        <v>26</v>
      </c>
      <c r="E2983" t="s">
        <v>31</v>
      </c>
      <c r="F2983">
        <v>2</v>
      </c>
      <c r="G2983" s="3" t="s">
        <v>32</v>
      </c>
      <c r="H2983" s="46" t="s">
        <v>15</v>
      </c>
      <c r="I2983" s="17">
        <v>1018000</v>
      </c>
      <c r="J2983" s="17">
        <f>IF(Gastos[[#This Row],[Divisa]]="$", I2983*1, IF(Gastos[[#This Row],[Divisa]]="U$D", I2983*$N$1, IF(Gastos[[#This Row],[Divisa]]="EUR", I2983*$N$2, 0)))</f>
        <v>1018000</v>
      </c>
      <c r="K2983" s="54">
        <f>Gastos[[#This Row],[Importe AR$]]/$N$1</f>
        <v>652.56410256410254</v>
      </c>
      <c r="M2983" s="69">
        <v>46100</v>
      </c>
      <c r="N2983" s="43">
        <f>IF(Gastos[[#This Row],[Fecha_Cheque]]&gt;0,WEEKNUM(Gastos[[#This Row],[Fecha_Cheque]]),MID(Gastos[[#This Row],[Semana]],6,2))</f>
        <v>12</v>
      </c>
      <c r="O2983" t="s">
        <v>1806</v>
      </c>
      <c r="P2983" t="s">
        <v>27</v>
      </c>
    </row>
    <row r="2984" spans="1:16" x14ac:dyDescent="0.25">
      <c r="A2984" s="3" t="s">
        <v>4655</v>
      </c>
      <c r="B2984" t="s">
        <v>1580</v>
      </c>
      <c r="C2984" t="s">
        <v>3399</v>
      </c>
      <c r="D2984" t="s">
        <v>26</v>
      </c>
      <c r="E2984" t="s">
        <v>62</v>
      </c>
      <c r="F2984">
        <v>2</v>
      </c>
      <c r="G2984" s="3" t="s">
        <v>32</v>
      </c>
      <c r="H2984" s="44" t="s">
        <v>15</v>
      </c>
      <c r="I2984" s="17">
        <v>2300000</v>
      </c>
      <c r="J2984" s="17">
        <f>IF(Gastos[[#This Row],[Divisa]]="$", I2984*1, IF(Gastos[[#This Row],[Divisa]]="U$D", I2984*$N$1, IF(Gastos[[#This Row],[Divisa]]="EUR", I2984*$N$2, 0)))</f>
        <v>2300000</v>
      </c>
      <c r="K2984" s="54">
        <f>Gastos[[#This Row],[Importe AR$]]/$N$1</f>
        <v>1474.3589743589744</v>
      </c>
      <c r="M2984" s="69"/>
      <c r="N2984" s="43" t="str">
        <f>IF(Gastos[[#This Row],[Fecha_Cheque]]&gt;0,WEEKNUM(Gastos[[#This Row],[Fecha_Cheque]]),MID(Gastos[[#This Row],[Semana]],6,2))</f>
        <v>44</v>
      </c>
    </row>
    <row r="2985" spans="1:16" hidden="1" x14ac:dyDescent="0.25">
      <c r="A2985" s="3" t="s">
        <v>50</v>
      </c>
      <c r="B2985" t="s">
        <v>1807</v>
      </c>
      <c r="C2985" t="s">
        <v>422</v>
      </c>
      <c r="D2985" t="s">
        <v>26</v>
      </c>
      <c r="E2985" t="s">
        <v>91</v>
      </c>
      <c r="F2985">
        <v>1</v>
      </c>
      <c r="G2985" s="3" t="s">
        <v>5</v>
      </c>
      <c r="H2985" s="46" t="s">
        <v>15</v>
      </c>
      <c r="I2985" s="17">
        <v>180000</v>
      </c>
      <c r="J2985" s="17">
        <f>IF(Gastos[[#This Row],[Divisa]]="$", I2985*1, IF(Gastos[[#This Row],[Divisa]]="U$D", I2985*$N$1, IF(Gastos[[#This Row],[Divisa]]="EUR", I2985*$N$2, 0)))</f>
        <v>180000</v>
      </c>
      <c r="K2985" s="54">
        <f>Gastos[[#This Row],[Importe AR$]]/$N$1</f>
        <v>115.38461538461539</v>
      </c>
      <c r="M2985" s="69"/>
      <c r="N2985" s="43" t="str">
        <f>IF(Gastos[[#This Row],[Fecha_Cheque]]&gt;0,WEEKNUM(Gastos[[#This Row],[Fecha_Cheque]]),MID(Gastos[[#This Row],[Semana]],6,2))</f>
        <v>25</v>
      </c>
      <c r="P2985" t="s">
        <v>27</v>
      </c>
    </row>
    <row r="2986" spans="1:16" hidden="1" x14ac:dyDescent="0.25">
      <c r="A2986" s="3" t="s">
        <v>290</v>
      </c>
      <c r="B2986" t="s">
        <v>1807</v>
      </c>
      <c r="C2986" t="s">
        <v>1808</v>
      </c>
      <c r="D2986" t="s">
        <v>26</v>
      </c>
      <c r="E2986" t="s">
        <v>91</v>
      </c>
      <c r="F2986">
        <v>1</v>
      </c>
      <c r="G2986" s="3" t="s">
        <v>5</v>
      </c>
      <c r="H2986" s="46" t="s">
        <v>15</v>
      </c>
      <c r="I2986" s="17">
        <v>180000</v>
      </c>
      <c r="J2986" s="17">
        <f>IF(Gastos[[#This Row],[Divisa]]="$", I2986*1, IF(Gastos[[#This Row],[Divisa]]="U$D", I2986*$N$1, IF(Gastos[[#This Row],[Divisa]]="EUR", I2986*$N$2, 0)))</f>
        <v>180000</v>
      </c>
      <c r="K2986" s="54">
        <f>Gastos[[#This Row],[Importe AR$]]/$N$1</f>
        <v>115.38461538461539</v>
      </c>
      <c r="M2986" s="69"/>
      <c r="N2986" s="43" t="str">
        <f>IF(Gastos[[#This Row],[Fecha_Cheque]]&gt;0,WEEKNUM(Gastos[[#This Row],[Fecha_Cheque]]),MID(Gastos[[#This Row],[Semana]],6,2))</f>
        <v>23</v>
      </c>
      <c r="O2986" t="s">
        <v>1809</v>
      </c>
      <c r="P2986" t="s">
        <v>27</v>
      </c>
    </row>
    <row r="2987" spans="1:16" hidden="1" x14ac:dyDescent="0.25">
      <c r="A2987" s="3" t="s">
        <v>53</v>
      </c>
      <c r="B2987" t="s">
        <v>1807</v>
      </c>
      <c r="C2987" t="s">
        <v>1810</v>
      </c>
      <c r="D2987" t="s">
        <v>26</v>
      </c>
      <c r="E2987" t="s">
        <v>91</v>
      </c>
      <c r="F2987">
        <v>1</v>
      </c>
      <c r="G2987" s="3" t="s">
        <v>5</v>
      </c>
      <c r="H2987" s="46" t="s">
        <v>15</v>
      </c>
      <c r="I2987" s="17">
        <v>180000</v>
      </c>
      <c r="J2987" s="17">
        <f>IF(Gastos[[#This Row],[Divisa]]="$", I2987*1, IF(Gastos[[#This Row],[Divisa]]="U$D", I2987*$N$1, IF(Gastos[[#This Row],[Divisa]]="EUR", I2987*$N$2, 0)))</f>
        <v>180000</v>
      </c>
      <c r="K2987" s="54">
        <f>Gastos[[#This Row],[Importe AR$]]/$N$1</f>
        <v>115.38461538461539</v>
      </c>
      <c r="M2987" s="69"/>
      <c r="N2987" s="43" t="str">
        <f>IF(Gastos[[#This Row],[Fecha_Cheque]]&gt;0,WEEKNUM(Gastos[[#This Row],[Fecha_Cheque]]),MID(Gastos[[#This Row],[Semana]],6,2))</f>
        <v>34</v>
      </c>
      <c r="O2987" t="s">
        <v>1811</v>
      </c>
      <c r="P2987" t="s">
        <v>27</v>
      </c>
    </row>
    <row r="2988" spans="1:16" hidden="1" x14ac:dyDescent="0.25">
      <c r="A2988" s="3" t="s">
        <v>53</v>
      </c>
      <c r="B2988" t="s">
        <v>1807</v>
      </c>
      <c r="C2988" t="s">
        <v>1810</v>
      </c>
      <c r="D2988" t="s">
        <v>26</v>
      </c>
      <c r="E2988" t="s">
        <v>91</v>
      </c>
      <c r="F2988">
        <v>1</v>
      </c>
      <c r="G2988" s="3" t="s">
        <v>5</v>
      </c>
      <c r="H2988" s="46" t="s">
        <v>15</v>
      </c>
      <c r="I2988" s="17">
        <v>200000</v>
      </c>
      <c r="J2988" s="17">
        <f>IF(Gastos[[#This Row],[Divisa]]="$", I2988*1, IF(Gastos[[#This Row],[Divisa]]="U$D", I2988*$N$1, IF(Gastos[[#This Row],[Divisa]]="EUR", I2988*$N$2, 0)))</f>
        <v>200000</v>
      </c>
      <c r="K2988" s="54">
        <f>Gastos[[#This Row],[Importe AR$]]/$N$1</f>
        <v>128.2051282051282</v>
      </c>
      <c r="M2988" s="69"/>
      <c r="N2988" s="43" t="str">
        <f>IF(Gastos[[#This Row],[Fecha_Cheque]]&gt;0,WEEKNUM(Gastos[[#This Row],[Fecha_Cheque]]),MID(Gastos[[#This Row],[Semana]],6,2))</f>
        <v>34</v>
      </c>
      <c r="O2988" t="s">
        <v>1811</v>
      </c>
      <c r="P2988" t="s">
        <v>27</v>
      </c>
    </row>
    <row r="2989" spans="1:16" hidden="1" x14ac:dyDescent="0.25">
      <c r="A2989" s="3" t="s">
        <v>89</v>
      </c>
      <c r="B2989" t="s">
        <v>1807</v>
      </c>
      <c r="C2989" t="s">
        <v>1810</v>
      </c>
      <c r="D2989" t="s">
        <v>26</v>
      </c>
      <c r="E2989" t="s">
        <v>91</v>
      </c>
      <c r="F2989">
        <v>1</v>
      </c>
      <c r="G2989" s="3" t="s">
        <v>5</v>
      </c>
      <c r="H2989" s="46" t="s">
        <v>15</v>
      </c>
      <c r="I2989" s="17">
        <v>200000</v>
      </c>
      <c r="J2989" s="17">
        <f>IF(Gastos[[#This Row],[Divisa]]="$", I2989*1, IF(Gastos[[#This Row],[Divisa]]="U$D", I2989*$N$1, IF(Gastos[[#This Row],[Divisa]]="EUR", I2989*$N$2, 0)))</f>
        <v>200000</v>
      </c>
      <c r="K2989" s="54">
        <f>Gastos[[#This Row],[Importe AR$]]/$N$1</f>
        <v>128.2051282051282</v>
      </c>
      <c r="M2989" s="69"/>
      <c r="N2989" s="43" t="str">
        <f>IF(Gastos[[#This Row],[Fecha_Cheque]]&gt;0,WEEKNUM(Gastos[[#This Row],[Fecha_Cheque]]),MID(Gastos[[#This Row],[Semana]],6,2))</f>
        <v>39</v>
      </c>
      <c r="O2989" t="s">
        <v>1812</v>
      </c>
      <c r="P2989" t="s">
        <v>27</v>
      </c>
    </row>
    <row r="2990" spans="1:16" hidden="1" x14ac:dyDescent="0.25">
      <c r="A2990" s="3" t="s">
        <v>128</v>
      </c>
      <c r="B2990" t="s">
        <v>1807</v>
      </c>
      <c r="D2990" t="s">
        <v>26</v>
      </c>
      <c r="E2990" t="s">
        <v>91</v>
      </c>
      <c r="F2990">
        <v>1</v>
      </c>
      <c r="G2990" s="3" t="s">
        <v>5</v>
      </c>
      <c r="H2990" s="46" t="s">
        <v>15</v>
      </c>
      <c r="I2990" s="17">
        <v>200000</v>
      </c>
      <c r="J2990" s="17">
        <f>IF(Gastos[[#This Row],[Divisa]]="$", I2990*1, IF(Gastos[[#This Row],[Divisa]]="U$D", I2990*$N$1, IF(Gastos[[#This Row],[Divisa]]="EUR", I2990*$N$2, 0)))</f>
        <v>200000</v>
      </c>
      <c r="K2990" s="54">
        <f>Gastos[[#This Row],[Importe AR$]]/$N$1</f>
        <v>128.2051282051282</v>
      </c>
      <c r="M2990" s="69"/>
      <c r="N2990" s="43" t="str">
        <f>IF(Gastos[[#This Row],[Fecha_Cheque]]&gt;0,WEEKNUM(Gastos[[#This Row],[Fecha_Cheque]]),MID(Gastos[[#This Row],[Semana]],6,2))</f>
        <v>43</v>
      </c>
      <c r="O2990" t="s">
        <v>1813</v>
      </c>
      <c r="P2990" t="s">
        <v>27</v>
      </c>
    </row>
    <row r="2991" spans="1:16" hidden="1" x14ac:dyDescent="0.25">
      <c r="A2991" s="3" t="s">
        <v>60</v>
      </c>
      <c r="B2991" t="s">
        <v>1807</v>
      </c>
      <c r="C2991" t="s">
        <v>1814</v>
      </c>
      <c r="D2991" t="s">
        <v>26</v>
      </c>
      <c r="E2991" t="s">
        <v>91</v>
      </c>
      <c r="F2991">
        <v>1</v>
      </c>
      <c r="G2991" s="3" t="s">
        <v>5</v>
      </c>
      <c r="H2991" s="46" t="s">
        <v>15</v>
      </c>
      <c r="I2991" s="17">
        <v>200000</v>
      </c>
      <c r="J2991" s="17">
        <f>IF(Gastos[[#This Row],[Divisa]]="$", I2991*1, IF(Gastos[[#This Row],[Divisa]]="U$D", I2991*$N$1, IF(Gastos[[#This Row],[Divisa]]="EUR", I2991*$N$2, 0)))</f>
        <v>200000</v>
      </c>
      <c r="K2991" s="54">
        <f>Gastos[[#This Row],[Importe AR$]]/$N$1</f>
        <v>128.2051282051282</v>
      </c>
      <c r="M2991" s="69"/>
      <c r="N2991" s="43" t="str">
        <f>IF(Gastos[[#This Row],[Fecha_Cheque]]&gt;0,WEEKNUM(Gastos[[#This Row],[Fecha_Cheque]]),MID(Gastos[[#This Row],[Semana]],6,2))</f>
        <v>46</v>
      </c>
      <c r="O2991" t="s">
        <v>1815</v>
      </c>
      <c r="P2991" t="s">
        <v>27</v>
      </c>
    </row>
    <row r="2992" spans="1:16" hidden="1" x14ac:dyDescent="0.25">
      <c r="A2992" s="3" t="s">
        <v>93</v>
      </c>
      <c r="B2992" t="s">
        <v>1807</v>
      </c>
      <c r="D2992" t="s">
        <v>26</v>
      </c>
      <c r="E2992" t="s">
        <v>91</v>
      </c>
      <c r="F2992">
        <v>1</v>
      </c>
      <c r="G2992" s="3" t="s">
        <v>5</v>
      </c>
      <c r="H2992" s="46" t="s">
        <v>15</v>
      </c>
      <c r="I2992" s="17">
        <v>200000</v>
      </c>
      <c r="J2992" s="17">
        <f>IF(Gastos[[#This Row],[Divisa]]="$", I2992*1, IF(Gastos[[#This Row],[Divisa]]="U$D", I2992*$N$1, IF(Gastos[[#This Row],[Divisa]]="EUR", I2992*$N$2, 0)))</f>
        <v>200000</v>
      </c>
      <c r="K2992" s="54">
        <f>Gastos[[#This Row],[Importe AR$]]/$N$1</f>
        <v>128.2051282051282</v>
      </c>
      <c r="M2992" s="69"/>
      <c r="N2992" s="43" t="str">
        <f>IF(Gastos[[#This Row],[Fecha_Cheque]]&gt;0,WEEKNUM(Gastos[[#This Row],[Fecha_Cheque]]),MID(Gastos[[#This Row],[Semana]],6,2))</f>
        <v>50</v>
      </c>
      <c r="O2992" t="s">
        <v>1816</v>
      </c>
      <c r="P2992" t="s">
        <v>27</v>
      </c>
    </row>
    <row r="2993" spans="1:16" hidden="1" x14ac:dyDescent="0.25">
      <c r="A2993" s="3" t="s">
        <v>2711</v>
      </c>
      <c r="B2993" t="s">
        <v>1807</v>
      </c>
      <c r="C2993" t="s">
        <v>2809</v>
      </c>
      <c r="D2993" t="s">
        <v>26</v>
      </c>
      <c r="E2993" t="s">
        <v>91</v>
      </c>
      <c r="F2993">
        <v>1</v>
      </c>
      <c r="G2993" s="3" t="s">
        <v>5</v>
      </c>
      <c r="H2993" s="46" t="s">
        <v>15</v>
      </c>
      <c r="I2993" s="17">
        <v>750000</v>
      </c>
      <c r="J2993" s="17">
        <f>IF(Gastos[[#This Row],[Divisa]]="$", I2993*1, IF(Gastos[[#This Row],[Divisa]]="U$D", I2993*$N$1, IF(Gastos[[#This Row],[Divisa]]="EUR", I2993*$N$2, 0)))</f>
        <v>750000</v>
      </c>
      <c r="K2993" s="54">
        <f>Gastos[[#This Row],[Importe AR$]]/$N$1</f>
        <v>480.76923076923077</v>
      </c>
      <c r="M2993" s="69"/>
      <c r="N2993" s="43" t="str">
        <f>IF(Gastos[[#This Row],[Fecha_Cheque]]&gt;0,WEEKNUM(Gastos[[#This Row],[Fecha_Cheque]]),MID(Gastos[[#This Row],[Semana]],6,2))</f>
        <v>15</v>
      </c>
      <c r="O2993" t="s">
        <v>2945</v>
      </c>
      <c r="P2993" t="s">
        <v>27</v>
      </c>
    </row>
    <row r="2994" spans="1:16" hidden="1" x14ac:dyDescent="0.25">
      <c r="A2994" s="3" t="s">
        <v>2763</v>
      </c>
      <c r="B2994" t="s">
        <v>1807</v>
      </c>
      <c r="C2994" t="s">
        <v>2809</v>
      </c>
      <c r="D2994" t="s">
        <v>26</v>
      </c>
      <c r="E2994" t="s">
        <v>91</v>
      </c>
      <c r="F2994">
        <v>1</v>
      </c>
      <c r="G2994" s="3" t="s">
        <v>5</v>
      </c>
      <c r="H2994" s="44" t="s">
        <v>15</v>
      </c>
      <c r="I2994" s="17">
        <v>250000</v>
      </c>
      <c r="J2994" s="17">
        <f>IF(Gastos[[#This Row],[Divisa]]="$", I2994*1, IF(Gastos[[#This Row],[Divisa]]="U$D", I2994*$N$1, IF(Gastos[[#This Row],[Divisa]]="EUR", I2994*$N$2, 0)))</f>
        <v>250000</v>
      </c>
      <c r="K2994" s="54">
        <f>Gastos[[#This Row],[Importe AR$]]/$N$1</f>
        <v>160.25641025641025</v>
      </c>
      <c r="M2994" s="69"/>
      <c r="N2994" s="43" t="str">
        <f>IF(Gastos[[#This Row],[Fecha_Cheque]]&gt;0,WEEKNUM(Gastos[[#This Row],[Fecha_Cheque]]),MID(Gastos[[#This Row],[Semana]],6,2))</f>
        <v>23</v>
      </c>
      <c r="O2994" t="s">
        <v>3364</v>
      </c>
      <c r="P2994" t="s">
        <v>27</v>
      </c>
    </row>
    <row r="2995" spans="1:16" x14ac:dyDescent="0.25">
      <c r="A2995" s="3" t="s">
        <v>4655</v>
      </c>
      <c r="B2995" t="s">
        <v>3406</v>
      </c>
      <c r="C2995" t="s">
        <v>3407</v>
      </c>
      <c r="D2995" t="s">
        <v>26</v>
      </c>
      <c r="E2995" t="s">
        <v>62</v>
      </c>
      <c r="F2995">
        <v>1</v>
      </c>
      <c r="G2995" s="3" t="s">
        <v>32</v>
      </c>
      <c r="H2995" s="46" t="s">
        <v>15</v>
      </c>
      <c r="I2995" s="17">
        <v>4528680.96</v>
      </c>
      <c r="J2995" s="17">
        <f>IF(Gastos[[#This Row],[Divisa]]="$", I2995*1, IF(Gastos[[#This Row],[Divisa]]="U$D", I2995*$N$1, IF(Gastos[[#This Row],[Divisa]]="EUR", I2995*$N$2, 0)))</f>
        <v>4528680.96</v>
      </c>
      <c r="K2995" s="54">
        <f>Gastos[[#This Row],[Importe AR$]]/$N$1</f>
        <v>2903.0006153846152</v>
      </c>
      <c r="M2995" s="69"/>
      <c r="N2995" s="43" t="str">
        <f>IF(Gastos[[#This Row],[Fecha_Cheque]]&gt;0,WEEKNUM(Gastos[[#This Row],[Fecha_Cheque]]),MID(Gastos[[#This Row],[Semana]],6,2))</f>
        <v>44</v>
      </c>
    </row>
    <row r="2996" spans="1:16" x14ac:dyDescent="0.25">
      <c r="A2996" s="3" t="s">
        <v>4655</v>
      </c>
      <c r="B2996" t="s">
        <v>1644</v>
      </c>
      <c r="C2996" t="s">
        <v>1645</v>
      </c>
      <c r="D2996" t="s">
        <v>26</v>
      </c>
      <c r="E2996" t="s">
        <v>62</v>
      </c>
      <c r="F2996">
        <v>1</v>
      </c>
      <c r="G2996" s="3" t="s">
        <v>32</v>
      </c>
      <c r="H2996" s="46" t="s">
        <v>15</v>
      </c>
      <c r="I2996" s="17">
        <v>42800000</v>
      </c>
      <c r="J2996" s="17">
        <f>IF(Gastos[[#This Row],[Divisa]]="$", I2996*1, IF(Gastos[[#This Row],[Divisa]]="U$D", I2996*$N$1, IF(Gastos[[#This Row],[Divisa]]="EUR", I2996*$N$2, 0)))</f>
        <v>42800000</v>
      </c>
      <c r="K2996" s="54">
        <f>Gastos[[#This Row],[Importe AR$]]/$N$1</f>
        <v>27435.897435897437</v>
      </c>
      <c r="M2996" s="69"/>
      <c r="N2996" s="43" t="str">
        <f>IF(Gastos[[#This Row],[Fecha_Cheque]]&gt;0,WEEKNUM(Gastos[[#This Row],[Fecha_Cheque]]),MID(Gastos[[#This Row],[Semana]],6,2))</f>
        <v>44</v>
      </c>
    </row>
    <row r="2997" spans="1:16" hidden="1" x14ac:dyDescent="0.25">
      <c r="A2997" s="3" t="s">
        <v>4569</v>
      </c>
      <c r="B2997" t="s">
        <v>1807</v>
      </c>
      <c r="C2997" t="s">
        <v>422</v>
      </c>
      <c r="D2997" t="s">
        <v>26</v>
      </c>
      <c r="E2997" t="s">
        <v>62</v>
      </c>
      <c r="F2997">
        <v>1</v>
      </c>
      <c r="G2997" s="3" t="s">
        <v>5</v>
      </c>
      <c r="H2997" s="44" t="s">
        <v>15</v>
      </c>
      <c r="I2997" s="17">
        <v>750000</v>
      </c>
      <c r="J2997" s="17">
        <f>IF(Gastos[[#This Row],[Divisa]]="$", I2997*1, IF(Gastos[[#This Row],[Divisa]]="U$D", I2997*$N$1, IF(Gastos[[#This Row],[Divisa]]="EUR", I2997*$N$2, 0)))</f>
        <v>750000</v>
      </c>
      <c r="K2997" s="54">
        <f>Gastos[[#This Row],[Importe AR$]]/$N$1</f>
        <v>480.76923076923077</v>
      </c>
      <c r="M2997" s="69"/>
      <c r="N2997" s="43" t="str">
        <f>IF(Gastos[[#This Row],[Fecha_Cheque]]&gt;0,WEEKNUM(Gastos[[#This Row],[Fecha_Cheque]]),MID(Gastos[[#This Row],[Semana]],6,2))</f>
        <v>43</v>
      </c>
      <c r="O2997" t="s">
        <v>4643</v>
      </c>
      <c r="P2997" t="s">
        <v>27</v>
      </c>
    </row>
    <row r="2998" spans="1:16" hidden="1" x14ac:dyDescent="0.25">
      <c r="A2998" s="3" t="s">
        <v>99</v>
      </c>
      <c r="B2998" t="s">
        <v>1818</v>
      </c>
      <c r="C2998" t="s">
        <v>1819</v>
      </c>
      <c r="D2998" t="s">
        <v>26</v>
      </c>
      <c r="E2998" t="s">
        <v>31</v>
      </c>
      <c r="F2998">
        <v>1</v>
      </c>
      <c r="G2998" s="3" t="s">
        <v>5</v>
      </c>
      <c r="H2998" s="46" t="s">
        <v>15</v>
      </c>
      <c r="I2998" s="17">
        <v>1125955.1599999999</v>
      </c>
      <c r="J2998" s="17">
        <f>IF(Gastos[[#This Row],[Divisa]]="$", I2998*1, IF(Gastos[[#This Row],[Divisa]]="U$D", I2998*$N$1, IF(Gastos[[#This Row],[Divisa]]="EUR", I2998*$N$2, 0)))</f>
        <v>1125955.1599999999</v>
      </c>
      <c r="K2998" s="54">
        <f>Gastos[[#This Row],[Importe AR$]]/$N$1</f>
        <v>721.7661282051281</v>
      </c>
      <c r="M2998" s="69"/>
      <c r="N2998" s="43" t="str">
        <f>IF(Gastos[[#This Row],[Fecha_Cheque]]&gt;0,WEEKNUM(Gastos[[#This Row],[Fecha_Cheque]]),MID(Gastos[[#This Row],[Semana]],6,2))</f>
        <v>28</v>
      </c>
      <c r="O2998" t="s">
        <v>1820</v>
      </c>
      <c r="P2998" t="s">
        <v>27</v>
      </c>
    </row>
    <row r="2999" spans="1:16" hidden="1" x14ac:dyDescent="0.25">
      <c r="A2999" s="3" t="s">
        <v>64</v>
      </c>
      <c r="B2999" t="s">
        <v>1818</v>
      </c>
      <c r="C2999" t="s">
        <v>1821</v>
      </c>
      <c r="D2999" t="s">
        <v>26</v>
      </c>
      <c r="E2999" t="s">
        <v>31</v>
      </c>
      <c r="F2999">
        <v>1</v>
      </c>
      <c r="G2999" s="3" t="s">
        <v>32</v>
      </c>
      <c r="H2999" s="46" t="s">
        <v>15</v>
      </c>
      <c r="I2999" s="17">
        <v>361987.5</v>
      </c>
      <c r="J2999" s="17">
        <f>IF(Gastos[[#This Row],[Divisa]]="$", I2999*1, IF(Gastos[[#This Row],[Divisa]]="U$D", I2999*$N$1, IF(Gastos[[#This Row],[Divisa]]="EUR", I2999*$N$2, 0)))</f>
        <v>361987.5</v>
      </c>
      <c r="K2999" s="54">
        <f>Gastos[[#This Row],[Importe AR$]]/$N$1</f>
        <v>232.04326923076923</v>
      </c>
      <c r="M2999" s="69">
        <v>45886</v>
      </c>
      <c r="N2999" s="43">
        <f>IF(Gastos[[#This Row],[Fecha_Cheque]]&gt;0,WEEKNUM(Gastos[[#This Row],[Fecha_Cheque]]),MID(Gastos[[#This Row],[Semana]],6,2))</f>
        <v>34</v>
      </c>
      <c r="P2999" t="s">
        <v>27</v>
      </c>
    </row>
    <row r="3000" spans="1:16" hidden="1" x14ac:dyDescent="0.25">
      <c r="A3000" s="3" t="s">
        <v>64</v>
      </c>
      <c r="B3000" t="s">
        <v>1818</v>
      </c>
      <c r="C3000" t="s">
        <v>1821</v>
      </c>
      <c r="D3000" t="s">
        <v>26</v>
      </c>
      <c r="E3000" t="s">
        <v>31</v>
      </c>
      <c r="F3000">
        <v>1</v>
      </c>
      <c r="G3000" s="3" t="s">
        <v>32</v>
      </c>
      <c r="H3000" s="46" t="s">
        <v>15</v>
      </c>
      <c r="I3000" s="17">
        <v>96855.15</v>
      </c>
      <c r="J3000" s="17">
        <f>IF(Gastos[[#This Row],[Divisa]]="$", I3000*1, IF(Gastos[[#This Row],[Divisa]]="U$D", I3000*$N$1, IF(Gastos[[#This Row],[Divisa]]="EUR", I3000*$N$2, 0)))</f>
        <v>96855.15</v>
      </c>
      <c r="K3000" s="54">
        <f>Gastos[[#This Row],[Importe AR$]]/$N$1</f>
        <v>62.086634615384611</v>
      </c>
      <c r="M3000" s="69">
        <v>45882</v>
      </c>
      <c r="N3000" s="43">
        <f>IF(Gastos[[#This Row],[Fecha_Cheque]]&gt;0,WEEKNUM(Gastos[[#This Row],[Fecha_Cheque]]),MID(Gastos[[#This Row],[Semana]],6,2))</f>
        <v>33</v>
      </c>
      <c r="P3000" t="s">
        <v>27</v>
      </c>
    </row>
    <row r="3001" spans="1:16" hidden="1" x14ac:dyDescent="0.25">
      <c r="A3001" s="3" t="s">
        <v>232</v>
      </c>
      <c r="B3001" t="s">
        <v>1818</v>
      </c>
      <c r="C3001" t="s">
        <v>1822</v>
      </c>
      <c r="D3001" t="s">
        <v>26</v>
      </c>
      <c r="E3001" t="s">
        <v>31</v>
      </c>
      <c r="F3001">
        <v>1</v>
      </c>
      <c r="G3001" s="3" t="s">
        <v>5</v>
      </c>
      <c r="H3001" s="46" t="s">
        <v>15</v>
      </c>
      <c r="I3001" s="17">
        <v>770267.6</v>
      </c>
      <c r="J3001" s="17">
        <f>IF(Gastos[[#This Row],[Divisa]]="$", I3001*1, IF(Gastos[[#This Row],[Divisa]]="U$D", I3001*$N$1, IF(Gastos[[#This Row],[Divisa]]="EUR", I3001*$N$2, 0)))</f>
        <v>770267.6</v>
      </c>
      <c r="K3001" s="54">
        <f>Gastos[[#This Row],[Importe AR$]]/$N$1</f>
        <v>493.76128205128202</v>
      </c>
      <c r="M3001" s="69"/>
      <c r="N3001" s="43" t="str">
        <f>IF(Gastos[[#This Row],[Fecha_Cheque]]&gt;0,WEEKNUM(Gastos[[#This Row],[Fecha_Cheque]]),MID(Gastos[[#This Row],[Semana]],6,2))</f>
        <v>44</v>
      </c>
      <c r="O3001" t="s">
        <v>1823</v>
      </c>
      <c r="P3001" t="s">
        <v>27</v>
      </c>
    </row>
    <row r="3002" spans="1:16" hidden="1" x14ac:dyDescent="0.25">
      <c r="A3002" s="3" t="s">
        <v>180</v>
      </c>
      <c r="B3002" t="s">
        <v>1818</v>
      </c>
      <c r="C3002" t="s">
        <v>1929</v>
      </c>
      <c r="D3002" t="s">
        <v>26</v>
      </c>
      <c r="E3002" t="s">
        <v>31</v>
      </c>
      <c r="F3002">
        <v>1</v>
      </c>
      <c r="G3002" s="3" t="s">
        <v>32</v>
      </c>
      <c r="H3002" s="46" t="s">
        <v>15</v>
      </c>
      <c r="I3002" s="17">
        <v>946051</v>
      </c>
      <c r="J3002" s="17">
        <f>IF(Gastos[[#This Row],[Divisa]]="$", I3002*1, IF(Gastos[[#This Row],[Divisa]]="U$D", I3002*$N$1, IF(Gastos[[#This Row],[Divisa]]="EUR", I3002*$N$2, 0)))</f>
        <v>946051</v>
      </c>
      <c r="K3002" s="54">
        <f>Gastos[[#This Row],[Importe AR$]]/$N$1</f>
        <v>606.44294871794875</v>
      </c>
      <c r="M3002" s="69">
        <v>46048</v>
      </c>
      <c r="N3002" s="43">
        <f>IF(Gastos[[#This Row],[Fecha_Cheque]]&gt;0,WEEKNUM(Gastos[[#This Row],[Fecha_Cheque]]),MID(Gastos[[#This Row],[Semana]],6,2))</f>
        <v>5</v>
      </c>
      <c r="O3002" t="s">
        <v>1930</v>
      </c>
      <c r="P3002" t="s">
        <v>27</v>
      </c>
    </row>
    <row r="3003" spans="1:16" hidden="1" x14ac:dyDescent="0.25">
      <c r="A3003" s="3" t="s">
        <v>619</v>
      </c>
      <c r="B3003" t="s">
        <v>1818</v>
      </c>
      <c r="C3003" t="s">
        <v>1929</v>
      </c>
      <c r="D3003" t="s">
        <v>26</v>
      </c>
      <c r="E3003" t="s">
        <v>62</v>
      </c>
      <c r="F3003">
        <v>1</v>
      </c>
      <c r="G3003" s="3" t="s">
        <v>5</v>
      </c>
      <c r="H3003" s="46" t="s">
        <v>15</v>
      </c>
      <c r="I3003" s="17">
        <v>163795.69</v>
      </c>
      <c r="J3003" s="17">
        <f>IF(Gastos[[#This Row],[Divisa]]="$", I3003*1, IF(Gastos[[#This Row],[Divisa]]="U$D", I3003*$N$1, IF(Gastos[[#This Row],[Divisa]]="EUR", I3003*$N$2, 0)))</f>
        <v>163795.69</v>
      </c>
      <c r="K3003" s="54">
        <f>Gastos[[#This Row],[Importe AR$]]/$N$1</f>
        <v>104.99723717948719</v>
      </c>
      <c r="M3003" s="69"/>
      <c r="N3003" s="43" t="str">
        <f>IF(Gastos[[#This Row],[Fecha_Cheque]]&gt;0,WEEKNUM(Gastos[[#This Row],[Fecha_Cheque]]),MID(Gastos[[#This Row],[Semana]],6,2))</f>
        <v>10</v>
      </c>
      <c r="O3003" t="s">
        <v>2186</v>
      </c>
      <c r="P3003" t="s">
        <v>27</v>
      </c>
    </row>
    <row r="3004" spans="1:16" hidden="1" x14ac:dyDescent="0.25">
      <c r="A3004" s="3" t="s">
        <v>44</v>
      </c>
      <c r="B3004" t="s">
        <v>1829</v>
      </c>
      <c r="C3004" t="s">
        <v>1830</v>
      </c>
      <c r="D3004" t="s">
        <v>26</v>
      </c>
      <c r="E3004" t="s">
        <v>31</v>
      </c>
      <c r="F3004">
        <v>1</v>
      </c>
      <c r="G3004" s="3" t="s">
        <v>5</v>
      </c>
      <c r="H3004" s="46" t="s">
        <v>15</v>
      </c>
      <c r="I3004" s="17">
        <v>33000</v>
      </c>
      <c r="J3004" s="17">
        <f>IF(Gastos[[#This Row],[Divisa]]="$", I3004*1, IF(Gastos[[#This Row],[Divisa]]="U$D", I3004*$N$1, IF(Gastos[[#This Row],[Divisa]]="EUR", I3004*$N$2, 0)))</f>
        <v>33000</v>
      </c>
      <c r="K3004" s="54">
        <f>Gastos[[#This Row],[Importe AR$]]/$N$1</f>
        <v>21.153846153846153</v>
      </c>
      <c r="M3004" s="69"/>
      <c r="N3004" s="43" t="str">
        <f>IF(Gastos[[#This Row],[Fecha_Cheque]]&gt;0,WEEKNUM(Gastos[[#This Row],[Fecha_Cheque]]),MID(Gastos[[#This Row],[Semana]],6,2))</f>
        <v>51</v>
      </c>
      <c r="O3004" t="s">
        <v>1831</v>
      </c>
      <c r="P3004" t="s">
        <v>27</v>
      </c>
    </row>
    <row r="3005" spans="1:16" hidden="1" x14ac:dyDescent="0.25">
      <c r="A3005" s="3" t="s">
        <v>79</v>
      </c>
      <c r="B3005" t="s">
        <v>1832</v>
      </c>
      <c r="D3005" t="s">
        <v>26</v>
      </c>
      <c r="E3005" t="s">
        <v>31</v>
      </c>
      <c r="F3005">
        <v>1</v>
      </c>
      <c r="G3005" s="3" t="s">
        <v>5</v>
      </c>
      <c r="H3005" s="46" t="s">
        <v>15</v>
      </c>
      <c r="I3005" s="17">
        <v>70000</v>
      </c>
      <c r="J3005" s="17">
        <f>IF(Gastos[[#This Row],[Divisa]]="$", I3005*1, IF(Gastos[[#This Row],[Divisa]]="U$D", I3005*$N$1, IF(Gastos[[#This Row],[Divisa]]="EUR", I3005*$N$2, 0)))</f>
        <v>70000</v>
      </c>
      <c r="K3005" s="54">
        <f>Gastos[[#This Row],[Importe AR$]]/$N$1</f>
        <v>44.871794871794869</v>
      </c>
      <c r="M3005" s="69"/>
      <c r="N3005" s="43" t="str">
        <f>IF(Gastos[[#This Row],[Fecha_Cheque]]&gt;0,WEEKNUM(Gastos[[#This Row],[Fecha_Cheque]]),MID(Gastos[[#This Row],[Semana]],6,2))</f>
        <v>47</v>
      </c>
      <c r="O3005" t="s">
        <v>1833</v>
      </c>
      <c r="P3005" t="s">
        <v>27</v>
      </c>
    </row>
    <row r="3006" spans="1:16" hidden="1" x14ac:dyDescent="0.25">
      <c r="A3006" s="3" t="s">
        <v>152</v>
      </c>
      <c r="B3006" t="s">
        <v>1832</v>
      </c>
      <c r="C3006" t="s">
        <v>1834</v>
      </c>
      <c r="D3006" t="s">
        <v>26</v>
      </c>
      <c r="E3006" t="s">
        <v>31</v>
      </c>
      <c r="F3006">
        <v>1</v>
      </c>
      <c r="G3006" s="3" t="s">
        <v>5</v>
      </c>
      <c r="H3006" s="46" t="s">
        <v>15</v>
      </c>
      <c r="I3006" s="17">
        <v>30000</v>
      </c>
      <c r="J3006" s="17">
        <f>IF(Gastos[[#This Row],[Divisa]]="$", I3006*1, IF(Gastos[[#This Row],[Divisa]]="U$D", I3006*$N$1, IF(Gastos[[#This Row],[Divisa]]="EUR", I3006*$N$2, 0)))</f>
        <v>30000</v>
      </c>
      <c r="K3006" s="54">
        <f>Gastos[[#This Row],[Importe AR$]]/$N$1</f>
        <v>19.23076923076923</v>
      </c>
      <c r="M3006" s="69"/>
      <c r="N3006" s="43" t="str">
        <f>IF(Gastos[[#This Row],[Fecha_Cheque]]&gt;0,WEEKNUM(Gastos[[#This Row],[Fecha_Cheque]]),MID(Gastos[[#This Row],[Semana]],6,2))</f>
        <v>04</v>
      </c>
      <c r="O3006" t="s">
        <v>1835</v>
      </c>
      <c r="P3006" t="s">
        <v>27</v>
      </c>
    </row>
    <row r="3007" spans="1:16" hidden="1" x14ac:dyDescent="0.25">
      <c r="A3007" s="3" t="s">
        <v>68</v>
      </c>
      <c r="B3007" t="s">
        <v>1832</v>
      </c>
      <c r="C3007" t="s">
        <v>1836</v>
      </c>
      <c r="D3007" t="s">
        <v>26</v>
      </c>
      <c r="E3007" t="s">
        <v>31</v>
      </c>
      <c r="F3007">
        <v>1</v>
      </c>
      <c r="G3007" s="3" t="s">
        <v>5</v>
      </c>
      <c r="H3007" s="46" t="s">
        <v>15</v>
      </c>
      <c r="I3007" s="17">
        <v>30000</v>
      </c>
      <c r="J3007" s="17">
        <f>IF(Gastos[[#This Row],[Divisa]]="$", I3007*1, IF(Gastos[[#This Row],[Divisa]]="U$D", I3007*$N$1, IF(Gastos[[#This Row],[Divisa]]="EUR", I3007*$N$2, 0)))</f>
        <v>30000</v>
      </c>
      <c r="K3007" s="54">
        <f>Gastos[[#This Row],[Importe AR$]]/$N$1</f>
        <v>19.23076923076923</v>
      </c>
      <c r="M3007" s="69"/>
      <c r="N3007" s="43" t="str">
        <f>IF(Gastos[[#This Row],[Fecha_Cheque]]&gt;0,WEEKNUM(Gastos[[#This Row],[Fecha_Cheque]]),MID(Gastos[[#This Row],[Semana]],6,2))</f>
        <v>05</v>
      </c>
      <c r="O3007" t="s">
        <v>1837</v>
      </c>
      <c r="P3007" t="s">
        <v>27</v>
      </c>
    </row>
    <row r="3008" spans="1:16" hidden="1" x14ac:dyDescent="0.25">
      <c r="A3008" s="3" t="s">
        <v>828</v>
      </c>
      <c r="B3008" t="s">
        <v>1832</v>
      </c>
      <c r="C3008" t="s">
        <v>2817</v>
      </c>
      <c r="D3008" t="s">
        <v>26</v>
      </c>
      <c r="E3008" t="s">
        <v>42</v>
      </c>
      <c r="F3008">
        <v>1</v>
      </c>
      <c r="G3008" s="3" t="s">
        <v>4</v>
      </c>
      <c r="H3008" s="44" t="s">
        <v>15</v>
      </c>
      <c r="I3008" s="17">
        <v>40000</v>
      </c>
      <c r="J3008" s="17">
        <f>IF(Gastos[[#This Row],[Divisa]]="$", I3008*1, IF(Gastos[[#This Row],[Divisa]]="U$D", I3008*$N$1, IF(Gastos[[#This Row],[Divisa]]="EUR", I3008*$N$2, 0)))</f>
        <v>40000</v>
      </c>
      <c r="K3008" s="54">
        <f>Gastos[[#This Row],[Importe AR$]]/$N$1</f>
        <v>25.641025641025642</v>
      </c>
      <c r="M3008" s="69"/>
      <c r="N3008" s="43" t="str">
        <f>IF(Gastos[[#This Row],[Fecha_Cheque]]&gt;0,WEEKNUM(Gastos[[#This Row],[Fecha_Cheque]]),MID(Gastos[[#This Row],[Semana]],6,2))</f>
        <v>13</v>
      </c>
      <c r="O3008" t="s">
        <v>2818</v>
      </c>
      <c r="P3008" t="s">
        <v>27</v>
      </c>
    </row>
    <row r="3009" spans="1:16" hidden="1" x14ac:dyDescent="0.25">
      <c r="A3009" s="3" t="s">
        <v>2740</v>
      </c>
      <c r="B3009" t="s">
        <v>1832</v>
      </c>
      <c r="C3009" t="s">
        <v>2999</v>
      </c>
      <c r="D3009" t="s">
        <v>26</v>
      </c>
      <c r="E3009" t="s">
        <v>42</v>
      </c>
      <c r="F3009">
        <v>1</v>
      </c>
      <c r="G3009" s="3" t="s">
        <v>4</v>
      </c>
      <c r="H3009" s="44" t="s">
        <v>15</v>
      </c>
      <c r="I3009" s="17">
        <v>80000</v>
      </c>
      <c r="J3009" s="17">
        <f>IF(Gastos[[#This Row],[Divisa]]="$", I3009*1, IF(Gastos[[#This Row],[Divisa]]="U$D", I3009*$N$1, IF(Gastos[[#This Row],[Divisa]]="EUR", I3009*$N$2, 0)))</f>
        <v>80000</v>
      </c>
      <c r="K3009" s="54">
        <f>Gastos[[#This Row],[Importe AR$]]/$N$1</f>
        <v>51.282051282051285</v>
      </c>
      <c r="M3009" s="69"/>
      <c r="N3009" s="43" t="str">
        <f>IF(Gastos[[#This Row],[Fecha_Cheque]]&gt;0,WEEKNUM(Gastos[[#This Row],[Fecha_Cheque]]),MID(Gastos[[#This Row],[Semana]],6,2))</f>
        <v>16</v>
      </c>
      <c r="O3009" t="s">
        <v>3000</v>
      </c>
      <c r="P3009" t="s">
        <v>27</v>
      </c>
    </row>
    <row r="3010" spans="1:16" hidden="1" x14ac:dyDescent="0.25">
      <c r="A3010" s="3" t="s">
        <v>2773</v>
      </c>
      <c r="B3010" t="s">
        <v>1832</v>
      </c>
      <c r="C3010" t="s">
        <v>2819</v>
      </c>
      <c r="D3010" t="s">
        <v>26</v>
      </c>
      <c r="E3010" t="s">
        <v>42</v>
      </c>
      <c r="F3010">
        <v>1</v>
      </c>
      <c r="G3010" s="3" t="s">
        <v>4</v>
      </c>
      <c r="H3010" s="44" t="s">
        <v>15</v>
      </c>
      <c r="I3010" s="17">
        <v>18000</v>
      </c>
      <c r="J3010" s="17">
        <f>IF(Gastos[[#This Row],[Divisa]]="$", I3010*1, IF(Gastos[[#This Row],[Divisa]]="U$D", I3010*$N$1, IF(Gastos[[#This Row],[Divisa]]="EUR", I3010*$N$2, 0)))</f>
        <v>18000</v>
      </c>
      <c r="K3010" s="54">
        <f>Gastos[[#This Row],[Importe AR$]]/$N$1</f>
        <v>11.538461538461538</v>
      </c>
      <c r="M3010" s="69"/>
      <c r="N3010" s="43" t="str">
        <f>IF(Gastos[[#This Row],[Fecha_Cheque]]&gt;0,WEEKNUM(Gastos[[#This Row],[Fecha_Cheque]]),MID(Gastos[[#This Row],[Semana]],6,2))</f>
        <v>20</v>
      </c>
      <c r="O3010" t="s">
        <v>3204</v>
      </c>
      <c r="P3010" t="s">
        <v>27</v>
      </c>
    </row>
    <row r="3011" spans="1:16" hidden="1" x14ac:dyDescent="0.25">
      <c r="A3011" s="3" t="s">
        <v>2726</v>
      </c>
      <c r="B3011" t="s">
        <v>1832</v>
      </c>
      <c r="C3011" t="s">
        <v>3458</v>
      </c>
      <c r="D3011" t="s">
        <v>26</v>
      </c>
      <c r="E3011" t="s">
        <v>31</v>
      </c>
      <c r="F3011">
        <v>1</v>
      </c>
      <c r="G3011" s="3" t="s">
        <v>5</v>
      </c>
      <c r="H3011" s="44" t="s">
        <v>15</v>
      </c>
      <c r="I3011" s="17">
        <v>20000</v>
      </c>
      <c r="J3011" s="17">
        <f>IF(Gastos[[#This Row],[Divisa]]="$", I3011*1, IF(Gastos[[#This Row],[Divisa]]="U$D", I3011*$N$1, IF(Gastos[[#This Row],[Divisa]]="EUR", I3011*$N$2, 0)))</f>
        <v>20000</v>
      </c>
      <c r="K3011" s="54">
        <f>Gastos[[#This Row],[Importe AR$]]/$N$1</f>
        <v>12.820512820512821</v>
      </c>
      <c r="M3011" s="69"/>
      <c r="N3011" s="43" t="str">
        <f>IF(Gastos[[#This Row],[Fecha_Cheque]]&gt;0,WEEKNUM(Gastos[[#This Row],[Fecha_Cheque]]),MID(Gastos[[#This Row],[Semana]],6,2))</f>
        <v>24</v>
      </c>
      <c r="O3011" t="s">
        <v>3459</v>
      </c>
      <c r="P3011" t="s">
        <v>27</v>
      </c>
    </row>
    <row r="3012" spans="1:16" hidden="1" x14ac:dyDescent="0.25">
      <c r="A3012" s="3" t="s">
        <v>53</v>
      </c>
      <c r="B3012" t="s">
        <v>1738</v>
      </c>
      <c r="C3012" t="s">
        <v>383</v>
      </c>
      <c r="D3012" t="s">
        <v>26</v>
      </c>
      <c r="E3012" t="s">
        <v>91</v>
      </c>
      <c r="F3012">
        <v>1</v>
      </c>
      <c r="G3012" s="3" t="s">
        <v>5</v>
      </c>
      <c r="H3012" s="46" t="s">
        <v>15</v>
      </c>
      <c r="I3012" s="17">
        <v>378000</v>
      </c>
      <c r="J3012" s="17">
        <f>IF(Gastos[[#This Row],[Divisa]]="$", I3012*1, IF(Gastos[[#This Row],[Divisa]]="U$D", I3012*$N$1, IF(Gastos[[#This Row],[Divisa]]="EUR", I3012*$N$2, 0)))</f>
        <v>378000</v>
      </c>
      <c r="K3012" s="54">
        <f>Gastos[[#This Row],[Importe AR$]]/$N$1</f>
        <v>242.30769230769232</v>
      </c>
      <c r="M3012" s="69"/>
      <c r="N3012" s="43" t="str">
        <f>IF(Gastos[[#This Row],[Fecha_Cheque]]&gt;0,WEEKNUM(Gastos[[#This Row],[Fecha_Cheque]]),MID(Gastos[[#This Row],[Semana]],6,2))</f>
        <v>34</v>
      </c>
      <c r="O3012" t="s">
        <v>1739</v>
      </c>
      <c r="P3012" t="s">
        <v>27</v>
      </c>
    </row>
    <row r="3013" spans="1:16" hidden="1" x14ac:dyDescent="0.25">
      <c r="A3013" s="3" t="s">
        <v>89</v>
      </c>
      <c r="B3013" t="s">
        <v>1738</v>
      </c>
      <c r="C3013" t="s">
        <v>383</v>
      </c>
      <c r="D3013" t="s">
        <v>26</v>
      </c>
      <c r="E3013" t="s">
        <v>91</v>
      </c>
      <c r="F3013">
        <v>1</v>
      </c>
      <c r="G3013" s="3" t="s">
        <v>5</v>
      </c>
      <c r="H3013" s="46" t="s">
        <v>15</v>
      </c>
      <c r="I3013" s="17">
        <v>291500</v>
      </c>
      <c r="J3013" s="17">
        <f>IF(Gastos[[#This Row],[Divisa]]="$", I3013*1, IF(Gastos[[#This Row],[Divisa]]="U$D", I3013*$N$1, IF(Gastos[[#This Row],[Divisa]]="EUR", I3013*$N$2, 0)))</f>
        <v>291500</v>
      </c>
      <c r="K3013" s="54">
        <f>Gastos[[#This Row],[Importe AR$]]/$N$1</f>
        <v>186.85897435897436</v>
      </c>
      <c r="M3013" s="69"/>
      <c r="N3013" s="43" t="str">
        <f>IF(Gastos[[#This Row],[Fecha_Cheque]]&gt;0,WEEKNUM(Gastos[[#This Row],[Fecha_Cheque]]),MID(Gastos[[#This Row],[Semana]],6,2))</f>
        <v>39</v>
      </c>
      <c r="O3013" t="s">
        <v>1022</v>
      </c>
      <c r="P3013" t="s">
        <v>27</v>
      </c>
    </row>
    <row r="3014" spans="1:16" hidden="1" x14ac:dyDescent="0.25">
      <c r="A3014" s="3" t="s">
        <v>128</v>
      </c>
      <c r="B3014" t="s">
        <v>1738</v>
      </c>
      <c r="C3014" t="s">
        <v>383</v>
      </c>
      <c r="D3014" t="s">
        <v>26</v>
      </c>
      <c r="E3014" t="s">
        <v>91</v>
      </c>
      <c r="F3014">
        <v>1</v>
      </c>
      <c r="G3014" s="3" t="s">
        <v>5</v>
      </c>
      <c r="H3014" s="46" t="s">
        <v>15</v>
      </c>
      <c r="I3014" s="17">
        <v>291500</v>
      </c>
      <c r="J3014" s="17">
        <f>IF(Gastos[[#This Row],[Divisa]]="$", I3014*1, IF(Gastos[[#This Row],[Divisa]]="U$D", I3014*$N$1, IF(Gastos[[#This Row],[Divisa]]="EUR", I3014*$N$2, 0)))</f>
        <v>291500</v>
      </c>
      <c r="K3014" s="54">
        <f>Gastos[[#This Row],[Importe AR$]]/$N$1</f>
        <v>186.85897435897436</v>
      </c>
      <c r="M3014" s="69"/>
      <c r="N3014" s="43" t="str">
        <f>IF(Gastos[[#This Row],[Fecha_Cheque]]&gt;0,WEEKNUM(Gastos[[#This Row],[Fecha_Cheque]]),MID(Gastos[[#This Row],[Semana]],6,2))</f>
        <v>43</v>
      </c>
      <c r="O3014" t="s">
        <v>1740</v>
      </c>
      <c r="P3014" t="s">
        <v>27</v>
      </c>
    </row>
    <row r="3015" spans="1:16" hidden="1" x14ac:dyDescent="0.25">
      <c r="A3015" s="3" t="s">
        <v>60</v>
      </c>
      <c r="B3015" t="s">
        <v>1738</v>
      </c>
      <c r="C3015" t="s">
        <v>383</v>
      </c>
      <c r="D3015" t="s">
        <v>26</v>
      </c>
      <c r="E3015" t="s">
        <v>91</v>
      </c>
      <c r="F3015">
        <v>1</v>
      </c>
      <c r="G3015" s="3" t="s">
        <v>5</v>
      </c>
      <c r="H3015" s="46" t="s">
        <v>15</v>
      </c>
      <c r="I3015" s="17">
        <v>216000</v>
      </c>
      <c r="J3015" s="17">
        <f>IF(Gastos[[#This Row],[Divisa]]="$", I3015*1, IF(Gastos[[#This Row],[Divisa]]="U$D", I3015*$N$1, IF(Gastos[[#This Row],[Divisa]]="EUR", I3015*$N$2, 0)))</f>
        <v>216000</v>
      </c>
      <c r="K3015" s="54">
        <f>Gastos[[#This Row],[Importe AR$]]/$N$1</f>
        <v>138.46153846153845</v>
      </c>
      <c r="M3015" s="69"/>
      <c r="N3015" s="43" t="str">
        <f>IF(Gastos[[#This Row],[Fecha_Cheque]]&gt;0,WEEKNUM(Gastos[[#This Row],[Fecha_Cheque]]),MID(Gastos[[#This Row],[Semana]],6,2))</f>
        <v>46</v>
      </c>
      <c r="O3015" t="s">
        <v>1534</v>
      </c>
      <c r="P3015" t="s">
        <v>27</v>
      </c>
    </row>
    <row r="3016" spans="1:16" hidden="1" x14ac:dyDescent="0.25">
      <c r="A3016" s="3" t="s">
        <v>93</v>
      </c>
      <c r="B3016" t="s">
        <v>1738</v>
      </c>
      <c r="C3016" t="s">
        <v>383</v>
      </c>
      <c r="D3016" t="s">
        <v>26</v>
      </c>
      <c r="E3016" t="s">
        <v>91</v>
      </c>
      <c r="F3016">
        <v>1</v>
      </c>
      <c r="G3016" s="3" t="s">
        <v>5</v>
      </c>
      <c r="H3016" s="46" t="s">
        <v>15</v>
      </c>
      <c r="I3016" s="17">
        <v>216000</v>
      </c>
      <c r="J3016" s="17">
        <f>IF(Gastos[[#This Row],[Divisa]]="$", I3016*1, IF(Gastos[[#This Row],[Divisa]]="U$D", I3016*$N$1, IF(Gastos[[#This Row],[Divisa]]="EUR", I3016*$N$2, 0)))</f>
        <v>216000</v>
      </c>
      <c r="K3016" s="54">
        <f>Gastos[[#This Row],[Importe AR$]]/$N$1</f>
        <v>138.46153846153845</v>
      </c>
      <c r="M3016" s="69"/>
      <c r="N3016" s="43" t="str">
        <f>IF(Gastos[[#This Row],[Fecha_Cheque]]&gt;0,WEEKNUM(Gastos[[#This Row],[Fecha_Cheque]]),MID(Gastos[[#This Row],[Semana]],6,2))</f>
        <v>50</v>
      </c>
      <c r="O3016" t="s">
        <v>1741</v>
      </c>
      <c r="P3016" t="s">
        <v>27</v>
      </c>
    </row>
    <row r="3017" spans="1:16" hidden="1" x14ac:dyDescent="0.25">
      <c r="A3017" s="3" t="s">
        <v>50</v>
      </c>
      <c r="B3017" t="s">
        <v>1738</v>
      </c>
      <c r="C3017" t="s">
        <v>383</v>
      </c>
      <c r="D3017" t="s">
        <v>26</v>
      </c>
      <c r="E3017" t="s">
        <v>91</v>
      </c>
      <c r="F3017">
        <v>1</v>
      </c>
      <c r="G3017" s="3" t="s">
        <v>5</v>
      </c>
      <c r="H3017" s="46" t="s">
        <v>15</v>
      </c>
      <c r="I3017" s="17">
        <v>144000</v>
      </c>
      <c r="J3017" s="17">
        <f>IF(Gastos[[#This Row],[Divisa]]="$", I3017*1, IF(Gastos[[#This Row],[Divisa]]="U$D", I3017*$N$1, IF(Gastos[[#This Row],[Divisa]]="EUR", I3017*$N$2, 0)))</f>
        <v>144000</v>
      </c>
      <c r="K3017" s="54">
        <f>Gastos[[#This Row],[Importe AR$]]/$N$1</f>
        <v>92.307692307692307</v>
      </c>
      <c r="M3017" s="69"/>
      <c r="N3017" s="43" t="str">
        <f>IF(Gastos[[#This Row],[Fecha_Cheque]]&gt;0,WEEKNUM(Gastos[[#This Row],[Fecha_Cheque]]),MID(Gastos[[#This Row],[Semana]],6,2))</f>
        <v>25</v>
      </c>
      <c r="P3017" t="s">
        <v>27</v>
      </c>
    </row>
    <row r="3018" spans="1:16" hidden="1" x14ac:dyDescent="0.25">
      <c r="A3018" s="3" t="s">
        <v>53</v>
      </c>
      <c r="B3018" t="s">
        <v>1738</v>
      </c>
      <c r="C3018" t="s">
        <v>383</v>
      </c>
      <c r="D3018" t="s">
        <v>26</v>
      </c>
      <c r="E3018" t="s">
        <v>31</v>
      </c>
      <c r="F3018">
        <v>1</v>
      </c>
      <c r="G3018" s="3" t="s">
        <v>5</v>
      </c>
      <c r="H3018" s="46" t="s">
        <v>15</v>
      </c>
      <c r="I3018" s="17">
        <v>378000</v>
      </c>
      <c r="J3018" s="17">
        <f>IF(Gastos[[#This Row],[Divisa]]="$", I3018*1, IF(Gastos[[#This Row],[Divisa]]="U$D", I3018*$N$1, IF(Gastos[[#This Row],[Divisa]]="EUR", I3018*$N$2, 0)))</f>
        <v>378000</v>
      </c>
      <c r="K3018" s="54">
        <f>Gastos[[#This Row],[Importe AR$]]/$N$1</f>
        <v>242.30769230769232</v>
      </c>
      <c r="M3018" s="69"/>
      <c r="N3018" s="43" t="str">
        <f>IF(Gastos[[#This Row],[Fecha_Cheque]]&gt;0,WEEKNUM(Gastos[[#This Row],[Fecha_Cheque]]),MID(Gastos[[#This Row],[Semana]],6,2))</f>
        <v>34</v>
      </c>
      <c r="O3018" t="s">
        <v>1739</v>
      </c>
      <c r="P3018" t="s">
        <v>27</v>
      </c>
    </row>
    <row r="3019" spans="1:16" hidden="1" x14ac:dyDescent="0.25">
      <c r="A3019" s="3" t="s">
        <v>75</v>
      </c>
      <c r="B3019" t="s">
        <v>1738</v>
      </c>
      <c r="C3019" t="s">
        <v>383</v>
      </c>
      <c r="D3019" t="s">
        <v>26</v>
      </c>
      <c r="E3019" t="s">
        <v>91</v>
      </c>
      <c r="F3019">
        <v>1</v>
      </c>
      <c r="G3019" s="3" t="s">
        <v>5</v>
      </c>
      <c r="H3019" s="46" t="s">
        <v>15</v>
      </c>
      <c r="I3019" s="17">
        <v>288000</v>
      </c>
      <c r="J3019" s="17">
        <f>IF(Gastos[[#This Row],[Divisa]]="$", I3019*1, IF(Gastos[[#This Row],[Divisa]]="U$D", I3019*$N$1, IF(Gastos[[#This Row],[Divisa]]="EUR", I3019*$N$2, 0)))</f>
        <v>288000</v>
      </c>
      <c r="K3019" s="54">
        <f>Gastos[[#This Row],[Importe AR$]]/$N$1</f>
        <v>184.61538461538461</v>
      </c>
      <c r="M3019" s="69"/>
      <c r="N3019" s="43" t="str">
        <f>IF(Gastos[[#This Row],[Fecha_Cheque]]&gt;0,WEEKNUM(Gastos[[#This Row],[Fecha_Cheque]]),MID(Gastos[[#This Row],[Semana]],6,2))</f>
        <v>07</v>
      </c>
      <c r="O3019" t="s">
        <v>1838</v>
      </c>
      <c r="P3019" t="s">
        <v>27</v>
      </c>
    </row>
    <row r="3020" spans="1:16" hidden="1" x14ac:dyDescent="0.25">
      <c r="A3020" s="3" t="s">
        <v>2711</v>
      </c>
      <c r="B3020" t="s">
        <v>1738</v>
      </c>
      <c r="C3020" t="s">
        <v>383</v>
      </c>
      <c r="D3020" t="s">
        <v>26</v>
      </c>
      <c r="E3020" t="s">
        <v>91</v>
      </c>
      <c r="F3020">
        <v>1</v>
      </c>
      <c r="G3020" s="3" t="s">
        <v>5</v>
      </c>
      <c r="H3020" s="44" t="s">
        <v>15</v>
      </c>
      <c r="I3020" s="17">
        <v>288000</v>
      </c>
      <c r="J3020" s="17">
        <f>IF(Gastos[[#This Row],[Divisa]]="$", I3020*1, IF(Gastos[[#This Row],[Divisa]]="U$D", I3020*$N$1, IF(Gastos[[#This Row],[Divisa]]="EUR", I3020*$N$2, 0)))</f>
        <v>288000</v>
      </c>
      <c r="K3020" s="54">
        <f>Gastos[[#This Row],[Importe AR$]]/$N$1</f>
        <v>184.61538461538461</v>
      </c>
      <c r="M3020" s="69"/>
      <c r="N3020" s="43" t="str">
        <f>IF(Gastos[[#This Row],[Fecha_Cheque]]&gt;0,WEEKNUM(Gastos[[#This Row],[Fecha_Cheque]]),MID(Gastos[[#This Row],[Semana]],6,2))</f>
        <v>15</v>
      </c>
      <c r="O3020" t="s">
        <v>2939</v>
      </c>
      <c r="P3020" t="s">
        <v>27</v>
      </c>
    </row>
    <row r="3021" spans="1:16" hidden="1" x14ac:dyDescent="0.25">
      <c r="A3021" s="3" t="s">
        <v>2763</v>
      </c>
      <c r="B3021" t="s">
        <v>1738</v>
      </c>
      <c r="C3021" t="s">
        <v>383</v>
      </c>
      <c r="D3021" t="s">
        <v>26</v>
      </c>
      <c r="E3021" t="s">
        <v>91</v>
      </c>
      <c r="F3021">
        <v>1</v>
      </c>
      <c r="G3021" s="3" t="s">
        <v>5</v>
      </c>
      <c r="H3021" s="44" t="s">
        <v>15</v>
      </c>
      <c r="I3021" s="17">
        <v>241200</v>
      </c>
      <c r="J3021" s="17">
        <f>IF(Gastos[[#This Row],[Divisa]]="$", I3021*1, IF(Gastos[[#This Row],[Divisa]]="U$D", I3021*$N$1, IF(Gastos[[#This Row],[Divisa]]="EUR", I3021*$N$2, 0)))</f>
        <v>241200</v>
      </c>
      <c r="K3021" s="54">
        <f>Gastos[[#This Row],[Importe AR$]]/$N$1</f>
        <v>154.61538461538461</v>
      </c>
      <c r="M3021" s="69"/>
      <c r="N3021" s="43" t="str">
        <f>IF(Gastos[[#This Row],[Fecha_Cheque]]&gt;0,WEEKNUM(Gastos[[#This Row],[Fecha_Cheque]]),MID(Gastos[[#This Row],[Semana]],6,2))</f>
        <v>23</v>
      </c>
      <c r="O3021" t="s">
        <v>3365</v>
      </c>
      <c r="P3021" t="s">
        <v>27</v>
      </c>
    </row>
    <row r="3022" spans="1:16" hidden="1" x14ac:dyDescent="0.25">
      <c r="A3022" s="3" t="s">
        <v>4569</v>
      </c>
      <c r="B3022" t="s">
        <v>1738</v>
      </c>
      <c r="C3022" t="s">
        <v>422</v>
      </c>
      <c r="D3022" t="s">
        <v>26</v>
      </c>
      <c r="E3022" t="s">
        <v>62</v>
      </c>
      <c r="F3022">
        <v>1</v>
      </c>
      <c r="G3022" s="3" t="s">
        <v>5</v>
      </c>
      <c r="H3022" s="44" t="s">
        <v>15</v>
      </c>
      <c r="I3022" s="17">
        <v>1038000</v>
      </c>
      <c r="J3022" s="17">
        <f>IF(Gastos[[#This Row],[Divisa]]="$", I3022*1, IF(Gastos[[#This Row],[Divisa]]="U$D", I3022*$N$1, IF(Gastos[[#This Row],[Divisa]]="EUR", I3022*$N$2, 0)))</f>
        <v>1038000</v>
      </c>
      <c r="K3022" s="54">
        <f>Gastos[[#This Row],[Importe AR$]]/$N$1</f>
        <v>665.38461538461536</v>
      </c>
      <c r="M3022" s="69"/>
      <c r="N3022" s="43" t="str">
        <f>IF(Gastos[[#This Row],[Fecha_Cheque]]&gt;0,WEEKNUM(Gastos[[#This Row],[Fecha_Cheque]]),MID(Gastos[[#This Row],[Semana]],6,2))</f>
        <v>43</v>
      </c>
      <c r="O3022" t="s">
        <v>4640</v>
      </c>
      <c r="P3022" t="s">
        <v>27</v>
      </c>
    </row>
    <row r="3023" spans="1:16" hidden="1" x14ac:dyDescent="0.25">
      <c r="A3023" s="3" t="s">
        <v>2740</v>
      </c>
      <c r="B3023" t="s">
        <v>2994</v>
      </c>
      <c r="C3023" t="s">
        <v>2995</v>
      </c>
      <c r="D3023" t="s">
        <v>26</v>
      </c>
      <c r="E3023" t="s">
        <v>31</v>
      </c>
      <c r="F3023">
        <v>1</v>
      </c>
      <c r="G3023" s="3" t="s">
        <v>5</v>
      </c>
      <c r="H3023" s="44" t="s">
        <v>15</v>
      </c>
      <c r="I3023" s="17">
        <v>2865924.25</v>
      </c>
      <c r="J3023" s="17">
        <f>IF(Gastos[[#This Row],[Divisa]]="$", I3023*1, IF(Gastos[[#This Row],[Divisa]]="U$D", I3023*$N$1, IF(Gastos[[#This Row],[Divisa]]="EUR", I3023*$N$2, 0)))</f>
        <v>2865924.25</v>
      </c>
      <c r="K3023" s="54">
        <f>Gastos[[#This Row],[Importe AR$]]/$N$1</f>
        <v>1837.1309294871794</v>
      </c>
      <c r="M3023" s="69"/>
      <c r="N3023" s="43" t="str">
        <f>IF(Gastos[[#This Row],[Fecha_Cheque]]&gt;0,WEEKNUM(Gastos[[#This Row],[Fecha_Cheque]]),MID(Gastos[[#This Row],[Semana]],6,2))</f>
        <v>16</v>
      </c>
      <c r="O3023" t="s">
        <v>2996</v>
      </c>
      <c r="P3023" t="s">
        <v>27</v>
      </c>
    </row>
    <row r="3024" spans="1:16" hidden="1" x14ac:dyDescent="0.25">
      <c r="A3024" s="3" t="s">
        <v>2740</v>
      </c>
      <c r="B3024" t="s">
        <v>2994</v>
      </c>
      <c r="C3024" t="s">
        <v>2995</v>
      </c>
      <c r="D3024" t="s">
        <v>26</v>
      </c>
      <c r="E3024" t="s">
        <v>31</v>
      </c>
      <c r="F3024">
        <v>1</v>
      </c>
      <c r="G3024" s="3" t="s">
        <v>5</v>
      </c>
      <c r="H3024" s="44" t="s">
        <v>15</v>
      </c>
      <c r="I3024" s="17">
        <v>43611.5</v>
      </c>
      <c r="J3024" s="17">
        <f>IF(Gastos[[#This Row],[Divisa]]="$", I3024*1, IF(Gastos[[#This Row],[Divisa]]="U$D", I3024*$N$1, IF(Gastos[[#This Row],[Divisa]]="EUR", I3024*$N$2, 0)))</f>
        <v>43611.5</v>
      </c>
      <c r="K3024" s="54">
        <f>Gastos[[#This Row],[Importe AR$]]/$N$1</f>
        <v>27.956089743589743</v>
      </c>
      <c r="L3024" t="s">
        <v>340</v>
      </c>
      <c r="M3024" s="69"/>
      <c r="N3024" s="43" t="str">
        <f>IF(Gastos[[#This Row],[Fecha_Cheque]]&gt;0,WEEKNUM(Gastos[[#This Row],[Fecha_Cheque]]),MID(Gastos[[#This Row],[Semana]],6,2))</f>
        <v>16</v>
      </c>
      <c r="O3024" t="s">
        <v>2996</v>
      </c>
      <c r="P3024" t="s">
        <v>27</v>
      </c>
    </row>
    <row r="3025" spans="1:16" hidden="1" x14ac:dyDescent="0.25">
      <c r="A3025" s="3" t="s">
        <v>3617</v>
      </c>
      <c r="B3025" t="s">
        <v>2994</v>
      </c>
      <c r="C3025" t="s">
        <v>3644</v>
      </c>
      <c r="D3025" t="s">
        <v>26</v>
      </c>
      <c r="E3025" t="s">
        <v>31</v>
      </c>
      <c r="F3025">
        <v>1</v>
      </c>
      <c r="G3025" s="3" t="s">
        <v>5</v>
      </c>
      <c r="H3025" s="44" t="s">
        <v>15</v>
      </c>
      <c r="I3025" s="17">
        <v>1432962.13</v>
      </c>
      <c r="J3025" s="17">
        <f>IF(Gastos[[#This Row],[Divisa]]="$", I3025*1, IF(Gastos[[#This Row],[Divisa]]="U$D", I3025*$N$1, IF(Gastos[[#This Row],[Divisa]]="EUR", I3025*$N$2, 0)))</f>
        <v>1432962.13</v>
      </c>
      <c r="K3025" s="54">
        <f>Gastos[[#This Row],[Importe AR$]]/$N$1</f>
        <v>918.56546794871792</v>
      </c>
      <c r="M3025" s="69"/>
      <c r="N3025" s="43" t="str">
        <f>IF(Gastos[[#This Row],[Fecha_Cheque]]&gt;0,WEEKNUM(Gastos[[#This Row],[Fecha_Cheque]]),MID(Gastos[[#This Row],[Semana]],6,2))</f>
        <v>27</v>
      </c>
      <c r="O3025" t="s">
        <v>3657</v>
      </c>
      <c r="P3025" t="s">
        <v>27</v>
      </c>
    </row>
    <row r="3026" spans="1:16" hidden="1" x14ac:dyDescent="0.25">
      <c r="A3026" s="3" t="s">
        <v>2773</v>
      </c>
      <c r="B3026" t="s">
        <v>3263</v>
      </c>
      <c r="C3026" t="s">
        <v>3264</v>
      </c>
      <c r="D3026" t="s">
        <v>26</v>
      </c>
      <c r="E3026" t="s">
        <v>31</v>
      </c>
      <c r="F3026">
        <v>1</v>
      </c>
      <c r="G3026" s="3" t="s">
        <v>32</v>
      </c>
      <c r="H3026" s="44" t="s">
        <v>15</v>
      </c>
      <c r="I3026" s="17">
        <v>916972</v>
      </c>
      <c r="J3026" s="17">
        <f>IF(Gastos[[#This Row],[Divisa]]="$", I3026*1, IF(Gastos[[#This Row],[Divisa]]="U$D", I3026*$N$1, IF(Gastos[[#This Row],[Divisa]]="EUR", I3026*$N$2, 0)))</f>
        <v>916972</v>
      </c>
      <c r="K3026" s="54">
        <f>Gastos[[#This Row],[Importe AR$]]/$N$1</f>
        <v>587.80256410256413</v>
      </c>
      <c r="M3026" s="69">
        <v>46188</v>
      </c>
      <c r="N3026" s="43">
        <f>IF(Gastos[[#This Row],[Fecha_Cheque]]&gt;0,WEEKNUM(Gastos[[#This Row],[Fecha_Cheque]]),MID(Gastos[[#This Row],[Semana]],6,2))</f>
        <v>25</v>
      </c>
      <c r="O3026" t="s">
        <v>3265</v>
      </c>
      <c r="P3026" t="s">
        <v>27</v>
      </c>
    </row>
    <row r="3027" spans="1:16" hidden="1" x14ac:dyDescent="0.25">
      <c r="A3027" s="3" t="s">
        <v>2773</v>
      </c>
      <c r="B3027" t="s">
        <v>3263</v>
      </c>
      <c r="C3027" t="s">
        <v>3264</v>
      </c>
      <c r="D3027" t="s">
        <v>26</v>
      </c>
      <c r="E3027" t="s">
        <v>31</v>
      </c>
      <c r="F3027">
        <v>1</v>
      </c>
      <c r="G3027" s="3" t="s">
        <v>32</v>
      </c>
      <c r="H3027" s="44" t="s">
        <v>15</v>
      </c>
      <c r="I3027" s="17">
        <v>10856</v>
      </c>
      <c r="J3027" s="17">
        <f>IF(Gastos[[#This Row],[Divisa]]="$", I3027*1, IF(Gastos[[#This Row],[Divisa]]="U$D", I3027*$N$1, IF(Gastos[[#This Row],[Divisa]]="EUR", I3027*$N$2, 0)))</f>
        <v>10856</v>
      </c>
      <c r="K3027" s="54">
        <f>Gastos[[#This Row],[Importe AR$]]/$N$1</f>
        <v>6.9589743589743591</v>
      </c>
      <c r="L3027" t="s">
        <v>340</v>
      </c>
      <c r="M3027" s="69"/>
      <c r="N3027" s="43" t="str">
        <f>IF(Gastos[[#This Row],[Fecha_Cheque]]&gt;0,WEEKNUM(Gastos[[#This Row],[Fecha_Cheque]]),MID(Gastos[[#This Row],[Semana]],6,2))</f>
        <v>20</v>
      </c>
      <c r="O3027" t="s">
        <v>3265</v>
      </c>
      <c r="P3027" t="s">
        <v>27</v>
      </c>
    </row>
    <row r="3028" spans="1:16" hidden="1" x14ac:dyDescent="0.25">
      <c r="A3028" s="3" t="s">
        <v>2841</v>
      </c>
      <c r="B3028" t="s">
        <v>3263</v>
      </c>
      <c r="C3028" t="s">
        <v>3277</v>
      </c>
      <c r="D3028" t="s">
        <v>26</v>
      </c>
      <c r="E3028" t="s">
        <v>31</v>
      </c>
      <c r="F3028">
        <v>1</v>
      </c>
      <c r="G3028" s="3" t="s">
        <v>32</v>
      </c>
      <c r="H3028" s="44" t="s">
        <v>15</v>
      </c>
      <c r="I3028" s="17">
        <v>3296538</v>
      </c>
      <c r="J3028" s="17">
        <f>IF(Gastos[[#This Row],[Divisa]]="$", I3028*1, IF(Gastos[[#This Row],[Divisa]]="U$D", I3028*$N$1, IF(Gastos[[#This Row],[Divisa]]="EUR", I3028*$N$2, 0)))</f>
        <v>3296538</v>
      </c>
      <c r="K3028" s="54">
        <f>Gastos[[#This Row],[Importe AR$]]/$N$1</f>
        <v>2113.1653846153845</v>
      </c>
      <c r="M3028" s="69">
        <v>46199</v>
      </c>
      <c r="N3028" s="43">
        <f>IF(Gastos[[#This Row],[Fecha_Cheque]]&gt;0,WEEKNUM(Gastos[[#This Row],[Fecha_Cheque]]),MID(Gastos[[#This Row],[Semana]],6,2))</f>
        <v>26</v>
      </c>
      <c r="O3028" t="s">
        <v>3278</v>
      </c>
      <c r="P3028" t="s">
        <v>27</v>
      </c>
    </row>
    <row r="3029" spans="1:16" hidden="1" x14ac:dyDescent="0.25">
      <c r="A3029" s="3" t="s">
        <v>2841</v>
      </c>
      <c r="B3029" t="s">
        <v>3263</v>
      </c>
      <c r="C3029" t="s">
        <v>3277</v>
      </c>
      <c r="D3029" t="s">
        <v>26</v>
      </c>
      <c r="E3029" t="s">
        <v>31</v>
      </c>
      <c r="F3029">
        <v>1</v>
      </c>
      <c r="G3029" s="3" t="s">
        <v>32</v>
      </c>
      <c r="H3029" s="44" t="s">
        <v>15</v>
      </c>
      <c r="I3029" s="17">
        <v>55404</v>
      </c>
      <c r="J3029" s="17">
        <f>IF(Gastos[[#This Row],[Divisa]]="$", I3029*1, IF(Gastos[[#This Row],[Divisa]]="U$D", I3029*$N$1, IF(Gastos[[#This Row],[Divisa]]="EUR", I3029*$N$2, 0)))</f>
        <v>55404</v>
      </c>
      <c r="K3029" s="54">
        <f>Gastos[[#This Row],[Importe AR$]]/$N$1</f>
        <v>35.515384615384619</v>
      </c>
      <c r="L3029" t="s">
        <v>340</v>
      </c>
      <c r="M3029" s="69"/>
      <c r="N3029" s="43" t="str">
        <f>IF(Gastos[[#This Row],[Fecha_Cheque]]&gt;0,WEEKNUM(Gastos[[#This Row],[Fecha_Cheque]]),MID(Gastos[[#This Row],[Semana]],6,2))</f>
        <v>22</v>
      </c>
      <c r="O3029" t="s">
        <v>3278</v>
      </c>
      <c r="P3029" t="s">
        <v>27</v>
      </c>
    </row>
    <row r="3030" spans="1:16" hidden="1" x14ac:dyDescent="0.25">
      <c r="A3030" s="3" t="s">
        <v>2841</v>
      </c>
      <c r="B3030" t="s">
        <v>3263</v>
      </c>
      <c r="C3030" t="s">
        <v>2473</v>
      </c>
      <c r="D3030" t="s">
        <v>26</v>
      </c>
      <c r="E3030" t="s">
        <v>31</v>
      </c>
      <c r="F3030">
        <v>1</v>
      </c>
      <c r="G3030" s="3" t="s">
        <v>32</v>
      </c>
      <c r="H3030" s="44" t="s">
        <v>15</v>
      </c>
      <c r="I3030" s="17">
        <v>1058007.3400000001</v>
      </c>
      <c r="J3030" s="17">
        <f>IF(Gastos[[#This Row],[Divisa]]="$", I3030*1, IF(Gastos[[#This Row],[Divisa]]="U$D", I3030*$N$1, IF(Gastos[[#This Row],[Divisa]]="EUR", I3030*$N$2, 0)))</f>
        <v>1058007.3400000001</v>
      </c>
      <c r="K3030" s="54">
        <f>Gastos[[#This Row],[Importe AR$]]/$N$1</f>
        <v>678.20983333333334</v>
      </c>
      <c r="M3030" s="69">
        <v>46204</v>
      </c>
      <c r="N3030" s="43">
        <f>IF(Gastos[[#This Row],[Fecha_Cheque]]&gt;0,WEEKNUM(Gastos[[#This Row],[Fecha_Cheque]]),MID(Gastos[[#This Row],[Semana]],6,2))</f>
        <v>27</v>
      </c>
      <c r="O3030" t="s">
        <v>3279</v>
      </c>
      <c r="P3030" t="s">
        <v>27</v>
      </c>
    </row>
    <row r="3031" spans="1:16" hidden="1" x14ac:dyDescent="0.25">
      <c r="A3031" s="3" t="s">
        <v>2841</v>
      </c>
      <c r="B3031" t="s">
        <v>3263</v>
      </c>
      <c r="C3031" t="s">
        <v>2473</v>
      </c>
      <c r="D3031" t="s">
        <v>26</v>
      </c>
      <c r="E3031" t="s">
        <v>31</v>
      </c>
      <c r="F3031">
        <v>1</v>
      </c>
      <c r="G3031" s="3" t="s">
        <v>32</v>
      </c>
      <c r="H3031" s="44" t="s">
        <v>15</v>
      </c>
      <c r="I3031" s="17">
        <v>17781.64</v>
      </c>
      <c r="J3031" s="17">
        <f>IF(Gastos[[#This Row],[Divisa]]="$", I3031*1, IF(Gastos[[#This Row],[Divisa]]="U$D", I3031*$N$1, IF(Gastos[[#This Row],[Divisa]]="EUR", I3031*$N$2, 0)))</f>
        <v>17781.64</v>
      </c>
      <c r="K3031" s="54">
        <f>Gastos[[#This Row],[Importe AR$]]/$N$1</f>
        <v>11.398487179487178</v>
      </c>
      <c r="L3031" t="s">
        <v>340</v>
      </c>
      <c r="M3031" s="69"/>
      <c r="N3031" s="43" t="str">
        <f>IF(Gastos[[#This Row],[Fecha_Cheque]]&gt;0,WEEKNUM(Gastos[[#This Row],[Fecha_Cheque]]),MID(Gastos[[#This Row],[Semana]],6,2))</f>
        <v>22</v>
      </c>
      <c r="O3031" t="s">
        <v>3279</v>
      </c>
      <c r="P3031" t="s">
        <v>27</v>
      </c>
    </row>
    <row r="3032" spans="1:16" hidden="1" x14ac:dyDescent="0.25">
      <c r="A3032" s="3" t="s">
        <v>3617</v>
      </c>
      <c r="B3032" t="s">
        <v>3263</v>
      </c>
      <c r="C3032" t="s">
        <v>3644</v>
      </c>
      <c r="D3032" t="s">
        <v>26</v>
      </c>
      <c r="E3032" t="s">
        <v>31</v>
      </c>
      <c r="F3032">
        <v>1</v>
      </c>
      <c r="G3032" s="3" t="s">
        <v>5</v>
      </c>
      <c r="H3032" s="44" t="s">
        <v>15</v>
      </c>
      <c r="I3032" s="17">
        <v>3296538</v>
      </c>
      <c r="J3032" s="17">
        <f>IF(Gastos[[#This Row],[Divisa]]="$", I3032*1, IF(Gastos[[#This Row],[Divisa]]="U$D", I3032*$N$1, IF(Gastos[[#This Row],[Divisa]]="EUR", I3032*$N$2, 0)))</f>
        <v>3296538</v>
      </c>
      <c r="K3032" s="54">
        <f>Gastos[[#This Row],[Importe AR$]]/$N$1</f>
        <v>2113.1653846153845</v>
      </c>
      <c r="M3032" s="69"/>
      <c r="N3032" s="43" t="str">
        <f>IF(Gastos[[#This Row],[Fecha_Cheque]]&gt;0,WEEKNUM(Gastos[[#This Row],[Fecha_Cheque]]),MID(Gastos[[#This Row],[Semana]],6,2))</f>
        <v>27</v>
      </c>
      <c r="O3032" t="s">
        <v>3647</v>
      </c>
      <c r="P3032" t="s">
        <v>27</v>
      </c>
    </row>
    <row r="3033" spans="1:16" hidden="1" x14ac:dyDescent="0.25">
      <c r="A3033" s="3" t="s">
        <v>4211</v>
      </c>
      <c r="B3033" t="s">
        <v>3263</v>
      </c>
      <c r="C3033" t="s">
        <v>3264</v>
      </c>
      <c r="D3033" t="s">
        <v>26</v>
      </c>
      <c r="E3033" t="s">
        <v>31</v>
      </c>
      <c r="F3033">
        <v>1</v>
      </c>
      <c r="G3033" s="3" t="s">
        <v>32</v>
      </c>
      <c r="H3033" s="44" t="s">
        <v>15</v>
      </c>
      <c r="I3033" s="17">
        <v>532118.86</v>
      </c>
      <c r="J3033" s="17">
        <f>IF(Gastos[[#This Row],[Divisa]]="$", I3033*1, IF(Gastos[[#This Row],[Divisa]]="U$D", I3033*$N$1, IF(Gastos[[#This Row],[Divisa]]="EUR", I3033*$N$2, 0)))</f>
        <v>532118.86</v>
      </c>
      <c r="K3033" s="54">
        <f>Gastos[[#This Row],[Importe AR$]]/$N$1</f>
        <v>341.10183333333333</v>
      </c>
      <c r="M3033" s="69">
        <v>46302</v>
      </c>
      <c r="N3033" s="43">
        <f>IF(Gastos[[#This Row],[Fecha_Cheque]]&gt;0,WEEKNUM(Gastos[[#This Row],[Fecha_Cheque]]),MID(Gastos[[#This Row],[Semana]],6,2))</f>
        <v>41</v>
      </c>
      <c r="O3033" t="s">
        <v>4214</v>
      </c>
      <c r="P3033" t="s">
        <v>27</v>
      </c>
    </row>
    <row r="3034" spans="1:16" hidden="1" x14ac:dyDescent="0.25">
      <c r="A3034" s="3" t="s">
        <v>4211</v>
      </c>
      <c r="B3034" t="s">
        <v>3263</v>
      </c>
      <c r="C3034" t="s">
        <v>3264</v>
      </c>
      <c r="D3034" t="s">
        <v>26</v>
      </c>
      <c r="E3034" t="s">
        <v>31</v>
      </c>
      <c r="F3034">
        <v>1</v>
      </c>
      <c r="G3034" s="3" t="s">
        <v>32</v>
      </c>
      <c r="H3034" s="44" t="s">
        <v>15</v>
      </c>
      <c r="I3034" s="17">
        <v>4387.88</v>
      </c>
      <c r="J3034" s="17">
        <f>IF(Gastos[[#This Row],[Divisa]]="$", I3034*1, IF(Gastos[[#This Row],[Divisa]]="U$D", I3034*$N$1, IF(Gastos[[#This Row],[Divisa]]="EUR", I3034*$N$2, 0)))</f>
        <v>4387.88</v>
      </c>
      <c r="K3034" s="54">
        <f>Gastos[[#This Row],[Importe AR$]]/$N$1</f>
        <v>2.8127435897435897</v>
      </c>
      <c r="L3034" t="s">
        <v>340</v>
      </c>
      <c r="M3034" s="69">
        <v>46302</v>
      </c>
      <c r="N3034" s="43">
        <f>IF(Gastos[[#This Row],[Fecha_Cheque]]&gt;0,WEEKNUM(Gastos[[#This Row],[Fecha_Cheque]]),MID(Gastos[[#This Row],[Semana]],6,2))</f>
        <v>41</v>
      </c>
      <c r="O3034" t="s">
        <v>4214</v>
      </c>
      <c r="P3034" t="s">
        <v>27</v>
      </c>
    </row>
    <row r="3035" spans="1:16" hidden="1" x14ac:dyDescent="0.25">
      <c r="A3035" s="3" t="s">
        <v>4211</v>
      </c>
      <c r="B3035" t="s">
        <v>3263</v>
      </c>
      <c r="C3035" t="s">
        <v>3264</v>
      </c>
      <c r="D3035" t="s">
        <v>26</v>
      </c>
      <c r="E3035" t="s">
        <v>31</v>
      </c>
      <c r="F3035">
        <v>1</v>
      </c>
      <c r="G3035" s="3" t="s">
        <v>32</v>
      </c>
      <c r="H3035" s="44" t="s">
        <v>15</v>
      </c>
      <c r="I3035" s="17">
        <v>107301.35</v>
      </c>
      <c r="J3035" s="17">
        <f>IF(Gastos[[#This Row],[Divisa]]="$", I3035*1, IF(Gastos[[#This Row],[Divisa]]="U$D", I3035*$N$1, IF(Gastos[[#This Row],[Divisa]]="EUR", I3035*$N$2, 0)))</f>
        <v>107301.35</v>
      </c>
      <c r="K3035" s="54">
        <f>Gastos[[#This Row],[Importe AR$]]/$N$1</f>
        <v>68.782916666666665</v>
      </c>
      <c r="M3035" s="69"/>
      <c r="N3035" s="43" t="str">
        <f>IF(Gastos[[#This Row],[Fecha_Cheque]]&gt;0,WEEKNUM(Gastos[[#This Row],[Fecha_Cheque]]),MID(Gastos[[#This Row],[Semana]],6,2))</f>
        <v>37</v>
      </c>
      <c r="O3035" t="s">
        <v>4263</v>
      </c>
      <c r="P3035" t="s">
        <v>27</v>
      </c>
    </row>
    <row r="3036" spans="1:16" hidden="1" x14ac:dyDescent="0.25">
      <c r="A3036" s="3" t="s">
        <v>4374</v>
      </c>
      <c r="B3036" t="s">
        <v>3263</v>
      </c>
      <c r="C3036" t="s">
        <v>4390</v>
      </c>
      <c r="D3036" t="s">
        <v>26</v>
      </c>
      <c r="E3036" t="s">
        <v>31</v>
      </c>
      <c r="F3036">
        <v>1</v>
      </c>
      <c r="G3036" s="3" t="s">
        <v>32</v>
      </c>
      <c r="H3036" s="44" t="s">
        <v>15</v>
      </c>
      <c r="I3036" s="17">
        <v>467313</v>
      </c>
      <c r="J3036" s="17">
        <f>IF(Gastos[[#This Row],[Divisa]]="$", I3036*1, IF(Gastos[[#This Row],[Divisa]]="U$D", I3036*$N$1, IF(Gastos[[#This Row],[Divisa]]="EUR", I3036*$N$2, 0)))</f>
        <v>467313</v>
      </c>
      <c r="K3036" s="54">
        <f>Gastos[[#This Row],[Importe AR$]]/$N$1</f>
        <v>299.55961538461537</v>
      </c>
      <c r="M3036" s="69">
        <v>46319</v>
      </c>
      <c r="N3036" s="43">
        <f>IF(Gastos[[#This Row],[Fecha_Cheque]]&gt;0,WEEKNUM(Gastos[[#This Row],[Fecha_Cheque]]),MID(Gastos[[#This Row],[Semana]],6,2))</f>
        <v>43</v>
      </c>
      <c r="O3036" t="s">
        <v>4392</v>
      </c>
      <c r="P3036" t="s">
        <v>27</v>
      </c>
    </row>
    <row r="3037" spans="1:16" hidden="1" x14ac:dyDescent="0.25">
      <c r="A3037" s="3" t="s">
        <v>4374</v>
      </c>
      <c r="B3037" t="s">
        <v>3263</v>
      </c>
      <c r="C3037" t="s">
        <v>4390</v>
      </c>
      <c r="D3037" t="s">
        <v>26</v>
      </c>
      <c r="E3037" t="s">
        <v>31</v>
      </c>
      <c r="F3037">
        <v>1</v>
      </c>
      <c r="G3037" s="3" t="s">
        <v>32</v>
      </c>
      <c r="H3037" s="44" t="s">
        <v>15</v>
      </c>
      <c r="I3037" s="17">
        <v>7854</v>
      </c>
      <c r="J3037" s="17">
        <f>IF(Gastos[[#This Row],[Divisa]]="$", I3037*1, IF(Gastos[[#This Row],[Divisa]]="U$D", I3037*$N$1, IF(Gastos[[#This Row],[Divisa]]="EUR", I3037*$N$2, 0)))</f>
        <v>7854</v>
      </c>
      <c r="K3037" s="54">
        <f>Gastos[[#This Row],[Importe AR$]]/$N$1</f>
        <v>5.0346153846153845</v>
      </c>
      <c r="M3037" s="69"/>
      <c r="N3037" s="43" t="str">
        <f>IF(Gastos[[#This Row],[Fecha_Cheque]]&gt;0,WEEKNUM(Gastos[[#This Row],[Fecha_Cheque]]),MID(Gastos[[#This Row],[Semana]],6,2))</f>
        <v>39</v>
      </c>
      <c r="O3037" t="s">
        <v>4392</v>
      </c>
      <c r="P3037" t="s">
        <v>27</v>
      </c>
    </row>
    <row r="3038" spans="1:16" hidden="1" x14ac:dyDescent="0.25">
      <c r="A3038" s="3" t="s">
        <v>75</v>
      </c>
      <c r="B3038" t="s">
        <v>1839</v>
      </c>
      <c r="D3038" t="s">
        <v>26</v>
      </c>
      <c r="E3038" t="s">
        <v>91</v>
      </c>
      <c r="F3038">
        <v>1</v>
      </c>
      <c r="G3038" s="3" t="s">
        <v>5</v>
      </c>
      <c r="H3038" s="46" t="s">
        <v>15</v>
      </c>
      <c r="I3038" s="17">
        <v>112000</v>
      </c>
      <c r="J3038" s="17">
        <f>IF(Gastos[[#This Row],[Divisa]]="$", I3038*1, IF(Gastos[[#This Row],[Divisa]]="U$D", I3038*$N$1, IF(Gastos[[#This Row],[Divisa]]="EUR", I3038*$N$2, 0)))</f>
        <v>112000</v>
      </c>
      <c r="K3038" s="54">
        <f>Gastos[[#This Row],[Importe AR$]]/$N$1</f>
        <v>71.794871794871796</v>
      </c>
      <c r="M3038" s="69"/>
      <c r="N3038" s="43" t="str">
        <f>IF(Gastos[[#This Row],[Fecha_Cheque]]&gt;0,WEEKNUM(Gastos[[#This Row],[Fecha_Cheque]]),MID(Gastos[[#This Row],[Semana]],6,2))</f>
        <v>07</v>
      </c>
      <c r="O3038" t="s">
        <v>1840</v>
      </c>
      <c r="P3038" t="s">
        <v>27</v>
      </c>
    </row>
    <row r="3039" spans="1:16" hidden="1" x14ac:dyDescent="0.25">
      <c r="A3039" s="3" t="s">
        <v>75</v>
      </c>
      <c r="B3039" t="s">
        <v>1841</v>
      </c>
      <c r="C3039" t="s">
        <v>1842</v>
      </c>
      <c r="D3039" t="s">
        <v>26</v>
      </c>
      <c r="E3039" t="s">
        <v>31</v>
      </c>
      <c r="F3039">
        <v>2</v>
      </c>
      <c r="G3039" s="3" t="s">
        <v>4</v>
      </c>
      <c r="H3039" s="46" t="s">
        <v>15</v>
      </c>
      <c r="I3039" s="17">
        <v>1400000</v>
      </c>
      <c r="J3039" s="17">
        <f>IF(Gastos[[#This Row],[Divisa]]="$", I3039*1, IF(Gastos[[#This Row],[Divisa]]="U$D", I3039*$N$1, IF(Gastos[[#This Row],[Divisa]]="EUR", I3039*$N$2, 0)))</f>
        <v>1400000</v>
      </c>
      <c r="K3039" s="54">
        <f>Gastos[[#This Row],[Importe AR$]]/$N$1</f>
        <v>897.43589743589746</v>
      </c>
      <c r="M3039" s="69"/>
      <c r="N3039" s="43" t="str">
        <f>IF(Gastos[[#This Row],[Fecha_Cheque]]&gt;0,WEEKNUM(Gastos[[#This Row],[Fecha_Cheque]]),MID(Gastos[[#This Row],[Semana]],6,2))</f>
        <v>07</v>
      </c>
      <c r="O3039" t="s">
        <v>1843</v>
      </c>
      <c r="P3039" t="s">
        <v>27</v>
      </c>
    </row>
    <row r="3040" spans="1:16" hidden="1" x14ac:dyDescent="0.25">
      <c r="A3040" s="3" t="s">
        <v>139</v>
      </c>
      <c r="B3040" t="s">
        <v>1841</v>
      </c>
      <c r="C3040" t="s">
        <v>1844</v>
      </c>
      <c r="D3040" t="s">
        <v>26</v>
      </c>
      <c r="E3040" t="s">
        <v>31</v>
      </c>
      <c r="F3040">
        <v>2</v>
      </c>
      <c r="G3040" s="3" t="s">
        <v>4</v>
      </c>
      <c r="H3040" s="46" t="s">
        <v>15</v>
      </c>
      <c r="I3040" s="17">
        <v>1500000</v>
      </c>
      <c r="J3040" s="17">
        <f>IF(Gastos[[#This Row],[Divisa]]="$", I3040*1, IF(Gastos[[#This Row],[Divisa]]="U$D", I3040*$N$1, IF(Gastos[[#This Row],[Divisa]]="EUR", I3040*$N$2, 0)))</f>
        <v>1500000</v>
      </c>
      <c r="K3040" s="54">
        <f>Gastos[[#This Row],[Importe AR$]]/$N$1</f>
        <v>961.53846153846155</v>
      </c>
      <c r="M3040" s="69"/>
      <c r="N3040" s="43" t="str">
        <f>IF(Gastos[[#This Row],[Fecha_Cheque]]&gt;0,WEEKNUM(Gastos[[#This Row],[Fecha_Cheque]]),MID(Gastos[[#This Row],[Semana]],6,2))</f>
        <v>08</v>
      </c>
      <c r="O3040" t="s">
        <v>1845</v>
      </c>
      <c r="P3040" t="s">
        <v>27</v>
      </c>
    </row>
    <row r="3041" spans="1:16" hidden="1" x14ac:dyDescent="0.25">
      <c r="A3041" s="3" t="s">
        <v>180</v>
      </c>
      <c r="B3041" t="s">
        <v>1841</v>
      </c>
      <c r="C3041" t="s">
        <v>1842</v>
      </c>
      <c r="D3041" t="s">
        <v>26</v>
      </c>
      <c r="E3041" t="s">
        <v>31</v>
      </c>
      <c r="F3041">
        <v>2</v>
      </c>
      <c r="G3041" s="3" t="s">
        <v>4</v>
      </c>
      <c r="H3041" s="46" t="s">
        <v>15</v>
      </c>
      <c r="I3041" s="17">
        <v>1000000</v>
      </c>
      <c r="J3041" s="17">
        <f>IF(Gastos[[#This Row],[Divisa]]="$", I3041*1, IF(Gastos[[#This Row],[Divisa]]="U$D", I3041*$N$1, IF(Gastos[[#This Row],[Divisa]]="EUR", I3041*$N$2, 0)))</f>
        <v>1000000</v>
      </c>
      <c r="K3041" s="54">
        <f>Gastos[[#This Row],[Importe AR$]]/$N$1</f>
        <v>641.02564102564099</v>
      </c>
      <c r="M3041" s="69"/>
      <c r="N3041" s="43" t="str">
        <f>IF(Gastos[[#This Row],[Fecha_Cheque]]&gt;0,WEEKNUM(Gastos[[#This Row],[Fecha_Cheque]]),MID(Gastos[[#This Row],[Semana]],6,2))</f>
        <v>09</v>
      </c>
      <c r="O3041" t="s">
        <v>1931</v>
      </c>
      <c r="P3041" t="s">
        <v>27</v>
      </c>
    </row>
    <row r="3042" spans="1:16" hidden="1" x14ac:dyDescent="0.25">
      <c r="A3042" s="3" t="s">
        <v>397</v>
      </c>
      <c r="B3042" t="s">
        <v>1841</v>
      </c>
      <c r="C3042" t="s">
        <v>1842</v>
      </c>
      <c r="D3042" t="s">
        <v>26</v>
      </c>
      <c r="E3042" t="s">
        <v>42</v>
      </c>
      <c r="F3042">
        <v>2</v>
      </c>
      <c r="G3042" s="3" t="s">
        <v>4</v>
      </c>
      <c r="H3042" s="44" t="s">
        <v>15</v>
      </c>
      <c r="I3042" s="17">
        <v>1000000</v>
      </c>
      <c r="J3042" s="17">
        <f>IF(Gastos[[#This Row],[Divisa]]="$", I3042*1, IF(Gastos[[#This Row],[Divisa]]="U$D", I3042*$N$1, IF(Gastos[[#This Row],[Divisa]]="EUR", I3042*$N$2, 0)))</f>
        <v>1000000</v>
      </c>
      <c r="K3042" s="54">
        <f>Gastos[[#This Row],[Importe AR$]]/$N$1</f>
        <v>641.02564102564099</v>
      </c>
      <c r="M3042" s="69"/>
      <c r="N3042" s="43" t="str">
        <f>IF(Gastos[[#This Row],[Fecha_Cheque]]&gt;0,WEEKNUM(Gastos[[#This Row],[Fecha_Cheque]]),MID(Gastos[[#This Row],[Semana]],6,2))</f>
        <v>11</v>
      </c>
      <c r="O3042" t="s">
        <v>2617</v>
      </c>
      <c r="P3042" t="s">
        <v>27</v>
      </c>
    </row>
    <row r="3043" spans="1:16" hidden="1" x14ac:dyDescent="0.25">
      <c r="A3043" s="3" t="s">
        <v>39</v>
      </c>
      <c r="B3043" t="s">
        <v>1841</v>
      </c>
      <c r="C3043" t="s">
        <v>1842</v>
      </c>
      <c r="D3043" t="s">
        <v>26</v>
      </c>
      <c r="E3043" t="s">
        <v>42</v>
      </c>
      <c r="F3043">
        <v>2</v>
      </c>
      <c r="G3043" s="3" t="s">
        <v>4</v>
      </c>
      <c r="H3043" s="44" t="s">
        <v>15</v>
      </c>
      <c r="I3043" s="17">
        <v>1000000</v>
      </c>
      <c r="J3043" s="17">
        <f>IF(Gastos[[#This Row],[Divisa]]="$", I3043*1, IF(Gastos[[#This Row],[Divisa]]="U$D", I3043*$N$1, IF(Gastos[[#This Row],[Divisa]]="EUR", I3043*$N$2, 0)))</f>
        <v>1000000</v>
      </c>
      <c r="K3043" s="54">
        <f>Gastos[[#This Row],[Importe AR$]]/$N$1</f>
        <v>641.02564102564099</v>
      </c>
      <c r="M3043" s="69"/>
      <c r="N3043" s="43" t="str">
        <f>IF(Gastos[[#This Row],[Fecha_Cheque]]&gt;0,WEEKNUM(Gastos[[#This Row],[Fecha_Cheque]]),MID(Gastos[[#This Row],[Semana]],6,2))</f>
        <v>14</v>
      </c>
      <c r="O3043" t="s">
        <v>2664</v>
      </c>
      <c r="P3043" t="s">
        <v>27</v>
      </c>
    </row>
    <row r="3044" spans="1:16" hidden="1" x14ac:dyDescent="0.25">
      <c r="A3044" s="3" t="s">
        <v>2740</v>
      </c>
      <c r="B3044" t="s">
        <v>1841</v>
      </c>
      <c r="C3044" t="s">
        <v>1842</v>
      </c>
      <c r="D3044" t="s">
        <v>26</v>
      </c>
      <c r="E3044" t="s">
        <v>42</v>
      </c>
      <c r="F3044">
        <v>2</v>
      </c>
      <c r="G3044" s="3" t="s">
        <v>4</v>
      </c>
      <c r="H3044" s="44" t="s">
        <v>15</v>
      </c>
      <c r="I3044" s="17">
        <v>1500000</v>
      </c>
      <c r="J3044" s="17">
        <f>IF(Gastos[[#This Row],[Divisa]]="$", I3044*1, IF(Gastos[[#This Row],[Divisa]]="U$D", I3044*$N$1, IF(Gastos[[#This Row],[Divisa]]="EUR", I3044*$N$2, 0)))</f>
        <v>1500000</v>
      </c>
      <c r="K3044" s="54">
        <f>Gastos[[#This Row],[Importe AR$]]/$N$1</f>
        <v>961.53846153846155</v>
      </c>
      <c r="M3044" s="69"/>
      <c r="N3044" s="43" t="str">
        <f>IF(Gastos[[#This Row],[Fecha_Cheque]]&gt;0,WEEKNUM(Gastos[[#This Row],[Fecha_Cheque]]),MID(Gastos[[#This Row],[Semana]],6,2))</f>
        <v>16</v>
      </c>
      <c r="O3044" t="s">
        <v>3009</v>
      </c>
      <c r="P3044" t="s">
        <v>27</v>
      </c>
    </row>
    <row r="3045" spans="1:16" hidden="1" x14ac:dyDescent="0.25">
      <c r="A3045" s="3" t="s">
        <v>2731</v>
      </c>
      <c r="B3045" t="s">
        <v>1841</v>
      </c>
      <c r="C3045" t="s">
        <v>1842</v>
      </c>
      <c r="D3045" t="s">
        <v>26</v>
      </c>
      <c r="E3045" t="s">
        <v>42</v>
      </c>
      <c r="F3045">
        <v>2</v>
      </c>
      <c r="G3045" s="3" t="s">
        <v>4</v>
      </c>
      <c r="H3045" s="44" t="s">
        <v>15</v>
      </c>
      <c r="I3045" s="17">
        <v>1000000</v>
      </c>
      <c r="J3045" s="17">
        <f>IF(Gastos[[#This Row],[Divisa]]="$", I3045*1, IF(Gastos[[#This Row],[Divisa]]="U$D", I3045*$N$1, IF(Gastos[[#This Row],[Divisa]]="EUR", I3045*$N$2, 0)))</f>
        <v>1000000</v>
      </c>
      <c r="K3045" s="54">
        <f>Gastos[[#This Row],[Importe AR$]]/$N$1</f>
        <v>641.02564102564099</v>
      </c>
      <c r="M3045" s="69"/>
      <c r="N3045" s="43" t="str">
        <f>IF(Gastos[[#This Row],[Fecha_Cheque]]&gt;0,WEEKNUM(Gastos[[#This Row],[Fecha_Cheque]]),MID(Gastos[[#This Row],[Semana]],6,2))</f>
        <v>17</v>
      </c>
      <c r="O3045" t="s">
        <v>3098</v>
      </c>
      <c r="P3045" t="s">
        <v>27</v>
      </c>
    </row>
    <row r="3046" spans="1:16" hidden="1" x14ac:dyDescent="0.25">
      <c r="A3046" s="3" t="s">
        <v>2751</v>
      </c>
      <c r="B3046" t="s">
        <v>1841</v>
      </c>
      <c r="C3046" t="s">
        <v>1842</v>
      </c>
      <c r="D3046" t="s">
        <v>26</v>
      </c>
      <c r="E3046" t="s">
        <v>42</v>
      </c>
      <c r="F3046">
        <v>2</v>
      </c>
      <c r="G3046" s="3" t="s">
        <v>4</v>
      </c>
      <c r="H3046" s="44" t="s">
        <v>15</v>
      </c>
      <c r="I3046" s="17">
        <v>600000</v>
      </c>
      <c r="J3046" s="17">
        <f>IF(Gastos[[#This Row],[Divisa]]="$", I3046*1, IF(Gastos[[#This Row],[Divisa]]="U$D", I3046*$N$1, IF(Gastos[[#This Row],[Divisa]]="EUR", I3046*$N$2, 0)))</f>
        <v>600000</v>
      </c>
      <c r="K3046" s="54">
        <f>Gastos[[#This Row],[Importe AR$]]/$N$1</f>
        <v>384.61538461538464</v>
      </c>
      <c r="M3046" s="69"/>
      <c r="N3046" s="43" t="str">
        <f>IF(Gastos[[#This Row],[Fecha_Cheque]]&gt;0,WEEKNUM(Gastos[[#This Row],[Fecha_Cheque]]),MID(Gastos[[#This Row],[Semana]],6,2))</f>
        <v>18</v>
      </c>
      <c r="O3046" t="s">
        <v>3125</v>
      </c>
      <c r="P3046" t="s">
        <v>27</v>
      </c>
    </row>
    <row r="3047" spans="1:16" hidden="1" x14ac:dyDescent="0.25">
      <c r="A3047" s="3" t="s">
        <v>2792</v>
      </c>
      <c r="B3047" t="s">
        <v>1841</v>
      </c>
      <c r="C3047" t="s">
        <v>1842</v>
      </c>
      <c r="D3047" t="s">
        <v>26</v>
      </c>
      <c r="E3047" t="s">
        <v>42</v>
      </c>
      <c r="F3047">
        <v>2</v>
      </c>
      <c r="G3047" s="3" t="s">
        <v>4</v>
      </c>
      <c r="H3047" s="44" t="s">
        <v>15</v>
      </c>
      <c r="I3047" s="17">
        <v>300000</v>
      </c>
      <c r="J3047" s="17">
        <f>IF(Gastos[[#This Row],[Divisa]]="$", I3047*1, IF(Gastos[[#This Row],[Divisa]]="U$D", I3047*$N$1, IF(Gastos[[#This Row],[Divisa]]="EUR", I3047*$N$2, 0)))</f>
        <v>300000</v>
      </c>
      <c r="K3047" s="54">
        <f>Gastos[[#This Row],[Importe AR$]]/$N$1</f>
        <v>192.30769230769232</v>
      </c>
      <c r="M3047" s="69"/>
      <c r="N3047" s="43" t="str">
        <f>IF(Gastos[[#This Row],[Fecha_Cheque]]&gt;0,WEEKNUM(Gastos[[#This Row],[Fecha_Cheque]]),MID(Gastos[[#This Row],[Semana]],6,2))</f>
        <v>21</v>
      </c>
      <c r="O3047" t="s">
        <v>3240</v>
      </c>
      <c r="P3047" t="s">
        <v>27</v>
      </c>
    </row>
    <row r="3048" spans="1:16" hidden="1" x14ac:dyDescent="0.25">
      <c r="A3048" s="3" t="s">
        <v>2763</v>
      </c>
      <c r="B3048" t="s">
        <v>1841</v>
      </c>
      <c r="C3048" t="s">
        <v>1842</v>
      </c>
      <c r="D3048" t="s">
        <v>26</v>
      </c>
      <c r="E3048" t="s">
        <v>42</v>
      </c>
      <c r="F3048">
        <v>2</v>
      </c>
      <c r="G3048" s="3" t="s">
        <v>4</v>
      </c>
      <c r="H3048" s="44" t="s">
        <v>15</v>
      </c>
      <c r="I3048" s="17">
        <v>200000</v>
      </c>
      <c r="J3048" s="17">
        <f>IF(Gastos[[#This Row],[Divisa]]="$", I3048*1, IF(Gastos[[#This Row],[Divisa]]="U$D", I3048*$N$1, IF(Gastos[[#This Row],[Divisa]]="EUR", I3048*$N$2, 0)))</f>
        <v>200000</v>
      </c>
      <c r="K3048" s="54">
        <f>Gastos[[#This Row],[Importe AR$]]/$N$1</f>
        <v>128.2051282051282</v>
      </c>
      <c r="M3048" s="69"/>
      <c r="N3048" s="43" t="str">
        <f>IF(Gastos[[#This Row],[Fecha_Cheque]]&gt;0,WEEKNUM(Gastos[[#This Row],[Fecha_Cheque]]),MID(Gastos[[#This Row],[Semana]],6,2))</f>
        <v>23</v>
      </c>
      <c r="O3048" t="s">
        <v>3366</v>
      </c>
      <c r="P3048" t="s">
        <v>27</v>
      </c>
    </row>
    <row r="3049" spans="1:16" hidden="1" x14ac:dyDescent="0.25">
      <c r="A3049" s="3" t="s">
        <v>2726</v>
      </c>
      <c r="B3049" t="s">
        <v>1841</v>
      </c>
      <c r="C3049" t="s">
        <v>3437</v>
      </c>
      <c r="D3049" t="s">
        <v>26</v>
      </c>
      <c r="E3049" t="s">
        <v>42</v>
      </c>
      <c r="F3049">
        <v>2</v>
      </c>
      <c r="G3049" s="3" t="s">
        <v>4</v>
      </c>
      <c r="H3049" s="44" t="s">
        <v>15</v>
      </c>
      <c r="I3049" s="17">
        <v>250000</v>
      </c>
      <c r="J3049" s="17">
        <f>IF(Gastos[[#This Row],[Divisa]]="$", I3049*1, IF(Gastos[[#This Row],[Divisa]]="U$D", I3049*$N$1, IF(Gastos[[#This Row],[Divisa]]="EUR", I3049*$N$2, 0)))</f>
        <v>250000</v>
      </c>
      <c r="K3049" s="54">
        <f>Gastos[[#This Row],[Importe AR$]]/$N$1</f>
        <v>160.25641025641025</v>
      </c>
      <c r="M3049" s="69"/>
      <c r="N3049" s="43" t="str">
        <f>IF(Gastos[[#This Row],[Fecha_Cheque]]&gt;0,WEEKNUM(Gastos[[#This Row],[Fecha_Cheque]]),MID(Gastos[[#This Row],[Semana]],6,2))</f>
        <v>24</v>
      </c>
      <c r="O3049" t="s">
        <v>3438</v>
      </c>
      <c r="P3049" t="s">
        <v>27</v>
      </c>
    </row>
    <row r="3050" spans="1:16" hidden="1" x14ac:dyDescent="0.25">
      <c r="A3050" s="3" t="s">
        <v>2763</v>
      </c>
      <c r="B3050" t="s">
        <v>3367</v>
      </c>
      <c r="C3050" t="s">
        <v>3368</v>
      </c>
      <c r="D3050" t="s">
        <v>26</v>
      </c>
      <c r="E3050" t="s">
        <v>42</v>
      </c>
      <c r="F3050">
        <v>1</v>
      </c>
      <c r="G3050" s="3" t="s">
        <v>5</v>
      </c>
      <c r="H3050" s="44" t="s">
        <v>15</v>
      </c>
      <c r="I3050" s="17">
        <v>99000</v>
      </c>
      <c r="J3050" s="17">
        <f>IF(Gastos[[#This Row],[Divisa]]="$", I3050*1, IF(Gastos[[#This Row],[Divisa]]="U$D", I3050*$N$1, IF(Gastos[[#This Row],[Divisa]]="EUR", I3050*$N$2, 0)))</f>
        <v>99000</v>
      </c>
      <c r="K3050" s="54">
        <f>Gastos[[#This Row],[Importe AR$]]/$N$1</f>
        <v>63.46153846153846</v>
      </c>
      <c r="M3050" s="69"/>
      <c r="N3050" s="43" t="str">
        <f>IF(Gastos[[#This Row],[Fecha_Cheque]]&gt;0,WEEKNUM(Gastos[[#This Row],[Fecha_Cheque]]),MID(Gastos[[#This Row],[Semana]],6,2))</f>
        <v>23</v>
      </c>
      <c r="O3050" t="s">
        <v>3369</v>
      </c>
      <c r="P3050" t="s">
        <v>27</v>
      </c>
    </row>
    <row r="3051" spans="1:16" hidden="1" x14ac:dyDescent="0.25">
      <c r="A3051" s="3" t="s">
        <v>85</v>
      </c>
      <c r="B3051" t="s">
        <v>1846</v>
      </c>
      <c r="C3051" t="s">
        <v>1847</v>
      </c>
      <c r="D3051" t="s">
        <v>26</v>
      </c>
      <c r="E3051" t="s">
        <v>31</v>
      </c>
      <c r="F3051">
        <v>1</v>
      </c>
      <c r="G3051" s="3" t="s">
        <v>5</v>
      </c>
      <c r="H3051" s="46" t="s">
        <v>15</v>
      </c>
      <c r="I3051" s="17">
        <v>96000</v>
      </c>
      <c r="J3051" s="17">
        <f>IF(Gastos[[#This Row],[Divisa]]="$", I3051*1, IF(Gastos[[#This Row],[Divisa]]="U$D", I3051*$N$1, IF(Gastos[[#This Row],[Divisa]]="EUR", I3051*$N$2, 0)))</f>
        <v>96000</v>
      </c>
      <c r="K3051" s="54">
        <f>Gastos[[#This Row],[Importe AR$]]/$N$1</f>
        <v>61.53846153846154</v>
      </c>
      <c r="M3051" s="69"/>
      <c r="N3051" s="43" t="str">
        <f>IF(Gastos[[#This Row],[Fecha_Cheque]]&gt;0,WEEKNUM(Gastos[[#This Row],[Fecha_Cheque]]),MID(Gastos[[#This Row],[Semana]],6,2))</f>
        <v>26</v>
      </c>
      <c r="P3051" t="s">
        <v>27</v>
      </c>
    </row>
    <row r="3052" spans="1:16" hidden="1" x14ac:dyDescent="0.25">
      <c r="A3052" s="3" t="s">
        <v>2711</v>
      </c>
      <c r="B3052" t="s">
        <v>1846</v>
      </c>
      <c r="C3052" t="s">
        <v>2946</v>
      </c>
      <c r="D3052" t="s">
        <v>26</v>
      </c>
      <c r="E3052" t="s">
        <v>42</v>
      </c>
      <c r="F3052">
        <v>1</v>
      </c>
      <c r="G3052" s="3" t="s">
        <v>4</v>
      </c>
      <c r="H3052" s="44" t="s">
        <v>15</v>
      </c>
      <c r="I3052" s="17">
        <v>38000</v>
      </c>
      <c r="J3052" s="17">
        <f>IF(Gastos[[#This Row],[Divisa]]="$", I3052*1, IF(Gastos[[#This Row],[Divisa]]="U$D", I3052*$N$1, IF(Gastos[[#This Row],[Divisa]]="EUR", I3052*$N$2, 0)))</f>
        <v>38000</v>
      </c>
      <c r="K3052" s="54">
        <f>Gastos[[#This Row],[Importe AR$]]/$N$1</f>
        <v>24.358974358974358</v>
      </c>
      <c r="M3052" s="69"/>
      <c r="N3052" s="43" t="str">
        <f>IF(Gastos[[#This Row],[Fecha_Cheque]]&gt;0,WEEKNUM(Gastos[[#This Row],[Fecha_Cheque]]),MID(Gastos[[#This Row],[Semana]],6,2))</f>
        <v>15</v>
      </c>
      <c r="O3052" t="s">
        <v>2947</v>
      </c>
      <c r="P3052" t="s">
        <v>27</v>
      </c>
    </row>
    <row r="3053" spans="1:16" hidden="1" x14ac:dyDescent="0.25">
      <c r="A3053" s="3" t="s">
        <v>2773</v>
      </c>
      <c r="B3053" t="s">
        <v>1846</v>
      </c>
      <c r="C3053" t="s">
        <v>3210</v>
      </c>
      <c r="D3053" t="s">
        <v>26</v>
      </c>
      <c r="E3053" t="s">
        <v>42</v>
      </c>
      <c r="F3053">
        <v>1</v>
      </c>
      <c r="G3053" s="3" t="s">
        <v>4</v>
      </c>
      <c r="H3053" s="44" t="s">
        <v>15</v>
      </c>
      <c r="I3053" s="17">
        <v>44000</v>
      </c>
      <c r="J3053" s="17">
        <f>IF(Gastos[[#This Row],[Divisa]]="$", I3053*1, IF(Gastos[[#This Row],[Divisa]]="U$D", I3053*$N$1, IF(Gastos[[#This Row],[Divisa]]="EUR", I3053*$N$2, 0)))</f>
        <v>44000</v>
      </c>
      <c r="K3053" s="54">
        <f>Gastos[[#This Row],[Importe AR$]]/$N$1</f>
        <v>28.205128205128204</v>
      </c>
      <c r="M3053" s="69"/>
      <c r="N3053" s="43" t="str">
        <f>IF(Gastos[[#This Row],[Fecha_Cheque]]&gt;0,WEEKNUM(Gastos[[#This Row],[Fecha_Cheque]]),MID(Gastos[[#This Row],[Semana]],6,2))</f>
        <v>20</v>
      </c>
      <c r="O3053" t="s">
        <v>3211</v>
      </c>
      <c r="P3053" t="s">
        <v>27</v>
      </c>
    </row>
    <row r="3054" spans="1:16" hidden="1" x14ac:dyDescent="0.25">
      <c r="A3054" s="3" t="s">
        <v>4005</v>
      </c>
      <c r="B3054" t="s">
        <v>1846</v>
      </c>
      <c r="C3054" t="s">
        <v>4036</v>
      </c>
      <c r="D3054" t="s">
        <v>26</v>
      </c>
      <c r="E3054" t="s">
        <v>42</v>
      </c>
      <c r="F3054">
        <v>2</v>
      </c>
      <c r="G3054" s="3" t="s">
        <v>4</v>
      </c>
      <c r="H3054" s="44" t="s">
        <v>15</v>
      </c>
      <c r="I3054" s="17">
        <v>99000</v>
      </c>
      <c r="J3054" s="17">
        <f>IF(Gastos[[#This Row],[Divisa]]="$", I3054*1, IF(Gastos[[#This Row],[Divisa]]="U$D", I3054*$N$1, IF(Gastos[[#This Row],[Divisa]]="EUR", I3054*$N$2, 0)))</f>
        <v>99000</v>
      </c>
      <c r="K3054" s="54">
        <f>Gastos[[#This Row],[Importe AR$]]/$N$1</f>
        <v>63.46153846153846</v>
      </c>
      <c r="M3054" s="69"/>
      <c r="N3054" s="43" t="str">
        <f>IF(Gastos[[#This Row],[Fecha_Cheque]]&gt;0,WEEKNUM(Gastos[[#This Row],[Fecha_Cheque]]),MID(Gastos[[#This Row],[Semana]],6,2))</f>
        <v>33</v>
      </c>
      <c r="O3054" t="s">
        <v>4072</v>
      </c>
      <c r="P3054" t="s">
        <v>27</v>
      </c>
    </row>
    <row r="3055" spans="1:16" hidden="1" x14ac:dyDescent="0.25">
      <c r="A3055" s="3" t="s">
        <v>4447</v>
      </c>
      <c r="B3055" t="s">
        <v>1846</v>
      </c>
      <c r="C3055" t="s">
        <v>3190</v>
      </c>
      <c r="D3055" t="s">
        <v>26</v>
      </c>
      <c r="E3055" t="s">
        <v>42</v>
      </c>
      <c r="F3055">
        <v>1</v>
      </c>
      <c r="G3055" s="3" t="s">
        <v>4</v>
      </c>
      <c r="H3055" s="44" t="s">
        <v>15</v>
      </c>
      <c r="I3055" s="17">
        <v>88000</v>
      </c>
      <c r="J3055" s="17">
        <f>IF(Gastos[[#This Row],[Divisa]]="$", I3055*1, IF(Gastos[[#This Row],[Divisa]]="U$D", I3055*$N$1, IF(Gastos[[#This Row],[Divisa]]="EUR", I3055*$N$2, 0)))</f>
        <v>88000</v>
      </c>
      <c r="K3055" s="54">
        <f>Gastos[[#This Row],[Importe AR$]]/$N$1</f>
        <v>56.410256410256409</v>
      </c>
      <c r="M3055" s="69"/>
      <c r="N3055" s="43" t="str">
        <f>IF(Gastos[[#This Row],[Fecha_Cheque]]&gt;0,WEEKNUM(Gastos[[#This Row],[Fecha_Cheque]]),MID(Gastos[[#This Row],[Semana]],6,2))</f>
        <v>41</v>
      </c>
      <c r="O3055" t="s">
        <v>4470</v>
      </c>
      <c r="P3055" t="s">
        <v>27</v>
      </c>
    </row>
    <row r="3056" spans="1:16" hidden="1" x14ac:dyDescent="0.25">
      <c r="A3056" s="3" t="s">
        <v>332</v>
      </c>
      <c r="B3056" t="s">
        <v>2669</v>
      </c>
      <c r="C3056" t="s">
        <v>2670</v>
      </c>
      <c r="D3056" t="s">
        <v>26</v>
      </c>
      <c r="E3056" t="s">
        <v>42</v>
      </c>
      <c r="F3056">
        <v>1</v>
      </c>
      <c r="G3056" s="3" t="s">
        <v>4</v>
      </c>
      <c r="H3056" s="44" t="s">
        <v>15</v>
      </c>
      <c r="I3056" s="17">
        <v>92000</v>
      </c>
      <c r="J3056" s="17">
        <f>IF(Gastos[[#This Row],[Divisa]]="$", I3056*1, IF(Gastos[[#This Row],[Divisa]]="U$D", I3056*$N$1, IF(Gastos[[#This Row],[Divisa]]="EUR", I3056*$N$2, 0)))</f>
        <v>92000</v>
      </c>
      <c r="K3056" s="54">
        <f>Gastos[[#This Row],[Importe AR$]]/$N$1</f>
        <v>58.974358974358971</v>
      </c>
      <c r="M3056" s="69"/>
      <c r="N3056" s="43" t="str">
        <f>IF(Gastos[[#This Row],[Fecha_Cheque]]&gt;0,WEEKNUM(Gastos[[#This Row],[Fecha_Cheque]]),MID(Gastos[[#This Row],[Semana]],6,2))</f>
        <v>12</v>
      </c>
      <c r="O3056" t="s">
        <v>2671</v>
      </c>
      <c r="P3056" t="s">
        <v>27</v>
      </c>
    </row>
    <row r="3057" spans="1:16" hidden="1" x14ac:dyDescent="0.25">
      <c r="A3057" s="3" t="s">
        <v>122</v>
      </c>
      <c r="B3057" t="s">
        <v>1848</v>
      </c>
      <c r="C3057" t="s">
        <v>1849</v>
      </c>
      <c r="D3057" t="s">
        <v>26</v>
      </c>
      <c r="E3057" t="s">
        <v>31</v>
      </c>
      <c r="F3057">
        <v>1</v>
      </c>
      <c r="G3057" s="3" t="s">
        <v>5</v>
      </c>
      <c r="H3057" s="46" t="s">
        <v>15</v>
      </c>
      <c r="I3057" s="17">
        <v>89600</v>
      </c>
      <c r="J3057" s="17">
        <f>IF(Gastos[[#This Row],[Divisa]]="$", I3057*1, IF(Gastos[[#This Row],[Divisa]]="U$D", I3057*$N$1, IF(Gastos[[#This Row],[Divisa]]="EUR", I3057*$N$2, 0)))</f>
        <v>89600</v>
      </c>
      <c r="K3057" s="54">
        <f>Gastos[[#This Row],[Importe AR$]]/$N$1</f>
        <v>57.435897435897438</v>
      </c>
      <c r="M3057" s="69"/>
      <c r="N3057" s="43" t="str">
        <f>IF(Gastos[[#This Row],[Fecha_Cheque]]&gt;0,WEEKNUM(Gastos[[#This Row],[Fecha_Cheque]]),MID(Gastos[[#This Row],[Semana]],6,2))</f>
        <v>40</v>
      </c>
      <c r="O3057" t="s">
        <v>1850</v>
      </c>
      <c r="P3057" t="s">
        <v>27</v>
      </c>
    </row>
    <row r="3058" spans="1:16" hidden="1" x14ac:dyDescent="0.25">
      <c r="A3058" s="3" t="s">
        <v>206</v>
      </c>
      <c r="B3058" t="s">
        <v>1851</v>
      </c>
      <c r="C3058" t="s">
        <v>1852</v>
      </c>
      <c r="D3058" t="s">
        <v>26</v>
      </c>
      <c r="E3058" t="s">
        <v>31</v>
      </c>
      <c r="F3058">
        <v>1</v>
      </c>
      <c r="G3058" s="3" t="s">
        <v>32</v>
      </c>
      <c r="H3058" s="46" t="s">
        <v>15</v>
      </c>
      <c r="I3058" s="17">
        <v>1027231</v>
      </c>
      <c r="J3058" s="17">
        <f>IF(Gastos[[#This Row],[Divisa]]="$", I3058*1, IF(Gastos[[#This Row],[Divisa]]="U$D", I3058*$N$1, IF(Gastos[[#This Row],[Divisa]]="EUR", I3058*$N$2, 0)))</f>
        <v>1027231</v>
      </c>
      <c r="K3058" s="54">
        <f>Gastos[[#This Row],[Importe AR$]]/$N$1</f>
        <v>658.4814102564103</v>
      </c>
      <c r="M3058" s="69">
        <v>46088</v>
      </c>
      <c r="N3058" s="43">
        <f>IF(Gastos[[#This Row],[Fecha_Cheque]]&gt;0,WEEKNUM(Gastos[[#This Row],[Fecha_Cheque]]),MID(Gastos[[#This Row],[Semana]],6,2))</f>
        <v>10</v>
      </c>
      <c r="O3058" t="s">
        <v>1853</v>
      </c>
      <c r="P3058" t="s">
        <v>27</v>
      </c>
    </row>
    <row r="3059" spans="1:16" hidden="1" x14ac:dyDescent="0.25">
      <c r="A3059" s="3" t="s">
        <v>828</v>
      </c>
      <c r="B3059" t="s">
        <v>2701</v>
      </c>
      <c r="C3059" t="s">
        <v>2702</v>
      </c>
      <c r="D3059" t="s">
        <v>26</v>
      </c>
      <c r="E3059" t="s">
        <v>31</v>
      </c>
      <c r="F3059">
        <v>1</v>
      </c>
      <c r="G3059" s="3" t="s">
        <v>32</v>
      </c>
      <c r="H3059" s="46" t="s">
        <v>15</v>
      </c>
      <c r="I3059" s="17">
        <v>1940883.21</v>
      </c>
      <c r="J3059" s="17">
        <f>IF(Gastos[[#This Row],[Divisa]]="$", I3059*1, IF(Gastos[[#This Row],[Divisa]]="U$D", I3059*$N$1, IF(Gastos[[#This Row],[Divisa]]="EUR", I3059*$N$2, 0)))</f>
        <v>1940883.21</v>
      </c>
      <c r="K3059" s="54">
        <f>Gastos[[#This Row],[Importe AR$]]/$N$1</f>
        <v>1244.1559038461539</v>
      </c>
      <c r="M3059" s="69">
        <v>46138</v>
      </c>
      <c r="N3059" s="43">
        <f>IF(Gastos[[#This Row],[Fecha_Cheque]]&gt;0,WEEKNUM(Gastos[[#This Row],[Fecha_Cheque]]),MID(Gastos[[#This Row],[Semana]],6,2))</f>
        <v>18</v>
      </c>
      <c r="O3059" t="s">
        <v>2703</v>
      </c>
      <c r="P3059" t="s">
        <v>27</v>
      </c>
    </row>
    <row r="3060" spans="1:16" hidden="1" x14ac:dyDescent="0.25">
      <c r="A3060" s="3" t="s">
        <v>828</v>
      </c>
      <c r="B3060" t="s">
        <v>2701</v>
      </c>
      <c r="C3060" t="s">
        <v>2702</v>
      </c>
      <c r="D3060" t="s">
        <v>26</v>
      </c>
      <c r="E3060" t="s">
        <v>31</v>
      </c>
      <c r="F3060">
        <v>1</v>
      </c>
      <c r="G3060" s="3" t="s">
        <v>32</v>
      </c>
      <c r="H3060" s="46" t="s">
        <v>15</v>
      </c>
      <c r="I3060" s="17">
        <v>1940883.21</v>
      </c>
      <c r="J3060" s="17">
        <f>IF(Gastos[[#This Row],[Divisa]]="$", I3060*1, IF(Gastos[[#This Row],[Divisa]]="U$D", I3060*$N$1, IF(Gastos[[#This Row],[Divisa]]="EUR", I3060*$N$2, 0)))</f>
        <v>1940883.21</v>
      </c>
      <c r="K3060" s="54">
        <f>Gastos[[#This Row],[Importe AR$]]/$N$1</f>
        <v>1244.1559038461539</v>
      </c>
      <c r="M3060" s="69">
        <v>46153</v>
      </c>
      <c r="N3060" s="43">
        <f>IF(Gastos[[#This Row],[Fecha_Cheque]]&gt;0,WEEKNUM(Gastos[[#This Row],[Fecha_Cheque]]),MID(Gastos[[#This Row],[Semana]],6,2))</f>
        <v>20</v>
      </c>
      <c r="O3060" t="s">
        <v>2703</v>
      </c>
      <c r="P3060" t="s">
        <v>27</v>
      </c>
    </row>
    <row r="3061" spans="1:16" hidden="1" x14ac:dyDescent="0.25">
      <c r="A3061" s="3" t="s">
        <v>828</v>
      </c>
      <c r="B3061" t="s">
        <v>2701</v>
      </c>
      <c r="C3061" t="s">
        <v>2702</v>
      </c>
      <c r="D3061" t="s">
        <v>26</v>
      </c>
      <c r="E3061" t="s">
        <v>31</v>
      </c>
      <c r="F3061">
        <v>1</v>
      </c>
      <c r="G3061" s="3" t="s">
        <v>32</v>
      </c>
      <c r="H3061" s="46" t="s">
        <v>15</v>
      </c>
      <c r="I3061" s="17">
        <v>1940883.21</v>
      </c>
      <c r="J3061" s="17">
        <f>IF(Gastos[[#This Row],[Divisa]]="$", I3061*1, IF(Gastos[[#This Row],[Divisa]]="U$D", I3061*$N$1, IF(Gastos[[#This Row],[Divisa]]="EUR", I3061*$N$2, 0)))</f>
        <v>1940883.21</v>
      </c>
      <c r="K3061" s="54">
        <f>Gastos[[#This Row],[Importe AR$]]/$N$1</f>
        <v>1244.1559038461539</v>
      </c>
      <c r="M3061" s="69">
        <v>46168</v>
      </c>
      <c r="N3061" s="43">
        <f>IF(Gastos[[#This Row],[Fecha_Cheque]]&gt;0,WEEKNUM(Gastos[[#This Row],[Fecha_Cheque]]),MID(Gastos[[#This Row],[Semana]],6,2))</f>
        <v>22</v>
      </c>
      <c r="O3061" t="s">
        <v>2703</v>
      </c>
      <c r="P3061" t="s">
        <v>27</v>
      </c>
    </row>
    <row r="3062" spans="1:16" hidden="1" x14ac:dyDescent="0.25">
      <c r="A3062" s="3" t="s">
        <v>828</v>
      </c>
      <c r="B3062" t="s">
        <v>2701</v>
      </c>
      <c r="C3062" t="s">
        <v>2702</v>
      </c>
      <c r="D3062" t="s">
        <v>26</v>
      </c>
      <c r="E3062" t="s">
        <v>31</v>
      </c>
      <c r="F3062">
        <v>1</v>
      </c>
      <c r="G3062" s="3" t="s">
        <v>32</v>
      </c>
      <c r="H3062" s="46" t="s">
        <v>15</v>
      </c>
      <c r="I3062" s="17">
        <v>93304.36</v>
      </c>
      <c r="J3062" s="17">
        <f>IF(Gastos[[#This Row],[Divisa]]="$", I3062*1, IF(Gastos[[#This Row],[Divisa]]="U$D", I3062*$N$1, IF(Gastos[[#This Row],[Divisa]]="EUR", I3062*$N$2, 0)))</f>
        <v>93304.36</v>
      </c>
      <c r="K3062" s="54">
        <f>Gastos[[#This Row],[Importe AR$]]/$N$1</f>
        <v>59.810487179487183</v>
      </c>
      <c r="L3062" t="s">
        <v>340</v>
      </c>
      <c r="M3062" s="69"/>
      <c r="N3062" s="43" t="str">
        <f>IF(Gastos[[#This Row],[Fecha_Cheque]]&gt;0,WEEKNUM(Gastos[[#This Row],[Fecha_Cheque]]),MID(Gastos[[#This Row],[Semana]],6,2))</f>
        <v>13</v>
      </c>
      <c r="O3062" t="s">
        <v>2703</v>
      </c>
      <c r="P3062" t="s">
        <v>27</v>
      </c>
    </row>
    <row r="3063" spans="1:16" hidden="1" x14ac:dyDescent="0.25">
      <c r="A3063" s="3" t="s">
        <v>105</v>
      </c>
      <c r="B3063" t="s">
        <v>1854</v>
      </c>
      <c r="C3063" t="s">
        <v>106</v>
      </c>
      <c r="D3063" t="s">
        <v>26</v>
      </c>
      <c r="E3063" t="s">
        <v>132</v>
      </c>
      <c r="F3063">
        <v>2</v>
      </c>
      <c r="G3063" s="3" t="s">
        <v>32</v>
      </c>
      <c r="H3063" s="46" t="s">
        <v>15</v>
      </c>
      <c r="I3063" s="17">
        <v>5507500</v>
      </c>
      <c r="J3063" s="17">
        <f>IF(Gastos[[#This Row],[Divisa]]="$", I3063*1, IF(Gastos[[#This Row],[Divisa]]="U$D", I3063*$N$1, IF(Gastos[[#This Row],[Divisa]]="EUR", I3063*$N$2, 0)))</f>
        <v>5507500</v>
      </c>
      <c r="K3063" s="54">
        <f>Gastos[[#This Row],[Importe AR$]]/$N$1</f>
        <v>3530.4487179487178</v>
      </c>
      <c r="M3063" s="69">
        <v>45841</v>
      </c>
      <c r="N3063" s="43">
        <f>IF(Gastos[[#This Row],[Fecha_Cheque]]&gt;0,WEEKNUM(Gastos[[#This Row],[Fecha_Cheque]]),MID(Gastos[[#This Row],[Semana]],6,2))</f>
        <v>27</v>
      </c>
      <c r="O3063" t="s">
        <v>1855</v>
      </c>
      <c r="P3063" t="s">
        <v>27</v>
      </c>
    </row>
    <row r="3064" spans="1:16" hidden="1" x14ac:dyDescent="0.25">
      <c r="A3064" s="3" t="s">
        <v>114</v>
      </c>
      <c r="B3064" t="s">
        <v>1854</v>
      </c>
      <c r="C3064" t="s">
        <v>115</v>
      </c>
      <c r="D3064" t="s">
        <v>26</v>
      </c>
      <c r="E3064" t="s">
        <v>132</v>
      </c>
      <c r="F3064">
        <v>2</v>
      </c>
      <c r="G3064" s="3" t="s">
        <v>32</v>
      </c>
      <c r="H3064" s="46" t="s">
        <v>15</v>
      </c>
      <c r="I3064" s="17">
        <v>634000</v>
      </c>
      <c r="J3064" s="17">
        <f>IF(Gastos[[#This Row],[Divisa]]="$", I3064*1, IF(Gastos[[#This Row],[Divisa]]="U$D", I3064*$N$1, IF(Gastos[[#This Row],[Divisa]]="EUR", I3064*$N$2, 0)))</f>
        <v>634000</v>
      </c>
      <c r="K3064" s="54">
        <f>Gastos[[#This Row],[Importe AR$]]/$N$1</f>
        <v>406.41025641025641</v>
      </c>
      <c r="M3064" s="69">
        <v>45843</v>
      </c>
      <c r="N3064" s="43">
        <f>IF(Gastos[[#This Row],[Fecha_Cheque]]&gt;0,WEEKNUM(Gastos[[#This Row],[Fecha_Cheque]]),MID(Gastos[[#This Row],[Semana]],6,2))</f>
        <v>27</v>
      </c>
      <c r="O3064" t="s">
        <v>1856</v>
      </c>
      <c r="P3064" t="s">
        <v>27</v>
      </c>
    </row>
    <row r="3065" spans="1:16" hidden="1" x14ac:dyDescent="0.25">
      <c r="A3065" s="3" t="s">
        <v>114</v>
      </c>
      <c r="B3065" t="s">
        <v>1854</v>
      </c>
      <c r="C3065" t="s">
        <v>115</v>
      </c>
      <c r="D3065" t="s">
        <v>26</v>
      </c>
      <c r="E3065" t="s">
        <v>132</v>
      </c>
      <c r="F3065">
        <v>2</v>
      </c>
      <c r="G3065" s="3" t="s">
        <v>32</v>
      </c>
      <c r="H3065" s="46" t="s">
        <v>15</v>
      </c>
      <c r="I3065" s="17">
        <v>677000</v>
      </c>
      <c r="J3065" s="17">
        <f>IF(Gastos[[#This Row],[Divisa]]="$", I3065*1, IF(Gastos[[#This Row],[Divisa]]="U$D", I3065*$N$1, IF(Gastos[[#This Row],[Divisa]]="EUR", I3065*$N$2, 0)))</f>
        <v>677000</v>
      </c>
      <c r="K3065" s="54">
        <f>Gastos[[#This Row],[Importe AR$]]/$N$1</f>
        <v>433.97435897435895</v>
      </c>
      <c r="M3065" s="69">
        <v>45851</v>
      </c>
      <c r="N3065" s="43">
        <f>IF(Gastos[[#This Row],[Fecha_Cheque]]&gt;0,WEEKNUM(Gastos[[#This Row],[Fecha_Cheque]]),MID(Gastos[[#This Row],[Semana]],6,2))</f>
        <v>29</v>
      </c>
      <c r="O3065" t="s">
        <v>1856</v>
      </c>
      <c r="P3065" t="s">
        <v>27</v>
      </c>
    </row>
    <row r="3066" spans="1:16" hidden="1" x14ac:dyDescent="0.25">
      <c r="A3066" s="3" t="s">
        <v>114</v>
      </c>
      <c r="B3066" t="s">
        <v>1854</v>
      </c>
      <c r="C3066" t="s">
        <v>115</v>
      </c>
      <c r="D3066" t="s">
        <v>26</v>
      </c>
      <c r="E3066" t="s">
        <v>132</v>
      </c>
      <c r="F3066">
        <v>2</v>
      </c>
      <c r="G3066" s="3" t="s">
        <v>32</v>
      </c>
      <c r="H3066" s="46" t="s">
        <v>15</v>
      </c>
      <c r="I3066" s="17">
        <v>1000000</v>
      </c>
      <c r="J3066" s="17">
        <f>IF(Gastos[[#This Row],[Divisa]]="$", I3066*1, IF(Gastos[[#This Row],[Divisa]]="U$D", I3066*$N$1, IF(Gastos[[#This Row],[Divisa]]="EUR", I3066*$N$2, 0)))</f>
        <v>1000000</v>
      </c>
      <c r="K3066" s="54">
        <f>Gastos[[#This Row],[Importe AR$]]/$N$1</f>
        <v>641.02564102564099</v>
      </c>
      <c r="M3066" s="69">
        <v>45833</v>
      </c>
      <c r="N3066" s="43">
        <f>IF(Gastos[[#This Row],[Fecha_Cheque]]&gt;0,WEEKNUM(Gastos[[#This Row],[Fecha_Cheque]]),MID(Gastos[[#This Row],[Semana]],6,2))</f>
        <v>26</v>
      </c>
      <c r="O3066" t="s">
        <v>1856</v>
      </c>
      <c r="P3066" t="s">
        <v>27</v>
      </c>
    </row>
    <row r="3067" spans="1:16" hidden="1" x14ac:dyDescent="0.25">
      <c r="A3067" s="3" t="s">
        <v>114</v>
      </c>
      <c r="B3067" t="s">
        <v>1854</v>
      </c>
      <c r="C3067" t="s">
        <v>115</v>
      </c>
      <c r="D3067" t="s">
        <v>26</v>
      </c>
      <c r="E3067" t="s">
        <v>132</v>
      </c>
      <c r="F3067">
        <v>2</v>
      </c>
      <c r="G3067" s="3" t="s">
        <v>32</v>
      </c>
      <c r="H3067" s="46" t="s">
        <v>15</v>
      </c>
      <c r="I3067" s="17">
        <v>1000000</v>
      </c>
      <c r="J3067" s="17">
        <f>IF(Gastos[[#This Row],[Divisa]]="$", I3067*1, IF(Gastos[[#This Row],[Divisa]]="U$D", I3067*$N$1, IF(Gastos[[#This Row],[Divisa]]="EUR", I3067*$N$2, 0)))</f>
        <v>1000000</v>
      </c>
      <c r="K3067" s="54">
        <f>Gastos[[#This Row],[Importe AR$]]/$N$1</f>
        <v>641.02564102564099</v>
      </c>
      <c r="M3067" s="69">
        <v>45854</v>
      </c>
      <c r="N3067" s="43">
        <f>IF(Gastos[[#This Row],[Fecha_Cheque]]&gt;0,WEEKNUM(Gastos[[#This Row],[Fecha_Cheque]]),MID(Gastos[[#This Row],[Semana]],6,2))</f>
        <v>29</v>
      </c>
      <c r="O3067" t="s">
        <v>1856</v>
      </c>
      <c r="P3067" t="s">
        <v>27</v>
      </c>
    </row>
    <row r="3068" spans="1:16" hidden="1" x14ac:dyDescent="0.25">
      <c r="A3068" s="3" t="s">
        <v>114</v>
      </c>
      <c r="B3068" t="s">
        <v>1854</v>
      </c>
      <c r="C3068" t="s">
        <v>115</v>
      </c>
      <c r="D3068" t="s">
        <v>26</v>
      </c>
      <c r="E3068" t="s">
        <v>132</v>
      </c>
      <c r="F3068">
        <v>2</v>
      </c>
      <c r="G3068" s="3" t="s">
        <v>32</v>
      </c>
      <c r="H3068" s="46" t="s">
        <v>15</v>
      </c>
      <c r="I3068" s="17">
        <v>1180416.3999999999</v>
      </c>
      <c r="J3068" s="17">
        <f>IF(Gastos[[#This Row],[Divisa]]="$", I3068*1, IF(Gastos[[#This Row],[Divisa]]="U$D", I3068*$N$1, IF(Gastos[[#This Row],[Divisa]]="EUR", I3068*$N$2, 0)))</f>
        <v>1180416.3999999999</v>
      </c>
      <c r="K3068" s="54">
        <f>Gastos[[#This Row],[Importe AR$]]/$N$1</f>
        <v>756.67717948717939</v>
      </c>
      <c r="M3068" s="69">
        <v>45863</v>
      </c>
      <c r="N3068" s="43">
        <f>IF(Gastos[[#This Row],[Fecha_Cheque]]&gt;0,WEEKNUM(Gastos[[#This Row],[Fecha_Cheque]]),MID(Gastos[[#This Row],[Semana]],6,2))</f>
        <v>30</v>
      </c>
      <c r="O3068" t="s">
        <v>1856</v>
      </c>
      <c r="P3068" t="s">
        <v>27</v>
      </c>
    </row>
    <row r="3069" spans="1:16" hidden="1" x14ac:dyDescent="0.25">
      <c r="A3069" s="3" t="s">
        <v>114</v>
      </c>
      <c r="B3069" t="s">
        <v>1854</v>
      </c>
      <c r="C3069" t="s">
        <v>115</v>
      </c>
      <c r="D3069" t="s">
        <v>26</v>
      </c>
      <c r="E3069" t="s">
        <v>132</v>
      </c>
      <c r="F3069">
        <v>2</v>
      </c>
      <c r="G3069" s="3" t="s">
        <v>32</v>
      </c>
      <c r="H3069" s="46" t="s">
        <v>15</v>
      </c>
      <c r="I3069" s="17">
        <v>1219140</v>
      </c>
      <c r="J3069" s="17">
        <f>IF(Gastos[[#This Row],[Divisa]]="$", I3069*1, IF(Gastos[[#This Row],[Divisa]]="U$D", I3069*$N$1, IF(Gastos[[#This Row],[Divisa]]="EUR", I3069*$N$2, 0)))</f>
        <v>1219140</v>
      </c>
      <c r="K3069" s="54">
        <f>Gastos[[#This Row],[Importe AR$]]/$N$1</f>
        <v>781.5</v>
      </c>
      <c r="M3069" s="69">
        <v>45850</v>
      </c>
      <c r="N3069" s="43">
        <f>IF(Gastos[[#This Row],[Fecha_Cheque]]&gt;0,WEEKNUM(Gastos[[#This Row],[Fecha_Cheque]]),MID(Gastos[[#This Row],[Semana]],6,2))</f>
        <v>28</v>
      </c>
      <c r="O3069" t="s">
        <v>1856</v>
      </c>
      <c r="P3069" t="s">
        <v>27</v>
      </c>
    </row>
    <row r="3070" spans="1:16" hidden="1" x14ac:dyDescent="0.25">
      <c r="A3070" s="3" t="s">
        <v>114</v>
      </c>
      <c r="B3070" t="s">
        <v>1854</v>
      </c>
      <c r="C3070" t="s">
        <v>115</v>
      </c>
      <c r="D3070" t="s">
        <v>26</v>
      </c>
      <c r="E3070" t="s">
        <v>132</v>
      </c>
      <c r="F3070">
        <v>2</v>
      </c>
      <c r="G3070" s="3" t="s">
        <v>32</v>
      </c>
      <c r="H3070" s="46" t="s">
        <v>15</v>
      </c>
      <c r="I3070" s="17">
        <v>2000000</v>
      </c>
      <c r="J3070" s="17">
        <f>IF(Gastos[[#This Row],[Divisa]]="$", I3070*1, IF(Gastos[[#This Row],[Divisa]]="U$D", I3070*$N$1, IF(Gastos[[#This Row],[Divisa]]="EUR", I3070*$N$2, 0)))</f>
        <v>2000000</v>
      </c>
      <c r="K3070" s="54">
        <f>Gastos[[#This Row],[Importe AR$]]/$N$1</f>
        <v>1282.051282051282</v>
      </c>
      <c r="M3070" s="69">
        <v>45836</v>
      </c>
      <c r="N3070" s="43">
        <f>IF(Gastos[[#This Row],[Fecha_Cheque]]&gt;0,WEEKNUM(Gastos[[#This Row],[Fecha_Cheque]]),MID(Gastos[[#This Row],[Semana]],6,2))</f>
        <v>26</v>
      </c>
      <c r="O3070" t="s">
        <v>1856</v>
      </c>
      <c r="P3070" t="s">
        <v>27</v>
      </c>
    </row>
    <row r="3071" spans="1:16" hidden="1" x14ac:dyDescent="0.25">
      <c r="A3071" s="3" t="s">
        <v>114</v>
      </c>
      <c r="B3071" t="s">
        <v>1854</v>
      </c>
      <c r="C3071" t="s">
        <v>115</v>
      </c>
      <c r="D3071" t="s">
        <v>26</v>
      </c>
      <c r="E3071" t="s">
        <v>132</v>
      </c>
      <c r="F3071">
        <v>2</v>
      </c>
      <c r="G3071" s="3" t="s">
        <v>32</v>
      </c>
      <c r="H3071" s="46" t="s">
        <v>15</v>
      </c>
      <c r="I3071" s="17">
        <v>2458400</v>
      </c>
      <c r="J3071" s="17">
        <f>IF(Gastos[[#This Row],[Divisa]]="$", I3071*1, IF(Gastos[[#This Row],[Divisa]]="U$D", I3071*$N$1, IF(Gastos[[#This Row],[Divisa]]="EUR", I3071*$N$2, 0)))</f>
        <v>2458400</v>
      </c>
      <c r="K3071" s="54">
        <f>Gastos[[#This Row],[Importe AR$]]/$N$1</f>
        <v>1575.8974358974358</v>
      </c>
      <c r="M3071" s="69">
        <v>45853</v>
      </c>
      <c r="N3071" s="43">
        <f>IF(Gastos[[#This Row],[Fecha_Cheque]]&gt;0,WEEKNUM(Gastos[[#This Row],[Fecha_Cheque]]),MID(Gastos[[#This Row],[Semana]],6,2))</f>
        <v>29</v>
      </c>
      <c r="O3071" t="s">
        <v>1856</v>
      </c>
      <c r="P3071" t="s">
        <v>27</v>
      </c>
    </row>
    <row r="3072" spans="1:16" hidden="1" x14ac:dyDescent="0.25">
      <c r="A3072" s="3" t="s">
        <v>114</v>
      </c>
      <c r="B3072" t="s">
        <v>1854</v>
      </c>
      <c r="C3072" t="s">
        <v>735</v>
      </c>
      <c r="D3072" t="s">
        <v>26</v>
      </c>
      <c r="E3072" t="s">
        <v>132</v>
      </c>
      <c r="F3072">
        <v>2</v>
      </c>
      <c r="G3072" s="3" t="s">
        <v>4</v>
      </c>
      <c r="H3072" s="46" t="s">
        <v>15</v>
      </c>
      <c r="I3072" s="17">
        <v>1000000</v>
      </c>
      <c r="J3072" s="17">
        <f>IF(Gastos[[#This Row],[Divisa]]="$", I3072*1, IF(Gastos[[#This Row],[Divisa]]="U$D", I3072*$N$1, IF(Gastos[[#This Row],[Divisa]]="EUR", I3072*$N$2, 0)))</f>
        <v>1000000</v>
      </c>
      <c r="K3072" s="54">
        <f>Gastos[[#This Row],[Importe AR$]]/$N$1</f>
        <v>641.02564102564099</v>
      </c>
      <c r="M3072" s="69"/>
      <c r="N3072" s="43" t="str">
        <f>IF(Gastos[[#This Row],[Fecha_Cheque]]&gt;0,WEEKNUM(Gastos[[#This Row],[Fecha_Cheque]]),MID(Gastos[[#This Row],[Semana]],6,2))</f>
        <v>29</v>
      </c>
      <c r="O3072" t="s">
        <v>1857</v>
      </c>
      <c r="P3072" t="s">
        <v>27</v>
      </c>
    </row>
    <row r="3073" spans="1:16" hidden="1" x14ac:dyDescent="0.25">
      <c r="A3073" s="3" t="s">
        <v>114</v>
      </c>
      <c r="B3073" t="s">
        <v>1854</v>
      </c>
      <c r="C3073" t="s">
        <v>735</v>
      </c>
      <c r="D3073" t="s">
        <v>26</v>
      </c>
      <c r="E3073" t="s">
        <v>132</v>
      </c>
      <c r="F3073">
        <v>2</v>
      </c>
      <c r="G3073" s="3" t="s">
        <v>32</v>
      </c>
      <c r="H3073" s="46" t="s">
        <v>15</v>
      </c>
      <c r="I3073" s="17">
        <v>125150</v>
      </c>
      <c r="J3073" s="17">
        <f>IF(Gastos[[#This Row],[Divisa]]="$", I3073*1, IF(Gastos[[#This Row],[Divisa]]="U$D", I3073*$N$1, IF(Gastos[[#This Row],[Divisa]]="EUR", I3073*$N$2, 0)))</f>
        <v>125150</v>
      </c>
      <c r="K3073" s="54">
        <f>Gastos[[#This Row],[Importe AR$]]/$N$1</f>
        <v>80.224358974358978</v>
      </c>
      <c r="M3073" s="69">
        <v>45849</v>
      </c>
      <c r="N3073" s="43" t="s">
        <v>744</v>
      </c>
      <c r="O3073" t="s">
        <v>1857</v>
      </c>
      <c r="P3073" t="s">
        <v>27</v>
      </c>
    </row>
    <row r="3074" spans="1:16" hidden="1" x14ac:dyDescent="0.25">
      <c r="A3074" s="3" t="s">
        <v>114</v>
      </c>
      <c r="B3074" t="s">
        <v>1854</v>
      </c>
      <c r="C3074" t="s">
        <v>735</v>
      </c>
      <c r="D3074" t="s">
        <v>26</v>
      </c>
      <c r="E3074" t="s">
        <v>132</v>
      </c>
      <c r="F3074">
        <v>2</v>
      </c>
      <c r="G3074" s="3" t="s">
        <v>32</v>
      </c>
      <c r="H3074" s="46" t="s">
        <v>15</v>
      </c>
      <c r="I3074" s="17">
        <v>149552</v>
      </c>
      <c r="J3074" s="17">
        <f>IF(Gastos[[#This Row],[Divisa]]="$", I3074*1, IF(Gastos[[#This Row],[Divisa]]="U$D", I3074*$N$1, IF(Gastos[[#This Row],[Divisa]]="EUR", I3074*$N$2, 0)))</f>
        <v>149552</v>
      </c>
      <c r="K3074" s="54">
        <f>Gastos[[#This Row],[Importe AR$]]/$N$1</f>
        <v>95.86666666666666</v>
      </c>
      <c r="M3074" s="69">
        <v>45843</v>
      </c>
      <c r="N3074" s="43" t="s">
        <v>744</v>
      </c>
      <c r="O3074" t="s">
        <v>1857</v>
      </c>
      <c r="P3074" t="s">
        <v>27</v>
      </c>
    </row>
    <row r="3075" spans="1:16" hidden="1" x14ac:dyDescent="0.25">
      <c r="A3075" s="3" t="s">
        <v>114</v>
      </c>
      <c r="B3075" t="s">
        <v>1854</v>
      </c>
      <c r="C3075" t="s">
        <v>735</v>
      </c>
      <c r="D3075" t="s">
        <v>26</v>
      </c>
      <c r="E3075" t="s">
        <v>132</v>
      </c>
      <c r="F3075">
        <v>2</v>
      </c>
      <c r="G3075" s="3" t="s">
        <v>32</v>
      </c>
      <c r="H3075" s="46" t="s">
        <v>15</v>
      </c>
      <c r="I3075" s="17">
        <v>149552</v>
      </c>
      <c r="J3075" s="17">
        <f>IF(Gastos[[#This Row],[Divisa]]="$", I3075*1, IF(Gastos[[#This Row],[Divisa]]="U$D", I3075*$N$1, IF(Gastos[[#This Row],[Divisa]]="EUR", I3075*$N$2, 0)))</f>
        <v>149552</v>
      </c>
      <c r="K3075" s="54">
        <f>Gastos[[#This Row],[Importe AR$]]/$N$1</f>
        <v>95.86666666666666</v>
      </c>
      <c r="M3075" s="69">
        <v>45840</v>
      </c>
      <c r="N3075" s="43" t="s">
        <v>744</v>
      </c>
      <c r="O3075" t="s">
        <v>1857</v>
      </c>
      <c r="P3075" t="s">
        <v>27</v>
      </c>
    </row>
    <row r="3076" spans="1:16" hidden="1" x14ac:dyDescent="0.25">
      <c r="A3076" s="3" t="s">
        <v>114</v>
      </c>
      <c r="B3076" t="s">
        <v>1854</v>
      </c>
      <c r="C3076" t="s">
        <v>735</v>
      </c>
      <c r="D3076" t="s">
        <v>26</v>
      </c>
      <c r="E3076" t="s">
        <v>132</v>
      </c>
      <c r="F3076">
        <v>2</v>
      </c>
      <c r="G3076" s="3" t="s">
        <v>32</v>
      </c>
      <c r="H3076" s="46" t="s">
        <v>15</v>
      </c>
      <c r="I3076" s="17">
        <v>170000</v>
      </c>
      <c r="J3076" s="17">
        <f>IF(Gastos[[#This Row],[Divisa]]="$", I3076*1, IF(Gastos[[#This Row],[Divisa]]="U$D", I3076*$N$1, IF(Gastos[[#This Row],[Divisa]]="EUR", I3076*$N$2, 0)))</f>
        <v>170000</v>
      </c>
      <c r="K3076" s="54">
        <f>Gastos[[#This Row],[Importe AR$]]/$N$1</f>
        <v>108.97435897435898</v>
      </c>
      <c r="M3076" s="69">
        <v>45839</v>
      </c>
      <c r="N3076" s="43" t="s">
        <v>744</v>
      </c>
      <c r="O3076" t="s">
        <v>1857</v>
      </c>
      <c r="P3076" t="s">
        <v>27</v>
      </c>
    </row>
    <row r="3077" spans="1:16" hidden="1" x14ac:dyDescent="0.25">
      <c r="A3077" s="3" t="s">
        <v>114</v>
      </c>
      <c r="B3077" t="s">
        <v>1854</v>
      </c>
      <c r="C3077" t="s">
        <v>735</v>
      </c>
      <c r="D3077" t="s">
        <v>26</v>
      </c>
      <c r="E3077" t="s">
        <v>132</v>
      </c>
      <c r="F3077">
        <v>2</v>
      </c>
      <c r="G3077" s="3" t="s">
        <v>32</v>
      </c>
      <c r="H3077" s="46" t="s">
        <v>15</v>
      </c>
      <c r="I3077" s="17">
        <v>197000</v>
      </c>
      <c r="J3077" s="17">
        <f>IF(Gastos[[#This Row],[Divisa]]="$", I3077*1, IF(Gastos[[#This Row],[Divisa]]="U$D", I3077*$N$1, IF(Gastos[[#This Row],[Divisa]]="EUR", I3077*$N$2, 0)))</f>
        <v>197000</v>
      </c>
      <c r="K3077" s="54">
        <f>Gastos[[#This Row],[Importe AR$]]/$N$1</f>
        <v>126.28205128205128</v>
      </c>
      <c r="M3077" s="69">
        <v>45868</v>
      </c>
      <c r="N3077" s="43" t="s">
        <v>744</v>
      </c>
      <c r="O3077" t="s">
        <v>1857</v>
      </c>
      <c r="P3077" t="s">
        <v>27</v>
      </c>
    </row>
    <row r="3078" spans="1:16" hidden="1" x14ac:dyDescent="0.25">
      <c r="A3078" s="3" t="s">
        <v>114</v>
      </c>
      <c r="B3078" t="s">
        <v>1854</v>
      </c>
      <c r="C3078" t="s">
        <v>735</v>
      </c>
      <c r="D3078" t="s">
        <v>26</v>
      </c>
      <c r="E3078" t="s">
        <v>132</v>
      </c>
      <c r="F3078">
        <v>2</v>
      </c>
      <c r="G3078" s="3" t="s">
        <v>32</v>
      </c>
      <c r="H3078" s="46" t="s">
        <v>15</v>
      </c>
      <c r="I3078" s="17">
        <v>210000</v>
      </c>
      <c r="J3078" s="17">
        <f>IF(Gastos[[#This Row],[Divisa]]="$", I3078*1, IF(Gastos[[#This Row],[Divisa]]="U$D", I3078*$N$1, IF(Gastos[[#This Row],[Divisa]]="EUR", I3078*$N$2, 0)))</f>
        <v>210000</v>
      </c>
      <c r="K3078" s="54">
        <f>Gastos[[#This Row],[Importe AR$]]/$N$1</f>
        <v>134.61538461538461</v>
      </c>
      <c r="M3078" s="69">
        <v>45862</v>
      </c>
      <c r="N3078" s="43" t="s">
        <v>744</v>
      </c>
      <c r="O3078" t="s">
        <v>1857</v>
      </c>
      <c r="P3078" t="s">
        <v>27</v>
      </c>
    </row>
    <row r="3079" spans="1:16" hidden="1" x14ac:dyDescent="0.25">
      <c r="A3079" s="3" t="s">
        <v>34</v>
      </c>
      <c r="B3079" t="s">
        <v>1854</v>
      </c>
      <c r="C3079" t="s">
        <v>108</v>
      </c>
      <c r="D3079" t="s">
        <v>26</v>
      </c>
      <c r="E3079" t="s">
        <v>132</v>
      </c>
      <c r="F3079">
        <v>2</v>
      </c>
      <c r="G3079" s="3" t="s">
        <v>32</v>
      </c>
      <c r="H3079" s="46" t="s">
        <v>15</v>
      </c>
      <c r="I3079" s="17">
        <v>784641.26</v>
      </c>
      <c r="J3079" s="17">
        <f>IF(Gastos[[#This Row],[Divisa]]="$", I3079*1, IF(Gastos[[#This Row],[Divisa]]="U$D", I3079*$N$1, IF(Gastos[[#This Row],[Divisa]]="EUR", I3079*$N$2, 0)))</f>
        <v>784641.26</v>
      </c>
      <c r="K3079" s="54">
        <f>Gastos[[#This Row],[Importe AR$]]/$N$1</f>
        <v>502.97516666666667</v>
      </c>
      <c r="M3079" s="69">
        <v>45859</v>
      </c>
      <c r="N3079" s="43">
        <f>IF(Gastos[[#This Row],[Fecha_Cheque]]&gt;0,WEEKNUM(Gastos[[#This Row],[Fecha_Cheque]]),MID(Gastos[[#This Row],[Semana]],6,2))</f>
        <v>30</v>
      </c>
      <c r="P3079" t="s">
        <v>27</v>
      </c>
    </row>
    <row r="3080" spans="1:16" hidden="1" x14ac:dyDescent="0.25">
      <c r="A3080" s="3" t="s">
        <v>34</v>
      </c>
      <c r="B3080" t="s">
        <v>1854</v>
      </c>
      <c r="C3080" t="s">
        <v>108</v>
      </c>
      <c r="D3080" t="s">
        <v>26</v>
      </c>
      <c r="E3080" t="s">
        <v>132</v>
      </c>
      <c r="F3080">
        <v>2</v>
      </c>
      <c r="G3080" s="3" t="s">
        <v>32</v>
      </c>
      <c r="H3080" s="46" t="s">
        <v>15</v>
      </c>
      <c r="I3080" s="17">
        <v>1168000</v>
      </c>
      <c r="J3080" s="17">
        <f>IF(Gastos[[#This Row],[Divisa]]="$", I3080*1, IF(Gastos[[#This Row],[Divisa]]="U$D", I3080*$N$1, IF(Gastos[[#This Row],[Divisa]]="EUR", I3080*$N$2, 0)))</f>
        <v>1168000</v>
      </c>
      <c r="K3080" s="54">
        <f>Gastos[[#This Row],[Importe AR$]]/$N$1</f>
        <v>748.71794871794873</v>
      </c>
      <c r="M3080" s="69">
        <v>45853</v>
      </c>
      <c r="N3080" s="43">
        <f>IF(Gastos[[#This Row],[Fecha_Cheque]]&gt;0,WEEKNUM(Gastos[[#This Row],[Fecha_Cheque]]),MID(Gastos[[#This Row],[Semana]],6,2))</f>
        <v>29</v>
      </c>
      <c r="O3080" t="s">
        <v>123</v>
      </c>
      <c r="P3080" t="s">
        <v>27</v>
      </c>
    </row>
    <row r="3081" spans="1:16" hidden="1" x14ac:dyDescent="0.25">
      <c r="A3081" s="3" t="s">
        <v>34</v>
      </c>
      <c r="B3081" t="s">
        <v>1854</v>
      </c>
      <c r="C3081" t="s">
        <v>108</v>
      </c>
      <c r="D3081" t="s">
        <v>26</v>
      </c>
      <c r="E3081" t="s">
        <v>132</v>
      </c>
      <c r="F3081">
        <v>2</v>
      </c>
      <c r="G3081" s="3" t="s">
        <v>32</v>
      </c>
      <c r="H3081" s="46" t="s">
        <v>15</v>
      </c>
      <c r="I3081" s="17">
        <v>1200000</v>
      </c>
      <c r="J3081" s="17">
        <f>IF(Gastos[[#This Row],[Divisa]]="$", I3081*1, IF(Gastos[[#This Row],[Divisa]]="U$D", I3081*$N$1, IF(Gastos[[#This Row],[Divisa]]="EUR", I3081*$N$2, 0)))</f>
        <v>1200000</v>
      </c>
      <c r="K3081" s="54">
        <f>Gastos[[#This Row],[Importe AR$]]/$N$1</f>
        <v>769.23076923076928</v>
      </c>
      <c r="M3081" s="69">
        <v>45854</v>
      </c>
      <c r="N3081" s="43">
        <f>IF(Gastos[[#This Row],[Fecha_Cheque]]&gt;0,WEEKNUM(Gastos[[#This Row],[Fecha_Cheque]]),MID(Gastos[[#This Row],[Semana]],6,2))</f>
        <v>29</v>
      </c>
      <c r="P3081" t="s">
        <v>27</v>
      </c>
    </row>
    <row r="3082" spans="1:16" hidden="1" x14ac:dyDescent="0.25">
      <c r="A3082" s="3" t="s">
        <v>34</v>
      </c>
      <c r="B3082" t="s">
        <v>1854</v>
      </c>
      <c r="C3082" t="s">
        <v>1543</v>
      </c>
      <c r="D3082" t="s">
        <v>26</v>
      </c>
      <c r="E3082" t="s">
        <v>31</v>
      </c>
      <c r="F3082">
        <v>2</v>
      </c>
      <c r="G3082" s="3" t="s">
        <v>4</v>
      </c>
      <c r="H3082" s="46" t="s">
        <v>15</v>
      </c>
      <c r="I3082" s="17">
        <v>1500000</v>
      </c>
      <c r="J3082" s="17">
        <f>IF(Gastos[[#This Row],[Divisa]]="$", I3082*1, IF(Gastos[[#This Row],[Divisa]]="U$D", I3082*$N$1, IF(Gastos[[#This Row],[Divisa]]="EUR", I3082*$N$2, 0)))</f>
        <v>1500000</v>
      </c>
      <c r="K3082" s="54">
        <f>Gastos[[#This Row],[Importe AR$]]/$N$1</f>
        <v>961.53846153846155</v>
      </c>
      <c r="M3082" s="69"/>
      <c r="N3082" s="43" t="str">
        <f>IF(Gastos[[#This Row],[Fecha_Cheque]]&gt;0,WEEKNUM(Gastos[[#This Row],[Fecha_Cheque]]),MID(Gastos[[#This Row],[Semana]],6,2))</f>
        <v>32</v>
      </c>
      <c r="O3082" t="s">
        <v>123</v>
      </c>
      <c r="P3082" t="s">
        <v>27</v>
      </c>
    </row>
    <row r="3083" spans="1:16" hidden="1" x14ac:dyDescent="0.25">
      <c r="A3083" s="3" t="s">
        <v>34</v>
      </c>
      <c r="B3083" t="s">
        <v>1854</v>
      </c>
      <c r="C3083" t="s">
        <v>1543</v>
      </c>
      <c r="D3083" t="s">
        <v>26</v>
      </c>
      <c r="E3083" t="s">
        <v>31</v>
      </c>
      <c r="F3083">
        <v>2</v>
      </c>
      <c r="G3083" s="3" t="s">
        <v>32</v>
      </c>
      <c r="H3083" s="46" t="s">
        <v>15</v>
      </c>
      <c r="I3083" s="17">
        <v>605330</v>
      </c>
      <c r="J3083" s="17">
        <f>IF(Gastos[[#This Row],[Divisa]]="$", I3083*1, IF(Gastos[[#This Row],[Divisa]]="U$D", I3083*$N$1, IF(Gastos[[#This Row],[Divisa]]="EUR", I3083*$N$2, 0)))</f>
        <v>605330</v>
      </c>
      <c r="K3083" s="54">
        <f>Gastos[[#This Row],[Importe AR$]]/$N$1</f>
        <v>388.03205128205127</v>
      </c>
      <c r="M3083" s="69">
        <v>45871</v>
      </c>
      <c r="N3083" s="43">
        <f>IF(Gastos[[#This Row],[Fecha_Cheque]]&gt;0,WEEKNUM(Gastos[[#This Row],[Fecha_Cheque]]),MID(Gastos[[#This Row],[Semana]],6,2))</f>
        <v>31</v>
      </c>
      <c r="O3083" t="s">
        <v>123</v>
      </c>
      <c r="P3083" t="s">
        <v>27</v>
      </c>
    </row>
    <row r="3084" spans="1:16" hidden="1" x14ac:dyDescent="0.25">
      <c r="A3084" s="3" t="s">
        <v>34</v>
      </c>
      <c r="B3084" t="s">
        <v>1854</v>
      </c>
      <c r="C3084" t="s">
        <v>1543</v>
      </c>
      <c r="D3084" t="s">
        <v>26</v>
      </c>
      <c r="E3084" t="s">
        <v>31</v>
      </c>
      <c r="F3084">
        <v>2</v>
      </c>
      <c r="G3084" s="3" t="s">
        <v>32</v>
      </c>
      <c r="H3084" s="46" t="s">
        <v>15</v>
      </c>
      <c r="I3084" s="17">
        <v>890000</v>
      </c>
      <c r="J3084" s="17">
        <f>IF(Gastos[[#This Row],[Divisa]]="$", I3084*1, IF(Gastos[[#This Row],[Divisa]]="U$D", I3084*$N$1, IF(Gastos[[#This Row],[Divisa]]="EUR", I3084*$N$2, 0)))</f>
        <v>890000</v>
      </c>
      <c r="K3084" s="54">
        <f>Gastos[[#This Row],[Importe AR$]]/$N$1</f>
        <v>570.51282051282055</v>
      </c>
      <c r="M3084" s="69">
        <v>45877</v>
      </c>
      <c r="N3084" s="43">
        <f>IF(Gastos[[#This Row],[Fecha_Cheque]]&gt;0,WEEKNUM(Gastos[[#This Row],[Fecha_Cheque]]),MID(Gastos[[#This Row],[Semana]],6,2))</f>
        <v>32</v>
      </c>
      <c r="P3084" t="s">
        <v>27</v>
      </c>
    </row>
    <row r="3085" spans="1:16" hidden="1" x14ac:dyDescent="0.25">
      <c r="A3085" s="3" t="s">
        <v>53</v>
      </c>
      <c r="B3085" t="s">
        <v>1854</v>
      </c>
      <c r="C3085" t="s">
        <v>118</v>
      </c>
      <c r="D3085" t="s">
        <v>26</v>
      </c>
      <c r="E3085" t="s">
        <v>132</v>
      </c>
      <c r="F3085">
        <v>2</v>
      </c>
      <c r="G3085" s="3" t="s">
        <v>32</v>
      </c>
      <c r="H3085" s="46" t="s">
        <v>15</v>
      </c>
      <c r="I3085" s="17">
        <v>5600000</v>
      </c>
      <c r="J3085" s="17">
        <f>IF(Gastos[[#This Row],[Divisa]]="$", I3085*1, IF(Gastos[[#This Row],[Divisa]]="U$D", I3085*$N$1, IF(Gastos[[#This Row],[Divisa]]="EUR", I3085*$N$2, 0)))</f>
        <v>5600000</v>
      </c>
      <c r="K3085" s="54">
        <f>Gastos[[#This Row],[Importe AR$]]/$N$1</f>
        <v>3589.7435897435898</v>
      </c>
      <c r="M3085" s="69">
        <v>45871</v>
      </c>
      <c r="N3085" s="43">
        <f>IF(Gastos[[#This Row],[Fecha_Cheque]]&gt;0,WEEKNUM(Gastos[[#This Row],[Fecha_Cheque]]),MID(Gastos[[#This Row],[Semana]],6,2))</f>
        <v>31</v>
      </c>
      <c r="O3085" t="s">
        <v>1858</v>
      </c>
      <c r="P3085" t="s">
        <v>27</v>
      </c>
    </row>
    <row r="3086" spans="1:16" hidden="1" x14ac:dyDescent="0.25">
      <c r="A3086" s="3" t="s">
        <v>53</v>
      </c>
      <c r="B3086" t="s">
        <v>1854</v>
      </c>
      <c r="C3086" t="s">
        <v>118</v>
      </c>
      <c r="D3086" t="s">
        <v>26</v>
      </c>
      <c r="E3086" t="s">
        <v>132</v>
      </c>
      <c r="F3086">
        <v>2</v>
      </c>
      <c r="G3086" s="3" t="s">
        <v>32</v>
      </c>
      <c r="H3086" s="46" t="s">
        <v>15</v>
      </c>
      <c r="I3086" s="17">
        <v>669000</v>
      </c>
      <c r="J3086" s="17">
        <f>IF(Gastos[[#This Row],[Divisa]]="$", I3086*1, IF(Gastos[[#This Row],[Divisa]]="U$D", I3086*$N$1, IF(Gastos[[#This Row],[Divisa]]="EUR", I3086*$N$2, 0)))</f>
        <v>669000</v>
      </c>
      <c r="K3086" s="54">
        <f>Gastos[[#This Row],[Importe AR$]]/$N$1</f>
        <v>428.84615384615387</v>
      </c>
      <c r="M3086" s="69">
        <v>45888</v>
      </c>
      <c r="N3086" s="43">
        <f>IF(Gastos[[#This Row],[Fecha_Cheque]]&gt;0,WEEKNUM(Gastos[[#This Row],[Fecha_Cheque]]),MID(Gastos[[#This Row],[Semana]],6,2))</f>
        <v>34</v>
      </c>
      <c r="O3086" t="s">
        <v>1858</v>
      </c>
      <c r="P3086" t="s">
        <v>27</v>
      </c>
    </row>
    <row r="3087" spans="1:16" hidden="1" x14ac:dyDescent="0.25">
      <c r="A3087" s="3" t="s">
        <v>89</v>
      </c>
      <c r="B3087" t="s">
        <v>1854</v>
      </c>
      <c r="C3087" t="s">
        <v>118</v>
      </c>
      <c r="D3087" t="s">
        <v>26</v>
      </c>
      <c r="E3087" t="s">
        <v>132</v>
      </c>
      <c r="F3087">
        <v>2</v>
      </c>
      <c r="G3087" s="3" t="s">
        <v>4</v>
      </c>
      <c r="H3087" s="46" t="s">
        <v>15</v>
      </c>
      <c r="I3087" s="17">
        <v>4000000</v>
      </c>
      <c r="J3087" s="17">
        <f>IF(Gastos[[#This Row],[Divisa]]="$", I3087*1, IF(Gastos[[#This Row],[Divisa]]="U$D", I3087*$N$1, IF(Gastos[[#This Row],[Divisa]]="EUR", I3087*$N$2, 0)))</f>
        <v>4000000</v>
      </c>
      <c r="K3087" s="54">
        <f>Gastos[[#This Row],[Importe AR$]]/$N$1</f>
        <v>2564.102564102564</v>
      </c>
      <c r="M3087" s="69"/>
      <c r="N3087" s="43" t="str">
        <f>IF(Gastos[[#This Row],[Fecha_Cheque]]&gt;0,WEEKNUM(Gastos[[#This Row],[Fecha_Cheque]]),MID(Gastos[[#This Row],[Semana]],6,2))</f>
        <v>39</v>
      </c>
      <c r="O3087" t="s">
        <v>1859</v>
      </c>
      <c r="P3087" t="s">
        <v>27</v>
      </c>
    </row>
    <row r="3088" spans="1:16" hidden="1" x14ac:dyDescent="0.25">
      <c r="A3088" s="3" t="s">
        <v>171</v>
      </c>
      <c r="B3088" t="s">
        <v>1854</v>
      </c>
      <c r="C3088" t="s">
        <v>1860</v>
      </c>
      <c r="D3088" t="s">
        <v>26</v>
      </c>
      <c r="E3088" t="s">
        <v>31</v>
      </c>
      <c r="F3088">
        <v>1</v>
      </c>
      <c r="G3088" s="3" t="s">
        <v>32</v>
      </c>
      <c r="H3088" s="46" t="s">
        <v>15</v>
      </c>
      <c r="I3088" s="17">
        <v>1295675.97</v>
      </c>
      <c r="J3088" s="17">
        <f>IF(Gastos[[#This Row],[Divisa]]="$", I3088*1, IF(Gastos[[#This Row],[Divisa]]="U$D", I3088*$N$1, IF(Gastos[[#This Row],[Divisa]]="EUR", I3088*$N$2, 0)))</f>
        <v>1295675.97</v>
      </c>
      <c r="K3088" s="54">
        <f>Gastos[[#This Row],[Importe AR$]]/$N$1</f>
        <v>830.56151923076925</v>
      </c>
      <c r="M3088" s="69">
        <v>45946</v>
      </c>
      <c r="N3088" s="43">
        <f>IF(Gastos[[#This Row],[Fecha_Cheque]]&gt;0,WEEKNUM(Gastos[[#This Row],[Fecha_Cheque]]),MID(Gastos[[#This Row],[Semana]],6,2))</f>
        <v>42</v>
      </c>
      <c r="O3088" t="s">
        <v>1861</v>
      </c>
      <c r="P3088" t="s">
        <v>27</v>
      </c>
    </row>
    <row r="3089" spans="1:16" hidden="1" x14ac:dyDescent="0.25">
      <c r="A3089" s="3" t="s">
        <v>171</v>
      </c>
      <c r="B3089" t="s">
        <v>1854</v>
      </c>
      <c r="C3089" t="s">
        <v>1860</v>
      </c>
      <c r="D3089" t="s">
        <v>26</v>
      </c>
      <c r="E3089" t="s">
        <v>31</v>
      </c>
      <c r="F3089">
        <v>1</v>
      </c>
      <c r="G3089" s="3" t="s">
        <v>32</v>
      </c>
      <c r="H3089" s="46" t="s">
        <v>15</v>
      </c>
      <c r="I3089" s="17">
        <v>2144052.42</v>
      </c>
      <c r="J3089" s="17">
        <f>IF(Gastos[[#This Row],[Divisa]]="$", I3089*1, IF(Gastos[[#This Row],[Divisa]]="U$D", I3089*$N$1, IF(Gastos[[#This Row],[Divisa]]="EUR", I3089*$N$2, 0)))</f>
        <v>2144052.42</v>
      </c>
      <c r="K3089" s="54">
        <f>Gastos[[#This Row],[Importe AR$]]/$N$1</f>
        <v>1374.3925769230768</v>
      </c>
      <c r="M3089" s="69">
        <v>45946</v>
      </c>
      <c r="N3089" s="43">
        <f>IF(Gastos[[#This Row],[Fecha_Cheque]]&gt;0,WEEKNUM(Gastos[[#This Row],[Fecha_Cheque]]),MID(Gastos[[#This Row],[Semana]],6,2))</f>
        <v>42</v>
      </c>
      <c r="O3089" t="s">
        <v>1861</v>
      </c>
      <c r="P3089" t="s">
        <v>27</v>
      </c>
    </row>
    <row r="3090" spans="1:16" hidden="1" x14ac:dyDescent="0.25">
      <c r="A3090" s="3" t="s">
        <v>171</v>
      </c>
      <c r="B3090" t="s">
        <v>1854</v>
      </c>
      <c r="C3090" t="s">
        <v>1860</v>
      </c>
      <c r="D3090" t="s">
        <v>26</v>
      </c>
      <c r="E3090" t="s">
        <v>31</v>
      </c>
      <c r="F3090">
        <v>1</v>
      </c>
      <c r="G3090" s="3" t="s">
        <v>32</v>
      </c>
      <c r="H3090" s="46" t="s">
        <v>15</v>
      </c>
      <c r="I3090" s="17">
        <v>2749074.29</v>
      </c>
      <c r="J3090" s="17">
        <f>IF(Gastos[[#This Row],[Divisa]]="$", I3090*1, IF(Gastos[[#This Row],[Divisa]]="U$D", I3090*$N$1, IF(Gastos[[#This Row],[Divisa]]="EUR", I3090*$N$2, 0)))</f>
        <v>2749074.29</v>
      </c>
      <c r="K3090" s="54">
        <f>Gastos[[#This Row],[Importe AR$]]/$N$1</f>
        <v>1762.227108974359</v>
      </c>
      <c r="M3090" s="69">
        <v>45946</v>
      </c>
      <c r="N3090" s="43">
        <f>IF(Gastos[[#This Row],[Fecha_Cheque]]&gt;0,WEEKNUM(Gastos[[#This Row],[Fecha_Cheque]]),MID(Gastos[[#This Row],[Semana]],6,2))</f>
        <v>42</v>
      </c>
      <c r="O3090" t="s">
        <v>1861</v>
      </c>
      <c r="P3090" t="s">
        <v>27</v>
      </c>
    </row>
    <row r="3091" spans="1:16" hidden="1" x14ac:dyDescent="0.25">
      <c r="A3091" s="3" t="s">
        <v>171</v>
      </c>
      <c r="B3091" t="s">
        <v>1854</v>
      </c>
      <c r="C3091" t="s">
        <v>1860</v>
      </c>
      <c r="D3091" t="s">
        <v>26</v>
      </c>
      <c r="E3091" t="s">
        <v>31</v>
      </c>
      <c r="F3091">
        <v>1</v>
      </c>
      <c r="G3091" s="3" t="s">
        <v>5</v>
      </c>
      <c r="H3091" s="46" t="s">
        <v>15</v>
      </c>
      <c r="I3091" s="17">
        <v>11545.09</v>
      </c>
      <c r="J3091" s="17">
        <f>IF(Gastos[[#This Row],[Divisa]]="$", I3091*1, IF(Gastos[[#This Row],[Divisa]]="U$D", I3091*$N$1, IF(Gastos[[#This Row],[Divisa]]="EUR", I3091*$N$2, 0)))</f>
        <v>11545.09</v>
      </c>
      <c r="K3091" s="54">
        <f>Gastos[[#This Row],[Importe AR$]]/$N$1</f>
        <v>7.4006987179487185</v>
      </c>
      <c r="M3091" s="69"/>
      <c r="N3091" s="43" t="str">
        <f>IF(Gastos[[#This Row],[Fecha_Cheque]]&gt;0,WEEKNUM(Gastos[[#This Row],[Fecha_Cheque]]),MID(Gastos[[#This Row],[Semana]],6,2))</f>
        <v>38</v>
      </c>
      <c r="O3091" t="s">
        <v>1861</v>
      </c>
      <c r="P3091" t="s">
        <v>27</v>
      </c>
    </row>
    <row r="3092" spans="1:16" hidden="1" x14ac:dyDescent="0.25">
      <c r="A3092" s="3" t="s">
        <v>122</v>
      </c>
      <c r="B3092" t="s">
        <v>1854</v>
      </c>
      <c r="C3092" t="s">
        <v>1862</v>
      </c>
      <c r="D3092" t="s">
        <v>26</v>
      </c>
      <c r="E3092" t="s">
        <v>31</v>
      </c>
      <c r="F3092">
        <v>2</v>
      </c>
      <c r="G3092" s="3" t="s">
        <v>32</v>
      </c>
      <c r="H3092" s="46" t="s">
        <v>15</v>
      </c>
      <c r="I3092" s="17">
        <v>282000</v>
      </c>
      <c r="J3092" s="17">
        <f>IF(Gastos[[#This Row],[Divisa]]="$", I3092*1, IF(Gastos[[#This Row],[Divisa]]="U$D", I3092*$N$1, IF(Gastos[[#This Row],[Divisa]]="EUR", I3092*$N$2, 0)))</f>
        <v>282000</v>
      </c>
      <c r="K3092" s="54">
        <f>Gastos[[#This Row],[Importe AR$]]/$N$1</f>
        <v>180.76923076923077</v>
      </c>
      <c r="M3092" s="69">
        <v>45959</v>
      </c>
      <c r="N3092" s="43">
        <f>IF(Gastos[[#This Row],[Fecha_Cheque]]&gt;0,WEEKNUM(Gastos[[#This Row],[Fecha_Cheque]]),MID(Gastos[[#This Row],[Semana]],6,2))</f>
        <v>44</v>
      </c>
      <c r="O3092" t="s">
        <v>1863</v>
      </c>
      <c r="P3092" t="s">
        <v>27</v>
      </c>
    </row>
    <row r="3093" spans="1:16" hidden="1" x14ac:dyDescent="0.25">
      <c r="A3093" s="3" t="s">
        <v>122</v>
      </c>
      <c r="B3093" t="s">
        <v>1854</v>
      </c>
      <c r="C3093" t="s">
        <v>1862</v>
      </c>
      <c r="D3093" t="s">
        <v>26</v>
      </c>
      <c r="E3093" t="s">
        <v>31</v>
      </c>
      <c r="F3093">
        <v>2</v>
      </c>
      <c r="G3093" s="3" t="s">
        <v>32</v>
      </c>
      <c r="H3093" s="46" t="s">
        <v>15</v>
      </c>
      <c r="I3093" s="17">
        <v>282286.09999999998</v>
      </c>
      <c r="J3093" s="17">
        <f>IF(Gastos[[#This Row],[Divisa]]="$", I3093*1, IF(Gastos[[#This Row],[Divisa]]="U$D", I3093*$N$1, IF(Gastos[[#This Row],[Divisa]]="EUR", I3093*$N$2, 0)))</f>
        <v>282286.09999999998</v>
      </c>
      <c r="K3093" s="54">
        <f>Gastos[[#This Row],[Importe AR$]]/$N$1</f>
        <v>180.95262820512818</v>
      </c>
      <c r="M3093" s="69">
        <v>45961</v>
      </c>
      <c r="N3093" s="43">
        <f>IF(Gastos[[#This Row],[Fecha_Cheque]]&gt;0,WEEKNUM(Gastos[[#This Row],[Fecha_Cheque]]),MID(Gastos[[#This Row],[Semana]],6,2))</f>
        <v>44</v>
      </c>
      <c r="O3093" t="s">
        <v>1864</v>
      </c>
      <c r="P3093" t="s">
        <v>27</v>
      </c>
    </row>
    <row r="3094" spans="1:16" hidden="1" x14ac:dyDescent="0.25">
      <c r="A3094" s="3" t="s">
        <v>122</v>
      </c>
      <c r="B3094" t="s">
        <v>1854</v>
      </c>
      <c r="C3094" t="s">
        <v>1862</v>
      </c>
      <c r="D3094" t="s">
        <v>26</v>
      </c>
      <c r="E3094" t="s">
        <v>31</v>
      </c>
      <c r="F3094">
        <v>2</v>
      </c>
      <c r="G3094" s="3" t="s">
        <v>32</v>
      </c>
      <c r="H3094" s="46" t="s">
        <v>15</v>
      </c>
      <c r="I3094" s="17">
        <v>800000</v>
      </c>
      <c r="J3094" s="17">
        <f>IF(Gastos[[#This Row],[Divisa]]="$", I3094*1, IF(Gastos[[#This Row],[Divisa]]="U$D", I3094*$N$1, IF(Gastos[[#This Row],[Divisa]]="EUR", I3094*$N$2, 0)))</f>
        <v>800000</v>
      </c>
      <c r="K3094" s="54">
        <f>Gastos[[#This Row],[Importe AR$]]/$N$1</f>
        <v>512.82051282051282</v>
      </c>
      <c r="M3094" s="69">
        <v>45980</v>
      </c>
      <c r="N3094" s="43">
        <f>IF(Gastos[[#This Row],[Fecha_Cheque]]&gt;0,WEEKNUM(Gastos[[#This Row],[Fecha_Cheque]]),MID(Gastos[[#This Row],[Semana]],6,2))</f>
        <v>47</v>
      </c>
      <c r="O3094" t="s">
        <v>1864</v>
      </c>
      <c r="P3094" t="s">
        <v>27</v>
      </c>
    </row>
    <row r="3095" spans="1:16" hidden="1" x14ac:dyDescent="0.25">
      <c r="A3095" s="3" t="s">
        <v>122</v>
      </c>
      <c r="B3095" t="s">
        <v>1854</v>
      </c>
      <c r="C3095" t="s">
        <v>1862</v>
      </c>
      <c r="D3095" t="s">
        <v>26</v>
      </c>
      <c r="E3095" t="s">
        <v>31</v>
      </c>
      <c r="F3095">
        <v>2</v>
      </c>
      <c r="G3095" s="3" t="s">
        <v>32</v>
      </c>
      <c r="H3095" s="46" t="s">
        <v>15</v>
      </c>
      <c r="I3095" s="17">
        <v>800000</v>
      </c>
      <c r="J3095" s="17">
        <f>IF(Gastos[[#This Row],[Divisa]]="$", I3095*1, IF(Gastos[[#This Row],[Divisa]]="U$D", I3095*$N$1, IF(Gastos[[#This Row],[Divisa]]="EUR", I3095*$N$2, 0)))</f>
        <v>800000</v>
      </c>
      <c r="K3095" s="54">
        <f>Gastos[[#This Row],[Importe AR$]]/$N$1</f>
        <v>512.82051282051282</v>
      </c>
      <c r="M3095" s="69">
        <v>45979</v>
      </c>
      <c r="N3095" s="43">
        <f>IF(Gastos[[#This Row],[Fecha_Cheque]]&gt;0,WEEKNUM(Gastos[[#This Row],[Fecha_Cheque]]),MID(Gastos[[#This Row],[Semana]],6,2))</f>
        <v>47</v>
      </c>
      <c r="O3095" t="s">
        <v>1864</v>
      </c>
      <c r="P3095" t="s">
        <v>27</v>
      </c>
    </row>
    <row r="3096" spans="1:16" hidden="1" x14ac:dyDescent="0.25">
      <c r="A3096" s="3" t="s">
        <v>122</v>
      </c>
      <c r="B3096" t="s">
        <v>1854</v>
      </c>
      <c r="C3096" t="s">
        <v>1862</v>
      </c>
      <c r="D3096" t="s">
        <v>26</v>
      </c>
      <c r="E3096" t="s">
        <v>31</v>
      </c>
      <c r="F3096">
        <v>2</v>
      </c>
      <c r="G3096" s="3" t="s">
        <v>32</v>
      </c>
      <c r="H3096" s="46" t="s">
        <v>15</v>
      </c>
      <c r="I3096" s="17">
        <v>800000</v>
      </c>
      <c r="J3096" s="17">
        <f>IF(Gastos[[#This Row],[Divisa]]="$", I3096*1, IF(Gastos[[#This Row],[Divisa]]="U$D", I3096*$N$1, IF(Gastos[[#This Row],[Divisa]]="EUR", I3096*$N$2, 0)))</f>
        <v>800000</v>
      </c>
      <c r="K3096" s="54">
        <f>Gastos[[#This Row],[Importe AR$]]/$N$1</f>
        <v>512.82051282051282</v>
      </c>
      <c r="M3096" s="69">
        <v>45972</v>
      </c>
      <c r="N3096" s="43">
        <f>IF(Gastos[[#This Row],[Fecha_Cheque]]&gt;0,WEEKNUM(Gastos[[#This Row],[Fecha_Cheque]]),MID(Gastos[[#This Row],[Semana]],6,2))</f>
        <v>46</v>
      </c>
      <c r="O3096" t="s">
        <v>1864</v>
      </c>
      <c r="P3096" t="s">
        <v>27</v>
      </c>
    </row>
    <row r="3097" spans="1:16" hidden="1" x14ac:dyDescent="0.25">
      <c r="A3097" s="3" t="s">
        <v>122</v>
      </c>
      <c r="B3097" t="s">
        <v>1854</v>
      </c>
      <c r="C3097" t="s">
        <v>1862</v>
      </c>
      <c r="D3097" t="s">
        <v>26</v>
      </c>
      <c r="E3097" t="s">
        <v>31</v>
      </c>
      <c r="F3097">
        <v>2</v>
      </c>
      <c r="G3097" s="3" t="s">
        <v>32</v>
      </c>
      <c r="H3097" s="46" t="s">
        <v>15</v>
      </c>
      <c r="I3097" s="17">
        <v>752413</v>
      </c>
      <c r="J3097" s="17">
        <f>IF(Gastos[[#This Row],[Divisa]]="$", I3097*1, IF(Gastos[[#This Row],[Divisa]]="U$D", I3097*$N$1, IF(Gastos[[#This Row],[Divisa]]="EUR", I3097*$N$2, 0)))</f>
        <v>752413</v>
      </c>
      <c r="K3097" s="54">
        <f>Gastos[[#This Row],[Importe AR$]]/$N$1</f>
        <v>482.31602564102565</v>
      </c>
      <c r="M3097" s="69">
        <v>45953</v>
      </c>
      <c r="N3097" s="43">
        <f>IF(Gastos[[#This Row],[Fecha_Cheque]]&gt;0,WEEKNUM(Gastos[[#This Row],[Fecha_Cheque]]),MID(Gastos[[#This Row],[Semana]],6,2))</f>
        <v>43</v>
      </c>
      <c r="O3097" t="s">
        <v>1864</v>
      </c>
      <c r="P3097" t="s">
        <v>27</v>
      </c>
    </row>
    <row r="3098" spans="1:16" hidden="1" x14ac:dyDescent="0.25">
      <c r="A3098" s="3" t="s">
        <v>122</v>
      </c>
      <c r="B3098" t="s">
        <v>1854</v>
      </c>
      <c r="C3098" t="s">
        <v>1862</v>
      </c>
      <c r="D3098" t="s">
        <v>26</v>
      </c>
      <c r="E3098" t="s">
        <v>31</v>
      </c>
      <c r="F3098">
        <v>2</v>
      </c>
      <c r="G3098" s="3" t="s">
        <v>32</v>
      </c>
      <c r="H3098" s="46" t="s">
        <v>15</v>
      </c>
      <c r="I3098" s="17">
        <v>900000</v>
      </c>
      <c r="J3098" s="17">
        <f>IF(Gastos[[#This Row],[Divisa]]="$", I3098*1, IF(Gastos[[#This Row],[Divisa]]="U$D", I3098*$N$1, IF(Gastos[[#This Row],[Divisa]]="EUR", I3098*$N$2, 0)))</f>
        <v>900000</v>
      </c>
      <c r="K3098" s="54">
        <f>Gastos[[#This Row],[Importe AR$]]/$N$1</f>
        <v>576.92307692307691</v>
      </c>
      <c r="M3098" s="69">
        <v>45950</v>
      </c>
      <c r="N3098" s="43">
        <f>IF(Gastos[[#This Row],[Fecha_Cheque]]&gt;0,WEEKNUM(Gastos[[#This Row],[Fecha_Cheque]]),MID(Gastos[[#This Row],[Semana]],6,2))</f>
        <v>43</v>
      </c>
      <c r="O3098" t="s">
        <v>1864</v>
      </c>
      <c r="P3098" t="s">
        <v>27</v>
      </c>
    </row>
    <row r="3099" spans="1:16" hidden="1" x14ac:dyDescent="0.25">
      <c r="A3099" s="3" t="s">
        <v>122</v>
      </c>
      <c r="B3099" t="s">
        <v>1854</v>
      </c>
      <c r="C3099" t="s">
        <v>1862</v>
      </c>
      <c r="D3099" t="s">
        <v>26</v>
      </c>
      <c r="E3099" t="s">
        <v>31</v>
      </c>
      <c r="F3099">
        <v>2</v>
      </c>
      <c r="G3099" s="3" t="s">
        <v>32</v>
      </c>
      <c r="H3099" s="46" t="s">
        <v>15</v>
      </c>
      <c r="I3099" s="17">
        <v>942060</v>
      </c>
      <c r="J3099" s="17">
        <f>IF(Gastos[[#This Row],[Divisa]]="$", I3099*1, IF(Gastos[[#This Row],[Divisa]]="U$D", I3099*$N$1, IF(Gastos[[#This Row],[Divisa]]="EUR", I3099*$N$2, 0)))</f>
        <v>942060</v>
      </c>
      <c r="K3099" s="54">
        <f>Gastos[[#This Row],[Importe AR$]]/$N$1</f>
        <v>603.88461538461536</v>
      </c>
      <c r="M3099" s="69">
        <v>45971</v>
      </c>
      <c r="N3099" s="43">
        <f>IF(Gastos[[#This Row],[Fecha_Cheque]]&gt;0,WEEKNUM(Gastos[[#This Row],[Fecha_Cheque]]),MID(Gastos[[#This Row],[Semana]],6,2))</f>
        <v>46</v>
      </c>
      <c r="O3099" t="s">
        <v>1864</v>
      </c>
      <c r="P3099" t="s">
        <v>27</v>
      </c>
    </row>
    <row r="3100" spans="1:16" hidden="1" x14ac:dyDescent="0.25">
      <c r="A3100" s="3" t="s">
        <v>122</v>
      </c>
      <c r="B3100" t="s">
        <v>1854</v>
      </c>
      <c r="C3100" t="s">
        <v>118</v>
      </c>
      <c r="D3100" t="s">
        <v>26</v>
      </c>
      <c r="E3100" t="s">
        <v>132</v>
      </c>
      <c r="F3100">
        <v>2</v>
      </c>
      <c r="G3100" s="3" t="s">
        <v>32</v>
      </c>
      <c r="H3100" s="46" t="s">
        <v>15</v>
      </c>
      <c r="I3100" s="17">
        <v>760000</v>
      </c>
      <c r="J3100" s="17">
        <f>IF(Gastos[[#This Row],[Divisa]]="$", I3100*1, IF(Gastos[[#This Row],[Divisa]]="U$D", I3100*$N$1, IF(Gastos[[#This Row],[Divisa]]="EUR", I3100*$N$2, 0)))</f>
        <v>760000</v>
      </c>
      <c r="K3100" s="54">
        <f>Gastos[[#This Row],[Importe AR$]]/$N$1</f>
        <v>487.17948717948718</v>
      </c>
      <c r="M3100" s="69">
        <v>45963</v>
      </c>
      <c r="N3100" s="43">
        <f>IF(Gastos[[#This Row],[Fecha_Cheque]]&gt;0,WEEKNUM(Gastos[[#This Row],[Fecha_Cheque]]),MID(Gastos[[#This Row],[Semana]],6,2))</f>
        <v>45</v>
      </c>
      <c r="O3100" t="s">
        <v>1865</v>
      </c>
      <c r="P3100" t="s">
        <v>27</v>
      </c>
    </row>
    <row r="3101" spans="1:16" hidden="1" x14ac:dyDescent="0.25">
      <c r="A3101" s="3" t="s">
        <v>122</v>
      </c>
      <c r="B3101" t="s">
        <v>1854</v>
      </c>
      <c r="C3101" t="s">
        <v>118</v>
      </c>
      <c r="D3101" t="s">
        <v>26</v>
      </c>
      <c r="E3101" t="s">
        <v>132</v>
      </c>
      <c r="F3101">
        <v>2</v>
      </c>
      <c r="G3101" s="3" t="s">
        <v>32</v>
      </c>
      <c r="H3101" s="46" t="s">
        <v>15</v>
      </c>
      <c r="I3101" s="17">
        <v>200000</v>
      </c>
      <c r="J3101" s="17">
        <f>IF(Gastos[[#This Row],[Divisa]]="$", I3101*1, IF(Gastos[[#This Row],[Divisa]]="U$D", I3101*$N$1, IF(Gastos[[#This Row],[Divisa]]="EUR", I3101*$N$2, 0)))</f>
        <v>200000</v>
      </c>
      <c r="K3101" s="54">
        <f>Gastos[[#This Row],[Importe AR$]]/$N$1</f>
        <v>128.2051282051282</v>
      </c>
      <c r="M3101" s="69">
        <v>45966</v>
      </c>
      <c r="N3101" s="43">
        <f>IF(Gastos[[#This Row],[Fecha_Cheque]]&gt;0,WEEKNUM(Gastos[[#This Row],[Fecha_Cheque]]),MID(Gastos[[#This Row],[Semana]],6,2))</f>
        <v>45</v>
      </c>
      <c r="O3101" t="s">
        <v>1865</v>
      </c>
      <c r="P3101" t="s">
        <v>27</v>
      </c>
    </row>
    <row r="3102" spans="1:16" hidden="1" x14ac:dyDescent="0.25">
      <c r="A3102" s="3" t="s">
        <v>122</v>
      </c>
      <c r="B3102" t="s">
        <v>1854</v>
      </c>
      <c r="C3102" t="s">
        <v>118</v>
      </c>
      <c r="D3102" t="s">
        <v>26</v>
      </c>
      <c r="E3102" t="s">
        <v>132</v>
      </c>
      <c r="F3102">
        <v>2</v>
      </c>
      <c r="G3102" s="3" t="s">
        <v>32</v>
      </c>
      <c r="H3102" s="46" t="s">
        <v>15</v>
      </c>
      <c r="I3102" s="17">
        <v>1299606</v>
      </c>
      <c r="J3102" s="17">
        <f>IF(Gastos[[#This Row],[Divisa]]="$", I3102*1, IF(Gastos[[#This Row],[Divisa]]="U$D", I3102*$N$1, IF(Gastos[[#This Row],[Divisa]]="EUR", I3102*$N$2, 0)))</f>
        <v>1299606</v>
      </c>
      <c r="K3102" s="54">
        <f>Gastos[[#This Row],[Importe AR$]]/$N$1</f>
        <v>833.08076923076919</v>
      </c>
      <c r="M3102" s="69">
        <v>45950</v>
      </c>
      <c r="N3102" s="43">
        <f>IF(Gastos[[#This Row],[Fecha_Cheque]]&gt;0,WEEKNUM(Gastos[[#This Row],[Fecha_Cheque]]),MID(Gastos[[#This Row],[Semana]],6,2))</f>
        <v>43</v>
      </c>
      <c r="O3102" t="s">
        <v>1865</v>
      </c>
      <c r="P3102" t="s">
        <v>27</v>
      </c>
    </row>
    <row r="3103" spans="1:16" hidden="1" x14ac:dyDescent="0.25">
      <c r="A3103" s="3" t="s">
        <v>122</v>
      </c>
      <c r="B3103" t="s">
        <v>1854</v>
      </c>
      <c r="C3103" t="s">
        <v>118</v>
      </c>
      <c r="D3103" t="s">
        <v>26</v>
      </c>
      <c r="E3103" t="s">
        <v>132</v>
      </c>
      <c r="F3103">
        <v>2</v>
      </c>
      <c r="G3103" s="3" t="s">
        <v>32</v>
      </c>
      <c r="H3103" s="46" t="s">
        <v>15</v>
      </c>
      <c r="I3103" s="17">
        <v>626219.38</v>
      </c>
      <c r="J3103" s="17">
        <f>IF(Gastos[[#This Row],[Divisa]]="$", I3103*1, IF(Gastos[[#This Row],[Divisa]]="U$D", I3103*$N$1, IF(Gastos[[#This Row],[Divisa]]="EUR", I3103*$N$2, 0)))</f>
        <v>626219.38</v>
      </c>
      <c r="K3103" s="54">
        <f>Gastos[[#This Row],[Importe AR$]]/$N$1</f>
        <v>401.42267948717949</v>
      </c>
      <c r="M3103" s="69">
        <v>45965</v>
      </c>
      <c r="N3103" s="43">
        <f>IF(Gastos[[#This Row],[Fecha_Cheque]]&gt;0,WEEKNUM(Gastos[[#This Row],[Fecha_Cheque]]),MID(Gastos[[#This Row],[Semana]],6,2))</f>
        <v>45</v>
      </c>
      <c r="O3103" t="s">
        <v>1865</v>
      </c>
      <c r="P3103" t="s">
        <v>27</v>
      </c>
    </row>
    <row r="3104" spans="1:16" hidden="1" x14ac:dyDescent="0.25">
      <c r="A3104" s="3" t="s">
        <v>122</v>
      </c>
      <c r="B3104" t="s">
        <v>1854</v>
      </c>
      <c r="C3104" t="s">
        <v>118</v>
      </c>
      <c r="D3104" t="s">
        <v>26</v>
      </c>
      <c r="E3104" t="s">
        <v>132</v>
      </c>
      <c r="F3104">
        <v>2</v>
      </c>
      <c r="G3104" s="3" t="s">
        <v>32</v>
      </c>
      <c r="H3104" s="46" t="s">
        <v>15</v>
      </c>
      <c r="I3104" s="17">
        <v>338868</v>
      </c>
      <c r="J3104" s="17">
        <f>IF(Gastos[[#This Row],[Divisa]]="$", I3104*1, IF(Gastos[[#This Row],[Divisa]]="U$D", I3104*$N$1, IF(Gastos[[#This Row],[Divisa]]="EUR", I3104*$N$2, 0)))</f>
        <v>338868</v>
      </c>
      <c r="K3104" s="54">
        <f>Gastos[[#This Row],[Importe AR$]]/$N$1</f>
        <v>217.22307692307692</v>
      </c>
      <c r="M3104" s="69">
        <v>45960</v>
      </c>
      <c r="N3104" s="43">
        <f>IF(Gastos[[#This Row],[Fecha_Cheque]]&gt;0,WEEKNUM(Gastos[[#This Row],[Fecha_Cheque]]),MID(Gastos[[#This Row],[Semana]],6,2))</f>
        <v>44</v>
      </c>
      <c r="O3104" t="s">
        <v>1865</v>
      </c>
      <c r="P3104" t="s">
        <v>27</v>
      </c>
    </row>
    <row r="3105" spans="1:16" hidden="1" x14ac:dyDescent="0.25">
      <c r="A3105" s="3" t="s">
        <v>124</v>
      </c>
      <c r="B3105" t="s">
        <v>1854</v>
      </c>
      <c r="C3105" t="s">
        <v>1842</v>
      </c>
      <c r="D3105" t="s">
        <v>26</v>
      </c>
      <c r="E3105" t="s">
        <v>31</v>
      </c>
      <c r="F3105">
        <v>2</v>
      </c>
      <c r="G3105" s="3" t="s">
        <v>32</v>
      </c>
      <c r="H3105" s="46" t="s">
        <v>15</v>
      </c>
      <c r="I3105" s="17">
        <v>12777353.880000001</v>
      </c>
      <c r="J3105" s="17">
        <f>IF(Gastos[[#This Row],[Divisa]]="$", I3105*1, IF(Gastos[[#This Row],[Divisa]]="U$D", I3105*$N$1, IF(Gastos[[#This Row],[Divisa]]="EUR", I3105*$N$2, 0)))</f>
        <v>12777353.880000001</v>
      </c>
      <c r="K3105" s="54">
        <f>Gastos[[#This Row],[Importe AR$]]/$N$1</f>
        <v>8190.6114615384622</v>
      </c>
      <c r="M3105" s="69">
        <v>45929</v>
      </c>
      <c r="N3105" s="43">
        <f>IF(Gastos[[#This Row],[Fecha_Cheque]]&gt;0,WEEKNUM(Gastos[[#This Row],[Fecha_Cheque]]),MID(Gastos[[#This Row],[Semana]],6,2))</f>
        <v>40</v>
      </c>
      <c r="O3105" t="s">
        <v>1866</v>
      </c>
      <c r="P3105" t="s">
        <v>27</v>
      </c>
    </row>
    <row r="3106" spans="1:16" hidden="1" x14ac:dyDescent="0.25">
      <c r="A3106" s="3" t="s">
        <v>128</v>
      </c>
      <c r="B3106" t="s">
        <v>1854</v>
      </c>
      <c r="C3106" t="s">
        <v>1867</v>
      </c>
      <c r="D3106" t="s">
        <v>26</v>
      </c>
      <c r="E3106" t="s">
        <v>132</v>
      </c>
      <c r="F3106">
        <v>2</v>
      </c>
      <c r="G3106" s="3" t="s">
        <v>32</v>
      </c>
      <c r="H3106" s="46" t="s">
        <v>15</v>
      </c>
      <c r="I3106" s="17">
        <v>2708000</v>
      </c>
      <c r="J3106" s="17">
        <f>IF(Gastos[[#This Row],[Divisa]]="$", I3106*1, IF(Gastos[[#This Row],[Divisa]]="U$D", I3106*$N$1, IF(Gastos[[#This Row],[Divisa]]="EUR", I3106*$N$2, 0)))</f>
        <v>2708000</v>
      </c>
      <c r="K3106" s="54">
        <f>Gastos[[#This Row],[Importe AR$]]/$N$1</f>
        <v>1735.8974358974358</v>
      </c>
      <c r="M3106" s="69">
        <v>45997</v>
      </c>
      <c r="N3106" s="43">
        <f>IF(Gastos[[#This Row],[Fecha_Cheque]]&gt;0,WEEKNUM(Gastos[[#This Row],[Fecha_Cheque]]),MID(Gastos[[#This Row],[Semana]],6,2))</f>
        <v>49</v>
      </c>
      <c r="O3106" t="s">
        <v>1868</v>
      </c>
      <c r="P3106" t="s">
        <v>27</v>
      </c>
    </row>
    <row r="3107" spans="1:16" hidden="1" x14ac:dyDescent="0.25">
      <c r="A3107" s="3" t="s">
        <v>128</v>
      </c>
      <c r="B3107" t="s">
        <v>1854</v>
      </c>
      <c r="C3107" t="s">
        <v>1867</v>
      </c>
      <c r="D3107" t="s">
        <v>26</v>
      </c>
      <c r="E3107" t="s">
        <v>132</v>
      </c>
      <c r="F3107">
        <v>2</v>
      </c>
      <c r="G3107" s="3" t="s">
        <v>32</v>
      </c>
      <c r="H3107" s="46" t="s">
        <v>15</v>
      </c>
      <c r="I3107" s="17">
        <v>3756000</v>
      </c>
      <c r="J3107" s="17">
        <f>IF(Gastos[[#This Row],[Divisa]]="$", I3107*1, IF(Gastos[[#This Row],[Divisa]]="U$D", I3107*$N$1, IF(Gastos[[#This Row],[Divisa]]="EUR", I3107*$N$2, 0)))</f>
        <v>3756000</v>
      </c>
      <c r="K3107" s="54">
        <f>Gastos[[#This Row],[Importe AR$]]/$N$1</f>
        <v>2407.6923076923076</v>
      </c>
      <c r="M3107" s="69">
        <v>46000</v>
      </c>
      <c r="N3107" s="43">
        <f>IF(Gastos[[#This Row],[Fecha_Cheque]]&gt;0,WEEKNUM(Gastos[[#This Row],[Fecha_Cheque]]),MID(Gastos[[#This Row],[Semana]],6,2))</f>
        <v>50</v>
      </c>
      <c r="O3107" t="s">
        <v>1868</v>
      </c>
      <c r="P3107" t="s">
        <v>27</v>
      </c>
    </row>
    <row r="3108" spans="1:16" hidden="1" x14ac:dyDescent="0.25">
      <c r="A3108" s="3" t="s">
        <v>128</v>
      </c>
      <c r="B3108" t="s">
        <v>1854</v>
      </c>
      <c r="C3108" t="s">
        <v>118</v>
      </c>
      <c r="D3108" t="s">
        <v>26</v>
      </c>
      <c r="E3108" t="s">
        <v>132</v>
      </c>
      <c r="F3108">
        <v>2</v>
      </c>
      <c r="G3108" s="3" t="s">
        <v>32</v>
      </c>
      <c r="H3108" s="46" t="s">
        <v>15</v>
      </c>
      <c r="I3108" s="17">
        <v>586000</v>
      </c>
      <c r="J3108" s="17">
        <f>IF(Gastos[[#This Row],[Divisa]]="$", I3108*1, IF(Gastos[[#This Row],[Divisa]]="U$D", I3108*$N$1, IF(Gastos[[#This Row],[Divisa]]="EUR", I3108*$N$2, 0)))</f>
        <v>586000</v>
      </c>
      <c r="K3108" s="54">
        <f>Gastos[[#This Row],[Importe AR$]]/$N$1</f>
        <v>375.64102564102564</v>
      </c>
      <c r="M3108" s="69">
        <v>45944</v>
      </c>
      <c r="N3108" s="43">
        <f>IF(Gastos[[#This Row],[Fecha_Cheque]]&gt;0,WEEKNUM(Gastos[[#This Row],[Fecha_Cheque]]),MID(Gastos[[#This Row],[Semana]],6,2))</f>
        <v>42</v>
      </c>
      <c r="O3108" t="s">
        <v>1869</v>
      </c>
      <c r="P3108" t="s">
        <v>27</v>
      </c>
    </row>
    <row r="3109" spans="1:16" hidden="1" x14ac:dyDescent="0.25">
      <c r="A3109" s="3" t="s">
        <v>128</v>
      </c>
      <c r="B3109" t="s">
        <v>1854</v>
      </c>
      <c r="C3109" t="s">
        <v>118</v>
      </c>
      <c r="D3109" t="s">
        <v>26</v>
      </c>
      <c r="E3109" t="s">
        <v>132</v>
      </c>
      <c r="F3109">
        <v>2</v>
      </c>
      <c r="G3109" s="3" t="s">
        <v>32</v>
      </c>
      <c r="H3109" s="46" t="s">
        <v>15</v>
      </c>
      <c r="I3109" s="17">
        <v>600008</v>
      </c>
      <c r="J3109" s="17">
        <f>IF(Gastos[[#This Row],[Divisa]]="$", I3109*1, IF(Gastos[[#This Row],[Divisa]]="U$D", I3109*$N$1, IF(Gastos[[#This Row],[Divisa]]="EUR", I3109*$N$2, 0)))</f>
        <v>600008</v>
      </c>
      <c r="K3109" s="54">
        <f>Gastos[[#This Row],[Importe AR$]]/$N$1</f>
        <v>384.62051282051283</v>
      </c>
      <c r="M3109" s="69">
        <v>45950</v>
      </c>
      <c r="N3109" s="43">
        <f>IF(Gastos[[#This Row],[Fecha_Cheque]]&gt;0,WEEKNUM(Gastos[[#This Row],[Fecha_Cheque]]),MID(Gastos[[#This Row],[Semana]],6,2))</f>
        <v>43</v>
      </c>
      <c r="O3109" t="s">
        <v>1869</v>
      </c>
      <c r="P3109" t="s">
        <v>27</v>
      </c>
    </row>
    <row r="3110" spans="1:16" hidden="1" x14ac:dyDescent="0.25">
      <c r="A3110" s="3" t="s">
        <v>128</v>
      </c>
      <c r="B3110" t="s">
        <v>1854</v>
      </c>
      <c r="C3110" t="s">
        <v>118</v>
      </c>
      <c r="D3110" t="s">
        <v>26</v>
      </c>
      <c r="E3110" t="s">
        <v>132</v>
      </c>
      <c r="F3110">
        <v>2</v>
      </c>
      <c r="G3110" s="3" t="s">
        <v>32</v>
      </c>
      <c r="H3110" s="46" t="s">
        <v>15</v>
      </c>
      <c r="I3110" s="17">
        <v>3000000</v>
      </c>
      <c r="J3110" s="17">
        <f>IF(Gastos[[#This Row],[Divisa]]="$", I3110*1, IF(Gastos[[#This Row],[Divisa]]="U$D", I3110*$N$1, IF(Gastos[[#This Row],[Divisa]]="EUR", I3110*$N$2, 0)))</f>
        <v>3000000</v>
      </c>
      <c r="K3110" s="54">
        <f>Gastos[[#This Row],[Importe AR$]]/$N$1</f>
        <v>1923.0769230769231</v>
      </c>
      <c r="M3110" s="69">
        <v>45950</v>
      </c>
      <c r="N3110" s="43">
        <f>IF(Gastos[[#This Row],[Fecha_Cheque]]&gt;0,WEEKNUM(Gastos[[#This Row],[Fecha_Cheque]]),MID(Gastos[[#This Row],[Semana]],6,2))</f>
        <v>43</v>
      </c>
      <c r="O3110" t="s">
        <v>1869</v>
      </c>
      <c r="P3110" t="s">
        <v>27</v>
      </c>
    </row>
    <row r="3111" spans="1:16" hidden="1" x14ac:dyDescent="0.25">
      <c r="A3111" s="3" t="s">
        <v>128</v>
      </c>
      <c r="B3111" t="s">
        <v>1854</v>
      </c>
      <c r="C3111" t="s">
        <v>118</v>
      </c>
      <c r="D3111" t="s">
        <v>26</v>
      </c>
      <c r="E3111" t="s">
        <v>132</v>
      </c>
      <c r="F3111">
        <v>2</v>
      </c>
      <c r="G3111" s="3" t="s">
        <v>32</v>
      </c>
      <c r="H3111" s="46" t="s">
        <v>15</v>
      </c>
      <c r="I3111" s="17">
        <v>300000</v>
      </c>
      <c r="J3111" s="17">
        <f>IF(Gastos[[#This Row],[Divisa]]="$", I3111*1, IF(Gastos[[#This Row],[Divisa]]="U$D", I3111*$N$1, IF(Gastos[[#This Row],[Divisa]]="EUR", I3111*$N$2, 0)))</f>
        <v>300000</v>
      </c>
      <c r="K3111" s="54">
        <f>Gastos[[#This Row],[Importe AR$]]/$N$1</f>
        <v>192.30769230769232</v>
      </c>
      <c r="M3111" s="69">
        <v>45968</v>
      </c>
      <c r="N3111" s="43">
        <f>IF(Gastos[[#This Row],[Fecha_Cheque]]&gt;0,WEEKNUM(Gastos[[#This Row],[Fecha_Cheque]]),MID(Gastos[[#This Row],[Semana]],6,2))</f>
        <v>45</v>
      </c>
      <c r="O3111" t="s">
        <v>1869</v>
      </c>
      <c r="P3111" t="s">
        <v>27</v>
      </c>
    </row>
    <row r="3112" spans="1:16" hidden="1" x14ac:dyDescent="0.25">
      <c r="A3112" s="3" t="s">
        <v>232</v>
      </c>
      <c r="B3112" t="s">
        <v>1854</v>
      </c>
      <c r="C3112" t="s">
        <v>1867</v>
      </c>
      <c r="D3112" t="s">
        <v>26</v>
      </c>
      <c r="E3112" t="s">
        <v>42</v>
      </c>
      <c r="F3112">
        <v>2</v>
      </c>
      <c r="G3112" s="3" t="s">
        <v>4</v>
      </c>
      <c r="H3112" s="46" t="s">
        <v>15</v>
      </c>
      <c r="I3112" s="17">
        <v>3000000</v>
      </c>
      <c r="J3112" s="17">
        <f>IF(Gastos[[#This Row],[Divisa]]="$", I3112*1, IF(Gastos[[#This Row],[Divisa]]="U$D", I3112*$N$1, IF(Gastos[[#This Row],[Divisa]]="EUR", I3112*$N$2, 0)))</f>
        <v>3000000</v>
      </c>
      <c r="K3112" s="54">
        <f>Gastos[[#This Row],[Importe AR$]]/$N$1</f>
        <v>1923.0769230769231</v>
      </c>
      <c r="M3112" s="69"/>
      <c r="N3112" s="43" t="str">
        <f>IF(Gastos[[#This Row],[Fecha_Cheque]]&gt;0,WEEKNUM(Gastos[[#This Row],[Fecha_Cheque]]),MID(Gastos[[#This Row],[Semana]],6,2))</f>
        <v>44</v>
      </c>
      <c r="O3112" t="s">
        <v>1870</v>
      </c>
      <c r="P3112" t="s">
        <v>27</v>
      </c>
    </row>
    <row r="3113" spans="1:16" hidden="1" x14ac:dyDescent="0.25">
      <c r="A3113" s="3" t="s">
        <v>232</v>
      </c>
      <c r="B3113" t="s">
        <v>1854</v>
      </c>
      <c r="C3113" t="s">
        <v>1867</v>
      </c>
      <c r="D3113" t="s">
        <v>26</v>
      </c>
      <c r="E3113" t="s">
        <v>42</v>
      </c>
      <c r="F3113">
        <v>2</v>
      </c>
      <c r="G3113" s="3" t="s">
        <v>32</v>
      </c>
      <c r="H3113" s="46" t="s">
        <v>15</v>
      </c>
      <c r="I3113" s="17">
        <v>1650000</v>
      </c>
      <c r="J3113" s="17">
        <f>IF(Gastos[[#This Row],[Divisa]]="$", I3113*1, IF(Gastos[[#This Row],[Divisa]]="U$D", I3113*$N$1, IF(Gastos[[#This Row],[Divisa]]="EUR", I3113*$N$2, 0)))</f>
        <v>1650000</v>
      </c>
      <c r="K3113" s="54">
        <f>Gastos[[#This Row],[Importe AR$]]/$N$1</f>
        <v>1057.6923076923076</v>
      </c>
      <c r="M3113" s="69">
        <v>45959</v>
      </c>
      <c r="N3113" s="43">
        <f>IF(Gastos[[#This Row],[Fecha_Cheque]]&gt;0,WEEKNUM(Gastos[[#This Row],[Fecha_Cheque]]),MID(Gastos[[#This Row],[Semana]],6,2))</f>
        <v>44</v>
      </c>
      <c r="O3113" t="s">
        <v>1870</v>
      </c>
      <c r="P3113" t="s">
        <v>27</v>
      </c>
    </row>
    <row r="3114" spans="1:16" hidden="1" x14ac:dyDescent="0.25">
      <c r="A3114" s="3" t="s">
        <v>232</v>
      </c>
      <c r="B3114" t="s">
        <v>1854</v>
      </c>
      <c r="C3114" t="s">
        <v>1867</v>
      </c>
      <c r="D3114" t="s">
        <v>26</v>
      </c>
      <c r="E3114" t="s">
        <v>42</v>
      </c>
      <c r="F3114">
        <v>2</v>
      </c>
      <c r="G3114" s="3" t="s">
        <v>32</v>
      </c>
      <c r="H3114" s="46" t="s">
        <v>15</v>
      </c>
      <c r="I3114" s="17">
        <v>2506000</v>
      </c>
      <c r="J3114" s="17">
        <f>IF(Gastos[[#This Row],[Divisa]]="$", I3114*1, IF(Gastos[[#This Row],[Divisa]]="U$D", I3114*$N$1, IF(Gastos[[#This Row],[Divisa]]="EUR", I3114*$N$2, 0)))</f>
        <v>2506000</v>
      </c>
      <c r="K3114" s="54">
        <f>Gastos[[#This Row],[Importe AR$]]/$N$1</f>
        <v>1606.4102564102564</v>
      </c>
      <c r="M3114" s="69">
        <v>45969</v>
      </c>
      <c r="N3114" s="43">
        <f>IF(Gastos[[#This Row],[Fecha_Cheque]]&gt;0,WEEKNUM(Gastos[[#This Row],[Fecha_Cheque]]),MID(Gastos[[#This Row],[Semana]],6,2))</f>
        <v>45</v>
      </c>
      <c r="O3114" t="s">
        <v>1870</v>
      </c>
      <c r="P3114" t="s">
        <v>27</v>
      </c>
    </row>
    <row r="3115" spans="1:16" hidden="1" x14ac:dyDescent="0.25">
      <c r="A3115" s="3" t="s">
        <v>232</v>
      </c>
      <c r="B3115" t="s">
        <v>1854</v>
      </c>
      <c r="C3115" t="s">
        <v>1867</v>
      </c>
      <c r="D3115" t="s">
        <v>26</v>
      </c>
      <c r="E3115" t="s">
        <v>42</v>
      </c>
      <c r="F3115">
        <v>2</v>
      </c>
      <c r="G3115" s="3" t="s">
        <v>32</v>
      </c>
      <c r="H3115" s="46" t="s">
        <v>15</v>
      </c>
      <c r="I3115" s="17">
        <v>3500000</v>
      </c>
      <c r="J3115" s="17">
        <f>IF(Gastos[[#This Row],[Divisa]]="$", I3115*1, IF(Gastos[[#This Row],[Divisa]]="U$D", I3115*$N$1, IF(Gastos[[#This Row],[Divisa]]="EUR", I3115*$N$2, 0)))</f>
        <v>3500000</v>
      </c>
      <c r="K3115" s="54">
        <f>Gastos[[#This Row],[Importe AR$]]/$N$1</f>
        <v>2243.5897435897436</v>
      </c>
      <c r="M3115" s="69">
        <v>45960</v>
      </c>
      <c r="N3115" s="43">
        <f>IF(Gastos[[#This Row],[Fecha_Cheque]]&gt;0,WEEKNUM(Gastos[[#This Row],[Fecha_Cheque]]),MID(Gastos[[#This Row],[Semana]],6,2))</f>
        <v>44</v>
      </c>
      <c r="O3115" t="s">
        <v>1870</v>
      </c>
      <c r="P3115" t="s">
        <v>27</v>
      </c>
    </row>
    <row r="3116" spans="1:16" hidden="1" x14ac:dyDescent="0.25">
      <c r="A3116" s="3" t="s">
        <v>130</v>
      </c>
      <c r="B3116" t="s">
        <v>1854</v>
      </c>
      <c r="C3116" t="s">
        <v>1871</v>
      </c>
      <c r="D3116" t="s">
        <v>26</v>
      </c>
      <c r="E3116" t="s">
        <v>132</v>
      </c>
      <c r="F3116">
        <v>2</v>
      </c>
      <c r="G3116" s="3" t="s">
        <v>4</v>
      </c>
      <c r="H3116" s="46" t="s">
        <v>15</v>
      </c>
      <c r="I3116" s="17">
        <v>1650000</v>
      </c>
      <c r="J3116" s="17">
        <f>IF(Gastos[[#This Row],[Divisa]]="$", I3116*1, IF(Gastos[[#This Row],[Divisa]]="U$D", I3116*$N$1, IF(Gastos[[#This Row],[Divisa]]="EUR", I3116*$N$2, 0)))</f>
        <v>1650000</v>
      </c>
      <c r="K3116" s="54">
        <f>Gastos[[#This Row],[Importe AR$]]/$N$1</f>
        <v>1057.6923076923076</v>
      </c>
      <c r="M3116" s="69"/>
      <c r="N3116" s="43" t="str">
        <f>IF(Gastos[[#This Row],[Fecha_Cheque]]&gt;0,WEEKNUM(Gastos[[#This Row],[Fecha_Cheque]]),MID(Gastos[[#This Row],[Semana]],6,2))</f>
        <v>45</v>
      </c>
      <c r="O3116" t="s">
        <v>1872</v>
      </c>
      <c r="P3116" t="s">
        <v>27</v>
      </c>
    </row>
    <row r="3117" spans="1:16" hidden="1" x14ac:dyDescent="0.25">
      <c r="A3117" s="3" t="s">
        <v>130</v>
      </c>
      <c r="B3117" t="s">
        <v>1854</v>
      </c>
      <c r="C3117" t="s">
        <v>118</v>
      </c>
      <c r="D3117" t="s">
        <v>61</v>
      </c>
      <c r="E3117" t="s">
        <v>132</v>
      </c>
      <c r="F3117">
        <v>2</v>
      </c>
      <c r="G3117" s="3" t="s">
        <v>32</v>
      </c>
      <c r="H3117" s="46" t="s">
        <v>15</v>
      </c>
      <c r="I3117" s="17">
        <v>910000</v>
      </c>
      <c r="J3117" s="17">
        <f>IF(Gastos[[#This Row],[Divisa]]="$", I3117*1, IF(Gastos[[#This Row],[Divisa]]="U$D", I3117*$N$1, IF(Gastos[[#This Row],[Divisa]]="EUR", I3117*$N$2, 0)))</f>
        <v>910000</v>
      </c>
      <c r="K3117" s="54">
        <f>Gastos[[#This Row],[Importe AR$]]/$N$1</f>
        <v>583.33333333333337</v>
      </c>
      <c r="M3117" s="69">
        <v>46009</v>
      </c>
      <c r="N3117" s="43">
        <f>IF(Gastos[[#This Row],[Fecha_Cheque]]&gt;0,WEEKNUM(Gastos[[#This Row],[Fecha_Cheque]]),MID(Gastos[[#This Row],[Semana]],6,2))</f>
        <v>51</v>
      </c>
      <c r="O3117" t="s">
        <v>1873</v>
      </c>
      <c r="P3117" t="s">
        <v>27</v>
      </c>
    </row>
    <row r="3118" spans="1:16" hidden="1" x14ac:dyDescent="0.25">
      <c r="A3118" s="3" t="s">
        <v>130</v>
      </c>
      <c r="B3118" t="s">
        <v>1854</v>
      </c>
      <c r="C3118" t="s">
        <v>118</v>
      </c>
      <c r="D3118" t="s">
        <v>61</v>
      </c>
      <c r="E3118" t="s">
        <v>132</v>
      </c>
      <c r="F3118">
        <v>2</v>
      </c>
      <c r="G3118" s="3" t="s">
        <v>32</v>
      </c>
      <c r="H3118" s="46" t="s">
        <v>15</v>
      </c>
      <c r="I3118" s="17">
        <v>964500</v>
      </c>
      <c r="J3118" s="17">
        <f>IF(Gastos[[#This Row],[Divisa]]="$", I3118*1, IF(Gastos[[#This Row],[Divisa]]="U$D", I3118*$N$1, IF(Gastos[[#This Row],[Divisa]]="EUR", I3118*$N$2, 0)))</f>
        <v>964500</v>
      </c>
      <c r="K3118" s="54">
        <f>Gastos[[#This Row],[Importe AR$]]/$N$1</f>
        <v>618.26923076923072</v>
      </c>
      <c r="M3118" s="69">
        <v>46011</v>
      </c>
      <c r="N3118" s="43">
        <f>IF(Gastos[[#This Row],[Fecha_Cheque]]&gt;0,WEEKNUM(Gastos[[#This Row],[Fecha_Cheque]]),MID(Gastos[[#This Row],[Semana]],6,2))</f>
        <v>51</v>
      </c>
      <c r="O3118" t="s">
        <v>1873</v>
      </c>
      <c r="P3118" t="s">
        <v>27</v>
      </c>
    </row>
    <row r="3119" spans="1:16" hidden="1" x14ac:dyDescent="0.25">
      <c r="A3119" s="3" t="s">
        <v>130</v>
      </c>
      <c r="B3119" t="s">
        <v>1854</v>
      </c>
      <c r="C3119" t="s">
        <v>118</v>
      </c>
      <c r="D3119" t="s">
        <v>61</v>
      </c>
      <c r="E3119" t="s">
        <v>132</v>
      </c>
      <c r="F3119">
        <v>2</v>
      </c>
      <c r="G3119" s="3" t="s">
        <v>32</v>
      </c>
      <c r="H3119" s="46" t="s">
        <v>15</v>
      </c>
      <c r="I3119" s="17">
        <v>3217410</v>
      </c>
      <c r="J3119" s="17">
        <f>IF(Gastos[[#This Row],[Divisa]]="$", I3119*1, IF(Gastos[[#This Row],[Divisa]]="U$D", I3119*$N$1, IF(Gastos[[#This Row],[Divisa]]="EUR", I3119*$N$2, 0)))</f>
        <v>3217410</v>
      </c>
      <c r="K3119" s="54">
        <f>Gastos[[#This Row],[Importe AR$]]/$N$1</f>
        <v>2062.4423076923076</v>
      </c>
      <c r="M3119" s="69">
        <v>46004</v>
      </c>
      <c r="N3119" s="43">
        <f>IF(Gastos[[#This Row],[Fecha_Cheque]]&gt;0,WEEKNUM(Gastos[[#This Row],[Fecha_Cheque]]),MID(Gastos[[#This Row],[Semana]],6,2))</f>
        <v>50</v>
      </c>
      <c r="O3119" t="s">
        <v>1873</v>
      </c>
      <c r="P3119" t="s">
        <v>27</v>
      </c>
    </row>
    <row r="3120" spans="1:16" hidden="1" x14ac:dyDescent="0.25">
      <c r="A3120" s="3" t="s">
        <v>130</v>
      </c>
      <c r="B3120" t="s">
        <v>1854</v>
      </c>
      <c r="C3120" t="s">
        <v>118</v>
      </c>
      <c r="D3120" t="s">
        <v>61</v>
      </c>
      <c r="E3120" t="s">
        <v>132</v>
      </c>
      <c r="F3120">
        <v>2</v>
      </c>
      <c r="G3120" s="3" t="s">
        <v>32</v>
      </c>
      <c r="H3120" s="46" t="s">
        <v>15</v>
      </c>
      <c r="I3120" s="17">
        <v>964500</v>
      </c>
      <c r="J3120" s="17">
        <f>IF(Gastos[[#This Row],[Divisa]]="$", I3120*1, IF(Gastos[[#This Row],[Divisa]]="U$D", I3120*$N$1, IF(Gastos[[#This Row],[Divisa]]="EUR", I3120*$N$2, 0)))</f>
        <v>964500</v>
      </c>
      <c r="K3120" s="54">
        <f>Gastos[[#This Row],[Importe AR$]]/$N$1</f>
        <v>618.26923076923072</v>
      </c>
      <c r="M3120" s="69">
        <v>46008</v>
      </c>
      <c r="N3120" s="43">
        <f>IF(Gastos[[#This Row],[Fecha_Cheque]]&gt;0,WEEKNUM(Gastos[[#This Row],[Fecha_Cheque]]),MID(Gastos[[#This Row],[Semana]],6,2))</f>
        <v>51</v>
      </c>
      <c r="O3120" t="s">
        <v>1873</v>
      </c>
      <c r="P3120" t="s">
        <v>27</v>
      </c>
    </row>
    <row r="3121" spans="1:16" hidden="1" x14ac:dyDescent="0.25">
      <c r="A3121" s="3" t="s">
        <v>60</v>
      </c>
      <c r="B3121" t="s">
        <v>1854</v>
      </c>
      <c r="C3121" t="s">
        <v>1842</v>
      </c>
      <c r="D3121" t="s">
        <v>26</v>
      </c>
      <c r="E3121" t="s">
        <v>31</v>
      </c>
      <c r="F3121">
        <v>2</v>
      </c>
      <c r="G3121" s="3" t="s">
        <v>4</v>
      </c>
      <c r="H3121" s="46" t="s">
        <v>15</v>
      </c>
      <c r="I3121" s="17">
        <v>5000000</v>
      </c>
      <c r="J3121" s="17">
        <f>IF(Gastos[[#This Row],[Divisa]]="$", I3121*1, IF(Gastos[[#This Row],[Divisa]]="U$D", I3121*$N$1, IF(Gastos[[#This Row],[Divisa]]="EUR", I3121*$N$2, 0)))</f>
        <v>5000000</v>
      </c>
      <c r="K3121" s="54">
        <f>Gastos[[#This Row],[Importe AR$]]/$N$1</f>
        <v>3205.1282051282051</v>
      </c>
      <c r="M3121" s="69"/>
      <c r="N3121" s="43" t="str">
        <f>IF(Gastos[[#This Row],[Fecha_Cheque]]&gt;0,WEEKNUM(Gastos[[#This Row],[Fecha_Cheque]]),MID(Gastos[[#This Row],[Semana]],6,2))</f>
        <v>46</v>
      </c>
      <c r="O3121" t="s">
        <v>1874</v>
      </c>
      <c r="P3121" t="s">
        <v>27</v>
      </c>
    </row>
    <row r="3122" spans="1:16" hidden="1" x14ac:dyDescent="0.25">
      <c r="A3122" s="3" t="s">
        <v>60</v>
      </c>
      <c r="B3122" t="s">
        <v>1854</v>
      </c>
      <c r="C3122" t="s">
        <v>1875</v>
      </c>
      <c r="D3122" t="s">
        <v>26</v>
      </c>
      <c r="E3122" t="s">
        <v>132</v>
      </c>
      <c r="F3122">
        <v>2</v>
      </c>
      <c r="G3122" s="3" t="s">
        <v>4</v>
      </c>
      <c r="H3122" s="46" t="s">
        <v>15</v>
      </c>
      <c r="I3122" s="17">
        <v>3000000</v>
      </c>
      <c r="J3122" s="17">
        <f>IF(Gastos[[#This Row],[Divisa]]="$", I3122*1, IF(Gastos[[#This Row],[Divisa]]="U$D", I3122*$N$1, IF(Gastos[[#This Row],[Divisa]]="EUR", I3122*$N$2, 0)))</f>
        <v>3000000</v>
      </c>
      <c r="K3122" s="54">
        <f>Gastos[[#This Row],[Importe AR$]]/$N$1</f>
        <v>1923.0769230769231</v>
      </c>
      <c r="M3122" s="69"/>
      <c r="N3122" s="43" t="str">
        <f>IF(Gastos[[#This Row],[Fecha_Cheque]]&gt;0,WEEKNUM(Gastos[[#This Row],[Fecha_Cheque]]),MID(Gastos[[#This Row],[Semana]],6,2))</f>
        <v>46</v>
      </c>
      <c r="O3122" t="s">
        <v>1876</v>
      </c>
      <c r="P3122" t="s">
        <v>27</v>
      </c>
    </row>
    <row r="3123" spans="1:16" hidden="1" x14ac:dyDescent="0.25">
      <c r="A3123" s="3" t="s">
        <v>79</v>
      </c>
      <c r="B3123" t="s">
        <v>1854</v>
      </c>
      <c r="C3123" t="s">
        <v>118</v>
      </c>
      <c r="D3123" t="s">
        <v>26</v>
      </c>
      <c r="E3123" t="s">
        <v>132</v>
      </c>
      <c r="F3123">
        <v>2</v>
      </c>
      <c r="G3123" s="3" t="s">
        <v>32</v>
      </c>
      <c r="H3123" s="46" t="s">
        <v>15</v>
      </c>
      <c r="I3123" s="17">
        <v>2332000</v>
      </c>
      <c r="J3123" s="17">
        <f>IF(Gastos[[#This Row],[Divisa]]="$", I3123*1, IF(Gastos[[#This Row],[Divisa]]="U$D", I3123*$N$1, IF(Gastos[[#This Row],[Divisa]]="EUR", I3123*$N$2, 0)))</f>
        <v>2332000</v>
      </c>
      <c r="K3123" s="54">
        <f>Gastos[[#This Row],[Importe AR$]]/$N$1</f>
        <v>1494.8717948717949</v>
      </c>
      <c r="M3123" s="69">
        <v>46022</v>
      </c>
      <c r="N3123" s="43">
        <f>IF(Gastos[[#This Row],[Fecha_Cheque]]&gt;0,WEEKNUM(Gastos[[#This Row],[Fecha_Cheque]]),MID(Gastos[[#This Row],[Semana]],6,2))</f>
        <v>53</v>
      </c>
      <c r="O3123" t="s">
        <v>80</v>
      </c>
      <c r="P3123" t="s">
        <v>27</v>
      </c>
    </row>
    <row r="3124" spans="1:16" hidden="1" x14ac:dyDescent="0.25">
      <c r="A3124" s="3" t="s">
        <v>79</v>
      </c>
      <c r="B3124" t="s">
        <v>1854</v>
      </c>
      <c r="C3124" t="s">
        <v>118</v>
      </c>
      <c r="D3124" t="s">
        <v>26</v>
      </c>
      <c r="E3124" t="s">
        <v>132</v>
      </c>
      <c r="F3124">
        <v>2</v>
      </c>
      <c r="G3124" s="3" t="s">
        <v>32</v>
      </c>
      <c r="H3124" s="46" t="s">
        <v>15</v>
      </c>
      <c r="I3124" s="17">
        <v>3500000</v>
      </c>
      <c r="J3124" s="17">
        <f>IF(Gastos[[#This Row],[Divisa]]="$", I3124*1, IF(Gastos[[#This Row],[Divisa]]="U$D", I3124*$N$1, IF(Gastos[[#This Row],[Divisa]]="EUR", I3124*$N$2, 0)))</f>
        <v>3500000</v>
      </c>
      <c r="K3124" s="54">
        <f>Gastos[[#This Row],[Importe AR$]]/$N$1</f>
        <v>2243.5897435897436</v>
      </c>
      <c r="M3124" s="69">
        <v>46011</v>
      </c>
      <c r="N3124" s="43">
        <f>IF(Gastos[[#This Row],[Fecha_Cheque]]&gt;0,WEEKNUM(Gastos[[#This Row],[Fecha_Cheque]]),MID(Gastos[[#This Row],[Semana]],6,2))</f>
        <v>51</v>
      </c>
      <c r="O3124" t="s">
        <v>80</v>
      </c>
      <c r="P3124" t="s">
        <v>27</v>
      </c>
    </row>
    <row r="3125" spans="1:16" hidden="1" x14ac:dyDescent="0.25">
      <c r="A3125" s="3" t="s">
        <v>79</v>
      </c>
      <c r="B3125" t="s">
        <v>1854</v>
      </c>
      <c r="C3125" t="s">
        <v>1543</v>
      </c>
      <c r="D3125" t="s">
        <v>26</v>
      </c>
      <c r="E3125" t="s">
        <v>62</v>
      </c>
      <c r="F3125">
        <v>2</v>
      </c>
      <c r="G3125" s="3" t="s">
        <v>32</v>
      </c>
      <c r="H3125" s="46" t="s">
        <v>15</v>
      </c>
      <c r="I3125" s="17">
        <v>340902.7</v>
      </c>
      <c r="J3125" s="17">
        <f>IF(Gastos[[#This Row],[Divisa]]="$", I3125*1, IF(Gastos[[#This Row],[Divisa]]="U$D", I3125*$N$1, IF(Gastos[[#This Row],[Divisa]]="EUR", I3125*$N$2, 0)))</f>
        <v>340902.7</v>
      </c>
      <c r="K3125" s="54">
        <f>Gastos[[#This Row],[Importe AR$]]/$N$1</f>
        <v>218.52737179487181</v>
      </c>
      <c r="M3125" s="69">
        <v>46004</v>
      </c>
      <c r="N3125" s="43">
        <f>IF(Gastos[[#This Row],[Fecha_Cheque]]&gt;0,WEEKNUM(Gastos[[#This Row],[Fecha_Cheque]]),MID(Gastos[[#This Row],[Semana]],6,2))</f>
        <v>50</v>
      </c>
      <c r="O3125" t="s">
        <v>1877</v>
      </c>
      <c r="P3125" t="s">
        <v>27</v>
      </c>
    </row>
    <row r="3126" spans="1:16" hidden="1" x14ac:dyDescent="0.25">
      <c r="A3126" s="3" t="s">
        <v>79</v>
      </c>
      <c r="B3126" t="s">
        <v>1854</v>
      </c>
      <c r="C3126" t="s">
        <v>1543</v>
      </c>
      <c r="D3126" t="s">
        <v>26</v>
      </c>
      <c r="E3126" t="s">
        <v>62</v>
      </c>
      <c r="F3126">
        <v>2</v>
      </c>
      <c r="G3126" s="3" t="s">
        <v>32</v>
      </c>
      <c r="H3126" s="46" t="s">
        <v>15</v>
      </c>
      <c r="I3126" s="17">
        <v>442000</v>
      </c>
      <c r="J3126" s="17">
        <f>IF(Gastos[[#This Row],[Divisa]]="$", I3126*1, IF(Gastos[[#This Row],[Divisa]]="U$D", I3126*$N$1, IF(Gastos[[#This Row],[Divisa]]="EUR", I3126*$N$2, 0)))</f>
        <v>442000</v>
      </c>
      <c r="K3126" s="54">
        <f>Gastos[[#This Row],[Importe AR$]]/$N$1</f>
        <v>283.33333333333331</v>
      </c>
      <c r="M3126" s="69">
        <v>46007</v>
      </c>
      <c r="N3126" s="43">
        <f>IF(Gastos[[#This Row],[Fecha_Cheque]]&gt;0,WEEKNUM(Gastos[[#This Row],[Fecha_Cheque]]),MID(Gastos[[#This Row],[Semana]],6,2))</f>
        <v>51</v>
      </c>
      <c r="O3126" t="s">
        <v>1877</v>
      </c>
      <c r="P3126" t="s">
        <v>27</v>
      </c>
    </row>
    <row r="3127" spans="1:16" hidden="1" x14ac:dyDescent="0.25">
      <c r="A3127" s="3" t="s">
        <v>79</v>
      </c>
      <c r="B3127" t="s">
        <v>1854</v>
      </c>
      <c r="C3127" t="s">
        <v>1543</v>
      </c>
      <c r="D3127" t="s">
        <v>26</v>
      </c>
      <c r="E3127" t="s">
        <v>62</v>
      </c>
      <c r="F3127">
        <v>2</v>
      </c>
      <c r="G3127" s="3" t="s">
        <v>4</v>
      </c>
      <c r="H3127" s="46" t="s">
        <v>15</v>
      </c>
      <c r="I3127" s="17">
        <v>2500000</v>
      </c>
      <c r="J3127" s="17">
        <f>IF(Gastos[[#This Row],[Divisa]]="$", I3127*1, IF(Gastos[[#This Row],[Divisa]]="U$D", I3127*$N$1, IF(Gastos[[#This Row],[Divisa]]="EUR", I3127*$N$2, 0)))</f>
        <v>2500000</v>
      </c>
      <c r="K3127" s="54">
        <f>Gastos[[#This Row],[Importe AR$]]/$N$1</f>
        <v>1602.5641025641025</v>
      </c>
      <c r="M3127" s="69"/>
      <c r="N3127" s="43" t="str">
        <f>IF(Gastos[[#This Row],[Fecha_Cheque]]&gt;0,WEEKNUM(Gastos[[#This Row],[Fecha_Cheque]]),MID(Gastos[[#This Row],[Semana]],6,2))</f>
        <v>47</v>
      </c>
      <c r="O3127" t="s">
        <v>1877</v>
      </c>
      <c r="P3127" t="s">
        <v>27</v>
      </c>
    </row>
    <row r="3128" spans="1:16" hidden="1" x14ac:dyDescent="0.25">
      <c r="A3128" s="3" t="s">
        <v>81</v>
      </c>
      <c r="B3128" t="s">
        <v>1854</v>
      </c>
      <c r="C3128" t="s">
        <v>118</v>
      </c>
      <c r="D3128" t="s">
        <v>26</v>
      </c>
      <c r="E3128" t="s">
        <v>132</v>
      </c>
      <c r="F3128">
        <v>2</v>
      </c>
      <c r="G3128" s="3" t="s">
        <v>32</v>
      </c>
      <c r="H3128" s="46" t="s">
        <v>15</v>
      </c>
      <c r="I3128" s="17">
        <v>1012140</v>
      </c>
      <c r="J3128" s="17">
        <f>IF(Gastos[[#This Row],[Divisa]]="$", I3128*1, IF(Gastos[[#This Row],[Divisa]]="U$D", I3128*$N$1, IF(Gastos[[#This Row],[Divisa]]="EUR", I3128*$N$2, 0)))</f>
        <v>1012140</v>
      </c>
      <c r="K3128" s="54">
        <f>Gastos[[#This Row],[Importe AR$]]/$N$1</f>
        <v>648.80769230769226</v>
      </c>
      <c r="M3128" s="69">
        <v>46033</v>
      </c>
      <c r="N3128" s="43">
        <f>IF(Gastos[[#This Row],[Fecha_Cheque]]&gt;0,WEEKNUM(Gastos[[#This Row],[Fecha_Cheque]]),MID(Gastos[[#This Row],[Semana]],6,2))</f>
        <v>3</v>
      </c>
      <c r="O3128" t="s">
        <v>1878</v>
      </c>
      <c r="P3128" t="s">
        <v>27</v>
      </c>
    </row>
    <row r="3129" spans="1:16" hidden="1" x14ac:dyDescent="0.25">
      <c r="A3129" s="3" t="s">
        <v>81</v>
      </c>
      <c r="B3129" t="s">
        <v>1854</v>
      </c>
      <c r="C3129" t="s">
        <v>118</v>
      </c>
      <c r="D3129" t="s">
        <v>26</v>
      </c>
      <c r="E3129" t="s">
        <v>132</v>
      </c>
      <c r="F3129">
        <v>2</v>
      </c>
      <c r="G3129" s="3" t="s">
        <v>32</v>
      </c>
      <c r="H3129" s="46" t="s">
        <v>15</v>
      </c>
      <c r="I3129" s="17">
        <v>1055000</v>
      </c>
      <c r="J3129" s="17">
        <f>IF(Gastos[[#This Row],[Divisa]]="$", I3129*1, IF(Gastos[[#This Row],[Divisa]]="U$D", I3129*$N$1, IF(Gastos[[#This Row],[Divisa]]="EUR", I3129*$N$2, 0)))</f>
        <v>1055000</v>
      </c>
      <c r="K3129" s="54">
        <f>Gastos[[#This Row],[Importe AR$]]/$N$1</f>
        <v>676.28205128205127</v>
      </c>
      <c r="M3129" s="69">
        <v>46042</v>
      </c>
      <c r="N3129" s="43">
        <f>IF(Gastos[[#This Row],[Fecha_Cheque]]&gt;0,WEEKNUM(Gastos[[#This Row],[Fecha_Cheque]]),MID(Gastos[[#This Row],[Semana]],6,2))</f>
        <v>4</v>
      </c>
      <c r="O3129" t="s">
        <v>1878</v>
      </c>
      <c r="P3129" t="s">
        <v>27</v>
      </c>
    </row>
    <row r="3130" spans="1:16" hidden="1" x14ac:dyDescent="0.25">
      <c r="A3130" s="3" t="s">
        <v>81</v>
      </c>
      <c r="B3130" t="s">
        <v>1854</v>
      </c>
      <c r="C3130" t="s">
        <v>118</v>
      </c>
      <c r="D3130" t="s">
        <v>26</v>
      </c>
      <c r="E3130" t="s">
        <v>132</v>
      </c>
      <c r="F3130">
        <v>2</v>
      </c>
      <c r="G3130" s="3" t="s">
        <v>32</v>
      </c>
      <c r="H3130" s="46" t="s">
        <v>15</v>
      </c>
      <c r="I3130" s="17">
        <v>2000000</v>
      </c>
      <c r="J3130" s="17">
        <f>IF(Gastos[[#This Row],[Divisa]]="$", I3130*1, IF(Gastos[[#This Row],[Divisa]]="U$D", I3130*$N$1, IF(Gastos[[#This Row],[Divisa]]="EUR", I3130*$N$2, 0)))</f>
        <v>2000000</v>
      </c>
      <c r="K3130" s="54">
        <f>Gastos[[#This Row],[Importe AR$]]/$N$1</f>
        <v>1282.051282051282</v>
      </c>
      <c r="M3130" s="69">
        <v>46044</v>
      </c>
      <c r="N3130" s="43">
        <f>IF(Gastos[[#This Row],[Fecha_Cheque]]&gt;0,WEEKNUM(Gastos[[#This Row],[Fecha_Cheque]]),MID(Gastos[[#This Row],[Semana]],6,2))</f>
        <v>4</v>
      </c>
      <c r="O3130" t="s">
        <v>1878</v>
      </c>
      <c r="P3130" t="s">
        <v>27</v>
      </c>
    </row>
    <row r="3131" spans="1:16" hidden="1" x14ac:dyDescent="0.25">
      <c r="A3131" s="3" t="s">
        <v>81</v>
      </c>
      <c r="B3131" t="s">
        <v>1854</v>
      </c>
      <c r="C3131" t="s">
        <v>118</v>
      </c>
      <c r="D3131" t="s">
        <v>26</v>
      </c>
      <c r="E3131" t="s">
        <v>132</v>
      </c>
      <c r="F3131">
        <v>2</v>
      </c>
      <c r="G3131" s="3" t="s">
        <v>32</v>
      </c>
      <c r="H3131" s="46" t="s">
        <v>15</v>
      </c>
      <c r="I3131" s="17">
        <v>2000000</v>
      </c>
      <c r="J3131" s="17">
        <f>IF(Gastos[[#This Row],[Divisa]]="$", I3131*1, IF(Gastos[[#This Row],[Divisa]]="U$D", I3131*$N$1, IF(Gastos[[#This Row],[Divisa]]="EUR", I3131*$N$2, 0)))</f>
        <v>2000000</v>
      </c>
      <c r="K3131" s="54">
        <f>Gastos[[#This Row],[Importe AR$]]/$N$1</f>
        <v>1282.051282051282</v>
      </c>
      <c r="M3131" s="69">
        <v>46032</v>
      </c>
      <c r="N3131" s="43">
        <f>IF(Gastos[[#This Row],[Fecha_Cheque]]&gt;0,WEEKNUM(Gastos[[#This Row],[Fecha_Cheque]]),MID(Gastos[[#This Row],[Semana]],6,2))</f>
        <v>2</v>
      </c>
      <c r="O3131" t="s">
        <v>1878</v>
      </c>
      <c r="P3131" t="s">
        <v>27</v>
      </c>
    </row>
    <row r="3132" spans="1:16" hidden="1" x14ac:dyDescent="0.25">
      <c r="A3132" s="3" t="s">
        <v>93</v>
      </c>
      <c r="B3132" t="s">
        <v>1854</v>
      </c>
      <c r="C3132" t="s">
        <v>1543</v>
      </c>
      <c r="D3132" t="s">
        <v>26</v>
      </c>
      <c r="E3132" t="s">
        <v>62</v>
      </c>
      <c r="F3132">
        <v>2</v>
      </c>
      <c r="G3132" s="3" t="s">
        <v>4</v>
      </c>
      <c r="H3132" s="46" t="s">
        <v>15</v>
      </c>
      <c r="I3132" s="17">
        <v>4000000</v>
      </c>
      <c r="J3132" s="17">
        <f>IF(Gastos[[#This Row],[Divisa]]="$", I3132*1, IF(Gastos[[#This Row],[Divisa]]="U$D", I3132*$N$1, IF(Gastos[[#This Row],[Divisa]]="EUR", I3132*$N$2, 0)))</f>
        <v>4000000</v>
      </c>
      <c r="K3132" s="54">
        <f>Gastos[[#This Row],[Importe AR$]]/$N$1</f>
        <v>2564.102564102564</v>
      </c>
      <c r="M3132" s="69"/>
      <c r="N3132" s="43" t="str">
        <f>IF(Gastos[[#This Row],[Fecha_Cheque]]&gt;0,WEEKNUM(Gastos[[#This Row],[Fecha_Cheque]]),MID(Gastos[[#This Row],[Semana]],6,2))</f>
        <v>50</v>
      </c>
      <c r="O3132" t="s">
        <v>1879</v>
      </c>
      <c r="P3132" t="s">
        <v>27</v>
      </c>
    </row>
    <row r="3133" spans="1:16" hidden="1" x14ac:dyDescent="0.25">
      <c r="A3133" s="3" t="s">
        <v>44</v>
      </c>
      <c r="B3133" t="s">
        <v>1854</v>
      </c>
      <c r="C3133" t="s">
        <v>118</v>
      </c>
      <c r="D3133" t="s">
        <v>26</v>
      </c>
      <c r="E3133" t="s">
        <v>132</v>
      </c>
      <c r="F3133">
        <v>2</v>
      </c>
      <c r="G3133" s="3" t="s">
        <v>4</v>
      </c>
      <c r="H3133" s="46" t="s">
        <v>15</v>
      </c>
      <c r="I3133" s="17">
        <v>5000000</v>
      </c>
      <c r="J3133" s="17">
        <f>IF(Gastos[[#This Row],[Divisa]]="$", I3133*1, IF(Gastos[[#This Row],[Divisa]]="U$D", I3133*$N$1, IF(Gastos[[#This Row],[Divisa]]="EUR", I3133*$N$2, 0)))</f>
        <v>5000000</v>
      </c>
      <c r="K3133" s="54">
        <f>Gastos[[#This Row],[Importe AR$]]/$N$1</f>
        <v>3205.1282051282051</v>
      </c>
      <c r="L3133" s="8"/>
      <c r="M3133" s="69"/>
      <c r="N3133" s="43" t="str">
        <f>IF(Gastos[[#This Row],[Fecha_Cheque]]&gt;0,WEEKNUM(Gastos[[#This Row],[Fecha_Cheque]]),MID(Gastos[[#This Row],[Semana]],6,2))</f>
        <v>51</v>
      </c>
      <c r="O3133" t="s">
        <v>1880</v>
      </c>
      <c r="P3133" t="s">
        <v>27</v>
      </c>
    </row>
    <row r="3134" spans="1:16" hidden="1" x14ac:dyDescent="0.25">
      <c r="A3134" s="3" t="s">
        <v>378</v>
      </c>
      <c r="B3134" t="s">
        <v>1854</v>
      </c>
      <c r="C3134" t="s">
        <v>118</v>
      </c>
      <c r="D3134" t="s">
        <v>26</v>
      </c>
      <c r="E3134" t="s">
        <v>132</v>
      </c>
      <c r="F3134">
        <v>2</v>
      </c>
      <c r="G3134" s="3" t="s">
        <v>32</v>
      </c>
      <c r="H3134" s="46" t="s">
        <v>15</v>
      </c>
      <c r="I3134" s="17">
        <v>260000</v>
      </c>
      <c r="J3134" s="17">
        <f>IF(Gastos[[#This Row],[Divisa]]="$", I3134*1, IF(Gastos[[#This Row],[Divisa]]="U$D", I3134*$N$1, IF(Gastos[[#This Row],[Divisa]]="EUR", I3134*$N$2, 0)))</f>
        <v>260000</v>
      </c>
      <c r="K3134" s="54">
        <f>Gastos[[#This Row],[Importe AR$]]/$N$1</f>
        <v>166.66666666666666</v>
      </c>
      <c r="M3134" s="69">
        <v>46055</v>
      </c>
      <c r="N3134" s="43">
        <f>IF(Gastos[[#This Row],[Fecha_Cheque]]&gt;0,WEEKNUM(Gastos[[#This Row],[Fecha_Cheque]]),MID(Gastos[[#This Row],[Semana]],6,2))</f>
        <v>6</v>
      </c>
      <c r="O3134" t="s">
        <v>1881</v>
      </c>
      <c r="P3134" t="s">
        <v>27</v>
      </c>
    </row>
    <row r="3135" spans="1:16" hidden="1" x14ac:dyDescent="0.25">
      <c r="A3135" s="3" t="s">
        <v>378</v>
      </c>
      <c r="B3135" t="s">
        <v>1854</v>
      </c>
      <c r="C3135" t="s">
        <v>118</v>
      </c>
      <c r="D3135" t="s">
        <v>26</v>
      </c>
      <c r="E3135" t="s">
        <v>132</v>
      </c>
      <c r="F3135">
        <v>2</v>
      </c>
      <c r="G3135" s="3" t="s">
        <v>32</v>
      </c>
      <c r="H3135" s="46" t="s">
        <v>15</v>
      </c>
      <c r="I3135" s="17">
        <v>1000000</v>
      </c>
      <c r="J3135" s="17">
        <f>IF(Gastos[[#This Row],[Divisa]]="$", I3135*1, IF(Gastos[[#This Row],[Divisa]]="U$D", I3135*$N$1, IF(Gastos[[#This Row],[Divisa]]="EUR", I3135*$N$2, 0)))</f>
        <v>1000000</v>
      </c>
      <c r="K3135" s="54">
        <f>Gastos[[#This Row],[Importe AR$]]/$N$1</f>
        <v>641.02564102564099</v>
      </c>
      <c r="M3135" s="69">
        <v>46052</v>
      </c>
      <c r="N3135" s="43">
        <f>IF(Gastos[[#This Row],[Fecha_Cheque]]&gt;0,WEEKNUM(Gastos[[#This Row],[Fecha_Cheque]]),MID(Gastos[[#This Row],[Semana]],6,2))</f>
        <v>5</v>
      </c>
      <c r="O3135" t="s">
        <v>1881</v>
      </c>
      <c r="P3135" t="s">
        <v>27</v>
      </c>
    </row>
    <row r="3136" spans="1:16" hidden="1" x14ac:dyDescent="0.25">
      <c r="A3136" s="3" t="s">
        <v>378</v>
      </c>
      <c r="B3136" t="s">
        <v>1854</v>
      </c>
      <c r="C3136" t="s">
        <v>118</v>
      </c>
      <c r="D3136" t="s">
        <v>26</v>
      </c>
      <c r="E3136" t="s">
        <v>132</v>
      </c>
      <c r="F3136">
        <v>2</v>
      </c>
      <c r="G3136" s="3" t="s">
        <v>32</v>
      </c>
      <c r="H3136" s="46" t="s">
        <v>15</v>
      </c>
      <c r="I3136" s="17">
        <v>1000000</v>
      </c>
      <c r="J3136" s="17">
        <f>IF(Gastos[[#This Row],[Divisa]]="$", I3136*1, IF(Gastos[[#This Row],[Divisa]]="U$D", I3136*$N$1, IF(Gastos[[#This Row],[Divisa]]="EUR", I3136*$N$2, 0)))</f>
        <v>1000000</v>
      </c>
      <c r="K3136" s="54">
        <f>Gastos[[#This Row],[Importe AR$]]/$N$1</f>
        <v>641.02564102564099</v>
      </c>
      <c r="M3136" s="69">
        <v>46060</v>
      </c>
      <c r="N3136" s="43">
        <f>IF(Gastos[[#This Row],[Fecha_Cheque]]&gt;0,WEEKNUM(Gastos[[#This Row],[Fecha_Cheque]]),MID(Gastos[[#This Row],[Semana]],6,2))</f>
        <v>6</v>
      </c>
      <c r="O3136" t="s">
        <v>1881</v>
      </c>
      <c r="P3136" t="s">
        <v>27</v>
      </c>
    </row>
    <row r="3137" spans="1:16" hidden="1" x14ac:dyDescent="0.25">
      <c r="A3137" s="3" t="s">
        <v>378</v>
      </c>
      <c r="B3137" t="s">
        <v>1854</v>
      </c>
      <c r="C3137" t="s">
        <v>118</v>
      </c>
      <c r="D3137" t="s">
        <v>26</v>
      </c>
      <c r="E3137" t="s">
        <v>132</v>
      </c>
      <c r="F3137">
        <v>2</v>
      </c>
      <c r="G3137" s="3" t="s">
        <v>32</v>
      </c>
      <c r="H3137" s="46" t="s">
        <v>15</v>
      </c>
      <c r="I3137" s="17">
        <v>2850000</v>
      </c>
      <c r="J3137" s="17">
        <f>IF(Gastos[[#This Row],[Divisa]]="$", I3137*1, IF(Gastos[[#This Row],[Divisa]]="U$D", I3137*$N$1, IF(Gastos[[#This Row],[Divisa]]="EUR", I3137*$N$2, 0)))</f>
        <v>2850000</v>
      </c>
      <c r="K3137" s="54">
        <f>Gastos[[#This Row],[Importe AR$]]/$N$1</f>
        <v>1826.9230769230769</v>
      </c>
      <c r="M3137" s="69">
        <v>46049</v>
      </c>
      <c r="N3137" s="43">
        <f>IF(Gastos[[#This Row],[Fecha_Cheque]]&gt;0,WEEKNUM(Gastos[[#This Row],[Fecha_Cheque]]),MID(Gastos[[#This Row],[Semana]],6,2))</f>
        <v>5</v>
      </c>
      <c r="O3137" t="s">
        <v>1881</v>
      </c>
      <c r="P3137" t="s">
        <v>27</v>
      </c>
    </row>
    <row r="3138" spans="1:16" hidden="1" x14ac:dyDescent="0.25">
      <c r="A3138" s="3" t="s">
        <v>378</v>
      </c>
      <c r="B3138" t="s">
        <v>1854</v>
      </c>
      <c r="C3138" t="s">
        <v>118</v>
      </c>
      <c r="D3138" t="s">
        <v>26</v>
      </c>
      <c r="E3138" t="s">
        <v>132</v>
      </c>
      <c r="F3138">
        <v>2</v>
      </c>
      <c r="G3138" s="3" t="s">
        <v>32</v>
      </c>
      <c r="H3138" s="46" t="s">
        <v>15</v>
      </c>
      <c r="I3138" s="17">
        <v>2900000</v>
      </c>
      <c r="J3138" s="17">
        <f>IF(Gastos[[#This Row],[Divisa]]="$", I3138*1, IF(Gastos[[#This Row],[Divisa]]="U$D", I3138*$N$1, IF(Gastos[[#This Row],[Divisa]]="EUR", I3138*$N$2, 0)))</f>
        <v>2900000</v>
      </c>
      <c r="K3138" s="54">
        <f>Gastos[[#This Row],[Importe AR$]]/$N$1</f>
        <v>1858.9743589743589</v>
      </c>
      <c r="L3138" s="8"/>
      <c r="M3138" s="69">
        <v>46057</v>
      </c>
      <c r="N3138" s="43">
        <f>IF(Gastos[[#This Row],[Fecha_Cheque]]&gt;0,WEEKNUM(Gastos[[#This Row],[Fecha_Cheque]]),MID(Gastos[[#This Row],[Semana]],6,2))</f>
        <v>6</v>
      </c>
      <c r="O3138" t="s">
        <v>1881</v>
      </c>
      <c r="P3138" t="s">
        <v>27</v>
      </c>
    </row>
    <row r="3139" spans="1:16" hidden="1" x14ac:dyDescent="0.25">
      <c r="A3139" s="3" t="s">
        <v>152</v>
      </c>
      <c r="B3139" t="s">
        <v>1854</v>
      </c>
      <c r="C3139" t="s">
        <v>118</v>
      </c>
      <c r="D3139" t="s">
        <v>26</v>
      </c>
      <c r="E3139" t="s">
        <v>132</v>
      </c>
      <c r="F3139">
        <v>2</v>
      </c>
      <c r="G3139" s="3" t="s">
        <v>32</v>
      </c>
      <c r="H3139" s="46" t="s">
        <v>15</v>
      </c>
      <c r="I3139" s="17">
        <v>108000</v>
      </c>
      <c r="J3139" s="17">
        <f>IF(Gastos[[#This Row],[Divisa]]="$", I3139*1, IF(Gastos[[#This Row],[Divisa]]="U$D", I3139*$N$1, IF(Gastos[[#This Row],[Divisa]]="EUR", I3139*$N$2, 0)))</f>
        <v>108000</v>
      </c>
      <c r="K3139" s="54">
        <f>Gastos[[#This Row],[Importe AR$]]/$N$1</f>
        <v>69.230769230769226</v>
      </c>
      <c r="L3139" s="8"/>
      <c r="M3139" s="69">
        <v>46042</v>
      </c>
      <c r="N3139" s="43">
        <f>IF(Gastos[[#This Row],[Fecha_Cheque]]&gt;0,WEEKNUM(Gastos[[#This Row],[Fecha_Cheque]]),MID(Gastos[[#This Row],[Semana]],6,2))</f>
        <v>4</v>
      </c>
      <c r="O3139" t="s">
        <v>1882</v>
      </c>
      <c r="P3139" t="s">
        <v>27</v>
      </c>
    </row>
    <row r="3140" spans="1:16" hidden="1" x14ac:dyDescent="0.25">
      <c r="A3140" s="3" t="s">
        <v>152</v>
      </c>
      <c r="B3140" t="s">
        <v>1854</v>
      </c>
      <c r="C3140" t="s">
        <v>118</v>
      </c>
      <c r="D3140" t="s">
        <v>26</v>
      </c>
      <c r="E3140" t="s">
        <v>132</v>
      </c>
      <c r="F3140">
        <v>2</v>
      </c>
      <c r="G3140" s="3" t="s">
        <v>32</v>
      </c>
      <c r="H3140" s="46" t="s">
        <v>15</v>
      </c>
      <c r="I3140" s="17">
        <v>384858</v>
      </c>
      <c r="J3140" s="17">
        <f>IF(Gastos[[#This Row],[Divisa]]="$", I3140*1, IF(Gastos[[#This Row],[Divisa]]="U$D", I3140*$N$1, IF(Gastos[[#This Row],[Divisa]]="EUR", I3140*$N$2, 0)))</f>
        <v>384858</v>
      </c>
      <c r="K3140" s="54">
        <f>Gastos[[#This Row],[Importe AR$]]/$N$1</f>
        <v>246.70384615384614</v>
      </c>
      <c r="L3140" s="8"/>
      <c r="M3140" s="69">
        <v>46046</v>
      </c>
      <c r="N3140" s="43">
        <f>IF(Gastos[[#This Row],[Fecha_Cheque]]&gt;0,WEEKNUM(Gastos[[#This Row],[Fecha_Cheque]]),MID(Gastos[[#This Row],[Semana]],6,2))</f>
        <v>4</v>
      </c>
      <c r="O3140" t="s">
        <v>1882</v>
      </c>
      <c r="P3140" t="s">
        <v>27</v>
      </c>
    </row>
    <row r="3141" spans="1:16" hidden="1" x14ac:dyDescent="0.25">
      <c r="A3141" s="3" t="s">
        <v>152</v>
      </c>
      <c r="B3141" t="s">
        <v>1854</v>
      </c>
      <c r="C3141" t="s">
        <v>118</v>
      </c>
      <c r="D3141" t="s">
        <v>26</v>
      </c>
      <c r="E3141" t="s">
        <v>132</v>
      </c>
      <c r="F3141">
        <v>2</v>
      </c>
      <c r="G3141" s="3" t="s">
        <v>32</v>
      </c>
      <c r="H3141" s="46" t="s">
        <v>15</v>
      </c>
      <c r="I3141" s="17">
        <v>555000</v>
      </c>
      <c r="J3141" s="17">
        <f>IF(Gastos[[#This Row],[Divisa]]="$", I3141*1, IF(Gastos[[#This Row],[Divisa]]="U$D", I3141*$N$1, IF(Gastos[[#This Row],[Divisa]]="EUR", I3141*$N$2, 0)))</f>
        <v>555000</v>
      </c>
      <c r="K3141" s="54">
        <f>Gastos[[#This Row],[Importe AR$]]/$N$1</f>
        <v>355.76923076923077</v>
      </c>
      <c r="L3141" s="8"/>
      <c r="M3141" s="69">
        <v>46056</v>
      </c>
      <c r="N3141" s="43">
        <f>IF(Gastos[[#This Row],[Fecha_Cheque]]&gt;0,WEEKNUM(Gastos[[#This Row],[Fecha_Cheque]]),MID(Gastos[[#This Row],[Semana]],6,2))</f>
        <v>6</v>
      </c>
      <c r="O3141" t="s">
        <v>1882</v>
      </c>
      <c r="P3141" t="s">
        <v>27</v>
      </c>
    </row>
    <row r="3142" spans="1:16" hidden="1" x14ac:dyDescent="0.25">
      <c r="A3142" s="3" t="s">
        <v>152</v>
      </c>
      <c r="B3142" t="s">
        <v>1854</v>
      </c>
      <c r="C3142" t="s">
        <v>118</v>
      </c>
      <c r="D3142" t="s">
        <v>26</v>
      </c>
      <c r="E3142" t="s">
        <v>132</v>
      </c>
      <c r="F3142">
        <v>2</v>
      </c>
      <c r="G3142" s="3" t="s">
        <v>32</v>
      </c>
      <c r="H3142" s="46" t="s">
        <v>15</v>
      </c>
      <c r="I3142" s="17">
        <v>2000000</v>
      </c>
      <c r="J3142" s="17">
        <f>IF(Gastos[[#This Row],[Divisa]]="$", I3142*1, IF(Gastos[[#This Row],[Divisa]]="U$D", I3142*$N$1, IF(Gastos[[#This Row],[Divisa]]="EUR", I3142*$N$2, 0)))</f>
        <v>2000000</v>
      </c>
      <c r="K3142" s="54">
        <f>Gastos[[#This Row],[Importe AR$]]/$N$1</f>
        <v>1282.051282051282</v>
      </c>
      <c r="L3142" s="8"/>
      <c r="M3142" s="69">
        <v>46095</v>
      </c>
      <c r="N3142" s="43">
        <f>IF(Gastos[[#This Row],[Fecha_Cheque]]&gt;0,WEEKNUM(Gastos[[#This Row],[Fecha_Cheque]]),MID(Gastos[[#This Row],[Semana]],6,2))</f>
        <v>11</v>
      </c>
      <c r="O3142" t="s">
        <v>1882</v>
      </c>
      <c r="P3142" t="s">
        <v>27</v>
      </c>
    </row>
    <row r="3143" spans="1:16" hidden="1" x14ac:dyDescent="0.25">
      <c r="A3143" s="3" t="s">
        <v>152</v>
      </c>
      <c r="B3143" t="s">
        <v>1854</v>
      </c>
      <c r="C3143" t="s">
        <v>118</v>
      </c>
      <c r="D3143" t="s">
        <v>26</v>
      </c>
      <c r="E3143" t="s">
        <v>132</v>
      </c>
      <c r="F3143">
        <v>2</v>
      </c>
      <c r="G3143" s="3" t="s">
        <v>32</v>
      </c>
      <c r="H3143" s="46" t="s">
        <v>15</v>
      </c>
      <c r="I3143" s="17">
        <v>2074640</v>
      </c>
      <c r="J3143" s="17">
        <f>IF(Gastos[[#This Row],[Divisa]]="$", I3143*1, IF(Gastos[[#This Row],[Divisa]]="U$D", I3143*$N$1, IF(Gastos[[#This Row],[Divisa]]="EUR", I3143*$N$2, 0)))</f>
        <v>2074640</v>
      </c>
      <c r="K3143" s="54">
        <f>Gastos[[#This Row],[Importe AR$]]/$N$1</f>
        <v>1329.8974358974358</v>
      </c>
      <c r="L3143" s="8"/>
      <c r="M3143" s="69">
        <v>46089</v>
      </c>
      <c r="N3143" s="43">
        <f>IF(Gastos[[#This Row],[Fecha_Cheque]]&gt;0,WEEKNUM(Gastos[[#This Row],[Fecha_Cheque]]),MID(Gastos[[#This Row],[Semana]],6,2))</f>
        <v>11</v>
      </c>
      <c r="O3143" t="s">
        <v>1882</v>
      </c>
      <c r="P3143" t="s">
        <v>27</v>
      </c>
    </row>
    <row r="3144" spans="1:16" hidden="1" x14ac:dyDescent="0.25">
      <c r="A3144" s="3" t="s">
        <v>152</v>
      </c>
      <c r="B3144" t="s">
        <v>1854</v>
      </c>
      <c r="C3144" t="s">
        <v>118</v>
      </c>
      <c r="D3144" t="s">
        <v>26</v>
      </c>
      <c r="E3144" t="s">
        <v>132</v>
      </c>
      <c r="F3144">
        <v>2</v>
      </c>
      <c r="G3144" s="3" t="s">
        <v>4</v>
      </c>
      <c r="H3144" s="46" t="s">
        <v>15</v>
      </c>
      <c r="I3144" s="17">
        <v>2500000</v>
      </c>
      <c r="J3144" s="17">
        <f>IF(Gastos[[#This Row],[Divisa]]="$", I3144*1, IF(Gastos[[#This Row],[Divisa]]="U$D", I3144*$N$1, IF(Gastos[[#This Row],[Divisa]]="EUR", I3144*$N$2, 0)))</f>
        <v>2500000</v>
      </c>
      <c r="K3144" s="54">
        <f>Gastos[[#This Row],[Importe AR$]]/$N$1</f>
        <v>1602.5641025641025</v>
      </c>
      <c r="L3144" s="8"/>
      <c r="M3144" s="69"/>
      <c r="N3144" s="43" t="str">
        <f>IF(Gastos[[#This Row],[Fecha_Cheque]]&gt;0,WEEKNUM(Gastos[[#This Row],[Fecha_Cheque]]),MID(Gastos[[#This Row],[Semana]],6,2))</f>
        <v>04</v>
      </c>
      <c r="O3144" t="s">
        <v>1882</v>
      </c>
      <c r="P3144" t="s">
        <v>27</v>
      </c>
    </row>
    <row r="3145" spans="1:16" hidden="1" x14ac:dyDescent="0.25">
      <c r="A3145" s="3" t="s">
        <v>68</v>
      </c>
      <c r="B3145" t="s">
        <v>1854</v>
      </c>
      <c r="C3145" t="s">
        <v>118</v>
      </c>
      <c r="D3145" t="s">
        <v>26</v>
      </c>
      <c r="E3145" t="s">
        <v>132</v>
      </c>
      <c r="F3145">
        <v>2</v>
      </c>
      <c r="G3145" s="3" t="s">
        <v>32</v>
      </c>
      <c r="H3145" s="46" t="s">
        <v>15</v>
      </c>
      <c r="I3145" s="17">
        <v>2263000</v>
      </c>
      <c r="J3145" s="17">
        <f>IF(Gastos[[#This Row],[Divisa]]="$", I3145*1, IF(Gastos[[#This Row],[Divisa]]="U$D", I3145*$N$1, IF(Gastos[[#This Row],[Divisa]]="EUR", I3145*$N$2, 0)))</f>
        <v>2263000</v>
      </c>
      <c r="K3145" s="54">
        <f>Gastos[[#This Row],[Importe AR$]]/$N$1</f>
        <v>1450.6410256410256</v>
      </c>
      <c r="L3145" s="8"/>
      <c r="M3145" s="69">
        <v>46083</v>
      </c>
      <c r="N3145" s="43">
        <f>IF(Gastos[[#This Row],[Fecha_Cheque]]&gt;0,WEEKNUM(Gastos[[#This Row],[Fecha_Cheque]]),MID(Gastos[[#This Row],[Semana]],6,2))</f>
        <v>10</v>
      </c>
      <c r="O3145" t="s">
        <v>1883</v>
      </c>
      <c r="P3145" t="s">
        <v>27</v>
      </c>
    </row>
    <row r="3146" spans="1:16" hidden="1" x14ac:dyDescent="0.25">
      <c r="A3146" s="3" t="s">
        <v>68</v>
      </c>
      <c r="B3146" t="s">
        <v>1854</v>
      </c>
      <c r="C3146" t="s">
        <v>118</v>
      </c>
      <c r="D3146" t="s">
        <v>26</v>
      </c>
      <c r="E3146" t="s">
        <v>132</v>
      </c>
      <c r="F3146">
        <v>2</v>
      </c>
      <c r="G3146" s="3" t="s">
        <v>32</v>
      </c>
      <c r="H3146" s="46" t="s">
        <v>15</v>
      </c>
      <c r="I3146" s="17">
        <v>2263000</v>
      </c>
      <c r="J3146" s="17">
        <f>IF(Gastos[[#This Row],[Divisa]]="$", I3146*1, IF(Gastos[[#This Row],[Divisa]]="U$D", I3146*$N$1, IF(Gastos[[#This Row],[Divisa]]="EUR", I3146*$N$2, 0)))</f>
        <v>2263000</v>
      </c>
      <c r="K3146" s="54">
        <f>Gastos[[#This Row],[Importe AR$]]/$N$1</f>
        <v>1450.6410256410256</v>
      </c>
      <c r="L3146" s="8"/>
      <c r="M3146" s="69">
        <v>46090</v>
      </c>
      <c r="N3146" s="43">
        <f>IF(Gastos[[#This Row],[Fecha_Cheque]]&gt;0,WEEKNUM(Gastos[[#This Row],[Fecha_Cheque]]),MID(Gastos[[#This Row],[Semana]],6,2))</f>
        <v>11</v>
      </c>
      <c r="O3146" t="s">
        <v>1883</v>
      </c>
      <c r="P3146" t="s">
        <v>27</v>
      </c>
    </row>
    <row r="3147" spans="1:16" hidden="1" x14ac:dyDescent="0.25">
      <c r="A3147" s="3" t="s">
        <v>152</v>
      </c>
      <c r="B3147" t="s">
        <v>1854</v>
      </c>
      <c r="C3147" t="s">
        <v>118</v>
      </c>
      <c r="D3147" t="s">
        <v>26</v>
      </c>
      <c r="E3147" t="s">
        <v>132</v>
      </c>
      <c r="F3147">
        <v>2</v>
      </c>
      <c r="G3147" s="3" t="s">
        <v>32</v>
      </c>
      <c r="H3147" s="46" t="s">
        <v>15</v>
      </c>
      <c r="I3147" s="17">
        <v>198000</v>
      </c>
      <c r="J3147" s="17">
        <f>IF(Gastos[[#This Row],[Divisa]]="$", I3147*1, IF(Gastos[[#This Row],[Divisa]]="U$D", I3147*$N$1, IF(Gastos[[#This Row],[Divisa]]="EUR", I3147*$N$2, 0)))</f>
        <v>198000</v>
      </c>
      <c r="K3147" s="54">
        <f>Gastos[[#This Row],[Importe AR$]]/$N$1</f>
        <v>126.92307692307692</v>
      </c>
      <c r="L3147" s="8"/>
      <c r="M3147" s="69">
        <v>46055</v>
      </c>
      <c r="N3147" s="43">
        <f>IF(Gastos[[#This Row],[Fecha_Cheque]]&gt;0,WEEKNUM(Gastos[[#This Row],[Fecha_Cheque]]),MID(Gastos[[#This Row],[Semana]],6,2))</f>
        <v>6</v>
      </c>
      <c r="O3147" t="s">
        <v>1882</v>
      </c>
      <c r="P3147" t="s">
        <v>27</v>
      </c>
    </row>
    <row r="3148" spans="1:16" hidden="1" x14ac:dyDescent="0.25">
      <c r="A3148" s="3" t="s">
        <v>68</v>
      </c>
      <c r="B3148" t="s">
        <v>1854</v>
      </c>
      <c r="C3148" t="s">
        <v>118</v>
      </c>
      <c r="D3148" t="s">
        <v>26</v>
      </c>
      <c r="E3148" t="s">
        <v>132</v>
      </c>
      <c r="F3148">
        <v>2</v>
      </c>
      <c r="G3148" s="3" t="s">
        <v>32</v>
      </c>
      <c r="H3148" s="46" t="s">
        <v>15</v>
      </c>
      <c r="I3148" s="17">
        <v>2263000</v>
      </c>
      <c r="J3148" s="17">
        <f>IF(Gastos[[#This Row],[Divisa]]="$", I3148*1, IF(Gastos[[#This Row],[Divisa]]="U$D", I3148*$N$1, IF(Gastos[[#This Row],[Divisa]]="EUR", I3148*$N$2, 0)))</f>
        <v>2263000</v>
      </c>
      <c r="K3148" s="54">
        <f>Gastos[[#This Row],[Importe AR$]]/$N$1</f>
        <v>1450.6410256410256</v>
      </c>
      <c r="L3148" s="8"/>
      <c r="M3148" s="69">
        <v>46087</v>
      </c>
      <c r="N3148" s="43">
        <f>IF(Gastos[[#This Row],[Fecha_Cheque]]&gt;0,WEEKNUM(Gastos[[#This Row],[Fecha_Cheque]]),MID(Gastos[[#This Row],[Semana]],6,2))</f>
        <v>10</v>
      </c>
      <c r="O3148" t="s">
        <v>1883</v>
      </c>
      <c r="P3148" t="s">
        <v>27</v>
      </c>
    </row>
    <row r="3149" spans="1:16" hidden="1" x14ac:dyDescent="0.25">
      <c r="A3149" s="3" t="s">
        <v>68</v>
      </c>
      <c r="B3149" t="s">
        <v>1854</v>
      </c>
      <c r="C3149" t="s">
        <v>118</v>
      </c>
      <c r="D3149" t="s">
        <v>26</v>
      </c>
      <c r="E3149" t="s">
        <v>132</v>
      </c>
      <c r="F3149">
        <v>2</v>
      </c>
      <c r="G3149" s="3" t="s">
        <v>32</v>
      </c>
      <c r="H3149" s="46" t="s">
        <v>15</v>
      </c>
      <c r="I3149" s="17">
        <v>2263000</v>
      </c>
      <c r="J3149" s="17">
        <f>IF(Gastos[[#This Row],[Divisa]]="$", I3149*1, IF(Gastos[[#This Row],[Divisa]]="U$D", I3149*$N$1, IF(Gastos[[#This Row],[Divisa]]="EUR", I3149*$N$2, 0)))</f>
        <v>2263000</v>
      </c>
      <c r="K3149" s="54">
        <f>Gastos[[#This Row],[Importe AR$]]/$N$1</f>
        <v>1450.6410256410256</v>
      </c>
      <c r="L3149" s="8"/>
      <c r="M3149" s="69">
        <v>46099</v>
      </c>
      <c r="N3149" s="43">
        <f>IF(Gastos[[#This Row],[Fecha_Cheque]]&gt;0,WEEKNUM(Gastos[[#This Row],[Fecha_Cheque]]),MID(Gastos[[#This Row],[Semana]],6,2))</f>
        <v>12</v>
      </c>
      <c r="O3149" t="s">
        <v>1883</v>
      </c>
      <c r="P3149" t="s">
        <v>27</v>
      </c>
    </row>
    <row r="3150" spans="1:16" hidden="1" x14ac:dyDescent="0.25">
      <c r="A3150" s="3" t="s">
        <v>68</v>
      </c>
      <c r="B3150" t="s">
        <v>1854</v>
      </c>
      <c r="C3150" t="s">
        <v>118</v>
      </c>
      <c r="D3150" t="s">
        <v>26</v>
      </c>
      <c r="E3150" t="s">
        <v>132</v>
      </c>
      <c r="F3150">
        <v>2</v>
      </c>
      <c r="G3150" s="3" t="s">
        <v>32</v>
      </c>
      <c r="H3150" s="46" t="s">
        <v>15</v>
      </c>
      <c r="I3150" s="17">
        <v>2263000</v>
      </c>
      <c r="J3150" s="17">
        <f>IF(Gastos[[#This Row],[Divisa]]="$", I3150*1, IF(Gastos[[#This Row],[Divisa]]="U$D", I3150*$N$1, IF(Gastos[[#This Row],[Divisa]]="EUR", I3150*$N$2, 0)))</f>
        <v>2263000</v>
      </c>
      <c r="K3150" s="54">
        <f>Gastos[[#This Row],[Importe AR$]]/$N$1</f>
        <v>1450.6410256410256</v>
      </c>
      <c r="L3150" s="8"/>
      <c r="M3150" s="69">
        <v>46084</v>
      </c>
      <c r="N3150" s="43">
        <f>IF(Gastos[[#This Row],[Fecha_Cheque]]&gt;0,WEEKNUM(Gastos[[#This Row],[Fecha_Cheque]]),MID(Gastos[[#This Row],[Semana]],6,2))</f>
        <v>10</v>
      </c>
      <c r="O3150" t="s">
        <v>1883</v>
      </c>
      <c r="P3150" t="s">
        <v>27</v>
      </c>
    </row>
    <row r="3151" spans="1:16" hidden="1" x14ac:dyDescent="0.25">
      <c r="A3151" s="3" t="s">
        <v>68</v>
      </c>
      <c r="B3151" t="s">
        <v>1854</v>
      </c>
      <c r="C3151" t="s">
        <v>118</v>
      </c>
      <c r="D3151" t="s">
        <v>26</v>
      </c>
      <c r="E3151" t="s">
        <v>132</v>
      </c>
      <c r="F3151">
        <v>2</v>
      </c>
      <c r="G3151" s="3" t="s">
        <v>32</v>
      </c>
      <c r="H3151" s="46" t="s">
        <v>15</v>
      </c>
      <c r="I3151" s="17">
        <v>2263000</v>
      </c>
      <c r="J3151" s="17">
        <f>IF(Gastos[[#This Row],[Divisa]]="$", I3151*1, IF(Gastos[[#This Row],[Divisa]]="U$D", I3151*$N$1, IF(Gastos[[#This Row],[Divisa]]="EUR", I3151*$N$2, 0)))</f>
        <v>2263000</v>
      </c>
      <c r="K3151" s="54">
        <f>Gastos[[#This Row],[Importe AR$]]/$N$1</f>
        <v>1450.6410256410256</v>
      </c>
      <c r="L3151" s="8"/>
      <c r="M3151" s="69">
        <v>46097</v>
      </c>
      <c r="N3151" s="43">
        <f>IF(Gastos[[#This Row],[Fecha_Cheque]]&gt;0,WEEKNUM(Gastos[[#This Row],[Fecha_Cheque]]),MID(Gastos[[#This Row],[Semana]],6,2))</f>
        <v>12</v>
      </c>
      <c r="O3151" t="s">
        <v>1883</v>
      </c>
      <c r="P3151" t="s">
        <v>27</v>
      </c>
    </row>
    <row r="3152" spans="1:16" hidden="1" x14ac:dyDescent="0.25">
      <c r="A3152" s="3" t="s">
        <v>68</v>
      </c>
      <c r="B3152" t="s">
        <v>1854</v>
      </c>
      <c r="C3152" t="s">
        <v>118</v>
      </c>
      <c r="D3152" t="s">
        <v>26</v>
      </c>
      <c r="E3152" t="s">
        <v>42</v>
      </c>
      <c r="F3152">
        <v>2</v>
      </c>
      <c r="G3152" s="3" t="s">
        <v>4</v>
      </c>
      <c r="H3152" s="46" t="s">
        <v>15</v>
      </c>
      <c r="I3152" s="17">
        <v>2500000</v>
      </c>
      <c r="J3152" s="17">
        <f>IF(Gastos[[#This Row],[Divisa]]="$", I3152*1, IF(Gastos[[#This Row],[Divisa]]="U$D", I3152*$N$1, IF(Gastos[[#This Row],[Divisa]]="EUR", I3152*$N$2, 0)))</f>
        <v>2500000</v>
      </c>
      <c r="K3152" s="54">
        <f>Gastos[[#This Row],[Importe AR$]]/$N$1</f>
        <v>1602.5641025641025</v>
      </c>
      <c r="L3152" s="8"/>
      <c r="M3152" s="69">
        <v>46052</v>
      </c>
      <c r="N3152" s="43">
        <f>IF(Gastos[[#This Row],[Fecha_Cheque]]&gt;0,WEEKNUM(Gastos[[#This Row],[Fecha_Cheque]]),MID(Gastos[[#This Row],[Semana]],6,2))</f>
        <v>5</v>
      </c>
      <c r="O3152" t="s">
        <v>1883</v>
      </c>
      <c r="P3152" t="s">
        <v>27</v>
      </c>
    </row>
    <row r="3153" spans="1:16" hidden="1" x14ac:dyDescent="0.25">
      <c r="A3153" s="3" t="s">
        <v>206</v>
      </c>
      <c r="B3153" t="s">
        <v>1854</v>
      </c>
      <c r="C3153" t="s">
        <v>118</v>
      </c>
      <c r="D3153" t="s">
        <v>26</v>
      </c>
      <c r="E3153" t="s">
        <v>132</v>
      </c>
      <c r="F3153">
        <v>2</v>
      </c>
      <c r="G3153" s="3" t="s">
        <v>32</v>
      </c>
      <c r="H3153" s="46" t="s">
        <v>15</v>
      </c>
      <c r="I3153" s="17">
        <v>1500000</v>
      </c>
      <c r="J3153" s="17">
        <f>IF(Gastos[[#This Row],[Divisa]]="$", I3153*1, IF(Gastos[[#This Row],[Divisa]]="U$D", I3153*$N$1, IF(Gastos[[#This Row],[Divisa]]="EUR", I3153*$N$2, 0)))</f>
        <v>1500000</v>
      </c>
      <c r="K3153" s="54">
        <f>Gastos[[#This Row],[Importe AR$]]/$N$1</f>
        <v>961.53846153846155</v>
      </c>
      <c r="M3153" s="69"/>
      <c r="N3153" s="43" t="str">
        <f>IF(Gastos[[#This Row],[Fecha_Cheque]]&gt;0,WEEKNUM(Gastos[[#This Row],[Fecha_Cheque]]),MID(Gastos[[#This Row],[Semana]],6,2))</f>
        <v>06</v>
      </c>
      <c r="O3153" t="s">
        <v>1884</v>
      </c>
      <c r="P3153" t="s">
        <v>27</v>
      </c>
    </row>
    <row r="3154" spans="1:16" hidden="1" x14ac:dyDescent="0.25">
      <c r="A3154" s="3" t="s">
        <v>206</v>
      </c>
      <c r="B3154" t="s">
        <v>1854</v>
      </c>
      <c r="C3154" t="s">
        <v>118</v>
      </c>
      <c r="D3154" t="s">
        <v>26</v>
      </c>
      <c r="E3154" t="s">
        <v>132</v>
      </c>
      <c r="F3154">
        <v>2</v>
      </c>
      <c r="G3154" s="3" t="s">
        <v>32</v>
      </c>
      <c r="H3154" s="46" t="s">
        <v>15</v>
      </c>
      <c r="I3154" s="17">
        <v>378419</v>
      </c>
      <c r="J3154" s="17">
        <f>IF(Gastos[[#This Row],[Divisa]]="$", I3154*1, IF(Gastos[[#This Row],[Divisa]]="U$D", I3154*$N$1, IF(Gastos[[#This Row],[Divisa]]="EUR", I3154*$N$2, 0)))</f>
        <v>378419</v>
      </c>
      <c r="K3154" s="54">
        <f>Gastos[[#This Row],[Importe AR$]]/$N$1</f>
        <v>242.57628205128205</v>
      </c>
      <c r="M3154" s="69">
        <v>46058</v>
      </c>
      <c r="N3154" s="43">
        <f>IF(Gastos[[#This Row],[Fecha_Cheque]]&gt;0,WEEKNUM(Gastos[[#This Row],[Fecha_Cheque]]),MID(Gastos[[#This Row],[Semana]],6,2))</f>
        <v>6</v>
      </c>
      <c r="O3154" t="s">
        <v>1884</v>
      </c>
      <c r="P3154" t="s">
        <v>27</v>
      </c>
    </row>
    <row r="3155" spans="1:16" hidden="1" x14ac:dyDescent="0.25">
      <c r="A3155" s="3" t="s">
        <v>206</v>
      </c>
      <c r="B3155" t="s">
        <v>1854</v>
      </c>
      <c r="C3155" t="s">
        <v>118</v>
      </c>
      <c r="D3155" t="s">
        <v>26</v>
      </c>
      <c r="E3155" t="s">
        <v>132</v>
      </c>
      <c r="F3155">
        <v>2</v>
      </c>
      <c r="G3155" s="3" t="s">
        <v>32</v>
      </c>
      <c r="H3155" s="46" t="s">
        <v>15</v>
      </c>
      <c r="I3155" s="17">
        <v>380000</v>
      </c>
      <c r="J3155" s="17">
        <f>IF(Gastos[[#This Row],[Divisa]]="$", I3155*1, IF(Gastos[[#This Row],[Divisa]]="U$D", I3155*$N$1, IF(Gastos[[#This Row],[Divisa]]="EUR", I3155*$N$2, 0)))</f>
        <v>380000</v>
      </c>
      <c r="K3155" s="54">
        <f>Gastos[[#This Row],[Importe AR$]]/$N$1</f>
        <v>243.58974358974359</v>
      </c>
      <c r="M3155" s="69">
        <v>46076</v>
      </c>
      <c r="N3155" s="43">
        <f>IF(Gastos[[#This Row],[Fecha_Cheque]]&gt;0,WEEKNUM(Gastos[[#This Row],[Fecha_Cheque]]),MID(Gastos[[#This Row],[Semana]],6,2))</f>
        <v>9</v>
      </c>
      <c r="O3155" t="s">
        <v>1884</v>
      </c>
      <c r="P3155" t="s">
        <v>27</v>
      </c>
    </row>
    <row r="3156" spans="1:16" hidden="1" x14ac:dyDescent="0.25">
      <c r="A3156" s="3" t="s">
        <v>206</v>
      </c>
      <c r="B3156" t="s">
        <v>1854</v>
      </c>
      <c r="C3156" t="s">
        <v>118</v>
      </c>
      <c r="D3156" t="s">
        <v>26</v>
      </c>
      <c r="E3156" t="s">
        <v>132</v>
      </c>
      <c r="F3156">
        <v>2</v>
      </c>
      <c r="G3156" s="3" t="s">
        <v>32</v>
      </c>
      <c r="H3156" s="46" t="s">
        <v>15</v>
      </c>
      <c r="I3156" s="17">
        <v>600000</v>
      </c>
      <c r="J3156" s="17">
        <f>IF(Gastos[[#This Row],[Divisa]]="$", I3156*1, IF(Gastos[[#This Row],[Divisa]]="U$D", I3156*$N$1, IF(Gastos[[#This Row],[Divisa]]="EUR", I3156*$N$2, 0)))</f>
        <v>600000</v>
      </c>
      <c r="K3156" s="54">
        <f>Gastos[[#This Row],[Importe AR$]]/$N$1</f>
        <v>384.61538461538464</v>
      </c>
      <c r="M3156" s="69">
        <v>46081</v>
      </c>
      <c r="N3156" s="43">
        <f>IF(Gastos[[#This Row],[Fecha_Cheque]]&gt;0,WEEKNUM(Gastos[[#This Row],[Fecha_Cheque]]),MID(Gastos[[#This Row],[Semana]],6,2))</f>
        <v>9</v>
      </c>
      <c r="O3156" t="s">
        <v>1884</v>
      </c>
      <c r="P3156" t="s">
        <v>27</v>
      </c>
    </row>
    <row r="3157" spans="1:16" hidden="1" x14ac:dyDescent="0.25">
      <c r="A3157" s="3" t="s">
        <v>206</v>
      </c>
      <c r="B3157" t="s">
        <v>1854</v>
      </c>
      <c r="C3157" t="s">
        <v>118</v>
      </c>
      <c r="D3157" t="s">
        <v>26</v>
      </c>
      <c r="E3157" t="s">
        <v>132</v>
      </c>
      <c r="F3157">
        <v>2</v>
      </c>
      <c r="G3157" s="3" t="s">
        <v>32</v>
      </c>
      <c r="H3157" s="46" t="s">
        <v>15</v>
      </c>
      <c r="I3157" s="17">
        <v>600000</v>
      </c>
      <c r="J3157" s="17">
        <f>IF(Gastos[[#This Row],[Divisa]]="$", I3157*1, IF(Gastos[[#This Row],[Divisa]]="U$D", I3157*$N$1, IF(Gastos[[#This Row],[Divisa]]="EUR", I3157*$N$2, 0)))</f>
        <v>600000</v>
      </c>
      <c r="K3157" s="54">
        <f>Gastos[[#This Row],[Importe AR$]]/$N$1</f>
        <v>384.61538461538464</v>
      </c>
      <c r="M3157" s="69">
        <v>46081</v>
      </c>
      <c r="N3157" s="43">
        <f>IF(Gastos[[#This Row],[Fecha_Cheque]]&gt;0,WEEKNUM(Gastos[[#This Row],[Fecha_Cheque]]),MID(Gastos[[#This Row],[Semana]],6,2))</f>
        <v>9</v>
      </c>
      <c r="O3157" t="s">
        <v>1884</v>
      </c>
      <c r="P3157" t="s">
        <v>27</v>
      </c>
    </row>
    <row r="3158" spans="1:16" hidden="1" x14ac:dyDescent="0.25">
      <c r="A3158" s="3" t="s">
        <v>206</v>
      </c>
      <c r="B3158" t="s">
        <v>1854</v>
      </c>
      <c r="C3158" t="s">
        <v>118</v>
      </c>
      <c r="D3158" t="s">
        <v>26</v>
      </c>
      <c r="E3158" t="s">
        <v>132</v>
      </c>
      <c r="F3158">
        <v>2</v>
      </c>
      <c r="G3158" s="3" t="s">
        <v>32</v>
      </c>
      <c r="H3158" s="46" t="s">
        <v>15</v>
      </c>
      <c r="I3158" s="17">
        <v>1000000</v>
      </c>
      <c r="J3158" s="17">
        <f>IF(Gastos[[#This Row],[Divisa]]="$", I3158*1, IF(Gastos[[#This Row],[Divisa]]="U$D", I3158*$N$1, IF(Gastos[[#This Row],[Divisa]]="EUR", I3158*$N$2, 0)))</f>
        <v>1000000</v>
      </c>
      <c r="K3158" s="54">
        <f>Gastos[[#This Row],[Importe AR$]]/$N$1</f>
        <v>641.02564102564099</v>
      </c>
      <c r="M3158" s="69">
        <v>46081</v>
      </c>
      <c r="N3158" s="43">
        <f>IF(Gastos[[#This Row],[Fecha_Cheque]]&gt;0,WEEKNUM(Gastos[[#This Row],[Fecha_Cheque]]),MID(Gastos[[#This Row],[Semana]],6,2))</f>
        <v>9</v>
      </c>
      <c r="O3158" t="s">
        <v>1884</v>
      </c>
      <c r="P3158" t="s">
        <v>27</v>
      </c>
    </row>
    <row r="3159" spans="1:16" hidden="1" x14ac:dyDescent="0.25">
      <c r="A3159" s="3" t="s">
        <v>206</v>
      </c>
      <c r="B3159" t="s">
        <v>1854</v>
      </c>
      <c r="C3159" t="s">
        <v>118</v>
      </c>
      <c r="D3159" t="s">
        <v>26</v>
      </c>
      <c r="E3159" t="s">
        <v>132</v>
      </c>
      <c r="F3159">
        <v>2</v>
      </c>
      <c r="G3159" s="3" t="s">
        <v>32</v>
      </c>
      <c r="H3159" s="46" t="s">
        <v>15</v>
      </c>
      <c r="I3159" s="17">
        <v>1385506</v>
      </c>
      <c r="J3159" s="17">
        <f>IF(Gastos[[#This Row],[Divisa]]="$", I3159*1, IF(Gastos[[#This Row],[Divisa]]="U$D", I3159*$N$1, IF(Gastos[[#This Row],[Divisa]]="EUR", I3159*$N$2, 0)))</f>
        <v>1385506</v>
      </c>
      <c r="K3159" s="54">
        <f>Gastos[[#This Row],[Importe AR$]]/$N$1</f>
        <v>888.14487179487185</v>
      </c>
      <c r="M3159" s="69">
        <v>46069</v>
      </c>
      <c r="N3159" s="43">
        <f>IF(Gastos[[#This Row],[Fecha_Cheque]]&gt;0,WEEKNUM(Gastos[[#This Row],[Fecha_Cheque]]),MID(Gastos[[#This Row],[Semana]],6,2))</f>
        <v>8</v>
      </c>
      <c r="O3159" t="s">
        <v>1884</v>
      </c>
      <c r="P3159" t="s">
        <v>27</v>
      </c>
    </row>
    <row r="3160" spans="1:16" hidden="1" x14ac:dyDescent="0.25">
      <c r="A3160" s="3" t="s">
        <v>206</v>
      </c>
      <c r="B3160" t="s">
        <v>1854</v>
      </c>
      <c r="C3160" t="s">
        <v>118</v>
      </c>
      <c r="D3160" t="s">
        <v>26</v>
      </c>
      <c r="E3160" t="s">
        <v>132</v>
      </c>
      <c r="F3160">
        <v>2</v>
      </c>
      <c r="G3160" s="3" t="s">
        <v>32</v>
      </c>
      <c r="H3160" s="46" t="s">
        <v>15</v>
      </c>
      <c r="I3160" s="17">
        <v>2263000</v>
      </c>
      <c r="J3160" s="17">
        <f>IF(Gastos[[#This Row],[Divisa]]="$", I3160*1, IF(Gastos[[#This Row],[Divisa]]="U$D", I3160*$N$1, IF(Gastos[[#This Row],[Divisa]]="EUR", I3160*$N$2, 0)))</f>
        <v>2263000</v>
      </c>
      <c r="K3160" s="54">
        <f>Gastos[[#This Row],[Importe AR$]]/$N$1</f>
        <v>1450.6410256410256</v>
      </c>
      <c r="M3160" s="69">
        <v>46081</v>
      </c>
      <c r="N3160" s="43">
        <f>IF(Gastos[[#This Row],[Fecha_Cheque]]&gt;0,WEEKNUM(Gastos[[#This Row],[Fecha_Cheque]]),MID(Gastos[[#This Row],[Semana]],6,2))</f>
        <v>9</v>
      </c>
      <c r="O3160" t="s">
        <v>1884</v>
      </c>
      <c r="P3160" t="s">
        <v>27</v>
      </c>
    </row>
    <row r="3161" spans="1:16" hidden="1" x14ac:dyDescent="0.25">
      <c r="A3161" s="3" t="s">
        <v>75</v>
      </c>
      <c r="B3161" t="s">
        <v>1854</v>
      </c>
      <c r="C3161" t="s">
        <v>1885</v>
      </c>
      <c r="D3161" t="s">
        <v>26</v>
      </c>
      <c r="E3161" t="s">
        <v>62</v>
      </c>
      <c r="F3161">
        <v>2</v>
      </c>
      <c r="G3161" s="3" t="s">
        <v>32</v>
      </c>
      <c r="H3161" s="46" t="s">
        <v>15</v>
      </c>
      <c r="I3161" s="17">
        <v>239070</v>
      </c>
      <c r="J3161" s="17">
        <f>IF(Gastos[[#This Row],[Divisa]]="$", I3161*1, IF(Gastos[[#This Row],[Divisa]]="U$D", I3161*$N$1, IF(Gastos[[#This Row],[Divisa]]="EUR", I3161*$N$2, 0)))</f>
        <v>239070</v>
      </c>
      <c r="K3161" s="54">
        <f>Gastos[[#This Row],[Importe AR$]]/$N$1</f>
        <v>153.25</v>
      </c>
      <c r="M3161" s="69">
        <v>46090</v>
      </c>
      <c r="N3161" s="43">
        <f>IF(Gastos[[#This Row],[Fecha_Cheque]]&gt;0,WEEKNUM(Gastos[[#This Row],[Fecha_Cheque]]),MID(Gastos[[#This Row],[Semana]],6,2))</f>
        <v>11</v>
      </c>
      <c r="O3161" t="s">
        <v>1886</v>
      </c>
      <c r="P3161" t="s">
        <v>27</v>
      </c>
    </row>
    <row r="3162" spans="1:16" hidden="1" x14ac:dyDescent="0.25">
      <c r="A3162" s="3" t="s">
        <v>75</v>
      </c>
      <c r="B3162" t="s">
        <v>1854</v>
      </c>
      <c r="C3162" t="s">
        <v>1885</v>
      </c>
      <c r="D3162" t="s">
        <v>26</v>
      </c>
      <c r="E3162" t="s">
        <v>62</v>
      </c>
      <c r="F3162">
        <v>2</v>
      </c>
      <c r="G3162" s="3" t="s">
        <v>32</v>
      </c>
      <c r="H3162" s="46" t="s">
        <v>15</v>
      </c>
      <c r="I3162" s="17">
        <v>1173610.3999999999</v>
      </c>
      <c r="J3162" s="17">
        <f>IF(Gastos[[#This Row],[Divisa]]="$", I3162*1, IF(Gastos[[#This Row],[Divisa]]="U$D", I3162*$N$1, IF(Gastos[[#This Row],[Divisa]]="EUR", I3162*$N$2, 0)))</f>
        <v>1173610.3999999999</v>
      </c>
      <c r="K3162" s="54">
        <f>Gastos[[#This Row],[Importe AR$]]/$N$1</f>
        <v>752.31435897435892</v>
      </c>
      <c r="M3162" s="69">
        <v>46080</v>
      </c>
      <c r="N3162" s="43">
        <f>IF(Gastos[[#This Row],[Fecha_Cheque]]&gt;0,WEEKNUM(Gastos[[#This Row],[Fecha_Cheque]]),MID(Gastos[[#This Row],[Semana]],6,2))</f>
        <v>9</v>
      </c>
      <c r="O3162" t="s">
        <v>1886</v>
      </c>
      <c r="P3162" t="s">
        <v>27</v>
      </c>
    </row>
    <row r="3163" spans="1:16" hidden="1" x14ac:dyDescent="0.25">
      <c r="A3163" s="3" t="s">
        <v>75</v>
      </c>
      <c r="B3163" t="s">
        <v>1854</v>
      </c>
      <c r="C3163" t="s">
        <v>1885</v>
      </c>
      <c r="D3163" t="s">
        <v>26</v>
      </c>
      <c r="E3163" t="s">
        <v>62</v>
      </c>
      <c r="F3163">
        <v>2</v>
      </c>
      <c r="G3163" s="3" t="s">
        <v>32</v>
      </c>
      <c r="H3163" s="46" t="s">
        <v>15</v>
      </c>
      <c r="I3163" s="17">
        <v>1811722</v>
      </c>
      <c r="J3163" s="17">
        <f>IF(Gastos[[#This Row],[Divisa]]="$", I3163*1, IF(Gastos[[#This Row],[Divisa]]="U$D", I3163*$N$1, IF(Gastos[[#This Row],[Divisa]]="EUR", I3163*$N$2, 0)))</f>
        <v>1811722</v>
      </c>
      <c r="K3163" s="54">
        <f>Gastos[[#This Row],[Importe AR$]]/$N$1</f>
        <v>1161.3602564102564</v>
      </c>
      <c r="M3163" s="69">
        <v>46071</v>
      </c>
      <c r="N3163" s="43">
        <f>IF(Gastos[[#This Row],[Fecha_Cheque]]&gt;0,WEEKNUM(Gastos[[#This Row],[Fecha_Cheque]]),MID(Gastos[[#This Row],[Semana]],6,2))</f>
        <v>8</v>
      </c>
      <c r="O3163" t="s">
        <v>1886</v>
      </c>
      <c r="P3163" t="s">
        <v>27</v>
      </c>
    </row>
    <row r="3164" spans="1:16" hidden="1" x14ac:dyDescent="0.25">
      <c r="A3164" s="3" t="s">
        <v>75</v>
      </c>
      <c r="B3164" t="s">
        <v>1854</v>
      </c>
      <c r="C3164" t="s">
        <v>1885</v>
      </c>
      <c r="D3164" t="s">
        <v>26</v>
      </c>
      <c r="E3164" t="s">
        <v>62</v>
      </c>
      <c r="F3164">
        <v>2</v>
      </c>
      <c r="G3164" s="3" t="s">
        <v>4</v>
      </c>
      <c r="H3164" s="46" t="s">
        <v>15</v>
      </c>
      <c r="I3164" s="17">
        <v>1500000</v>
      </c>
      <c r="J3164" s="17">
        <f>IF(Gastos[[#This Row],[Divisa]]="$", I3164*1, IF(Gastos[[#This Row],[Divisa]]="U$D", I3164*$N$1, IF(Gastos[[#This Row],[Divisa]]="EUR", I3164*$N$2, 0)))</f>
        <v>1500000</v>
      </c>
      <c r="K3164" s="54">
        <f>Gastos[[#This Row],[Importe AR$]]/$N$1</f>
        <v>961.53846153846155</v>
      </c>
      <c r="M3164" s="69"/>
      <c r="N3164" s="43" t="str">
        <f>IF(Gastos[[#This Row],[Fecha_Cheque]]&gt;0,WEEKNUM(Gastos[[#This Row],[Fecha_Cheque]]),MID(Gastos[[#This Row],[Semana]],6,2))</f>
        <v>07</v>
      </c>
      <c r="O3164" t="s">
        <v>1886</v>
      </c>
      <c r="P3164" t="s">
        <v>27</v>
      </c>
    </row>
    <row r="3165" spans="1:16" hidden="1" x14ac:dyDescent="0.25">
      <c r="A3165" s="3" t="s">
        <v>117</v>
      </c>
      <c r="B3165" t="s">
        <v>1854</v>
      </c>
      <c r="C3165" t="s">
        <v>118</v>
      </c>
      <c r="D3165" t="s">
        <v>26</v>
      </c>
      <c r="E3165" t="s">
        <v>132</v>
      </c>
      <c r="F3165">
        <v>2</v>
      </c>
      <c r="G3165" s="3" t="s">
        <v>32</v>
      </c>
      <c r="H3165" s="46" t="s">
        <v>15</v>
      </c>
      <c r="I3165" s="17">
        <v>150000</v>
      </c>
      <c r="J3165" s="17">
        <f>IF(Gastos[[#This Row],[Divisa]]="$", I3165*1, IF(Gastos[[#This Row],[Divisa]]="U$D", I3165*$N$1, IF(Gastos[[#This Row],[Divisa]]="EUR", I3165*$N$2, 0)))</f>
        <v>150000</v>
      </c>
      <c r="K3165" s="54">
        <f>Gastos[[#This Row],[Importe AR$]]/$N$1</f>
        <v>96.15384615384616</v>
      </c>
      <c r="M3165" s="69">
        <v>45899</v>
      </c>
      <c r="N3165" s="43">
        <f>IF(Gastos[[#This Row],[Fecha_Cheque]]&gt;0,WEEKNUM(Gastos[[#This Row],[Fecha_Cheque]]),MID(Gastos[[#This Row],[Semana]],6,2))</f>
        <v>35</v>
      </c>
      <c r="O3165" t="s">
        <v>123</v>
      </c>
      <c r="P3165" t="s">
        <v>27</v>
      </c>
    </row>
    <row r="3166" spans="1:16" hidden="1" x14ac:dyDescent="0.25">
      <c r="A3166" s="3" t="s">
        <v>117</v>
      </c>
      <c r="B3166" t="s">
        <v>1854</v>
      </c>
      <c r="C3166" t="s">
        <v>118</v>
      </c>
      <c r="D3166" t="s">
        <v>26</v>
      </c>
      <c r="E3166" t="s">
        <v>132</v>
      </c>
      <c r="F3166">
        <v>2</v>
      </c>
      <c r="G3166" s="3" t="s">
        <v>32</v>
      </c>
      <c r="H3166" s="46" t="s">
        <v>15</v>
      </c>
      <c r="I3166" s="17">
        <v>1870000</v>
      </c>
      <c r="J3166" s="17">
        <f>IF(Gastos[[#This Row],[Divisa]]="$", I3166*1, IF(Gastos[[#This Row],[Divisa]]="U$D", I3166*$N$1, IF(Gastos[[#This Row],[Divisa]]="EUR", I3166*$N$2, 0)))</f>
        <v>1870000</v>
      </c>
      <c r="K3166" s="54">
        <f>Gastos[[#This Row],[Importe AR$]]/$N$1</f>
        <v>1198.7179487179487</v>
      </c>
      <c r="M3166" s="69">
        <v>45889</v>
      </c>
      <c r="N3166" s="43">
        <f>IF(Gastos[[#This Row],[Fecha_Cheque]]&gt;0,WEEKNUM(Gastos[[#This Row],[Fecha_Cheque]]),MID(Gastos[[#This Row],[Semana]],6,2))</f>
        <v>34</v>
      </c>
      <c r="O3166" t="s">
        <v>123</v>
      </c>
      <c r="P3166" t="s">
        <v>27</v>
      </c>
    </row>
    <row r="3167" spans="1:16" hidden="1" x14ac:dyDescent="0.25">
      <c r="A3167" s="3" t="s">
        <v>117</v>
      </c>
      <c r="B3167" t="s">
        <v>1854</v>
      </c>
      <c r="C3167" t="s">
        <v>118</v>
      </c>
      <c r="D3167" t="s">
        <v>26</v>
      </c>
      <c r="E3167" t="s">
        <v>132</v>
      </c>
      <c r="F3167">
        <v>2</v>
      </c>
      <c r="G3167" s="3" t="s">
        <v>32</v>
      </c>
      <c r="H3167" s="46" t="s">
        <v>15</v>
      </c>
      <c r="I3167" s="17">
        <v>400000</v>
      </c>
      <c r="J3167" s="17">
        <f>IF(Gastos[[#This Row],[Divisa]]="$", I3167*1, IF(Gastos[[#This Row],[Divisa]]="U$D", I3167*$N$1, IF(Gastos[[#This Row],[Divisa]]="EUR", I3167*$N$2, 0)))</f>
        <v>400000</v>
      </c>
      <c r="K3167" s="54">
        <f>Gastos[[#This Row],[Importe AR$]]/$N$1</f>
        <v>256.41025641025641</v>
      </c>
      <c r="M3167" s="69">
        <v>45927</v>
      </c>
      <c r="N3167" s="43">
        <f>IF(Gastos[[#This Row],[Fecha_Cheque]]&gt;0,WEEKNUM(Gastos[[#This Row],[Fecha_Cheque]]),MID(Gastos[[#This Row],[Semana]],6,2))</f>
        <v>39</v>
      </c>
      <c r="O3167" t="s">
        <v>1892</v>
      </c>
      <c r="P3167" t="s">
        <v>27</v>
      </c>
    </row>
    <row r="3168" spans="1:16" hidden="1" x14ac:dyDescent="0.25">
      <c r="A3168" s="3" t="s">
        <v>117</v>
      </c>
      <c r="B3168" t="s">
        <v>1854</v>
      </c>
      <c r="C3168" t="s">
        <v>118</v>
      </c>
      <c r="D3168" t="s">
        <v>26</v>
      </c>
      <c r="E3168" t="s">
        <v>132</v>
      </c>
      <c r="F3168">
        <v>2</v>
      </c>
      <c r="G3168" s="3" t="s">
        <v>32</v>
      </c>
      <c r="H3168" s="46" t="s">
        <v>15</v>
      </c>
      <c r="I3168" s="17">
        <v>400000</v>
      </c>
      <c r="J3168" s="17">
        <f>IF(Gastos[[#This Row],[Divisa]]="$", I3168*1, IF(Gastos[[#This Row],[Divisa]]="U$D", I3168*$N$1, IF(Gastos[[#This Row],[Divisa]]="EUR", I3168*$N$2, 0)))</f>
        <v>400000</v>
      </c>
      <c r="K3168" s="54">
        <f>Gastos[[#This Row],[Importe AR$]]/$N$1</f>
        <v>256.41025641025641</v>
      </c>
      <c r="M3168" s="69">
        <v>45920</v>
      </c>
      <c r="N3168" s="43">
        <f>IF(Gastos[[#This Row],[Fecha_Cheque]]&gt;0,WEEKNUM(Gastos[[#This Row],[Fecha_Cheque]]),MID(Gastos[[#This Row],[Semana]],6,2))</f>
        <v>38</v>
      </c>
      <c r="O3168" t="s">
        <v>1892</v>
      </c>
      <c r="P3168" t="s">
        <v>27</v>
      </c>
    </row>
    <row r="3169" spans="1:16" hidden="1" x14ac:dyDescent="0.25">
      <c r="A3169" s="3" t="s">
        <v>117</v>
      </c>
      <c r="B3169" t="s">
        <v>1854</v>
      </c>
      <c r="C3169" t="s">
        <v>118</v>
      </c>
      <c r="D3169" t="s">
        <v>26</v>
      </c>
      <c r="E3169" t="s">
        <v>132</v>
      </c>
      <c r="F3169">
        <v>2</v>
      </c>
      <c r="G3169" s="3" t="s">
        <v>32</v>
      </c>
      <c r="H3169" s="46" t="s">
        <v>15</v>
      </c>
      <c r="I3169" s="17">
        <v>400000</v>
      </c>
      <c r="J3169" s="17">
        <f>IF(Gastos[[#This Row],[Divisa]]="$", I3169*1, IF(Gastos[[#This Row],[Divisa]]="U$D", I3169*$N$1, IF(Gastos[[#This Row],[Divisa]]="EUR", I3169*$N$2, 0)))</f>
        <v>400000</v>
      </c>
      <c r="K3169" s="54">
        <f>Gastos[[#This Row],[Importe AR$]]/$N$1</f>
        <v>256.41025641025641</v>
      </c>
      <c r="M3169" s="69">
        <v>45923</v>
      </c>
      <c r="N3169" s="43">
        <f>IF(Gastos[[#This Row],[Fecha_Cheque]]&gt;0,WEEKNUM(Gastos[[#This Row],[Fecha_Cheque]]),MID(Gastos[[#This Row],[Semana]],6,2))</f>
        <v>39</v>
      </c>
      <c r="O3169" t="s">
        <v>1892</v>
      </c>
      <c r="P3169" t="s">
        <v>27</v>
      </c>
    </row>
    <row r="3170" spans="1:16" hidden="1" x14ac:dyDescent="0.25">
      <c r="A3170" s="3" t="s">
        <v>117</v>
      </c>
      <c r="B3170" t="s">
        <v>1854</v>
      </c>
      <c r="C3170" t="s">
        <v>118</v>
      </c>
      <c r="D3170" t="s">
        <v>26</v>
      </c>
      <c r="E3170" t="s">
        <v>132</v>
      </c>
      <c r="F3170">
        <v>2</v>
      </c>
      <c r="G3170" s="3" t="s">
        <v>32</v>
      </c>
      <c r="H3170" s="46" t="s">
        <v>15</v>
      </c>
      <c r="I3170" s="17">
        <v>412000</v>
      </c>
      <c r="J3170" s="17">
        <f>IF(Gastos[[#This Row],[Divisa]]="$", I3170*1, IF(Gastos[[#This Row],[Divisa]]="U$D", I3170*$N$1, IF(Gastos[[#This Row],[Divisa]]="EUR", I3170*$N$2, 0)))</f>
        <v>412000</v>
      </c>
      <c r="K3170" s="54">
        <f>Gastos[[#This Row],[Importe AR$]]/$N$1</f>
        <v>264.10256410256409</v>
      </c>
      <c r="M3170" s="69">
        <v>45923</v>
      </c>
      <c r="N3170" s="43">
        <f>IF(Gastos[[#This Row],[Fecha_Cheque]]&gt;0,WEEKNUM(Gastos[[#This Row],[Fecha_Cheque]]),MID(Gastos[[#This Row],[Semana]],6,2))</f>
        <v>39</v>
      </c>
      <c r="O3170" t="s">
        <v>1892</v>
      </c>
      <c r="P3170" t="s">
        <v>27</v>
      </c>
    </row>
    <row r="3171" spans="1:16" hidden="1" x14ac:dyDescent="0.25">
      <c r="A3171" s="3" t="s">
        <v>117</v>
      </c>
      <c r="B3171" t="s">
        <v>1854</v>
      </c>
      <c r="C3171" t="s">
        <v>118</v>
      </c>
      <c r="D3171" t="s">
        <v>26</v>
      </c>
      <c r="E3171" t="s">
        <v>132</v>
      </c>
      <c r="F3171">
        <v>2</v>
      </c>
      <c r="G3171" s="3" t="s">
        <v>32</v>
      </c>
      <c r="H3171" s="46" t="s">
        <v>15</v>
      </c>
      <c r="I3171" s="17">
        <v>700000</v>
      </c>
      <c r="J3171" s="17">
        <f>IF(Gastos[[#This Row],[Divisa]]="$", I3171*1, IF(Gastos[[#This Row],[Divisa]]="U$D", I3171*$N$1, IF(Gastos[[#This Row],[Divisa]]="EUR", I3171*$N$2, 0)))</f>
        <v>700000</v>
      </c>
      <c r="K3171" s="54">
        <f>Gastos[[#This Row],[Importe AR$]]/$N$1</f>
        <v>448.71794871794873</v>
      </c>
      <c r="M3171" s="69">
        <v>45908</v>
      </c>
      <c r="N3171" s="43">
        <f>IF(Gastos[[#This Row],[Fecha_Cheque]]&gt;0,WEEKNUM(Gastos[[#This Row],[Fecha_Cheque]]),MID(Gastos[[#This Row],[Semana]],6,2))</f>
        <v>37</v>
      </c>
      <c r="O3171" t="s">
        <v>1892</v>
      </c>
      <c r="P3171" t="s">
        <v>27</v>
      </c>
    </row>
    <row r="3172" spans="1:16" hidden="1" x14ac:dyDescent="0.25">
      <c r="A3172" s="3" t="s">
        <v>117</v>
      </c>
      <c r="B3172" t="s">
        <v>1854</v>
      </c>
      <c r="C3172" t="s">
        <v>118</v>
      </c>
      <c r="D3172" t="s">
        <v>26</v>
      </c>
      <c r="E3172" t="s">
        <v>132</v>
      </c>
      <c r="F3172">
        <v>2</v>
      </c>
      <c r="G3172" s="3" t="s">
        <v>32</v>
      </c>
      <c r="H3172" s="46" t="s">
        <v>15</v>
      </c>
      <c r="I3172" s="17">
        <v>930000</v>
      </c>
      <c r="J3172" s="17">
        <f>IF(Gastos[[#This Row],[Divisa]]="$", I3172*1, IF(Gastos[[#This Row],[Divisa]]="U$D", I3172*$N$1, IF(Gastos[[#This Row],[Divisa]]="EUR", I3172*$N$2, 0)))</f>
        <v>930000</v>
      </c>
      <c r="K3172" s="54">
        <f>Gastos[[#This Row],[Importe AR$]]/$N$1</f>
        <v>596.15384615384619</v>
      </c>
      <c r="M3172" s="69">
        <v>45923</v>
      </c>
      <c r="N3172" s="43">
        <f>IF(Gastos[[#This Row],[Fecha_Cheque]]&gt;0,WEEKNUM(Gastos[[#This Row],[Fecha_Cheque]]),MID(Gastos[[#This Row],[Semana]],6,2))</f>
        <v>39</v>
      </c>
      <c r="O3172" t="s">
        <v>1892</v>
      </c>
      <c r="P3172" t="s">
        <v>27</v>
      </c>
    </row>
    <row r="3173" spans="1:16" hidden="1" x14ac:dyDescent="0.25">
      <c r="A3173" s="3" t="s">
        <v>180</v>
      </c>
      <c r="B3173" t="s">
        <v>1854</v>
      </c>
      <c r="C3173" t="s">
        <v>1867</v>
      </c>
      <c r="D3173" t="s">
        <v>26</v>
      </c>
      <c r="E3173" t="s">
        <v>62</v>
      </c>
      <c r="F3173">
        <v>2</v>
      </c>
      <c r="G3173" s="3" t="s">
        <v>32</v>
      </c>
      <c r="H3173" s="46" t="s">
        <v>15</v>
      </c>
      <c r="I3173" s="17">
        <v>277450</v>
      </c>
      <c r="J3173" s="17">
        <f>IF(Gastos[[#This Row],[Divisa]]="$", I3173*1, IF(Gastos[[#This Row],[Divisa]]="U$D", I3173*$N$1, IF(Gastos[[#This Row],[Divisa]]="EUR", I3173*$N$2, 0)))</f>
        <v>277450</v>
      </c>
      <c r="K3173" s="54">
        <f>Gastos[[#This Row],[Importe AR$]]/$N$1</f>
        <v>177.85256410256412</v>
      </c>
      <c r="M3173" s="69">
        <v>46116</v>
      </c>
      <c r="N3173" s="43">
        <f>IF(Gastos[[#This Row],[Fecha_Cheque]]&gt;0,WEEKNUM(Gastos[[#This Row],[Fecha_Cheque]]),MID(Gastos[[#This Row],[Semana]],6,2))</f>
        <v>14</v>
      </c>
      <c r="O3173" t="s">
        <v>1936</v>
      </c>
      <c r="P3173" t="s">
        <v>27</v>
      </c>
    </row>
    <row r="3174" spans="1:16" hidden="1" x14ac:dyDescent="0.25">
      <c r="A3174" s="3" t="s">
        <v>180</v>
      </c>
      <c r="B3174" t="s">
        <v>1854</v>
      </c>
      <c r="C3174" t="s">
        <v>1867</v>
      </c>
      <c r="D3174" t="s">
        <v>26</v>
      </c>
      <c r="E3174" t="s">
        <v>62</v>
      </c>
      <c r="F3174">
        <v>2</v>
      </c>
      <c r="G3174" s="3" t="s">
        <v>32</v>
      </c>
      <c r="H3174" s="46" t="s">
        <v>15</v>
      </c>
      <c r="I3174" s="17">
        <v>291687</v>
      </c>
      <c r="J3174" s="17">
        <f>IF(Gastos[[#This Row],[Divisa]]="$", I3174*1, IF(Gastos[[#This Row],[Divisa]]="U$D", I3174*$N$1, IF(Gastos[[#This Row],[Divisa]]="EUR", I3174*$N$2, 0)))</f>
        <v>291687</v>
      </c>
      <c r="K3174" s="54">
        <f>Gastos[[#This Row],[Importe AR$]]/$N$1</f>
        <v>186.97884615384615</v>
      </c>
      <c r="M3174" s="69">
        <v>46101</v>
      </c>
      <c r="N3174" s="43">
        <f>IF(Gastos[[#This Row],[Fecha_Cheque]]&gt;0,WEEKNUM(Gastos[[#This Row],[Fecha_Cheque]]),MID(Gastos[[#This Row],[Semana]],6,2))</f>
        <v>12</v>
      </c>
      <c r="O3174" t="s">
        <v>1936</v>
      </c>
      <c r="P3174" t="s">
        <v>27</v>
      </c>
    </row>
    <row r="3175" spans="1:16" hidden="1" x14ac:dyDescent="0.25">
      <c r="A3175" s="3" t="s">
        <v>180</v>
      </c>
      <c r="B3175" t="s">
        <v>1854</v>
      </c>
      <c r="C3175" t="s">
        <v>1867</v>
      </c>
      <c r="D3175" t="s">
        <v>26</v>
      </c>
      <c r="E3175" t="s">
        <v>62</v>
      </c>
      <c r="F3175">
        <v>2</v>
      </c>
      <c r="G3175" s="3" t="s">
        <v>32</v>
      </c>
      <c r="H3175" s="46" t="s">
        <v>15</v>
      </c>
      <c r="I3175" s="17">
        <v>500000</v>
      </c>
      <c r="J3175" s="17">
        <f>IF(Gastos[[#This Row],[Divisa]]="$", I3175*1, IF(Gastos[[#This Row],[Divisa]]="U$D", I3175*$N$1, IF(Gastos[[#This Row],[Divisa]]="EUR", I3175*$N$2, 0)))</f>
        <v>500000</v>
      </c>
      <c r="K3175" s="54">
        <f>Gastos[[#This Row],[Importe AR$]]/$N$1</f>
        <v>320.5128205128205</v>
      </c>
      <c r="M3175" s="69">
        <v>46078</v>
      </c>
      <c r="N3175" s="43">
        <f>IF(Gastos[[#This Row],[Fecha_Cheque]]&gt;0,WEEKNUM(Gastos[[#This Row],[Fecha_Cheque]]),MID(Gastos[[#This Row],[Semana]],6,2))</f>
        <v>9</v>
      </c>
      <c r="O3175" t="s">
        <v>1936</v>
      </c>
      <c r="P3175" t="s">
        <v>27</v>
      </c>
    </row>
    <row r="3176" spans="1:16" hidden="1" x14ac:dyDescent="0.25">
      <c r="A3176" s="3" t="s">
        <v>180</v>
      </c>
      <c r="B3176" t="s">
        <v>1854</v>
      </c>
      <c r="C3176" t="s">
        <v>1867</v>
      </c>
      <c r="D3176" t="s">
        <v>26</v>
      </c>
      <c r="E3176" t="s">
        <v>62</v>
      </c>
      <c r="F3176">
        <v>2</v>
      </c>
      <c r="G3176" s="3" t="s">
        <v>32</v>
      </c>
      <c r="H3176" s="46" t="s">
        <v>15</v>
      </c>
      <c r="I3176" s="17">
        <v>800000</v>
      </c>
      <c r="J3176" s="17">
        <f>IF(Gastos[[#This Row],[Divisa]]="$", I3176*1, IF(Gastos[[#This Row],[Divisa]]="U$D", I3176*$N$1, IF(Gastos[[#This Row],[Divisa]]="EUR", I3176*$N$2, 0)))</f>
        <v>800000</v>
      </c>
      <c r="K3176" s="54">
        <f>Gastos[[#This Row],[Importe AR$]]/$N$1</f>
        <v>512.82051282051282</v>
      </c>
      <c r="M3176" s="69">
        <v>46125</v>
      </c>
      <c r="N3176" s="43">
        <f>IF(Gastos[[#This Row],[Fecha_Cheque]]&gt;0,WEEKNUM(Gastos[[#This Row],[Fecha_Cheque]]),MID(Gastos[[#This Row],[Semana]],6,2))</f>
        <v>16</v>
      </c>
      <c r="O3176" t="s">
        <v>1936</v>
      </c>
      <c r="P3176" t="s">
        <v>27</v>
      </c>
    </row>
    <row r="3177" spans="1:16" hidden="1" x14ac:dyDescent="0.25">
      <c r="A3177" s="3" t="s">
        <v>180</v>
      </c>
      <c r="B3177" t="s">
        <v>1854</v>
      </c>
      <c r="C3177" t="s">
        <v>1867</v>
      </c>
      <c r="D3177" t="s">
        <v>26</v>
      </c>
      <c r="E3177" t="s">
        <v>62</v>
      </c>
      <c r="F3177">
        <v>2</v>
      </c>
      <c r="G3177" s="3" t="s">
        <v>32</v>
      </c>
      <c r="H3177" s="46" t="s">
        <v>15</v>
      </c>
      <c r="I3177" s="17">
        <v>1144000</v>
      </c>
      <c r="J3177" s="17">
        <f>IF(Gastos[[#This Row],[Divisa]]="$", I3177*1, IF(Gastos[[#This Row],[Divisa]]="U$D", I3177*$N$1, IF(Gastos[[#This Row],[Divisa]]="EUR", I3177*$N$2, 0)))</f>
        <v>1144000</v>
      </c>
      <c r="K3177" s="54">
        <f>Gastos[[#This Row],[Importe AR$]]/$N$1</f>
        <v>733.33333333333337</v>
      </c>
      <c r="M3177" s="69">
        <v>46058</v>
      </c>
      <c r="N3177" s="43">
        <f>IF(Gastos[[#This Row],[Fecha_Cheque]]&gt;0,WEEKNUM(Gastos[[#This Row],[Fecha_Cheque]]),MID(Gastos[[#This Row],[Semana]],6,2))</f>
        <v>6</v>
      </c>
      <c r="O3177" t="s">
        <v>1936</v>
      </c>
      <c r="P3177" t="s">
        <v>27</v>
      </c>
    </row>
    <row r="3178" spans="1:16" hidden="1" x14ac:dyDescent="0.25">
      <c r="A3178" s="3" t="s">
        <v>180</v>
      </c>
      <c r="B3178" t="s">
        <v>1854</v>
      </c>
      <c r="C3178" t="s">
        <v>1867</v>
      </c>
      <c r="D3178" t="s">
        <v>26</v>
      </c>
      <c r="E3178" t="s">
        <v>62</v>
      </c>
      <c r="F3178">
        <v>2</v>
      </c>
      <c r="G3178" s="3" t="s">
        <v>4</v>
      </c>
      <c r="H3178" s="46" t="s">
        <v>15</v>
      </c>
      <c r="I3178" s="17">
        <v>55773</v>
      </c>
      <c r="J3178" s="17">
        <f>IF(Gastos[[#This Row],[Divisa]]="$", I3178*1, IF(Gastos[[#This Row],[Divisa]]="U$D", I3178*$N$1, IF(Gastos[[#This Row],[Divisa]]="EUR", I3178*$N$2, 0)))</f>
        <v>55773</v>
      </c>
      <c r="K3178" s="54">
        <f>Gastos[[#This Row],[Importe AR$]]/$N$1</f>
        <v>35.751923076923077</v>
      </c>
      <c r="M3178" s="69">
        <v>46078</v>
      </c>
      <c r="N3178" s="43">
        <f>IF(Gastos[[#This Row],[Fecha_Cheque]]&gt;0,WEEKNUM(Gastos[[#This Row],[Fecha_Cheque]]),MID(Gastos[[#This Row],[Semana]],6,2))</f>
        <v>9</v>
      </c>
      <c r="O3178" t="s">
        <v>1936</v>
      </c>
      <c r="P3178" t="s">
        <v>27</v>
      </c>
    </row>
    <row r="3179" spans="1:16" hidden="1" x14ac:dyDescent="0.25">
      <c r="A3179" s="3" t="s">
        <v>180</v>
      </c>
      <c r="B3179" t="s">
        <v>1854</v>
      </c>
      <c r="C3179" t="s">
        <v>1867</v>
      </c>
      <c r="D3179" t="s">
        <v>26</v>
      </c>
      <c r="E3179" t="s">
        <v>62</v>
      </c>
      <c r="F3179">
        <v>2</v>
      </c>
      <c r="G3179" s="3" t="s">
        <v>32</v>
      </c>
      <c r="H3179" s="46" t="s">
        <v>15</v>
      </c>
      <c r="I3179" s="17">
        <v>260000</v>
      </c>
      <c r="J3179" s="17">
        <f>IF(Gastos[[#This Row],[Divisa]]="$", I3179*1, IF(Gastos[[#This Row],[Divisa]]="U$D", I3179*$N$1, IF(Gastos[[#This Row],[Divisa]]="EUR", I3179*$N$2, 0)))</f>
        <v>260000</v>
      </c>
      <c r="K3179" s="54">
        <f>Gastos[[#This Row],[Importe AR$]]/$N$1</f>
        <v>166.66666666666666</v>
      </c>
      <c r="M3179" s="69">
        <v>46116</v>
      </c>
      <c r="N3179" s="43">
        <f>IF(Gastos[[#This Row],[Fecha_Cheque]]&gt;0,WEEKNUM(Gastos[[#This Row],[Fecha_Cheque]]),MID(Gastos[[#This Row],[Semana]],6,2))</f>
        <v>14</v>
      </c>
      <c r="O3179" t="s">
        <v>1936</v>
      </c>
      <c r="P3179" t="s">
        <v>27</v>
      </c>
    </row>
    <row r="3180" spans="1:16" hidden="1" x14ac:dyDescent="0.25">
      <c r="A3180" s="3" t="s">
        <v>180</v>
      </c>
      <c r="B3180" t="s">
        <v>1854</v>
      </c>
      <c r="C3180" t="s">
        <v>1867</v>
      </c>
      <c r="D3180" t="s">
        <v>26</v>
      </c>
      <c r="E3180" t="s">
        <v>62</v>
      </c>
      <c r="F3180">
        <v>2</v>
      </c>
      <c r="G3180" s="3" t="s">
        <v>32</v>
      </c>
      <c r="H3180" s="46" t="s">
        <v>15</v>
      </c>
      <c r="I3180" s="17">
        <v>261180</v>
      </c>
      <c r="J3180" s="17">
        <f>IF(Gastos[[#This Row],[Divisa]]="$", I3180*1, IF(Gastos[[#This Row],[Divisa]]="U$D", I3180*$N$1, IF(Gastos[[#This Row],[Divisa]]="EUR", I3180*$N$2, 0)))</f>
        <v>261180</v>
      </c>
      <c r="K3180" s="54">
        <f>Gastos[[#This Row],[Importe AR$]]/$N$1</f>
        <v>167.42307692307693</v>
      </c>
      <c r="M3180" s="69">
        <v>46083</v>
      </c>
      <c r="N3180" s="43">
        <f>IF(Gastos[[#This Row],[Fecha_Cheque]]&gt;0,WEEKNUM(Gastos[[#This Row],[Fecha_Cheque]]),MID(Gastos[[#This Row],[Semana]],6,2))</f>
        <v>10</v>
      </c>
      <c r="O3180" t="s">
        <v>1936</v>
      </c>
      <c r="P3180" t="s">
        <v>27</v>
      </c>
    </row>
    <row r="3181" spans="1:16" hidden="1" x14ac:dyDescent="0.25">
      <c r="A3181" s="3" t="s">
        <v>180</v>
      </c>
      <c r="B3181" t="s">
        <v>1854</v>
      </c>
      <c r="C3181" t="s">
        <v>1867</v>
      </c>
      <c r="D3181" t="s">
        <v>26</v>
      </c>
      <c r="E3181" t="s">
        <v>62</v>
      </c>
      <c r="F3181">
        <v>2</v>
      </c>
      <c r="G3181" s="3" t="s">
        <v>32</v>
      </c>
      <c r="H3181" s="46" t="s">
        <v>15</v>
      </c>
      <c r="I3181" s="17">
        <v>200000</v>
      </c>
      <c r="J3181" s="17">
        <f>IF(Gastos[[#This Row],[Divisa]]="$", I3181*1, IF(Gastos[[#This Row],[Divisa]]="U$D", I3181*$N$1, IF(Gastos[[#This Row],[Divisa]]="EUR", I3181*$N$2, 0)))</f>
        <v>200000</v>
      </c>
      <c r="K3181" s="54">
        <f>Gastos[[#This Row],[Importe AR$]]/$N$1</f>
        <v>128.2051282051282</v>
      </c>
      <c r="M3181" s="69">
        <v>46083</v>
      </c>
      <c r="N3181" s="43">
        <f>IF(Gastos[[#This Row],[Fecha_Cheque]]&gt;0,WEEKNUM(Gastos[[#This Row],[Fecha_Cheque]]),MID(Gastos[[#This Row],[Semana]],6,2))</f>
        <v>10</v>
      </c>
      <c r="O3181" t="s">
        <v>1939</v>
      </c>
      <c r="P3181" t="s">
        <v>27</v>
      </c>
    </row>
    <row r="3182" spans="1:16" hidden="1" x14ac:dyDescent="0.25">
      <c r="A3182" s="3" t="s">
        <v>180</v>
      </c>
      <c r="B3182" t="s">
        <v>1854</v>
      </c>
      <c r="C3182" t="s">
        <v>1867</v>
      </c>
      <c r="D3182" t="s">
        <v>26</v>
      </c>
      <c r="E3182" t="s">
        <v>62</v>
      </c>
      <c r="F3182">
        <v>2</v>
      </c>
      <c r="G3182" s="3" t="s">
        <v>32</v>
      </c>
      <c r="H3182" s="46" t="s">
        <v>15</v>
      </c>
      <c r="I3182" s="17">
        <v>300000</v>
      </c>
      <c r="J3182" s="17">
        <f>IF(Gastos[[#This Row],[Divisa]]="$", I3182*1, IF(Gastos[[#This Row],[Divisa]]="U$D", I3182*$N$1, IF(Gastos[[#This Row],[Divisa]]="EUR", I3182*$N$2, 0)))</f>
        <v>300000</v>
      </c>
      <c r="K3182" s="54">
        <f>Gastos[[#This Row],[Importe AR$]]/$N$1</f>
        <v>192.30769230769232</v>
      </c>
      <c r="M3182" s="69">
        <v>46082</v>
      </c>
      <c r="N3182" s="43">
        <f>IF(Gastos[[#This Row],[Fecha_Cheque]]&gt;0,WEEKNUM(Gastos[[#This Row],[Fecha_Cheque]]),MID(Gastos[[#This Row],[Semana]],6,2))</f>
        <v>10</v>
      </c>
      <c r="O3182" t="s">
        <v>1939</v>
      </c>
      <c r="P3182" t="s">
        <v>27</v>
      </c>
    </row>
    <row r="3183" spans="1:16" hidden="1" x14ac:dyDescent="0.25">
      <c r="A3183" s="3" t="s">
        <v>180</v>
      </c>
      <c r="B3183" t="s">
        <v>1854</v>
      </c>
      <c r="C3183" t="s">
        <v>1867</v>
      </c>
      <c r="D3183" t="s">
        <v>26</v>
      </c>
      <c r="E3183" t="s">
        <v>62</v>
      </c>
      <c r="F3183">
        <v>2</v>
      </c>
      <c r="G3183" s="3" t="s">
        <v>32</v>
      </c>
      <c r="H3183" s="46" t="s">
        <v>15</v>
      </c>
      <c r="I3183" s="17">
        <v>469285</v>
      </c>
      <c r="J3183" s="17">
        <f>IF(Gastos[[#This Row],[Divisa]]="$", I3183*1, IF(Gastos[[#This Row],[Divisa]]="U$D", I3183*$N$1, IF(Gastos[[#This Row],[Divisa]]="EUR", I3183*$N$2, 0)))</f>
        <v>469285</v>
      </c>
      <c r="K3183" s="54">
        <f>Gastos[[#This Row],[Importe AR$]]/$N$1</f>
        <v>300.82371794871796</v>
      </c>
      <c r="M3183" s="69">
        <v>46087</v>
      </c>
      <c r="N3183" s="43">
        <f>IF(Gastos[[#This Row],[Fecha_Cheque]]&gt;0,WEEKNUM(Gastos[[#This Row],[Fecha_Cheque]]),MID(Gastos[[#This Row],[Semana]],6,2))</f>
        <v>10</v>
      </c>
      <c r="O3183" t="s">
        <v>1939</v>
      </c>
      <c r="P3183" t="s">
        <v>27</v>
      </c>
    </row>
    <row r="3184" spans="1:16" hidden="1" x14ac:dyDescent="0.25">
      <c r="A3184" s="3" t="s">
        <v>180</v>
      </c>
      <c r="B3184" t="s">
        <v>1854</v>
      </c>
      <c r="C3184" t="s">
        <v>1867</v>
      </c>
      <c r="D3184" t="s">
        <v>26</v>
      </c>
      <c r="E3184" t="s">
        <v>62</v>
      </c>
      <c r="F3184">
        <v>2</v>
      </c>
      <c r="G3184" s="3" t="s">
        <v>32</v>
      </c>
      <c r="H3184" s="46" t="s">
        <v>15</v>
      </c>
      <c r="I3184" s="17">
        <v>546250</v>
      </c>
      <c r="J3184" s="17">
        <f>IF(Gastos[[#This Row],[Divisa]]="$", I3184*1, IF(Gastos[[#This Row],[Divisa]]="U$D", I3184*$N$1, IF(Gastos[[#This Row],[Divisa]]="EUR", I3184*$N$2, 0)))</f>
        <v>546250</v>
      </c>
      <c r="K3184" s="54">
        <f>Gastos[[#This Row],[Importe AR$]]/$N$1</f>
        <v>350.16025641025641</v>
      </c>
      <c r="M3184" s="69">
        <v>46073</v>
      </c>
      <c r="N3184" s="43">
        <f>IF(Gastos[[#This Row],[Fecha_Cheque]]&gt;0,WEEKNUM(Gastos[[#This Row],[Fecha_Cheque]]),MID(Gastos[[#This Row],[Semana]],6,2))</f>
        <v>8</v>
      </c>
      <c r="O3184" t="s">
        <v>1939</v>
      </c>
      <c r="P3184" t="s">
        <v>27</v>
      </c>
    </row>
    <row r="3185" spans="1:16" hidden="1" x14ac:dyDescent="0.25">
      <c r="A3185" s="3" t="s">
        <v>180</v>
      </c>
      <c r="B3185" t="s">
        <v>1854</v>
      </c>
      <c r="C3185" t="s">
        <v>1867</v>
      </c>
      <c r="D3185" t="s">
        <v>26</v>
      </c>
      <c r="E3185" t="s">
        <v>62</v>
      </c>
      <c r="F3185">
        <v>2</v>
      </c>
      <c r="G3185" s="3" t="s">
        <v>32</v>
      </c>
      <c r="H3185" s="46" t="s">
        <v>15</v>
      </c>
      <c r="I3185" s="17">
        <v>705046.61</v>
      </c>
      <c r="J3185" s="17">
        <f>IF(Gastos[[#This Row],[Divisa]]="$", I3185*1, IF(Gastos[[#This Row],[Divisa]]="U$D", I3185*$N$1, IF(Gastos[[#This Row],[Divisa]]="EUR", I3185*$N$2, 0)))</f>
        <v>705046.61</v>
      </c>
      <c r="K3185" s="54">
        <f>Gastos[[#This Row],[Importe AR$]]/$N$1</f>
        <v>451.95295512820513</v>
      </c>
      <c r="M3185" s="69">
        <v>46075</v>
      </c>
      <c r="N3185" s="43">
        <f>IF(Gastos[[#This Row],[Fecha_Cheque]]&gt;0,WEEKNUM(Gastos[[#This Row],[Fecha_Cheque]]),MID(Gastos[[#This Row],[Semana]],6,2))</f>
        <v>9</v>
      </c>
      <c r="O3185" t="s">
        <v>1939</v>
      </c>
      <c r="P3185" t="s">
        <v>27</v>
      </c>
    </row>
    <row r="3186" spans="1:16" hidden="1" x14ac:dyDescent="0.25">
      <c r="A3186" s="3" t="s">
        <v>180</v>
      </c>
      <c r="B3186" t="s">
        <v>1854</v>
      </c>
      <c r="C3186" t="s">
        <v>1867</v>
      </c>
      <c r="D3186" t="s">
        <v>26</v>
      </c>
      <c r="E3186" t="s">
        <v>62</v>
      </c>
      <c r="F3186">
        <v>2</v>
      </c>
      <c r="G3186" s="3" t="s">
        <v>32</v>
      </c>
      <c r="H3186" s="46" t="s">
        <v>15</v>
      </c>
      <c r="I3186" s="17">
        <v>917405</v>
      </c>
      <c r="J3186" s="17">
        <f>IF(Gastos[[#This Row],[Divisa]]="$", I3186*1, IF(Gastos[[#This Row],[Divisa]]="U$D", I3186*$N$1, IF(Gastos[[#This Row],[Divisa]]="EUR", I3186*$N$2, 0)))</f>
        <v>917405</v>
      </c>
      <c r="K3186" s="54">
        <f>Gastos[[#This Row],[Importe AR$]]/$N$1</f>
        <v>588.08012820512818</v>
      </c>
      <c r="M3186" s="69">
        <v>46091</v>
      </c>
      <c r="N3186" s="43">
        <f>IF(Gastos[[#This Row],[Fecha_Cheque]]&gt;0,WEEKNUM(Gastos[[#This Row],[Fecha_Cheque]]),MID(Gastos[[#This Row],[Semana]],6,2))</f>
        <v>11</v>
      </c>
      <c r="O3186" t="s">
        <v>1939</v>
      </c>
      <c r="P3186" t="s">
        <v>27</v>
      </c>
    </row>
    <row r="3187" spans="1:16" hidden="1" x14ac:dyDescent="0.25">
      <c r="A3187" s="3" t="s">
        <v>180</v>
      </c>
      <c r="B3187" t="s">
        <v>1854</v>
      </c>
      <c r="C3187" t="s">
        <v>1867</v>
      </c>
      <c r="D3187" t="s">
        <v>26</v>
      </c>
      <c r="E3187" t="s">
        <v>62</v>
      </c>
      <c r="F3187">
        <v>2</v>
      </c>
      <c r="G3187" s="3" t="s">
        <v>32</v>
      </c>
      <c r="H3187" s="46" t="s">
        <v>15</v>
      </c>
      <c r="I3187" s="17">
        <v>1100000</v>
      </c>
      <c r="J3187" s="17">
        <f>IF(Gastos[[#This Row],[Divisa]]="$", I3187*1, IF(Gastos[[#This Row],[Divisa]]="U$D", I3187*$N$1, IF(Gastos[[#This Row],[Divisa]]="EUR", I3187*$N$2, 0)))</f>
        <v>1100000</v>
      </c>
      <c r="K3187" s="54">
        <f>Gastos[[#This Row],[Importe AR$]]/$N$1</f>
        <v>705.12820512820508</v>
      </c>
      <c r="M3187" s="69">
        <v>46079</v>
      </c>
      <c r="N3187" s="43">
        <f>IF(Gastos[[#This Row],[Fecha_Cheque]]&gt;0,WEEKNUM(Gastos[[#This Row],[Fecha_Cheque]]),MID(Gastos[[#This Row],[Semana]],6,2))</f>
        <v>9</v>
      </c>
      <c r="O3187" t="s">
        <v>1939</v>
      </c>
      <c r="P3187" t="s">
        <v>27</v>
      </c>
    </row>
    <row r="3188" spans="1:16" hidden="1" x14ac:dyDescent="0.25">
      <c r="A3188" s="3" t="s">
        <v>180</v>
      </c>
      <c r="B3188" t="s">
        <v>1854</v>
      </c>
      <c r="C3188" t="s">
        <v>1867</v>
      </c>
      <c r="D3188" t="s">
        <v>26</v>
      </c>
      <c r="E3188" t="s">
        <v>62</v>
      </c>
      <c r="F3188">
        <v>2</v>
      </c>
      <c r="G3188" s="3" t="s">
        <v>32</v>
      </c>
      <c r="H3188" s="46" t="s">
        <v>15</v>
      </c>
      <c r="I3188" s="17">
        <v>7610.99</v>
      </c>
      <c r="J3188" s="17">
        <f>IF(Gastos[[#This Row],[Divisa]]="$", I3188*1, IF(Gastos[[#This Row],[Divisa]]="U$D", I3188*$N$1, IF(Gastos[[#This Row],[Divisa]]="EUR", I3188*$N$2, 0)))</f>
        <v>7610.99</v>
      </c>
      <c r="K3188" s="54">
        <f>Gastos[[#This Row],[Importe AR$]]/$N$1</f>
        <v>4.8788397435897437</v>
      </c>
      <c r="M3188" s="69">
        <v>46071</v>
      </c>
      <c r="N3188" s="43">
        <f>IF(Gastos[[#This Row],[Fecha_Cheque]]&gt;0,WEEKNUM(Gastos[[#This Row],[Fecha_Cheque]]),MID(Gastos[[#This Row],[Semana]],6,2))</f>
        <v>8</v>
      </c>
      <c r="O3188" t="s">
        <v>1939</v>
      </c>
      <c r="P3188" t="s">
        <v>27</v>
      </c>
    </row>
    <row r="3189" spans="1:16" hidden="1" x14ac:dyDescent="0.25">
      <c r="A3189" s="3" t="s">
        <v>619</v>
      </c>
      <c r="B3189" t="s">
        <v>1854</v>
      </c>
      <c r="C3189" t="s">
        <v>1867</v>
      </c>
      <c r="D3189" t="s">
        <v>26</v>
      </c>
      <c r="E3189" t="s">
        <v>62</v>
      </c>
      <c r="F3189">
        <v>2</v>
      </c>
      <c r="G3189" s="3" t="s">
        <v>4</v>
      </c>
      <c r="H3189" s="46" t="s">
        <v>15</v>
      </c>
      <c r="I3189" s="17">
        <v>3000000</v>
      </c>
      <c r="J3189" s="17">
        <f>IF(Gastos[[#This Row],[Divisa]]="$", I3189*1, IF(Gastos[[#This Row],[Divisa]]="U$D", I3189*$N$1, IF(Gastos[[#This Row],[Divisa]]="EUR", I3189*$N$2, 0)))</f>
        <v>3000000</v>
      </c>
      <c r="K3189" s="54">
        <f>Gastos[[#This Row],[Importe AR$]]/$N$1</f>
        <v>1923.0769230769231</v>
      </c>
      <c r="M3189" s="69"/>
      <c r="N3189" s="43" t="str">
        <f>IF(Gastos[[#This Row],[Fecha_Cheque]]&gt;0,WEEKNUM(Gastos[[#This Row],[Fecha_Cheque]]),MID(Gastos[[#This Row],[Semana]],6,2))</f>
        <v>10</v>
      </c>
      <c r="O3189" t="s">
        <v>2311</v>
      </c>
      <c r="P3189" t="s">
        <v>27</v>
      </c>
    </row>
    <row r="3190" spans="1:16" hidden="1" x14ac:dyDescent="0.25">
      <c r="A3190" s="3" t="s">
        <v>397</v>
      </c>
      <c r="B3190" t="s">
        <v>1854</v>
      </c>
      <c r="C3190" t="s">
        <v>2623</v>
      </c>
      <c r="D3190" t="s">
        <v>26</v>
      </c>
      <c r="E3190" t="s">
        <v>62</v>
      </c>
      <c r="F3190">
        <v>2</v>
      </c>
      <c r="G3190" s="3" t="s">
        <v>4</v>
      </c>
      <c r="H3190" s="44" t="s">
        <v>15</v>
      </c>
      <c r="I3190" s="17">
        <v>2074640</v>
      </c>
      <c r="J3190" s="17">
        <f>IF(Gastos[[#This Row],[Divisa]]="$", I3190*1, IF(Gastos[[#This Row],[Divisa]]="U$D", I3190*$N$1, IF(Gastos[[#This Row],[Divisa]]="EUR", I3190*$N$2, 0)))</f>
        <v>2074640</v>
      </c>
      <c r="K3190" s="54">
        <f>Gastos[[#This Row],[Importe AR$]]/$N$1</f>
        <v>1329.8974358974358</v>
      </c>
      <c r="M3190" s="69"/>
      <c r="N3190" s="43" t="str">
        <f>IF(Gastos[[#This Row],[Fecha_Cheque]]&gt;0,WEEKNUM(Gastos[[#This Row],[Fecha_Cheque]]),MID(Gastos[[#This Row],[Semana]],6,2))</f>
        <v>11</v>
      </c>
      <c r="O3190" t="s">
        <v>2624</v>
      </c>
      <c r="P3190" t="s">
        <v>27</v>
      </c>
    </row>
    <row r="3191" spans="1:16" hidden="1" x14ac:dyDescent="0.25">
      <c r="A3191" s="3" t="s">
        <v>397</v>
      </c>
      <c r="B3191" t="s">
        <v>1854</v>
      </c>
      <c r="C3191" t="s">
        <v>2623</v>
      </c>
      <c r="D3191" t="s">
        <v>26</v>
      </c>
      <c r="E3191" t="s">
        <v>62</v>
      </c>
      <c r="F3191">
        <v>2</v>
      </c>
      <c r="G3191" s="3" t="s">
        <v>4</v>
      </c>
      <c r="H3191" s="44" t="s">
        <v>15</v>
      </c>
      <c r="I3191" s="17">
        <v>1000000</v>
      </c>
      <c r="J3191" s="17">
        <f>IF(Gastos[[#This Row],[Divisa]]="$", I3191*1, IF(Gastos[[#This Row],[Divisa]]="U$D", I3191*$N$1, IF(Gastos[[#This Row],[Divisa]]="EUR", I3191*$N$2, 0)))</f>
        <v>1000000</v>
      </c>
      <c r="K3191" s="54">
        <f>Gastos[[#This Row],[Importe AR$]]/$N$1</f>
        <v>641.02564102564099</v>
      </c>
      <c r="M3191" s="69"/>
      <c r="N3191" s="43" t="str">
        <f>IF(Gastos[[#This Row],[Fecha_Cheque]]&gt;0,WEEKNUM(Gastos[[#This Row],[Fecha_Cheque]]),MID(Gastos[[#This Row],[Semana]],6,2))</f>
        <v>11</v>
      </c>
      <c r="O3191" t="s">
        <v>2625</v>
      </c>
      <c r="P3191" t="s">
        <v>27</v>
      </c>
    </row>
    <row r="3192" spans="1:16" hidden="1" x14ac:dyDescent="0.25">
      <c r="A3192" s="3" t="s">
        <v>39</v>
      </c>
      <c r="B3192" t="s">
        <v>1854</v>
      </c>
      <c r="C3192" t="s">
        <v>2667</v>
      </c>
      <c r="D3192" t="s">
        <v>26</v>
      </c>
      <c r="E3192" t="s">
        <v>42</v>
      </c>
      <c r="F3192">
        <v>2</v>
      </c>
      <c r="G3192" s="3" t="s">
        <v>4</v>
      </c>
      <c r="H3192" s="44" t="s">
        <v>15</v>
      </c>
      <c r="I3192" s="17">
        <v>8000000</v>
      </c>
      <c r="J3192" s="17">
        <f>IF(Gastos[[#This Row],[Divisa]]="$", I3192*1, IF(Gastos[[#This Row],[Divisa]]="U$D", I3192*$N$1, IF(Gastos[[#This Row],[Divisa]]="EUR", I3192*$N$2, 0)))</f>
        <v>8000000</v>
      </c>
      <c r="K3192" s="54">
        <f>Gastos[[#This Row],[Importe AR$]]/$N$1</f>
        <v>5128.2051282051279</v>
      </c>
      <c r="M3192" s="69"/>
      <c r="N3192" s="43" t="str">
        <f>IF(Gastos[[#This Row],[Fecha_Cheque]]&gt;0,WEEKNUM(Gastos[[#This Row],[Fecha_Cheque]]),MID(Gastos[[#This Row],[Semana]],6,2))</f>
        <v>14</v>
      </c>
      <c r="O3192" t="s">
        <v>2668</v>
      </c>
      <c r="P3192" t="s">
        <v>27</v>
      </c>
    </row>
    <row r="3193" spans="1:16" hidden="1" x14ac:dyDescent="0.25">
      <c r="A3193" s="3" t="s">
        <v>332</v>
      </c>
      <c r="B3193" t="s">
        <v>1854</v>
      </c>
      <c r="C3193" t="s">
        <v>1871</v>
      </c>
      <c r="D3193" t="s">
        <v>26</v>
      </c>
      <c r="E3193" t="s">
        <v>42</v>
      </c>
      <c r="F3193">
        <v>2</v>
      </c>
      <c r="G3193" s="3" t="s">
        <v>4</v>
      </c>
      <c r="H3193" s="44" t="s">
        <v>15</v>
      </c>
      <c r="I3193" s="17">
        <v>2136290.54</v>
      </c>
      <c r="J3193" s="17">
        <f>IF(Gastos[[#This Row],[Divisa]]="$", I3193*1, IF(Gastos[[#This Row],[Divisa]]="U$D", I3193*$N$1, IF(Gastos[[#This Row],[Divisa]]="EUR", I3193*$N$2, 0)))</f>
        <v>2136290.54</v>
      </c>
      <c r="K3193" s="54">
        <f>Gastos[[#This Row],[Importe AR$]]/$N$1</f>
        <v>1369.4170128205128</v>
      </c>
      <c r="M3193" s="69"/>
      <c r="N3193" s="43" t="str">
        <f>IF(Gastos[[#This Row],[Fecha_Cheque]]&gt;0,WEEKNUM(Gastos[[#This Row],[Fecha_Cheque]]),MID(Gastos[[#This Row],[Semana]],6,2))</f>
        <v>12</v>
      </c>
      <c r="O3193" t="s">
        <v>2678</v>
      </c>
      <c r="P3193" t="s">
        <v>27</v>
      </c>
    </row>
    <row r="3194" spans="1:16" hidden="1" x14ac:dyDescent="0.25">
      <c r="A3194" s="3" t="s">
        <v>332</v>
      </c>
      <c r="B3194" t="s">
        <v>1854</v>
      </c>
      <c r="C3194" t="s">
        <v>1871</v>
      </c>
      <c r="D3194" t="s">
        <v>26</v>
      </c>
      <c r="E3194" t="s">
        <v>42</v>
      </c>
      <c r="F3194">
        <v>2</v>
      </c>
      <c r="G3194" s="3" t="s">
        <v>4</v>
      </c>
      <c r="H3194" s="44" t="s">
        <v>15</v>
      </c>
      <c r="I3194" s="17">
        <v>313867.46000000002</v>
      </c>
      <c r="J3194" s="17">
        <f>IF(Gastos[[#This Row],[Divisa]]="$", I3194*1, IF(Gastos[[#This Row],[Divisa]]="U$D", I3194*$N$1, IF(Gastos[[#This Row],[Divisa]]="EUR", I3194*$N$2, 0)))</f>
        <v>313867.46000000002</v>
      </c>
      <c r="K3194" s="54">
        <f>Gastos[[#This Row],[Importe AR$]]/$N$1</f>
        <v>201.19708974358977</v>
      </c>
      <c r="M3194" s="69">
        <v>46119</v>
      </c>
      <c r="N3194" s="43">
        <f>IF(Gastos[[#This Row],[Fecha_Cheque]]&gt;0,WEEKNUM(Gastos[[#This Row],[Fecha_Cheque]]),MID(Gastos[[#This Row],[Semana]],6,2))</f>
        <v>15</v>
      </c>
      <c r="O3194" t="s">
        <v>2678</v>
      </c>
      <c r="P3194" t="s">
        <v>27</v>
      </c>
    </row>
    <row r="3195" spans="1:16" hidden="1" x14ac:dyDescent="0.25">
      <c r="A3195" s="3" t="s">
        <v>332</v>
      </c>
      <c r="B3195" t="s">
        <v>1854</v>
      </c>
      <c r="C3195" t="s">
        <v>1871</v>
      </c>
      <c r="D3195" t="s">
        <v>26</v>
      </c>
      <c r="E3195" t="s">
        <v>42</v>
      </c>
      <c r="F3195">
        <v>2</v>
      </c>
      <c r="G3195" s="3" t="s">
        <v>4</v>
      </c>
      <c r="H3195" s="44" t="s">
        <v>15</v>
      </c>
      <c r="I3195" s="17">
        <v>350000</v>
      </c>
      <c r="J3195" s="17">
        <f>IF(Gastos[[#This Row],[Divisa]]="$", I3195*1, IF(Gastos[[#This Row],[Divisa]]="U$D", I3195*$N$1, IF(Gastos[[#This Row],[Divisa]]="EUR", I3195*$N$2, 0)))</f>
        <v>350000</v>
      </c>
      <c r="K3195" s="54">
        <f>Gastos[[#This Row],[Importe AR$]]/$N$1</f>
        <v>224.35897435897436</v>
      </c>
      <c r="M3195" s="69">
        <v>46108</v>
      </c>
      <c r="N3195" s="43">
        <f>IF(Gastos[[#This Row],[Fecha_Cheque]]&gt;0,WEEKNUM(Gastos[[#This Row],[Fecha_Cheque]]),MID(Gastos[[#This Row],[Semana]],6,2))</f>
        <v>13</v>
      </c>
      <c r="O3195" t="s">
        <v>2678</v>
      </c>
      <c r="P3195" t="s">
        <v>27</v>
      </c>
    </row>
    <row r="3196" spans="1:16" hidden="1" x14ac:dyDescent="0.25">
      <c r="A3196" s="3" t="s">
        <v>332</v>
      </c>
      <c r="B3196" t="s">
        <v>1854</v>
      </c>
      <c r="C3196" t="s">
        <v>1871</v>
      </c>
      <c r="D3196" t="s">
        <v>26</v>
      </c>
      <c r="E3196" t="s">
        <v>42</v>
      </c>
      <c r="F3196">
        <v>2</v>
      </c>
      <c r="G3196" s="3" t="s">
        <v>4</v>
      </c>
      <c r="H3196" s="44" t="s">
        <v>15</v>
      </c>
      <c r="I3196" s="17">
        <v>500000</v>
      </c>
      <c r="J3196" s="17">
        <f>IF(Gastos[[#This Row],[Divisa]]="$", I3196*1, IF(Gastos[[#This Row],[Divisa]]="U$D", I3196*$N$1, IF(Gastos[[#This Row],[Divisa]]="EUR", I3196*$N$2, 0)))</f>
        <v>500000</v>
      </c>
      <c r="K3196" s="54">
        <f>Gastos[[#This Row],[Importe AR$]]/$N$1</f>
        <v>320.5128205128205</v>
      </c>
      <c r="M3196" s="69">
        <v>46108</v>
      </c>
      <c r="N3196" s="43">
        <f>IF(Gastos[[#This Row],[Fecha_Cheque]]&gt;0,WEEKNUM(Gastos[[#This Row],[Fecha_Cheque]]),MID(Gastos[[#This Row],[Semana]],6,2))</f>
        <v>13</v>
      </c>
      <c r="O3196" t="s">
        <v>2678</v>
      </c>
      <c r="P3196" t="s">
        <v>27</v>
      </c>
    </row>
    <row r="3197" spans="1:16" hidden="1" x14ac:dyDescent="0.25">
      <c r="A3197" s="3" t="s">
        <v>332</v>
      </c>
      <c r="B3197" t="s">
        <v>1854</v>
      </c>
      <c r="C3197" t="s">
        <v>1871</v>
      </c>
      <c r="D3197" t="s">
        <v>26</v>
      </c>
      <c r="E3197" t="s">
        <v>42</v>
      </c>
      <c r="F3197">
        <v>2</v>
      </c>
      <c r="G3197" s="3" t="s">
        <v>4</v>
      </c>
      <c r="H3197" s="44" t="s">
        <v>15</v>
      </c>
      <c r="I3197" s="17">
        <v>560742</v>
      </c>
      <c r="J3197" s="17">
        <f>IF(Gastos[[#This Row],[Divisa]]="$", I3197*1, IF(Gastos[[#This Row],[Divisa]]="U$D", I3197*$N$1, IF(Gastos[[#This Row],[Divisa]]="EUR", I3197*$N$2, 0)))</f>
        <v>560742</v>
      </c>
      <c r="K3197" s="54">
        <f>Gastos[[#This Row],[Importe AR$]]/$N$1</f>
        <v>359.45</v>
      </c>
      <c r="M3197" s="69">
        <v>46106</v>
      </c>
      <c r="N3197" s="43">
        <f>IF(Gastos[[#This Row],[Fecha_Cheque]]&gt;0,WEEKNUM(Gastos[[#This Row],[Fecha_Cheque]]),MID(Gastos[[#This Row],[Semana]],6,2))</f>
        <v>13</v>
      </c>
      <c r="O3197" t="s">
        <v>2678</v>
      </c>
      <c r="P3197" t="s">
        <v>27</v>
      </c>
    </row>
    <row r="3198" spans="1:16" hidden="1" x14ac:dyDescent="0.25">
      <c r="A3198" s="3" t="s">
        <v>332</v>
      </c>
      <c r="B3198" t="s">
        <v>1854</v>
      </c>
      <c r="C3198" t="s">
        <v>2684</v>
      </c>
      <c r="D3198" t="s">
        <v>26</v>
      </c>
      <c r="E3198" t="s">
        <v>42</v>
      </c>
      <c r="F3198">
        <v>2</v>
      </c>
      <c r="G3198" s="3" t="s">
        <v>4</v>
      </c>
      <c r="H3198" s="44" t="s">
        <v>15</v>
      </c>
      <c r="I3198" s="17">
        <v>2000000</v>
      </c>
      <c r="J3198" s="17">
        <f>IF(Gastos[[#This Row],[Divisa]]="$", I3198*1, IF(Gastos[[#This Row],[Divisa]]="U$D", I3198*$N$1, IF(Gastos[[#This Row],[Divisa]]="EUR", I3198*$N$2, 0)))</f>
        <v>2000000</v>
      </c>
      <c r="K3198" s="54">
        <f>Gastos[[#This Row],[Importe AR$]]/$N$1</f>
        <v>1282.051282051282</v>
      </c>
      <c r="M3198" s="69">
        <v>46122</v>
      </c>
      <c r="N3198" s="43">
        <f>IF(Gastos[[#This Row],[Fecha_Cheque]]&gt;0,WEEKNUM(Gastos[[#This Row],[Fecha_Cheque]]),MID(Gastos[[#This Row],[Semana]],6,2))</f>
        <v>15</v>
      </c>
      <c r="O3198" t="s">
        <v>2678</v>
      </c>
      <c r="P3198" t="s">
        <v>27</v>
      </c>
    </row>
    <row r="3199" spans="1:16" hidden="1" x14ac:dyDescent="0.25">
      <c r="A3199" s="3" t="s">
        <v>828</v>
      </c>
      <c r="B3199" t="s">
        <v>1854</v>
      </c>
      <c r="C3199" t="s">
        <v>1867</v>
      </c>
      <c r="D3199" t="s">
        <v>26</v>
      </c>
      <c r="E3199" t="s">
        <v>62</v>
      </c>
      <c r="F3199">
        <v>2</v>
      </c>
      <c r="G3199" s="3" t="s">
        <v>4</v>
      </c>
      <c r="H3199" s="44" t="s">
        <v>15</v>
      </c>
      <c r="I3199" s="49">
        <v>4000000</v>
      </c>
      <c r="J3199" s="17">
        <f>IF(Gastos[[#This Row],[Divisa]]="$", I3199*1, IF(Gastos[[#This Row],[Divisa]]="U$D", I3199*$N$1, IF(Gastos[[#This Row],[Divisa]]="EUR", I3199*$N$2, 0)))</f>
        <v>4000000</v>
      </c>
      <c r="K3199" s="54">
        <f>Gastos[[#This Row],[Importe AR$]]/$N$1</f>
        <v>2564.102564102564</v>
      </c>
      <c r="M3199" s="69"/>
      <c r="N3199" s="43" t="str">
        <f>IF(Gastos[[#This Row],[Fecha_Cheque]]&gt;0,WEEKNUM(Gastos[[#This Row],[Fecha_Cheque]]),MID(Gastos[[#This Row],[Semana]],6,2))</f>
        <v>13</v>
      </c>
      <c r="O3199" t="s">
        <v>2720</v>
      </c>
      <c r="P3199" t="s">
        <v>27</v>
      </c>
    </row>
    <row r="3200" spans="1:16" hidden="1" x14ac:dyDescent="0.25">
      <c r="A3200" s="3" t="s">
        <v>2711</v>
      </c>
      <c r="B3200" t="s">
        <v>1854</v>
      </c>
      <c r="C3200" t="s">
        <v>2667</v>
      </c>
      <c r="D3200" t="s">
        <v>26</v>
      </c>
      <c r="E3200" t="s">
        <v>31</v>
      </c>
      <c r="F3200">
        <v>2</v>
      </c>
      <c r="G3200" s="3" t="s">
        <v>4</v>
      </c>
      <c r="H3200" s="44" t="s">
        <v>15</v>
      </c>
      <c r="I3200" s="17">
        <v>8000000</v>
      </c>
      <c r="J3200" s="17">
        <f>IF(Gastos[[#This Row],[Divisa]]="$", I3200*1, IF(Gastos[[#This Row],[Divisa]]="U$D", I3200*$N$1, IF(Gastos[[#This Row],[Divisa]]="EUR", I3200*$N$2, 0)))</f>
        <v>8000000</v>
      </c>
      <c r="K3200" s="54">
        <f>Gastos[[#This Row],[Importe AR$]]/$N$1</f>
        <v>5128.2051282051279</v>
      </c>
      <c r="M3200" s="69"/>
      <c r="N3200" s="43" t="str">
        <f>IF(Gastos[[#This Row],[Fecha_Cheque]]&gt;0,WEEKNUM(Gastos[[#This Row],[Fecha_Cheque]]),MID(Gastos[[#This Row],[Semana]],6,2))</f>
        <v>15</v>
      </c>
      <c r="O3200" t="s">
        <v>2949</v>
      </c>
      <c r="P3200" t="s">
        <v>27</v>
      </c>
    </row>
    <row r="3201" spans="1:16" hidden="1" x14ac:dyDescent="0.25">
      <c r="A3201" s="3" t="s">
        <v>2740</v>
      </c>
      <c r="B3201" t="s">
        <v>1854</v>
      </c>
      <c r="C3201" t="s">
        <v>2667</v>
      </c>
      <c r="D3201" t="s">
        <v>26</v>
      </c>
      <c r="E3201" t="s">
        <v>42</v>
      </c>
      <c r="F3201">
        <v>2</v>
      </c>
      <c r="G3201" s="3" t="s">
        <v>4</v>
      </c>
      <c r="H3201" s="44" t="s">
        <v>15</v>
      </c>
      <c r="I3201" s="17">
        <v>8000000</v>
      </c>
      <c r="J3201" s="17">
        <f>IF(Gastos[[#This Row],[Divisa]]="$", I3201*1, IF(Gastos[[#This Row],[Divisa]]="U$D", I3201*$N$1, IF(Gastos[[#This Row],[Divisa]]="EUR", I3201*$N$2, 0)))</f>
        <v>8000000</v>
      </c>
      <c r="K3201" s="54">
        <f>Gastos[[#This Row],[Importe AR$]]/$N$1</f>
        <v>5128.2051282051279</v>
      </c>
      <c r="M3201" s="69"/>
      <c r="N3201" s="43" t="str">
        <f>IF(Gastos[[#This Row],[Fecha_Cheque]]&gt;0,WEEKNUM(Gastos[[#This Row],[Fecha_Cheque]]),MID(Gastos[[#This Row],[Semana]],6,2))</f>
        <v>16</v>
      </c>
      <c r="O3201" t="s">
        <v>3014</v>
      </c>
      <c r="P3201" t="s">
        <v>27</v>
      </c>
    </row>
    <row r="3202" spans="1:16" hidden="1" x14ac:dyDescent="0.25">
      <c r="A3202" s="3" t="s">
        <v>2731</v>
      </c>
      <c r="B3202" t="s">
        <v>1854</v>
      </c>
      <c r="C3202" t="s">
        <v>554</v>
      </c>
      <c r="D3202" t="s">
        <v>26</v>
      </c>
      <c r="E3202" t="s">
        <v>42</v>
      </c>
      <c r="F3202">
        <v>2</v>
      </c>
      <c r="G3202" s="3" t="s">
        <v>4</v>
      </c>
      <c r="H3202" s="44" t="s">
        <v>15</v>
      </c>
      <c r="I3202" s="17">
        <v>3500000</v>
      </c>
      <c r="J3202" s="17">
        <f>IF(Gastos[[#This Row],[Divisa]]="$", I3202*1, IF(Gastos[[#This Row],[Divisa]]="U$D", I3202*$N$1, IF(Gastos[[#This Row],[Divisa]]="EUR", I3202*$N$2, 0)))</f>
        <v>3500000</v>
      </c>
      <c r="K3202" s="54">
        <f>Gastos[[#This Row],[Importe AR$]]/$N$1</f>
        <v>2243.5897435897436</v>
      </c>
      <c r="M3202" s="69"/>
      <c r="N3202" s="43" t="str">
        <f>IF(Gastos[[#This Row],[Fecha_Cheque]]&gt;0,WEEKNUM(Gastos[[#This Row],[Fecha_Cheque]]),MID(Gastos[[#This Row],[Semana]],6,2))</f>
        <v>17</v>
      </c>
      <c r="O3202" t="s">
        <v>3102</v>
      </c>
      <c r="P3202" t="s">
        <v>27</v>
      </c>
    </row>
    <row r="3203" spans="1:16" hidden="1" x14ac:dyDescent="0.25">
      <c r="A3203" s="3" t="s">
        <v>2731</v>
      </c>
      <c r="B3203" t="s">
        <v>1854</v>
      </c>
      <c r="C3203" t="s">
        <v>2667</v>
      </c>
      <c r="D3203" t="s">
        <v>26</v>
      </c>
      <c r="E3203" t="s">
        <v>42</v>
      </c>
      <c r="F3203">
        <v>2</v>
      </c>
      <c r="G3203" s="3" t="s">
        <v>4</v>
      </c>
      <c r="H3203" s="44" t="s">
        <v>15</v>
      </c>
      <c r="I3203" s="17">
        <v>8000000</v>
      </c>
      <c r="J3203" s="17">
        <f>IF(Gastos[[#This Row],[Divisa]]="$", I3203*1, IF(Gastos[[#This Row],[Divisa]]="U$D", I3203*$N$1, IF(Gastos[[#This Row],[Divisa]]="EUR", I3203*$N$2, 0)))</f>
        <v>8000000</v>
      </c>
      <c r="K3203" s="54">
        <f>Gastos[[#This Row],[Importe AR$]]/$N$1</f>
        <v>5128.2051282051279</v>
      </c>
      <c r="M3203" s="69"/>
      <c r="N3203" s="43" t="str">
        <f>IF(Gastos[[#This Row],[Fecha_Cheque]]&gt;0,WEEKNUM(Gastos[[#This Row],[Fecha_Cheque]]),MID(Gastos[[#This Row],[Semana]],6,2))</f>
        <v>17</v>
      </c>
      <c r="O3203" t="s">
        <v>3103</v>
      </c>
      <c r="P3203" t="s">
        <v>27</v>
      </c>
    </row>
    <row r="3204" spans="1:16" hidden="1" x14ac:dyDescent="0.25">
      <c r="A3204" s="3" t="s">
        <v>2731</v>
      </c>
      <c r="B3204" t="s">
        <v>1854</v>
      </c>
      <c r="C3204" t="s">
        <v>2667</v>
      </c>
      <c r="D3204" t="s">
        <v>26</v>
      </c>
      <c r="E3204" t="s">
        <v>42</v>
      </c>
      <c r="F3204">
        <v>2</v>
      </c>
      <c r="G3204" s="3" t="s">
        <v>4</v>
      </c>
      <c r="H3204" s="44" t="s">
        <v>15</v>
      </c>
      <c r="I3204" s="17">
        <v>5000000</v>
      </c>
      <c r="J3204" s="17">
        <f>IF(Gastos[[#This Row],[Divisa]]="$", I3204*1, IF(Gastos[[#This Row],[Divisa]]="U$D", I3204*$N$1, IF(Gastos[[#This Row],[Divisa]]="EUR", I3204*$N$2, 0)))</f>
        <v>5000000</v>
      </c>
      <c r="K3204" s="54">
        <f>Gastos[[#This Row],[Importe AR$]]/$N$1</f>
        <v>3205.1282051282051</v>
      </c>
      <c r="M3204" s="69"/>
      <c r="N3204" s="43" t="str">
        <f>IF(Gastos[[#This Row],[Fecha_Cheque]]&gt;0,WEEKNUM(Gastos[[#This Row],[Fecha_Cheque]]),MID(Gastos[[#This Row],[Semana]],6,2))</f>
        <v>17</v>
      </c>
      <c r="O3204" t="s">
        <v>3104</v>
      </c>
      <c r="P3204" t="s">
        <v>27</v>
      </c>
    </row>
    <row r="3205" spans="1:16" hidden="1" x14ac:dyDescent="0.25">
      <c r="A3205" s="3" t="s">
        <v>2751</v>
      </c>
      <c r="B3205" t="s">
        <v>1854</v>
      </c>
      <c r="C3205" t="s">
        <v>118</v>
      </c>
      <c r="D3205" t="s">
        <v>26</v>
      </c>
      <c r="E3205" t="s">
        <v>132</v>
      </c>
      <c r="F3205">
        <v>2</v>
      </c>
      <c r="G3205" s="3" t="s">
        <v>32</v>
      </c>
      <c r="H3205" s="44" t="s">
        <v>15</v>
      </c>
      <c r="I3205" s="17">
        <v>1500000</v>
      </c>
      <c r="J3205" s="17">
        <f>IF(Gastos[[#This Row],[Divisa]]="$", I3205*1, IF(Gastos[[#This Row],[Divisa]]="U$D", I3205*$N$1, IF(Gastos[[#This Row],[Divisa]]="EUR", I3205*$N$2, 0)))</f>
        <v>1500000</v>
      </c>
      <c r="K3205" s="54">
        <f>Gastos[[#This Row],[Importe AR$]]/$N$1</f>
        <v>961.53846153846155</v>
      </c>
      <c r="M3205" s="69"/>
      <c r="N3205" s="43" t="str">
        <f>IF(Gastos[[#This Row],[Fecha_Cheque]]&gt;0,WEEKNUM(Gastos[[#This Row],[Fecha_Cheque]]),MID(Gastos[[#This Row],[Semana]],6,2))</f>
        <v>18</v>
      </c>
      <c r="O3205" t="s">
        <v>3132</v>
      </c>
      <c r="P3205" t="s">
        <v>27</v>
      </c>
    </row>
    <row r="3206" spans="1:16" hidden="1" x14ac:dyDescent="0.25">
      <c r="A3206" s="3" t="s">
        <v>2751</v>
      </c>
      <c r="B3206" t="s">
        <v>1854</v>
      </c>
      <c r="C3206" t="s">
        <v>118</v>
      </c>
      <c r="D3206" t="s">
        <v>26</v>
      </c>
      <c r="E3206" t="s">
        <v>132</v>
      </c>
      <c r="F3206">
        <v>2</v>
      </c>
      <c r="G3206" s="3" t="s">
        <v>32</v>
      </c>
      <c r="H3206" s="44" t="s">
        <v>2</v>
      </c>
      <c r="I3206" s="17">
        <v>2800</v>
      </c>
      <c r="J3206" s="17">
        <f>IF(Gastos[[#This Row],[Divisa]]="$", I3206*1, IF(Gastos[[#This Row],[Divisa]]="U$D", I3206*$N$1, IF(Gastos[[#This Row],[Divisa]]="EUR", I3206*$N$2, 0)))</f>
        <v>4368000</v>
      </c>
      <c r="K3206" s="54">
        <f>Gastos[[#This Row],[Importe AR$]]/$N$1</f>
        <v>2800</v>
      </c>
      <c r="M3206" s="69"/>
      <c r="N3206" s="43" t="str">
        <f>IF(Gastos[[#This Row],[Fecha_Cheque]]&gt;0,WEEKNUM(Gastos[[#This Row],[Fecha_Cheque]]),MID(Gastos[[#This Row],[Semana]],6,2))</f>
        <v>18</v>
      </c>
      <c r="O3206" t="s">
        <v>3133</v>
      </c>
      <c r="P3206" t="s">
        <v>27</v>
      </c>
    </row>
    <row r="3207" spans="1:16" hidden="1" x14ac:dyDescent="0.25">
      <c r="A3207" s="3" t="s">
        <v>2804</v>
      </c>
      <c r="B3207" t="s">
        <v>1854</v>
      </c>
      <c r="C3207" t="s">
        <v>1867</v>
      </c>
      <c r="D3207" t="s">
        <v>26</v>
      </c>
      <c r="E3207" t="s">
        <v>62</v>
      </c>
      <c r="F3207">
        <v>2</v>
      </c>
      <c r="G3207" s="3" t="s">
        <v>32</v>
      </c>
      <c r="H3207" s="46" t="s">
        <v>15</v>
      </c>
      <c r="I3207" s="17">
        <v>610000</v>
      </c>
      <c r="J3207" s="17">
        <f>IF(Gastos[[#This Row],[Divisa]]="$", I3207*1, IF(Gastos[[#This Row],[Divisa]]="U$D", I3207*$N$1, IF(Gastos[[#This Row],[Divisa]]="EUR", I3207*$N$2, 0)))</f>
        <v>610000</v>
      </c>
      <c r="K3207" s="54">
        <f>Gastos[[#This Row],[Importe AR$]]/$N$1</f>
        <v>391.02564102564105</v>
      </c>
      <c r="M3207" s="69">
        <v>46190</v>
      </c>
      <c r="N3207" s="43">
        <f>IF(Gastos[[#This Row],[Fecha_Cheque]]&gt;0,WEEKNUM(Gastos[[#This Row],[Fecha_Cheque]]),MID(Gastos[[#This Row],[Semana]],6,2))</f>
        <v>25</v>
      </c>
      <c r="O3207" t="s">
        <v>3168</v>
      </c>
      <c r="P3207" t="s">
        <v>27</v>
      </c>
    </row>
    <row r="3208" spans="1:16" hidden="1" x14ac:dyDescent="0.25">
      <c r="A3208" s="3" t="s">
        <v>2804</v>
      </c>
      <c r="B3208" t="s">
        <v>1854</v>
      </c>
      <c r="C3208" t="s">
        <v>1867</v>
      </c>
      <c r="D3208" t="s">
        <v>26</v>
      </c>
      <c r="E3208" t="s">
        <v>62</v>
      </c>
      <c r="F3208">
        <v>2</v>
      </c>
      <c r="G3208" s="3" t="s">
        <v>32</v>
      </c>
      <c r="H3208" s="46" t="s">
        <v>15</v>
      </c>
      <c r="I3208" s="17">
        <v>2100000</v>
      </c>
      <c r="J3208" s="17">
        <f>IF(Gastos[[#This Row],[Divisa]]="$", I3208*1, IF(Gastos[[#This Row],[Divisa]]="U$D", I3208*$N$1, IF(Gastos[[#This Row],[Divisa]]="EUR", I3208*$N$2, 0)))</f>
        <v>2100000</v>
      </c>
      <c r="K3208" s="54">
        <f>Gastos[[#This Row],[Importe AR$]]/$N$1</f>
        <v>1346.1538461538462</v>
      </c>
      <c r="M3208" s="69">
        <v>46172</v>
      </c>
      <c r="N3208" s="43">
        <f>IF(Gastos[[#This Row],[Fecha_Cheque]]&gt;0,WEEKNUM(Gastos[[#This Row],[Fecha_Cheque]]),MID(Gastos[[#This Row],[Semana]],6,2))</f>
        <v>22</v>
      </c>
      <c r="O3208" t="s">
        <v>3168</v>
      </c>
      <c r="P3208" t="s">
        <v>27</v>
      </c>
    </row>
    <row r="3209" spans="1:16" hidden="1" x14ac:dyDescent="0.25">
      <c r="A3209" s="3" t="s">
        <v>2804</v>
      </c>
      <c r="B3209" t="s">
        <v>1854</v>
      </c>
      <c r="C3209" t="s">
        <v>3172</v>
      </c>
      <c r="D3209" t="s">
        <v>26</v>
      </c>
      <c r="E3209" t="s">
        <v>42</v>
      </c>
      <c r="F3209">
        <v>2</v>
      </c>
      <c r="G3209" s="3" t="s">
        <v>4</v>
      </c>
      <c r="H3209" s="44" t="s">
        <v>2</v>
      </c>
      <c r="I3209" s="17">
        <v>3000</v>
      </c>
      <c r="J3209" s="17">
        <f>IF(Gastos[[#This Row],[Divisa]]="$", I3209*1, IF(Gastos[[#This Row],[Divisa]]="U$D", I3209*$N$1, IF(Gastos[[#This Row],[Divisa]]="EUR", I3209*$N$2, 0)))</f>
        <v>4680000</v>
      </c>
      <c r="K3209" s="54">
        <f>Gastos[[#This Row],[Importe AR$]]/$N$1</f>
        <v>3000</v>
      </c>
      <c r="M3209" s="69"/>
      <c r="N3209" s="43" t="str">
        <f>IF(Gastos[[#This Row],[Fecha_Cheque]]&gt;0,WEEKNUM(Gastos[[#This Row],[Fecha_Cheque]]),MID(Gastos[[#This Row],[Semana]],6,2))</f>
        <v>19</v>
      </c>
      <c r="O3209" t="s">
        <v>3173</v>
      </c>
      <c r="P3209" t="s">
        <v>27</v>
      </c>
    </row>
    <row r="3210" spans="1:16" hidden="1" x14ac:dyDescent="0.25">
      <c r="A3210" s="3" t="s">
        <v>2773</v>
      </c>
      <c r="B3210" t="s">
        <v>1854</v>
      </c>
      <c r="C3210" t="s">
        <v>1867</v>
      </c>
      <c r="D3210" t="s">
        <v>26</v>
      </c>
      <c r="E3210" t="s">
        <v>62</v>
      </c>
      <c r="F3210">
        <v>2</v>
      </c>
      <c r="G3210" s="3" t="s">
        <v>32</v>
      </c>
      <c r="H3210" s="46" t="s">
        <v>15</v>
      </c>
      <c r="I3210" s="17">
        <v>600000</v>
      </c>
      <c r="J3210" s="17">
        <f>IF(Gastos[[#This Row],[Divisa]]="$", I3210*1, IF(Gastos[[#This Row],[Divisa]]="U$D", I3210*$N$1, IF(Gastos[[#This Row],[Divisa]]="EUR", I3210*$N$2, 0)))</f>
        <v>600000</v>
      </c>
      <c r="K3210" s="54">
        <f>Gastos[[#This Row],[Importe AR$]]/$N$1</f>
        <v>384.61538461538464</v>
      </c>
      <c r="M3210" s="69"/>
      <c r="N3210" s="43" t="str">
        <f>IF(Gastos[[#This Row],[Fecha_Cheque]]&gt;0,WEEKNUM(Gastos[[#This Row],[Fecha_Cheque]]),MID(Gastos[[#This Row],[Semana]],6,2))</f>
        <v>20</v>
      </c>
      <c r="O3210" t="s">
        <v>3215</v>
      </c>
      <c r="P3210" t="s">
        <v>27</v>
      </c>
    </row>
    <row r="3211" spans="1:16" hidden="1" x14ac:dyDescent="0.25">
      <c r="A3211" s="3" t="s">
        <v>2773</v>
      </c>
      <c r="B3211" t="s">
        <v>1854</v>
      </c>
      <c r="C3211" t="s">
        <v>1867</v>
      </c>
      <c r="D3211" t="s">
        <v>26</v>
      </c>
      <c r="E3211" t="s">
        <v>62</v>
      </c>
      <c r="F3211">
        <v>2</v>
      </c>
      <c r="G3211" s="3" t="s">
        <v>32</v>
      </c>
      <c r="H3211" s="46" t="s">
        <v>15</v>
      </c>
      <c r="I3211" s="17">
        <v>610000</v>
      </c>
      <c r="J3211" s="17">
        <f>IF(Gastos[[#This Row],[Divisa]]="$", I3211*1, IF(Gastos[[#This Row],[Divisa]]="U$D", I3211*$N$1, IF(Gastos[[#This Row],[Divisa]]="EUR", I3211*$N$2, 0)))</f>
        <v>610000</v>
      </c>
      <c r="K3211" s="54">
        <f>Gastos[[#This Row],[Importe AR$]]/$N$1</f>
        <v>391.02564102564105</v>
      </c>
      <c r="M3211" s="69"/>
      <c r="N3211" s="43" t="str">
        <f>IF(Gastos[[#This Row],[Fecha_Cheque]]&gt;0,WEEKNUM(Gastos[[#This Row],[Fecha_Cheque]]),MID(Gastos[[#This Row],[Semana]],6,2))</f>
        <v>20</v>
      </c>
      <c r="O3211" t="s">
        <v>3215</v>
      </c>
      <c r="P3211" t="s">
        <v>27</v>
      </c>
    </row>
    <row r="3212" spans="1:16" hidden="1" x14ac:dyDescent="0.25">
      <c r="A3212" s="3" t="s">
        <v>2773</v>
      </c>
      <c r="B3212" t="s">
        <v>1854</v>
      </c>
      <c r="C3212" t="s">
        <v>1867</v>
      </c>
      <c r="D3212" t="s">
        <v>26</v>
      </c>
      <c r="E3212" t="s">
        <v>62</v>
      </c>
      <c r="F3212">
        <v>2</v>
      </c>
      <c r="G3212" s="3" t="s">
        <v>32</v>
      </c>
      <c r="H3212" s="46" t="s">
        <v>15</v>
      </c>
      <c r="I3212" s="17">
        <v>2600000</v>
      </c>
      <c r="J3212" s="17">
        <f>IF(Gastos[[#This Row],[Divisa]]="$", I3212*1, IF(Gastos[[#This Row],[Divisa]]="U$D", I3212*$N$1, IF(Gastos[[#This Row],[Divisa]]="EUR", I3212*$N$2, 0)))</f>
        <v>2600000</v>
      </c>
      <c r="K3212" s="54">
        <f>Gastos[[#This Row],[Importe AR$]]/$N$1</f>
        <v>1666.6666666666667</v>
      </c>
      <c r="M3212" s="69"/>
      <c r="N3212" s="43" t="str">
        <f>IF(Gastos[[#This Row],[Fecha_Cheque]]&gt;0,WEEKNUM(Gastos[[#This Row],[Fecha_Cheque]]),MID(Gastos[[#This Row],[Semana]],6,2))</f>
        <v>20</v>
      </c>
      <c r="O3212" t="s">
        <v>3215</v>
      </c>
      <c r="P3212" t="s">
        <v>27</v>
      </c>
    </row>
    <row r="3213" spans="1:16" hidden="1" x14ac:dyDescent="0.25">
      <c r="A3213" s="3" t="s">
        <v>2773</v>
      </c>
      <c r="B3213" t="s">
        <v>1854</v>
      </c>
      <c r="C3213" t="s">
        <v>2667</v>
      </c>
      <c r="D3213" t="s">
        <v>26</v>
      </c>
      <c r="E3213" t="s">
        <v>132</v>
      </c>
      <c r="F3213">
        <v>2</v>
      </c>
      <c r="G3213" s="3" t="s">
        <v>4</v>
      </c>
      <c r="H3213" s="44" t="s">
        <v>2</v>
      </c>
      <c r="I3213" s="17">
        <v>500</v>
      </c>
      <c r="J3213" s="17">
        <f>IF(Gastos[[#This Row],[Divisa]]="$", I3213*1, IF(Gastos[[#This Row],[Divisa]]="U$D", I3213*$N$1, IF(Gastos[[#This Row],[Divisa]]="EUR", I3213*$N$2, 0)))</f>
        <v>780000</v>
      </c>
      <c r="K3213" s="54">
        <f>Gastos[[#This Row],[Importe AR$]]/$N$1</f>
        <v>500</v>
      </c>
      <c r="M3213" s="69"/>
      <c r="N3213" s="43" t="str">
        <f>IF(Gastos[[#This Row],[Fecha_Cheque]]&gt;0,WEEKNUM(Gastos[[#This Row],[Fecha_Cheque]]),MID(Gastos[[#This Row],[Semana]],6,2))</f>
        <v>20</v>
      </c>
      <c r="O3213" t="s">
        <v>3216</v>
      </c>
      <c r="P3213" t="s">
        <v>27</v>
      </c>
    </row>
    <row r="3214" spans="1:16" hidden="1" x14ac:dyDescent="0.25">
      <c r="A3214" s="3" t="s">
        <v>2792</v>
      </c>
      <c r="B3214" t="s">
        <v>1854</v>
      </c>
      <c r="C3214" t="s">
        <v>118</v>
      </c>
      <c r="D3214" t="s">
        <v>26</v>
      </c>
      <c r="E3214" t="s">
        <v>132</v>
      </c>
      <c r="F3214">
        <v>2</v>
      </c>
      <c r="G3214" s="3" t="s">
        <v>32</v>
      </c>
      <c r="H3214" s="44" t="s">
        <v>15</v>
      </c>
      <c r="I3214" s="17">
        <v>112896</v>
      </c>
      <c r="J3214" s="17">
        <f>IF(Gastos[[#This Row],[Divisa]]="$", I3214*1, IF(Gastos[[#This Row],[Divisa]]="U$D", I3214*$N$1, IF(Gastos[[#This Row],[Divisa]]="EUR", I3214*$N$2, 0)))</f>
        <v>112896</v>
      </c>
      <c r="K3214" s="54">
        <f>Gastos[[#This Row],[Importe AR$]]/$N$1</f>
        <v>72.369230769230768</v>
      </c>
      <c r="M3214" s="69">
        <v>46179</v>
      </c>
      <c r="N3214" s="43">
        <f>IF(Gastos[[#This Row],[Fecha_Cheque]]&gt;0,WEEKNUM(Gastos[[#This Row],[Fecha_Cheque]]),MID(Gastos[[#This Row],[Semana]],6,2))</f>
        <v>23</v>
      </c>
      <c r="O3214" t="s">
        <v>3245</v>
      </c>
      <c r="P3214" t="s">
        <v>27</v>
      </c>
    </row>
    <row r="3215" spans="1:16" hidden="1" x14ac:dyDescent="0.25">
      <c r="A3215" s="3" t="s">
        <v>2792</v>
      </c>
      <c r="B3215" t="s">
        <v>1854</v>
      </c>
      <c r="C3215" t="s">
        <v>118</v>
      </c>
      <c r="D3215" t="s">
        <v>26</v>
      </c>
      <c r="E3215" t="s">
        <v>132</v>
      </c>
      <c r="F3215">
        <v>2</v>
      </c>
      <c r="G3215" s="3" t="s">
        <v>32</v>
      </c>
      <c r="H3215" s="44" t="s">
        <v>15</v>
      </c>
      <c r="I3215" s="17">
        <v>167890</v>
      </c>
      <c r="J3215" s="17">
        <f>IF(Gastos[[#This Row],[Divisa]]="$", I3215*1, IF(Gastos[[#This Row],[Divisa]]="U$D", I3215*$N$1, IF(Gastos[[#This Row],[Divisa]]="EUR", I3215*$N$2, 0)))</f>
        <v>167890</v>
      </c>
      <c r="K3215" s="54">
        <f>Gastos[[#This Row],[Importe AR$]]/$N$1</f>
        <v>107.62179487179488</v>
      </c>
      <c r="M3215" s="69">
        <v>46172</v>
      </c>
      <c r="N3215" s="43">
        <f>IF(Gastos[[#This Row],[Fecha_Cheque]]&gt;0,WEEKNUM(Gastos[[#This Row],[Fecha_Cheque]]),MID(Gastos[[#This Row],[Semana]],6,2))</f>
        <v>22</v>
      </c>
      <c r="O3215" t="s">
        <v>3245</v>
      </c>
      <c r="P3215" t="s">
        <v>27</v>
      </c>
    </row>
    <row r="3216" spans="1:16" hidden="1" x14ac:dyDescent="0.25">
      <c r="A3216" s="3" t="s">
        <v>2792</v>
      </c>
      <c r="B3216" t="s">
        <v>1854</v>
      </c>
      <c r="C3216" t="s">
        <v>118</v>
      </c>
      <c r="D3216" t="s">
        <v>26</v>
      </c>
      <c r="E3216" t="s">
        <v>132</v>
      </c>
      <c r="F3216">
        <v>2</v>
      </c>
      <c r="G3216" s="3" t="s">
        <v>32</v>
      </c>
      <c r="H3216" s="44" t="s">
        <v>15</v>
      </c>
      <c r="I3216" s="17">
        <v>267235</v>
      </c>
      <c r="J3216" s="17">
        <f>IF(Gastos[[#This Row],[Divisa]]="$", I3216*1, IF(Gastos[[#This Row],[Divisa]]="U$D", I3216*$N$1, IF(Gastos[[#This Row],[Divisa]]="EUR", I3216*$N$2, 0)))</f>
        <v>267235</v>
      </c>
      <c r="K3216" s="54">
        <f>Gastos[[#This Row],[Importe AR$]]/$N$1</f>
        <v>171.30448717948718</v>
      </c>
      <c r="M3216" s="69">
        <v>46167</v>
      </c>
      <c r="N3216" s="43">
        <f>IF(Gastos[[#This Row],[Fecha_Cheque]]&gt;0,WEEKNUM(Gastos[[#This Row],[Fecha_Cheque]]),MID(Gastos[[#This Row],[Semana]],6,2))</f>
        <v>22</v>
      </c>
      <c r="O3216" t="s">
        <v>3245</v>
      </c>
      <c r="P3216" t="s">
        <v>27</v>
      </c>
    </row>
    <row r="3217" spans="1:16" hidden="1" x14ac:dyDescent="0.25">
      <c r="A3217" s="3" t="s">
        <v>2792</v>
      </c>
      <c r="B3217" t="s">
        <v>1854</v>
      </c>
      <c r="C3217" t="s">
        <v>118</v>
      </c>
      <c r="D3217" t="s">
        <v>26</v>
      </c>
      <c r="E3217" t="s">
        <v>132</v>
      </c>
      <c r="F3217">
        <v>2</v>
      </c>
      <c r="G3217" s="3" t="s">
        <v>32</v>
      </c>
      <c r="H3217" s="44" t="s">
        <v>15</v>
      </c>
      <c r="I3217" s="17">
        <v>288325</v>
      </c>
      <c r="J3217" s="17">
        <f>IF(Gastos[[#This Row],[Divisa]]="$", I3217*1, IF(Gastos[[#This Row],[Divisa]]="U$D", I3217*$N$1, IF(Gastos[[#This Row],[Divisa]]="EUR", I3217*$N$2, 0)))</f>
        <v>288325</v>
      </c>
      <c r="K3217" s="54">
        <f>Gastos[[#This Row],[Importe AR$]]/$N$1</f>
        <v>184.82371794871796</v>
      </c>
      <c r="M3217" s="69">
        <v>46166</v>
      </c>
      <c r="N3217" s="43">
        <f>IF(Gastos[[#This Row],[Fecha_Cheque]]&gt;0,WEEKNUM(Gastos[[#This Row],[Fecha_Cheque]]),MID(Gastos[[#This Row],[Semana]],6,2))</f>
        <v>22</v>
      </c>
      <c r="O3217" t="s">
        <v>3245</v>
      </c>
      <c r="P3217" t="s">
        <v>27</v>
      </c>
    </row>
    <row r="3218" spans="1:16" hidden="1" x14ac:dyDescent="0.25">
      <c r="A3218" s="3" t="s">
        <v>2792</v>
      </c>
      <c r="B3218" t="s">
        <v>1854</v>
      </c>
      <c r="C3218" t="s">
        <v>118</v>
      </c>
      <c r="D3218" t="s">
        <v>26</v>
      </c>
      <c r="E3218" t="s">
        <v>132</v>
      </c>
      <c r="F3218">
        <v>2</v>
      </c>
      <c r="G3218" s="3" t="s">
        <v>32</v>
      </c>
      <c r="H3218" s="44" t="s">
        <v>15</v>
      </c>
      <c r="I3218" s="17">
        <v>314776</v>
      </c>
      <c r="J3218" s="17">
        <f>IF(Gastos[[#This Row],[Divisa]]="$", I3218*1, IF(Gastos[[#This Row],[Divisa]]="U$D", I3218*$N$1, IF(Gastos[[#This Row],[Divisa]]="EUR", I3218*$N$2, 0)))</f>
        <v>314776</v>
      </c>
      <c r="K3218" s="54">
        <f>Gastos[[#This Row],[Importe AR$]]/$N$1</f>
        <v>201.77948717948718</v>
      </c>
      <c r="M3218" s="69">
        <v>46170</v>
      </c>
      <c r="N3218" s="43">
        <f>IF(Gastos[[#This Row],[Fecha_Cheque]]&gt;0,WEEKNUM(Gastos[[#This Row],[Fecha_Cheque]]),MID(Gastos[[#This Row],[Semana]],6,2))</f>
        <v>22</v>
      </c>
      <c r="O3218" t="s">
        <v>3245</v>
      </c>
      <c r="P3218" t="s">
        <v>27</v>
      </c>
    </row>
    <row r="3219" spans="1:16" hidden="1" x14ac:dyDescent="0.25">
      <c r="A3219" s="3" t="s">
        <v>2792</v>
      </c>
      <c r="B3219" t="s">
        <v>1854</v>
      </c>
      <c r="C3219" t="s">
        <v>118</v>
      </c>
      <c r="D3219" t="s">
        <v>26</v>
      </c>
      <c r="E3219" t="s">
        <v>132</v>
      </c>
      <c r="F3219">
        <v>2</v>
      </c>
      <c r="G3219" s="3" t="s">
        <v>32</v>
      </c>
      <c r="H3219" s="44" t="s">
        <v>15</v>
      </c>
      <c r="I3219" s="17">
        <v>1000000</v>
      </c>
      <c r="J3219" s="17">
        <f>IF(Gastos[[#This Row],[Divisa]]="$", I3219*1, IF(Gastos[[#This Row],[Divisa]]="U$D", I3219*$N$1, IF(Gastos[[#This Row],[Divisa]]="EUR", I3219*$N$2, 0)))</f>
        <v>1000000</v>
      </c>
      <c r="K3219" s="54">
        <f>Gastos[[#This Row],[Importe AR$]]/$N$1</f>
        <v>641.02564102564099</v>
      </c>
      <c r="M3219" s="69">
        <v>46162</v>
      </c>
      <c r="N3219" s="43">
        <f>IF(Gastos[[#This Row],[Fecha_Cheque]]&gt;0,WEEKNUM(Gastos[[#This Row],[Fecha_Cheque]]),MID(Gastos[[#This Row],[Semana]],6,2))</f>
        <v>21</v>
      </c>
      <c r="O3219" t="s">
        <v>3245</v>
      </c>
      <c r="P3219" t="s">
        <v>27</v>
      </c>
    </row>
    <row r="3220" spans="1:16" hidden="1" x14ac:dyDescent="0.25">
      <c r="A3220" s="3" t="s">
        <v>2792</v>
      </c>
      <c r="B3220" t="s">
        <v>1854</v>
      </c>
      <c r="C3220" t="s">
        <v>118</v>
      </c>
      <c r="D3220" t="s">
        <v>26</v>
      </c>
      <c r="E3220" t="s">
        <v>132</v>
      </c>
      <c r="F3220">
        <v>2</v>
      </c>
      <c r="G3220" s="3" t="s">
        <v>32</v>
      </c>
      <c r="H3220" s="44" t="s">
        <v>15</v>
      </c>
      <c r="I3220" s="17">
        <v>1214000</v>
      </c>
      <c r="J3220" s="17">
        <f>IF(Gastos[[#This Row],[Divisa]]="$", I3220*1, IF(Gastos[[#This Row],[Divisa]]="U$D", I3220*$N$1, IF(Gastos[[#This Row],[Divisa]]="EUR", I3220*$N$2, 0)))</f>
        <v>1214000</v>
      </c>
      <c r="K3220" s="54">
        <f>Gastos[[#This Row],[Importe AR$]]/$N$1</f>
        <v>778.20512820512818</v>
      </c>
      <c r="M3220" s="69">
        <v>46193</v>
      </c>
      <c r="N3220" s="43">
        <f>IF(Gastos[[#This Row],[Fecha_Cheque]]&gt;0,WEEKNUM(Gastos[[#This Row],[Fecha_Cheque]]),MID(Gastos[[#This Row],[Semana]],6,2))</f>
        <v>25</v>
      </c>
      <c r="O3220" t="s">
        <v>3245</v>
      </c>
      <c r="P3220" t="s">
        <v>27</v>
      </c>
    </row>
    <row r="3221" spans="1:16" hidden="1" x14ac:dyDescent="0.25">
      <c r="A3221" s="3" t="s">
        <v>2792</v>
      </c>
      <c r="B3221" t="s">
        <v>1854</v>
      </c>
      <c r="C3221" t="s">
        <v>118</v>
      </c>
      <c r="D3221" t="s">
        <v>26</v>
      </c>
      <c r="E3221" t="s">
        <v>132</v>
      </c>
      <c r="F3221">
        <v>2</v>
      </c>
      <c r="G3221" s="3" t="s">
        <v>32</v>
      </c>
      <c r="H3221" s="44" t="s">
        <v>15</v>
      </c>
      <c r="I3221" s="17">
        <v>1214000</v>
      </c>
      <c r="J3221" s="17">
        <f>IF(Gastos[[#This Row],[Divisa]]="$", I3221*1, IF(Gastos[[#This Row],[Divisa]]="U$D", I3221*$N$1, IF(Gastos[[#This Row],[Divisa]]="EUR", I3221*$N$2, 0)))</f>
        <v>1214000</v>
      </c>
      <c r="K3221" s="54">
        <f>Gastos[[#This Row],[Importe AR$]]/$N$1</f>
        <v>778.20512820512818</v>
      </c>
      <c r="M3221" s="69">
        <v>46199</v>
      </c>
      <c r="N3221" s="43">
        <f>IF(Gastos[[#This Row],[Fecha_Cheque]]&gt;0,WEEKNUM(Gastos[[#This Row],[Fecha_Cheque]]),MID(Gastos[[#This Row],[Semana]],6,2))</f>
        <v>26</v>
      </c>
      <c r="O3221" t="s">
        <v>3245</v>
      </c>
      <c r="P3221" t="s">
        <v>27</v>
      </c>
    </row>
    <row r="3222" spans="1:16" hidden="1" x14ac:dyDescent="0.25">
      <c r="A3222" s="3" t="s">
        <v>2792</v>
      </c>
      <c r="B3222" t="s">
        <v>1854</v>
      </c>
      <c r="C3222" t="s">
        <v>118</v>
      </c>
      <c r="D3222" t="s">
        <v>26</v>
      </c>
      <c r="E3222" t="s">
        <v>132</v>
      </c>
      <c r="F3222">
        <v>2</v>
      </c>
      <c r="G3222" s="3" t="s">
        <v>32</v>
      </c>
      <c r="H3222" s="44" t="s">
        <v>15</v>
      </c>
      <c r="I3222" s="17">
        <v>1330337</v>
      </c>
      <c r="J3222" s="17">
        <f>IF(Gastos[[#This Row],[Divisa]]="$", I3222*1, IF(Gastos[[#This Row],[Divisa]]="U$D", I3222*$N$1, IF(Gastos[[#This Row],[Divisa]]="EUR", I3222*$N$2, 0)))</f>
        <v>1330337</v>
      </c>
      <c r="K3222" s="54">
        <f>Gastos[[#This Row],[Importe AR$]]/$N$1</f>
        <v>852.78012820512822</v>
      </c>
      <c r="M3222" s="69">
        <v>46203</v>
      </c>
      <c r="N3222" s="43">
        <f>IF(Gastos[[#This Row],[Fecha_Cheque]]&gt;0,WEEKNUM(Gastos[[#This Row],[Fecha_Cheque]]),MID(Gastos[[#This Row],[Semana]],6,2))</f>
        <v>27</v>
      </c>
      <c r="O3222" t="s">
        <v>2793</v>
      </c>
      <c r="P3222" t="s">
        <v>27</v>
      </c>
    </row>
    <row r="3223" spans="1:16" hidden="1" x14ac:dyDescent="0.25">
      <c r="A3223" s="3" t="s">
        <v>2841</v>
      </c>
      <c r="B3223" t="s">
        <v>1854</v>
      </c>
      <c r="C3223" t="s">
        <v>3285</v>
      </c>
      <c r="D3223" t="s">
        <v>26</v>
      </c>
      <c r="E3223" t="s">
        <v>62</v>
      </c>
      <c r="F3223">
        <v>2</v>
      </c>
      <c r="G3223" s="3" t="s">
        <v>32</v>
      </c>
      <c r="H3223" s="44" t="s">
        <v>15</v>
      </c>
      <c r="I3223" s="17">
        <v>100000</v>
      </c>
      <c r="J3223" s="17">
        <f>IF(Gastos[[#This Row],[Divisa]]="$", I3223*1, IF(Gastos[[#This Row],[Divisa]]="U$D", I3223*$N$1, IF(Gastos[[#This Row],[Divisa]]="EUR", I3223*$N$2, 0)))</f>
        <v>100000</v>
      </c>
      <c r="K3223" s="54">
        <f>Gastos[[#This Row],[Importe AR$]]/$N$1</f>
        <v>64.102564102564102</v>
      </c>
      <c r="M3223" s="69">
        <v>46213</v>
      </c>
      <c r="N3223" s="43">
        <f>IF(Gastos[[#This Row],[Fecha_Cheque]]&gt;0,WEEKNUM(Gastos[[#This Row],[Fecha_Cheque]]),MID(Gastos[[#This Row],[Semana]],6,2))</f>
        <v>28</v>
      </c>
      <c r="O3223" t="s">
        <v>3286</v>
      </c>
      <c r="P3223" t="s">
        <v>27</v>
      </c>
    </row>
    <row r="3224" spans="1:16" hidden="1" x14ac:dyDescent="0.25">
      <c r="A3224" s="3" t="s">
        <v>2841</v>
      </c>
      <c r="B3224" t="s">
        <v>1854</v>
      </c>
      <c r="C3224" t="s">
        <v>3285</v>
      </c>
      <c r="D3224" t="s">
        <v>26</v>
      </c>
      <c r="E3224" t="s">
        <v>62</v>
      </c>
      <c r="F3224">
        <v>2</v>
      </c>
      <c r="G3224" s="3" t="s">
        <v>32</v>
      </c>
      <c r="H3224" s="44" t="s">
        <v>15</v>
      </c>
      <c r="I3224" s="17">
        <v>633100</v>
      </c>
      <c r="J3224" s="17">
        <f>IF(Gastos[[#This Row],[Divisa]]="$", I3224*1, IF(Gastos[[#This Row],[Divisa]]="U$D", I3224*$N$1, IF(Gastos[[#This Row],[Divisa]]="EUR", I3224*$N$2, 0)))</f>
        <v>633100</v>
      </c>
      <c r="K3224" s="54">
        <f>Gastos[[#This Row],[Importe AR$]]/$N$1</f>
        <v>405.83333333333331</v>
      </c>
      <c r="M3224" s="69">
        <v>46211</v>
      </c>
      <c r="N3224" s="43">
        <f>IF(Gastos[[#This Row],[Fecha_Cheque]]&gt;0,WEEKNUM(Gastos[[#This Row],[Fecha_Cheque]]),MID(Gastos[[#This Row],[Semana]],6,2))</f>
        <v>28</v>
      </c>
      <c r="O3224" t="s">
        <v>3286</v>
      </c>
      <c r="P3224" t="s">
        <v>27</v>
      </c>
    </row>
    <row r="3225" spans="1:16" hidden="1" x14ac:dyDescent="0.25">
      <c r="A3225" s="3" t="s">
        <v>2841</v>
      </c>
      <c r="B3225" t="s">
        <v>1854</v>
      </c>
      <c r="C3225" t="s">
        <v>3285</v>
      </c>
      <c r="D3225" t="s">
        <v>26</v>
      </c>
      <c r="E3225" t="s">
        <v>62</v>
      </c>
      <c r="F3225">
        <v>2</v>
      </c>
      <c r="G3225" s="3" t="s">
        <v>32</v>
      </c>
      <c r="H3225" s="44" t="s">
        <v>15</v>
      </c>
      <c r="I3225" s="17">
        <v>2000000</v>
      </c>
      <c r="J3225" s="17">
        <f>IF(Gastos[[#This Row],[Divisa]]="$", I3225*1, IF(Gastos[[#This Row],[Divisa]]="U$D", I3225*$N$1, IF(Gastos[[#This Row],[Divisa]]="EUR", I3225*$N$2, 0)))</f>
        <v>2000000</v>
      </c>
      <c r="K3225" s="54">
        <f>Gastos[[#This Row],[Importe AR$]]/$N$1</f>
        <v>1282.051282051282</v>
      </c>
      <c r="M3225" s="69">
        <v>46185</v>
      </c>
      <c r="N3225" s="43">
        <f>IF(Gastos[[#This Row],[Fecha_Cheque]]&gt;0,WEEKNUM(Gastos[[#This Row],[Fecha_Cheque]]),MID(Gastos[[#This Row],[Semana]],6,2))</f>
        <v>24</v>
      </c>
      <c r="O3225" t="s">
        <v>3286</v>
      </c>
      <c r="P3225" t="s">
        <v>27</v>
      </c>
    </row>
    <row r="3226" spans="1:16" hidden="1" x14ac:dyDescent="0.25">
      <c r="A3226" s="3" t="s">
        <v>2763</v>
      </c>
      <c r="B3226" t="s">
        <v>1854</v>
      </c>
      <c r="C3226" t="s">
        <v>2667</v>
      </c>
      <c r="D3226" t="s">
        <v>26</v>
      </c>
      <c r="E3226" t="s">
        <v>42</v>
      </c>
      <c r="F3226">
        <v>2</v>
      </c>
      <c r="G3226" s="3" t="s">
        <v>4</v>
      </c>
      <c r="H3226" s="44" t="s">
        <v>15</v>
      </c>
      <c r="I3226" s="17">
        <v>700000</v>
      </c>
      <c r="J3226" s="17">
        <f>IF(Gastos[[#This Row],[Divisa]]="$", I3226*1, IF(Gastos[[#This Row],[Divisa]]="U$D", I3226*$N$1, IF(Gastos[[#This Row],[Divisa]]="EUR", I3226*$N$2, 0)))</f>
        <v>700000</v>
      </c>
      <c r="K3226" s="54">
        <f>Gastos[[#This Row],[Importe AR$]]/$N$1</f>
        <v>448.71794871794873</v>
      </c>
      <c r="M3226" s="69"/>
      <c r="N3226" s="43" t="str">
        <f>IF(Gastos[[#This Row],[Fecha_Cheque]]&gt;0,WEEKNUM(Gastos[[#This Row],[Fecha_Cheque]]),MID(Gastos[[#This Row],[Semana]],6,2))</f>
        <v>23</v>
      </c>
      <c r="O3226" t="s">
        <v>3371</v>
      </c>
      <c r="P3226" t="s">
        <v>27</v>
      </c>
    </row>
    <row r="3227" spans="1:16" hidden="1" x14ac:dyDescent="0.25">
      <c r="A3227" s="3" t="s">
        <v>2763</v>
      </c>
      <c r="B3227" t="s">
        <v>1854</v>
      </c>
      <c r="C3227" t="s">
        <v>2667</v>
      </c>
      <c r="D3227" t="s">
        <v>26</v>
      </c>
      <c r="E3227" t="s">
        <v>42</v>
      </c>
      <c r="F3227">
        <v>2</v>
      </c>
      <c r="G3227" s="3" t="s">
        <v>32</v>
      </c>
      <c r="H3227" s="44" t="s">
        <v>15</v>
      </c>
      <c r="I3227" s="17">
        <v>3638240</v>
      </c>
      <c r="J3227" s="17">
        <f>IF(Gastos[[#This Row],[Divisa]]="$", I3227*1, IF(Gastos[[#This Row],[Divisa]]="U$D", I3227*$N$1, IF(Gastos[[#This Row],[Divisa]]="EUR", I3227*$N$2, 0)))</f>
        <v>3638240</v>
      </c>
      <c r="K3227" s="54">
        <f>Gastos[[#This Row],[Importe AR$]]/$N$1</f>
        <v>2332.2051282051284</v>
      </c>
      <c r="M3227" s="69">
        <v>46187</v>
      </c>
      <c r="N3227" s="43">
        <f>IF(Gastos[[#This Row],[Fecha_Cheque]]&gt;0,WEEKNUM(Gastos[[#This Row],[Fecha_Cheque]]),MID(Gastos[[#This Row],[Semana]],6,2))</f>
        <v>25</v>
      </c>
      <c r="O3227" t="s">
        <v>3372</v>
      </c>
      <c r="P3227" t="s">
        <v>27</v>
      </c>
    </row>
    <row r="3228" spans="1:16" hidden="1" x14ac:dyDescent="0.25">
      <c r="A3228" s="3" t="s">
        <v>3439</v>
      </c>
      <c r="B3228" t="s">
        <v>1854</v>
      </c>
      <c r="C3228" t="s">
        <v>2667</v>
      </c>
      <c r="D3228" t="s">
        <v>26</v>
      </c>
      <c r="E3228" t="s">
        <v>42</v>
      </c>
      <c r="F3228">
        <v>2</v>
      </c>
      <c r="G3228" s="3" t="s">
        <v>4</v>
      </c>
      <c r="H3228" s="44" t="s">
        <v>15</v>
      </c>
      <c r="I3228" s="17">
        <v>500000</v>
      </c>
      <c r="J3228" s="17">
        <f>IF(Gastos[[#This Row],[Divisa]]="$", I3228*1, IF(Gastos[[#This Row],[Divisa]]="U$D", I3228*$N$1, IF(Gastos[[#This Row],[Divisa]]="EUR", I3228*$N$2, 0)))</f>
        <v>500000</v>
      </c>
      <c r="K3228" s="54">
        <f>Gastos[[#This Row],[Importe AR$]]/$N$1</f>
        <v>320.5128205128205</v>
      </c>
      <c r="M3228" s="69"/>
      <c r="N3228" s="43" t="str">
        <f>IF(Gastos[[#This Row],[Fecha_Cheque]]&gt;0,WEEKNUM(Gastos[[#This Row],[Fecha_Cheque]]),MID(Gastos[[#This Row],[Semana]],6,2))</f>
        <v>25</v>
      </c>
      <c r="O3228" t="s">
        <v>3560</v>
      </c>
      <c r="P3228" t="s">
        <v>27</v>
      </c>
    </row>
    <row r="3229" spans="1:16" hidden="1" x14ac:dyDescent="0.25">
      <c r="A3229" s="3" t="s">
        <v>3567</v>
      </c>
      <c r="B3229" t="s">
        <v>1854</v>
      </c>
      <c r="C3229" t="s">
        <v>2667</v>
      </c>
      <c r="D3229" t="s">
        <v>26</v>
      </c>
      <c r="E3229" t="s">
        <v>132</v>
      </c>
      <c r="F3229">
        <v>2</v>
      </c>
      <c r="G3229" s="3" t="s">
        <v>32</v>
      </c>
      <c r="H3229" s="44" t="s">
        <v>2</v>
      </c>
      <c r="I3229" s="17">
        <v>1600</v>
      </c>
      <c r="J3229" s="17">
        <f>IF(Gastos[[#This Row],[Divisa]]="$", I3229*1, IF(Gastos[[#This Row],[Divisa]]="U$D", I3229*$N$1, IF(Gastos[[#This Row],[Divisa]]="EUR", I3229*$N$2, 0)))</f>
        <v>2496000</v>
      </c>
      <c r="K3229" s="54">
        <f>Gastos[[#This Row],[Importe AR$]]/$N$1</f>
        <v>1600</v>
      </c>
      <c r="M3229" s="69"/>
      <c r="N3229" s="43" t="str">
        <f>IF(Gastos[[#This Row],[Fecha_Cheque]]&gt;0,WEEKNUM(Gastos[[#This Row],[Fecha_Cheque]]),MID(Gastos[[#This Row],[Semana]],6,2))</f>
        <v>26</v>
      </c>
      <c r="O3229" t="s">
        <v>3571</v>
      </c>
      <c r="P3229" t="s">
        <v>27</v>
      </c>
    </row>
    <row r="3230" spans="1:16" hidden="1" x14ac:dyDescent="0.25">
      <c r="A3230" s="3" t="s">
        <v>3617</v>
      </c>
      <c r="B3230" t="s">
        <v>1854</v>
      </c>
      <c r="C3230" t="s">
        <v>2667</v>
      </c>
      <c r="D3230" t="s">
        <v>26</v>
      </c>
      <c r="E3230" t="s">
        <v>132</v>
      </c>
      <c r="F3230">
        <v>2</v>
      </c>
      <c r="G3230" s="3" t="s">
        <v>4</v>
      </c>
      <c r="H3230" s="44" t="s">
        <v>15</v>
      </c>
      <c r="I3230" s="17">
        <v>1000000</v>
      </c>
      <c r="J3230" s="17">
        <f>IF(Gastos[[#This Row],[Divisa]]="$", I3230*1, IF(Gastos[[#This Row],[Divisa]]="U$D", I3230*$N$1, IF(Gastos[[#This Row],[Divisa]]="EUR", I3230*$N$2, 0)))</f>
        <v>1000000</v>
      </c>
      <c r="K3230" s="54">
        <f>Gastos[[#This Row],[Importe AR$]]/$N$1</f>
        <v>641.02564102564099</v>
      </c>
      <c r="M3230" s="69"/>
      <c r="N3230" s="43" t="str">
        <f>IF(Gastos[[#This Row],[Fecha_Cheque]]&gt;0,WEEKNUM(Gastos[[#This Row],[Fecha_Cheque]]),MID(Gastos[[#This Row],[Semana]],6,2))</f>
        <v>27</v>
      </c>
      <c r="O3230" t="s">
        <v>3690</v>
      </c>
      <c r="P3230" t="s">
        <v>27</v>
      </c>
    </row>
    <row r="3231" spans="1:16" hidden="1" x14ac:dyDescent="0.25">
      <c r="A3231" s="3" t="s">
        <v>3693</v>
      </c>
      <c r="B3231" t="s">
        <v>1854</v>
      </c>
      <c r="C3231" t="s">
        <v>2667</v>
      </c>
      <c r="D3231" t="s">
        <v>26</v>
      </c>
      <c r="E3231" t="s">
        <v>132</v>
      </c>
      <c r="F3231">
        <v>2</v>
      </c>
      <c r="G3231" s="3" t="s">
        <v>32</v>
      </c>
      <c r="H3231" s="44" t="s">
        <v>15</v>
      </c>
      <c r="I3231" s="17">
        <v>2500000</v>
      </c>
      <c r="J3231" s="17">
        <f>IF(Gastos[[#This Row],[Divisa]]="$", I3231*1, IF(Gastos[[#This Row],[Divisa]]="U$D", I3231*$N$1, IF(Gastos[[#This Row],[Divisa]]="EUR", I3231*$N$2, 0)))</f>
        <v>2500000</v>
      </c>
      <c r="K3231" s="54">
        <f>Gastos[[#This Row],[Importe AR$]]/$N$1</f>
        <v>1602.5641025641025</v>
      </c>
      <c r="M3231" s="69">
        <v>46233</v>
      </c>
      <c r="N3231" s="43">
        <f>IF(Gastos[[#This Row],[Fecha_Cheque]]&gt;0,WEEKNUM(Gastos[[#This Row],[Fecha_Cheque]]),MID(Gastos[[#This Row],[Semana]],6,2))</f>
        <v>31</v>
      </c>
      <c r="O3231" t="s">
        <v>3705</v>
      </c>
      <c r="P3231" t="s">
        <v>27</v>
      </c>
    </row>
    <row r="3232" spans="1:16" hidden="1" x14ac:dyDescent="0.25">
      <c r="A3232" s="3" t="s">
        <v>3693</v>
      </c>
      <c r="B3232" t="s">
        <v>1854</v>
      </c>
      <c r="C3232" t="s">
        <v>2667</v>
      </c>
      <c r="D3232" t="s">
        <v>26</v>
      </c>
      <c r="E3232" t="s">
        <v>132</v>
      </c>
      <c r="F3232">
        <v>2</v>
      </c>
      <c r="G3232" s="3" t="s">
        <v>32</v>
      </c>
      <c r="H3232" s="44" t="s">
        <v>15</v>
      </c>
      <c r="I3232" s="17">
        <v>2500000</v>
      </c>
      <c r="J3232" s="17">
        <f>IF(Gastos[[#This Row],[Divisa]]="$", I3232*1, IF(Gastos[[#This Row],[Divisa]]="U$D", I3232*$N$1, IF(Gastos[[#This Row],[Divisa]]="EUR", I3232*$N$2, 0)))</f>
        <v>2500000</v>
      </c>
      <c r="K3232" s="54">
        <f>Gastos[[#This Row],[Importe AR$]]/$N$1</f>
        <v>1602.5641025641025</v>
      </c>
      <c r="M3232" s="69">
        <v>46238</v>
      </c>
      <c r="N3232" s="43">
        <f>IF(Gastos[[#This Row],[Fecha_Cheque]]&gt;0,WEEKNUM(Gastos[[#This Row],[Fecha_Cheque]]),MID(Gastos[[#This Row],[Semana]],6,2))</f>
        <v>32</v>
      </c>
      <c r="O3232" t="s">
        <v>3705</v>
      </c>
      <c r="P3232" t="s">
        <v>27</v>
      </c>
    </row>
    <row r="3233" spans="1:16" hidden="1" x14ac:dyDescent="0.25">
      <c r="A3233" s="3" t="s">
        <v>3693</v>
      </c>
      <c r="B3233" t="s">
        <v>1854</v>
      </c>
      <c r="C3233" t="s">
        <v>2667</v>
      </c>
      <c r="D3233" t="s">
        <v>26</v>
      </c>
      <c r="E3233" t="s">
        <v>132</v>
      </c>
      <c r="F3233">
        <v>2</v>
      </c>
      <c r="G3233" s="3" t="s">
        <v>32</v>
      </c>
      <c r="H3233" s="44" t="s">
        <v>15</v>
      </c>
      <c r="I3233" s="17">
        <v>2726733</v>
      </c>
      <c r="J3233" s="17">
        <f>IF(Gastos[[#This Row],[Divisa]]="$", I3233*1, IF(Gastos[[#This Row],[Divisa]]="U$D", I3233*$N$1, IF(Gastos[[#This Row],[Divisa]]="EUR", I3233*$N$2, 0)))</f>
        <v>2726733</v>
      </c>
      <c r="K3233" s="54">
        <f>Gastos[[#This Row],[Importe AR$]]/$N$1</f>
        <v>1747.9057692307692</v>
      </c>
      <c r="M3233" s="69">
        <v>46268</v>
      </c>
      <c r="N3233" s="43">
        <f>IF(Gastos[[#This Row],[Fecha_Cheque]]&gt;0,WEEKNUM(Gastos[[#This Row],[Fecha_Cheque]]),MID(Gastos[[#This Row],[Semana]],6,2))</f>
        <v>36</v>
      </c>
      <c r="O3233" t="s">
        <v>3705</v>
      </c>
      <c r="P3233" t="s">
        <v>27</v>
      </c>
    </row>
    <row r="3234" spans="1:16" hidden="1" x14ac:dyDescent="0.25">
      <c r="A3234" s="3" t="s">
        <v>3754</v>
      </c>
      <c r="B3234" t="s">
        <v>1854</v>
      </c>
      <c r="C3234" t="s">
        <v>2667</v>
      </c>
      <c r="D3234" t="s">
        <v>26</v>
      </c>
      <c r="E3234" t="s">
        <v>132</v>
      </c>
      <c r="F3234">
        <v>2</v>
      </c>
      <c r="G3234" s="3" t="s">
        <v>32</v>
      </c>
      <c r="H3234" s="44" t="s">
        <v>15</v>
      </c>
      <c r="I3234" s="17">
        <v>144520</v>
      </c>
      <c r="J3234" s="17">
        <f>IF(Gastos[[#This Row],[Divisa]]="$", I3234*1, IF(Gastos[[#This Row],[Divisa]]="U$D", I3234*$N$1, IF(Gastos[[#This Row],[Divisa]]="EUR", I3234*$N$2, 0)))</f>
        <v>144520</v>
      </c>
      <c r="K3234" s="54">
        <f>Gastos[[#This Row],[Importe AR$]]/$N$1</f>
        <v>92.641025641025635</v>
      </c>
      <c r="M3234" s="69">
        <v>46217</v>
      </c>
      <c r="N3234" s="43">
        <f>IF(Gastos[[#This Row],[Fecha_Cheque]]&gt;0,WEEKNUM(Gastos[[#This Row],[Fecha_Cheque]]),MID(Gastos[[#This Row],[Semana]],6,2))</f>
        <v>29</v>
      </c>
      <c r="O3234" t="s">
        <v>3776</v>
      </c>
      <c r="P3234" t="s">
        <v>27</v>
      </c>
    </row>
    <row r="3235" spans="1:16" hidden="1" x14ac:dyDescent="0.25">
      <c r="A3235" s="3" t="s">
        <v>3754</v>
      </c>
      <c r="B3235" t="s">
        <v>1854</v>
      </c>
      <c r="C3235" t="s">
        <v>2667</v>
      </c>
      <c r="D3235" t="s">
        <v>26</v>
      </c>
      <c r="E3235" t="s">
        <v>132</v>
      </c>
      <c r="F3235">
        <v>2</v>
      </c>
      <c r="G3235" s="3" t="s">
        <v>32</v>
      </c>
      <c r="H3235" s="44" t="s">
        <v>15</v>
      </c>
      <c r="I3235" s="17">
        <v>877697.8</v>
      </c>
      <c r="J3235" s="17">
        <f>IF(Gastos[[#This Row],[Divisa]]="$", I3235*1, IF(Gastos[[#This Row],[Divisa]]="U$D", I3235*$N$1, IF(Gastos[[#This Row],[Divisa]]="EUR", I3235*$N$2, 0)))</f>
        <v>877697.8</v>
      </c>
      <c r="K3235" s="54">
        <f>Gastos[[#This Row],[Importe AR$]]/$N$1</f>
        <v>562.62679487179491</v>
      </c>
      <c r="M3235" s="69">
        <v>46207</v>
      </c>
      <c r="N3235" s="43">
        <f>IF(Gastos[[#This Row],[Fecha_Cheque]]&gt;0,WEEKNUM(Gastos[[#This Row],[Fecha_Cheque]]),MID(Gastos[[#This Row],[Semana]],6,2))</f>
        <v>27</v>
      </c>
      <c r="O3235" t="s">
        <v>3776</v>
      </c>
      <c r="P3235" t="s">
        <v>27</v>
      </c>
    </row>
    <row r="3236" spans="1:16" hidden="1" x14ac:dyDescent="0.25">
      <c r="A3236" s="3" t="s">
        <v>3754</v>
      </c>
      <c r="B3236" t="s">
        <v>1854</v>
      </c>
      <c r="C3236" t="s">
        <v>2667</v>
      </c>
      <c r="D3236" t="s">
        <v>26</v>
      </c>
      <c r="E3236" t="s">
        <v>132</v>
      </c>
      <c r="F3236">
        <v>2</v>
      </c>
      <c r="G3236" s="3" t="s">
        <v>32</v>
      </c>
      <c r="H3236" s="44" t="s">
        <v>15</v>
      </c>
      <c r="I3236" s="17">
        <v>930000</v>
      </c>
      <c r="J3236" s="17">
        <f>IF(Gastos[[#This Row],[Divisa]]="$", I3236*1, IF(Gastos[[#This Row],[Divisa]]="U$D", I3236*$N$1, IF(Gastos[[#This Row],[Divisa]]="EUR", I3236*$N$2, 0)))</f>
        <v>930000</v>
      </c>
      <c r="K3236" s="54">
        <f>Gastos[[#This Row],[Importe AR$]]/$N$1</f>
        <v>596.15384615384619</v>
      </c>
      <c r="M3236" s="69">
        <v>46244</v>
      </c>
      <c r="N3236" s="43">
        <f>IF(Gastos[[#This Row],[Fecha_Cheque]]&gt;0,WEEKNUM(Gastos[[#This Row],[Fecha_Cheque]]),MID(Gastos[[#This Row],[Semana]],6,2))</f>
        <v>33</v>
      </c>
      <c r="O3236" t="s">
        <v>3776</v>
      </c>
      <c r="P3236" t="s">
        <v>27</v>
      </c>
    </row>
    <row r="3237" spans="1:16" hidden="1" x14ac:dyDescent="0.25">
      <c r="A3237" s="3" t="s">
        <v>3754</v>
      </c>
      <c r="B3237" t="s">
        <v>1854</v>
      </c>
      <c r="C3237" t="s">
        <v>2667</v>
      </c>
      <c r="D3237" t="s">
        <v>26</v>
      </c>
      <c r="E3237" t="s">
        <v>132</v>
      </c>
      <c r="F3237">
        <v>2</v>
      </c>
      <c r="G3237" s="3" t="s">
        <v>32</v>
      </c>
      <c r="H3237" s="44" t="s">
        <v>15</v>
      </c>
      <c r="I3237" s="17">
        <v>3400000</v>
      </c>
      <c r="J3237" s="17">
        <f>IF(Gastos[[#This Row],[Divisa]]="$", I3237*1, IF(Gastos[[#This Row],[Divisa]]="U$D", I3237*$N$1, IF(Gastos[[#This Row],[Divisa]]="EUR", I3237*$N$2, 0)))</f>
        <v>3400000</v>
      </c>
      <c r="K3237" s="54">
        <f>Gastos[[#This Row],[Importe AR$]]/$N$1</f>
        <v>2179.4871794871797</v>
      </c>
      <c r="M3237" s="69">
        <v>46264</v>
      </c>
      <c r="N3237" s="43">
        <f>IF(Gastos[[#This Row],[Fecha_Cheque]]&gt;0,WEEKNUM(Gastos[[#This Row],[Fecha_Cheque]]),MID(Gastos[[#This Row],[Semana]],6,2))</f>
        <v>36</v>
      </c>
      <c r="O3237" t="s">
        <v>3776</v>
      </c>
      <c r="P3237" t="s">
        <v>27</v>
      </c>
    </row>
    <row r="3238" spans="1:16" hidden="1" x14ac:dyDescent="0.25">
      <c r="A3238" s="3" t="s">
        <v>3754</v>
      </c>
      <c r="B3238" t="s">
        <v>1854</v>
      </c>
      <c r="C3238" t="s">
        <v>2667</v>
      </c>
      <c r="D3238" t="s">
        <v>26</v>
      </c>
      <c r="E3238" t="s">
        <v>42</v>
      </c>
      <c r="F3238">
        <v>2</v>
      </c>
      <c r="G3238" s="3" t="s">
        <v>4</v>
      </c>
      <c r="H3238" s="44" t="s">
        <v>15</v>
      </c>
      <c r="I3238" s="17">
        <v>1000000</v>
      </c>
      <c r="J3238" s="17">
        <f>IF(Gastos[[#This Row],[Divisa]]="$", I3238*1, IF(Gastos[[#This Row],[Divisa]]="U$D", I3238*$N$1, IF(Gastos[[#This Row],[Divisa]]="EUR", I3238*$N$2, 0)))</f>
        <v>1000000</v>
      </c>
      <c r="K3238" s="54">
        <f>Gastos[[#This Row],[Importe AR$]]/$N$1</f>
        <v>641.02564102564099</v>
      </c>
      <c r="M3238" s="69"/>
      <c r="N3238" s="43" t="str">
        <f>IF(Gastos[[#This Row],[Fecha_Cheque]]&gt;0,WEEKNUM(Gastos[[#This Row],[Fecha_Cheque]]),MID(Gastos[[#This Row],[Semana]],6,2))</f>
        <v>29</v>
      </c>
      <c r="O3238" t="s">
        <v>3810</v>
      </c>
      <c r="P3238" t="s">
        <v>27</v>
      </c>
    </row>
    <row r="3239" spans="1:16" hidden="1" x14ac:dyDescent="0.25">
      <c r="A3239" s="3" t="s">
        <v>3817</v>
      </c>
      <c r="B3239" t="s">
        <v>1854</v>
      </c>
      <c r="C3239" t="s">
        <v>3845</v>
      </c>
      <c r="D3239" t="s">
        <v>26</v>
      </c>
      <c r="E3239" t="s">
        <v>42</v>
      </c>
      <c r="F3239">
        <v>2</v>
      </c>
      <c r="G3239" s="3" t="s">
        <v>4</v>
      </c>
      <c r="H3239" s="44" t="s">
        <v>15</v>
      </c>
      <c r="I3239" s="17">
        <v>2000000</v>
      </c>
      <c r="J3239" s="17">
        <f>IF(Gastos[[#This Row],[Divisa]]="$", I3239*1, IF(Gastos[[#This Row],[Divisa]]="U$D", I3239*$N$1, IF(Gastos[[#This Row],[Divisa]]="EUR", I3239*$N$2, 0)))</f>
        <v>2000000</v>
      </c>
      <c r="K3239" s="54">
        <f>Gastos[[#This Row],[Importe AR$]]/$N$1</f>
        <v>1282.051282051282</v>
      </c>
      <c r="M3239" s="69"/>
      <c r="N3239" s="43" t="str">
        <f>IF(Gastos[[#This Row],[Fecha_Cheque]]&gt;0,WEEKNUM(Gastos[[#This Row],[Fecha_Cheque]]),MID(Gastos[[#This Row],[Semana]],6,2))</f>
        <v>30</v>
      </c>
      <c r="O3239" t="s">
        <v>3868</v>
      </c>
      <c r="P3239" t="s">
        <v>27</v>
      </c>
    </row>
    <row r="3240" spans="1:16" hidden="1" x14ac:dyDescent="0.25">
      <c r="A3240" s="3" t="s">
        <v>3817</v>
      </c>
      <c r="B3240" t="s">
        <v>1854</v>
      </c>
      <c r="C3240" t="s">
        <v>2667</v>
      </c>
      <c r="D3240" t="s">
        <v>26</v>
      </c>
      <c r="E3240" t="s">
        <v>132</v>
      </c>
      <c r="F3240">
        <v>2</v>
      </c>
      <c r="G3240" s="3" t="s">
        <v>32</v>
      </c>
      <c r="H3240" s="44" t="s">
        <v>15</v>
      </c>
      <c r="I3240" s="17">
        <v>1349735</v>
      </c>
      <c r="J3240" s="17">
        <f>IF(Gastos[[#This Row],[Divisa]]="$", I3240*1, IF(Gastos[[#This Row],[Divisa]]="U$D", I3240*$N$1, IF(Gastos[[#This Row],[Divisa]]="EUR", I3240*$N$2, 0)))</f>
        <v>1349735</v>
      </c>
      <c r="K3240" s="54">
        <f>Gastos[[#This Row],[Importe AR$]]/$N$1</f>
        <v>865.21474358974353</v>
      </c>
      <c r="M3240" s="69">
        <v>46246</v>
      </c>
      <c r="N3240" s="43">
        <f>IF(Gastos[[#This Row],[Fecha_Cheque]]&gt;0,WEEKNUM(Gastos[[#This Row],[Fecha_Cheque]]),MID(Gastos[[#This Row],[Semana]],6,2))</f>
        <v>33</v>
      </c>
      <c r="O3240" t="s">
        <v>3867</v>
      </c>
      <c r="P3240" t="s">
        <v>27</v>
      </c>
    </row>
    <row r="3241" spans="1:16" hidden="1" x14ac:dyDescent="0.25">
      <c r="A3241" s="3" t="s">
        <v>3817</v>
      </c>
      <c r="B3241" t="s">
        <v>1854</v>
      </c>
      <c r="C3241" t="s">
        <v>3869</v>
      </c>
      <c r="D3241" t="s">
        <v>26</v>
      </c>
      <c r="E3241" t="s">
        <v>42</v>
      </c>
      <c r="F3241">
        <v>2</v>
      </c>
      <c r="G3241" s="3" t="s">
        <v>4</v>
      </c>
      <c r="H3241" s="44" t="s">
        <v>15</v>
      </c>
      <c r="I3241" s="17">
        <v>2000000</v>
      </c>
      <c r="J3241" s="17">
        <f>IF(Gastos[[#This Row],[Divisa]]="$", I3241*1, IF(Gastos[[#This Row],[Divisa]]="U$D", I3241*$N$1, IF(Gastos[[#This Row],[Divisa]]="EUR", I3241*$N$2, 0)))</f>
        <v>2000000</v>
      </c>
      <c r="K3241" s="54">
        <f>Gastos[[#This Row],[Importe AR$]]/$N$1</f>
        <v>1282.051282051282</v>
      </c>
      <c r="M3241" s="69"/>
      <c r="N3241" s="43" t="str">
        <f>IF(Gastos[[#This Row],[Fecha_Cheque]]&gt;0,WEEKNUM(Gastos[[#This Row],[Fecha_Cheque]]),MID(Gastos[[#This Row],[Semana]],6,2))</f>
        <v>30</v>
      </c>
      <c r="O3241" t="s">
        <v>3870</v>
      </c>
      <c r="P3241" t="s">
        <v>27</v>
      </c>
    </row>
    <row r="3242" spans="1:16" hidden="1" x14ac:dyDescent="0.25">
      <c r="A3242" s="3" t="s">
        <v>3817</v>
      </c>
      <c r="B3242" t="s">
        <v>1854</v>
      </c>
      <c r="C3242" t="s">
        <v>3845</v>
      </c>
      <c r="D3242" t="s">
        <v>26</v>
      </c>
      <c r="E3242" t="s">
        <v>42</v>
      </c>
      <c r="F3242">
        <v>2</v>
      </c>
      <c r="G3242" s="3" t="s">
        <v>4</v>
      </c>
      <c r="H3242" s="44" t="s">
        <v>15</v>
      </c>
      <c r="I3242" s="17">
        <v>526500</v>
      </c>
      <c r="J3242" s="17">
        <f>IF(Gastos[[#This Row],[Divisa]]="$", I3242*1, IF(Gastos[[#This Row],[Divisa]]="U$D", I3242*$N$1, IF(Gastos[[#This Row],[Divisa]]="EUR", I3242*$N$2, 0)))</f>
        <v>526500</v>
      </c>
      <c r="K3242" s="54">
        <f>Gastos[[#This Row],[Importe AR$]]/$N$1</f>
        <v>337.5</v>
      </c>
      <c r="M3242" s="69"/>
      <c r="N3242" s="43" t="str">
        <f>IF(Gastos[[#This Row],[Fecha_Cheque]]&gt;0,WEEKNUM(Gastos[[#This Row],[Fecha_Cheque]]),MID(Gastos[[#This Row],[Semana]],6,2))</f>
        <v>30</v>
      </c>
      <c r="O3242" t="s">
        <v>3871</v>
      </c>
      <c r="P3242" t="s">
        <v>27</v>
      </c>
    </row>
    <row r="3243" spans="1:16" hidden="1" x14ac:dyDescent="0.25">
      <c r="A3243" s="3" t="s">
        <v>3882</v>
      </c>
      <c r="B3243" t="s">
        <v>1854</v>
      </c>
      <c r="C3243" t="s">
        <v>2667</v>
      </c>
      <c r="D3243" t="s">
        <v>26</v>
      </c>
      <c r="E3243" t="s">
        <v>3928</v>
      </c>
      <c r="F3243">
        <v>2</v>
      </c>
      <c r="G3243" s="3" t="s">
        <v>4</v>
      </c>
      <c r="H3243" s="44" t="s">
        <v>15</v>
      </c>
      <c r="I3243" s="17">
        <v>2000000</v>
      </c>
      <c r="J3243" s="17">
        <f>IF(Gastos[[#This Row],[Divisa]]="$", I3243*1, IF(Gastos[[#This Row],[Divisa]]="U$D", I3243*$N$1, IF(Gastos[[#This Row],[Divisa]]="EUR", I3243*$N$2, 0)))</f>
        <v>2000000</v>
      </c>
      <c r="K3243" s="54">
        <f>Gastos[[#This Row],[Importe AR$]]/$N$1</f>
        <v>1282.051282051282</v>
      </c>
      <c r="M3243" s="69"/>
      <c r="N3243" s="43" t="str">
        <f>IF(Gastos[[#This Row],[Fecha_Cheque]]&gt;0,WEEKNUM(Gastos[[#This Row],[Fecha_Cheque]]),MID(Gastos[[#This Row],[Semana]],6,2))</f>
        <v>31</v>
      </c>
      <c r="O3243" t="s">
        <v>3962</v>
      </c>
      <c r="P3243" t="s">
        <v>27</v>
      </c>
    </row>
    <row r="3244" spans="1:16" hidden="1" x14ac:dyDescent="0.25">
      <c r="A3244" s="3" t="s">
        <v>3963</v>
      </c>
      <c r="B3244" t="s">
        <v>1854</v>
      </c>
      <c r="C3244" t="s">
        <v>2667</v>
      </c>
      <c r="D3244" t="s">
        <v>26</v>
      </c>
      <c r="E3244" t="s">
        <v>3928</v>
      </c>
      <c r="F3244">
        <v>2</v>
      </c>
      <c r="G3244" s="3" t="s">
        <v>4</v>
      </c>
      <c r="H3244" s="44" t="s">
        <v>15</v>
      </c>
      <c r="I3244" s="17">
        <v>6621000</v>
      </c>
      <c r="J3244" s="17">
        <f>IF(Gastos[[#This Row],[Divisa]]="$", I3244*1, IF(Gastos[[#This Row],[Divisa]]="U$D", I3244*$N$1, IF(Gastos[[#This Row],[Divisa]]="EUR", I3244*$N$2, 0)))</f>
        <v>6621000</v>
      </c>
      <c r="K3244" s="54">
        <f>Gastos[[#This Row],[Importe AR$]]/$N$1</f>
        <v>4244.2307692307695</v>
      </c>
      <c r="M3244" s="69"/>
      <c r="N3244" s="43" t="str">
        <f>IF(Gastos[[#This Row],[Fecha_Cheque]]&gt;0,WEEKNUM(Gastos[[#This Row],[Fecha_Cheque]]),MID(Gastos[[#This Row],[Semana]],6,2))</f>
        <v>32</v>
      </c>
      <c r="O3244" t="s">
        <v>3996</v>
      </c>
      <c r="P3244" t="s">
        <v>27</v>
      </c>
    </row>
    <row r="3245" spans="1:16" hidden="1" x14ac:dyDescent="0.25">
      <c r="A3245" s="3" t="s">
        <v>4005</v>
      </c>
      <c r="B3245" t="s">
        <v>1854</v>
      </c>
      <c r="C3245" t="s">
        <v>2667</v>
      </c>
      <c r="D3245" t="s">
        <v>26</v>
      </c>
      <c r="E3245" t="s">
        <v>3928</v>
      </c>
      <c r="F3245">
        <v>2</v>
      </c>
      <c r="G3245" s="3" t="s">
        <v>32</v>
      </c>
      <c r="H3245" s="44" t="s">
        <v>15</v>
      </c>
      <c r="I3245" s="17">
        <v>6621000</v>
      </c>
      <c r="J3245" s="17">
        <f>IF(Gastos[[#This Row],[Divisa]]="$", I3245*1, IF(Gastos[[#This Row],[Divisa]]="U$D", I3245*$N$1, IF(Gastos[[#This Row],[Divisa]]="EUR", I3245*$N$2, 0)))</f>
        <v>6621000</v>
      </c>
      <c r="K3245" s="54">
        <f>Gastos[[#This Row],[Importe AR$]]/$N$1</f>
        <v>4244.2307692307695</v>
      </c>
      <c r="M3245" s="69">
        <v>46274</v>
      </c>
      <c r="N3245" s="43">
        <f>IF(Gastos[[#This Row],[Fecha_Cheque]]&gt;0,WEEKNUM(Gastos[[#This Row],[Fecha_Cheque]]),MID(Gastos[[#This Row],[Semana]],6,2))</f>
        <v>37</v>
      </c>
      <c r="O3245" t="s">
        <v>4031</v>
      </c>
      <c r="P3245" t="s">
        <v>27</v>
      </c>
    </row>
    <row r="3246" spans="1:16" hidden="1" x14ac:dyDescent="0.25">
      <c r="A3246" s="3" t="s">
        <v>4074</v>
      </c>
      <c r="B3246" t="s">
        <v>1854</v>
      </c>
      <c r="C3246" t="s">
        <v>2667</v>
      </c>
      <c r="D3246" t="s">
        <v>26</v>
      </c>
      <c r="E3246" t="s">
        <v>3928</v>
      </c>
      <c r="F3246">
        <v>2</v>
      </c>
      <c r="G3246" s="3" t="s">
        <v>4</v>
      </c>
      <c r="H3246" s="44" t="s">
        <v>15</v>
      </c>
      <c r="I3246" s="17">
        <v>3073485</v>
      </c>
      <c r="J3246" s="17">
        <f>IF(Gastos[[#This Row],[Divisa]]="$", I3246*1, IF(Gastos[[#This Row],[Divisa]]="U$D", I3246*$N$1, IF(Gastos[[#This Row],[Divisa]]="EUR", I3246*$N$2, 0)))</f>
        <v>3073485</v>
      </c>
      <c r="K3246" s="54">
        <f>Gastos[[#This Row],[Importe AR$]]/$N$1</f>
        <v>1970.1826923076924</v>
      </c>
      <c r="M3246" s="69">
        <v>46298</v>
      </c>
      <c r="N3246" s="43">
        <f>IF(Gastos[[#This Row],[Fecha_Cheque]]&gt;0,WEEKNUM(Gastos[[#This Row],[Fecha_Cheque]]),MID(Gastos[[#This Row],[Semana]],6,2))</f>
        <v>40</v>
      </c>
      <c r="O3246" t="s">
        <v>4108</v>
      </c>
      <c r="P3246" t="s">
        <v>27</v>
      </c>
    </row>
    <row r="3247" spans="1:16" hidden="1" x14ac:dyDescent="0.25">
      <c r="A3247" s="3" t="s">
        <v>4119</v>
      </c>
      <c r="B3247" t="s">
        <v>1854</v>
      </c>
      <c r="C3247" t="s">
        <v>2667</v>
      </c>
      <c r="D3247" t="s">
        <v>26</v>
      </c>
      <c r="E3247" t="s">
        <v>3928</v>
      </c>
      <c r="F3247">
        <v>2</v>
      </c>
      <c r="G3247" s="3" t="s">
        <v>32</v>
      </c>
      <c r="H3247" s="44" t="s">
        <v>15</v>
      </c>
      <c r="I3247" s="17">
        <v>400000</v>
      </c>
      <c r="J3247" s="17">
        <f>IF(Gastos[[#This Row],[Divisa]]="$", I3247*1, IF(Gastos[[#This Row],[Divisa]]="U$D", I3247*$N$1, IF(Gastos[[#This Row],[Divisa]]="EUR", I3247*$N$2, 0)))</f>
        <v>400000</v>
      </c>
      <c r="K3247" s="54">
        <f>Gastos[[#This Row],[Importe AR$]]/$N$1</f>
        <v>256.41025641025641</v>
      </c>
      <c r="M3247" s="69">
        <v>46289</v>
      </c>
      <c r="N3247" s="43">
        <f>IF(Gastos[[#This Row],[Fecha_Cheque]]&gt;0,WEEKNUM(Gastos[[#This Row],[Fecha_Cheque]]),MID(Gastos[[#This Row],[Semana]],6,2))</f>
        <v>39</v>
      </c>
      <c r="O3247" t="s">
        <v>4135</v>
      </c>
      <c r="P3247" t="s">
        <v>27</v>
      </c>
    </row>
    <row r="3248" spans="1:16" hidden="1" x14ac:dyDescent="0.25">
      <c r="A3248" s="3" t="s">
        <v>4119</v>
      </c>
      <c r="B3248" t="s">
        <v>1854</v>
      </c>
      <c r="C3248" t="s">
        <v>2667</v>
      </c>
      <c r="D3248" t="s">
        <v>26</v>
      </c>
      <c r="E3248" t="s">
        <v>3928</v>
      </c>
      <c r="F3248">
        <v>2</v>
      </c>
      <c r="G3248" s="3" t="s">
        <v>32</v>
      </c>
      <c r="H3248" s="44" t="s">
        <v>15</v>
      </c>
      <c r="I3248" s="17">
        <v>1999842</v>
      </c>
      <c r="J3248" s="17">
        <f>IF(Gastos[[#This Row],[Divisa]]="$", I3248*1, IF(Gastos[[#This Row],[Divisa]]="U$D", I3248*$N$1, IF(Gastos[[#This Row],[Divisa]]="EUR", I3248*$N$2, 0)))</f>
        <v>1999842</v>
      </c>
      <c r="K3248" s="54">
        <f>Gastos[[#This Row],[Importe AR$]]/$N$1</f>
        <v>1281.95</v>
      </c>
      <c r="M3248" s="69">
        <v>46309</v>
      </c>
      <c r="N3248" s="43">
        <f>IF(Gastos[[#This Row],[Fecha_Cheque]]&gt;0,WEEKNUM(Gastos[[#This Row],[Fecha_Cheque]]),MID(Gastos[[#This Row],[Semana]],6,2))</f>
        <v>42</v>
      </c>
      <c r="O3248" t="s">
        <v>4135</v>
      </c>
      <c r="P3248" t="s">
        <v>27</v>
      </c>
    </row>
    <row r="3249" spans="1:16" hidden="1" x14ac:dyDescent="0.25">
      <c r="A3249" s="3" t="s">
        <v>4119</v>
      </c>
      <c r="B3249" t="s">
        <v>1854</v>
      </c>
      <c r="C3249" t="s">
        <v>2667</v>
      </c>
      <c r="D3249" t="s">
        <v>26</v>
      </c>
      <c r="E3249" t="s">
        <v>3928</v>
      </c>
      <c r="F3249">
        <v>2</v>
      </c>
      <c r="G3249" s="3" t="s">
        <v>32</v>
      </c>
      <c r="H3249" s="44" t="s">
        <v>15</v>
      </c>
      <c r="I3249" s="17">
        <v>2362851</v>
      </c>
      <c r="J3249" s="17">
        <f>IF(Gastos[[#This Row],[Divisa]]="$", I3249*1, IF(Gastos[[#This Row],[Divisa]]="U$D", I3249*$N$1, IF(Gastos[[#This Row],[Divisa]]="EUR", I3249*$N$2, 0)))</f>
        <v>2362851</v>
      </c>
      <c r="K3249" s="54">
        <f>Gastos[[#This Row],[Importe AR$]]/$N$1</f>
        <v>1514.6480769230768</v>
      </c>
      <c r="M3249" s="69">
        <v>46309</v>
      </c>
      <c r="N3249" s="43">
        <f>IF(Gastos[[#This Row],[Fecha_Cheque]]&gt;0,WEEKNUM(Gastos[[#This Row],[Fecha_Cheque]]),MID(Gastos[[#This Row],[Semana]],6,2))</f>
        <v>42</v>
      </c>
      <c r="O3249" t="s">
        <v>4135</v>
      </c>
      <c r="P3249" t="s">
        <v>27</v>
      </c>
    </row>
    <row r="3250" spans="1:16" hidden="1" x14ac:dyDescent="0.25">
      <c r="A3250" s="3" t="s">
        <v>4211</v>
      </c>
      <c r="B3250" t="s">
        <v>1854</v>
      </c>
      <c r="C3250" t="s">
        <v>2667</v>
      </c>
      <c r="D3250" t="s">
        <v>26</v>
      </c>
      <c r="E3250" t="s">
        <v>3928</v>
      </c>
      <c r="F3250">
        <v>2</v>
      </c>
      <c r="G3250" s="3" t="s">
        <v>32</v>
      </c>
      <c r="H3250" s="44" t="s">
        <v>15</v>
      </c>
      <c r="I3250" s="17">
        <v>3523375</v>
      </c>
      <c r="J3250" s="17">
        <f>IF(Gastos[[#This Row],[Divisa]]="$", I3250*1, IF(Gastos[[#This Row],[Divisa]]="U$D", I3250*$N$1, IF(Gastos[[#This Row],[Divisa]]="EUR", I3250*$N$2, 0)))</f>
        <v>3523375</v>
      </c>
      <c r="K3250" s="54">
        <f>Gastos[[#This Row],[Importe AR$]]/$N$1</f>
        <v>2258.5737179487178</v>
      </c>
      <c r="M3250" s="69">
        <v>46315</v>
      </c>
      <c r="N3250" s="43">
        <f>IF(Gastos[[#This Row],[Fecha_Cheque]]&gt;0,WEEKNUM(Gastos[[#This Row],[Fecha_Cheque]]),MID(Gastos[[#This Row],[Semana]],6,2))</f>
        <v>43</v>
      </c>
      <c r="O3250" t="s">
        <v>4310</v>
      </c>
      <c r="P3250" t="s">
        <v>27</v>
      </c>
    </row>
    <row r="3251" spans="1:16" hidden="1" x14ac:dyDescent="0.25">
      <c r="A3251" s="3" t="s">
        <v>4211</v>
      </c>
      <c r="B3251" t="s">
        <v>1854</v>
      </c>
      <c r="C3251" t="s">
        <v>2667</v>
      </c>
      <c r="D3251" t="s">
        <v>26</v>
      </c>
      <c r="E3251" t="s">
        <v>3928</v>
      </c>
      <c r="F3251">
        <v>2</v>
      </c>
      <c r="G3251" s="3" t="s">
        <v>32</v>
      </c>
      <c r="H3251" s="44" t="s">
        <v>15</v>
      </c>
      <c r="I3251" s="17">
        <v>3360475</v>
      </c>
      <c r="J3251" s="17">
        <f>IF(Gastos[[#This Row],[Divisa]]="$", I3251*1, IF(Gastos[[#This Row],[Divisa]]="U$D", I3251*$N$1, IF(Gastos[[#This Row],[Divisa]]="EUR", I3251*$N$2, 0)))</f>
        <v>3360475</v>
      </c>
      <c r="K3251" s="54">
        <f>Gastos[[#This Row],[Importe AR$]]/$N$1</f>
        <v>2154.1506410256411</v>
      </c>
      <c r="M3251" s="69">
        <v>46319</v>
      </c>
      <c r="N3251" s="43">
        <f>IF(Gastos[[#This Row],[Fecha_Cheque]]&gt;0,WEEKNUM(Gastos[[#This Row],[Fecha_Cheque]]),MID(Gastos[[#This Row],[Semana]],6,2))</f>
        <v>43</v>
      </c>
      <c r="O3251" t="s">
        <v>4310</v>
      </c>
      <c r="P3251" t="s">
        <v>27</v>
      </c>
    </row>
    <row r="3252" spans="1:16" hidden="1" x14ac:dyDescent="0.25">
      <c r="A3252" s="3" t="s">
        <v>4211</v>
      </c>
      <c r="B3252" t="s">
        <v>1854</v>
      </c>
      <c r="C3252" t="s">
        <v>2667</v>
      </c>
      <c r="D3252" t="s">
        <v>26</v>
      </c>
      <c r="E3252" t="s">
        <v>42</v>
      </c>
      <c r="F3252">
        <v>2</v>
      </c>
      <c r="G3252" s="3" t="s">
        <v>4</v>
      </c>
      <c r="H3252" s="44" t="s">
        <v>15</v>
      </c>
      <c r="I3252" s="17">
        <v>116150</v>
      </c>
      <c r="J3252" s="17">
        <f>IF(Gastos[[#This Row],[Divisa]]="$", I3252*1, IF(Gastos[[#This Row],[Divisa]]="U$D", I3252*$N$1, IF(Gastos[[#This Row],[Divisa]]="EUR", I3252*$N$2, 0)))</f>
        <v>116150</v>
      </c>
      <c r="K3252" s="54">
        <f>Gastos[[#This Row],[Importe AR$]]/$N$1</f>
        <v>74.455128205128204</v>
      </c>
      <c r="M3252" s="69"/>
      <c r="N3252" s="43" t="str">
        <f>IF(Gastos[[#This Row],[Fecha_Cheque]]&gt;0,WEEKNUM(Gastos[[#This Row],[Fecha_Cheque]]),MID(Gastos[[#This Row],[Semana]],6,2))</f>
        <v>37</v>
      </c>
      <c r="O3252" t="s">
        <v>4310</v>
      </c>
      <c r="P3252" t="s">
        <v>27</v>
      </c>
    </row>
    <row r="3253" spans="1:16" hidden="1" x14ac:dyDescent="0.25">
      <c r="A3253" s="3" t="s">
        <v>4322</v>
      </c>
      <c r="B3253" t="s">
        <v>1854</v>
      </c>
      <c r="C3253" t="s">
        <v>2667</v>
      </c>
      <c r="D3253" t="s">
        <v>26</v>
      </c>
      <c r="E3253" t="s">
        <v>3928</v>
      </c>
      <c r="F3253">
        <v>2</v>
      </c>
      <c r="G3253" s="3" t="s">
        <v>32</v>
      </c>
      <c r="H3253" s="44" t="s">
        <v>15</v>
      </c>
      <c r="I3253" s="17">
        <v>2220000</v>
      </c>
      <c r="J3253" s="17">
        <f>IF(Gastos[[#This Row],[Divisa]]="$", I3253*1, IF(Gastos[[#This Row],[Divisa]]="U$D", I3253*$N$1, IF(Gastos[[#This Row],[Divisa]]="EUR", I3253*$N$2, 0)))</f>
        <v>2220000</v>
      </c>
      <c r="K3253" s="54">
        <f>Gastos[[#This Row],[Importe AR$]]/$N$1</f>
        <v>1423.0769230769231</v>
      </c>
      <c r="M3253" s="69">
        <v>46285</v>
      </c>
      <c r="N3253" s="43">
        <f>IF(Gastos[[#This Row],[Fecha_Cheque]]&gt;0,WEEKNUM(Gastos[[#This Row],[Fecha_Cheque]]),MID(Gastos[[#This Row],[Semana]],6,2))</f>
        <v>39</v>
      </c>
      <c r="O3253" t="s">
        <v>4364</v>
      </c>
      <c r="P3253" t="s">
        <v>27</v>
      </c>
    </row>
    <row r="3254" spans="1:16" hidden="1" x14ac:dyDescent="0.25">
      <c r="A3254" s="3" t="s">
        <v>4322</v>
      </c>
      <c r="B3254" t="s">
        <v>1854</v>
      </c>
      <c r="C3254" t="s">
        <v>2667</v>
      </c>
      <c r="D3254" t="s">
        <v>26</v>
      </c>
      <c r="E3254" t="s">
        <v>3928</v>
      </c>
      <c r="F3254">
        <v>2</v>
      </c>
      <c r="G3254" s="3" t="s">
        <v>32</v>
      </c>
      <c r="H3254" s="44" t="s">
        <v>15</v>
      </c>
      <c r="I3254" s="17">
        <v>280000</v>
      </c>
      <c r="J3254" s="17">
        <f>IF(Gastos[[#This Row],[Divisa]]="$", I3254*1, IF(Gastos[[#This Row],[Divisa]]="U$D", I3254*$N$1, IF(Gastos[[#This Row],[Divisa]]="EUR", I3254*$N$2, 0)))</f>
        <v>280000</v>
      </c>
      <c r="K3254" s="54">
        <f>Gastos[[#This Row],[Importe AR$]]/$N$1</f>
        <v>179.48717948717947</v>
      </c>
      <c r="M3254" s="69"/>
      <c r="N3254" s="43" t="str">
        <f>IF(Gastos[[#This Row],[Fecha_Cheque]]&gt;0,WEEKNUM(Gastos[[#This Row],[Fecha_Cheque]]),MID(Gastos[[#This Row],[Semana]],6,2))</f>
        <v>38</v>
      </c>
      <c r="O3254" t="s">
        <v>4368</v>
      </c>
      <c r="P3254" t="s">
        <v>27</v>
      </c>
    </row>
    <row r="3255" spans="1:16" hidden="1" x14ac:dyDescent="0.25">
      <c r="A3255" s="3" t="s">
        <v>4322</v>
      </c>
      <c r="B3255" t="s">
        <v>1854</v>
      </c>
      <c r="C3255" t="s">
        <v>2667</v>
      </c>
      <c r="D3255" t="s">
        <v>26</v>
      </c>
      <c r="E3255" t="s">
        <v>3928</v>
      </c>
      <c r="F3255">
        <v>1</v>
      </c>
      <c r="G3255" s="3" t="s">
        <v>32</v>
      </c>
      <c r="H3255" s="44" t="s">
        <v>15</v>
      </c>
      <c r="I3255" s="17">
        <v>11311397</v>
      </c>
      <c r="J3255" s="17">
        <f>IF(Gastos[[#This Row],[Divisa]]="$", I3255*1, IF(Gastos[[#This Row],[Divisa]]="U$D", I3255*$N$1, IF(Gastos[[#This Row],[Divisa]]="EUR", I3255*$N$2, 0)))</f>
        <v>11311397</v>
      </c>
      <c r="K3255" s="54">
        <f>Gastos[[#This Row],[Importe AR$]]/$N$1</f>
        <v>7250.8955128205125</v>
      </c>
      <c r="M3255" s="69">
        <v>46313</v>
      </c>
      <c r="N3255" s="43">
        <f>IF(Gastos[[#This Row],[Fecha_Cheque]]&gt;0,WEEKNUM(Gastos[[#This Row],[Fecha_Cheque]]),MID(Gastos[[#This Row],[Semana]],6,2))</f>
        <v>43</v>
      </c>
      <c r="O3255" t="s">
        <v>4369</v>
      </c>
      <c r="P3255" t="s">
        <v>27</v>
      </c>
    </row>
    <row r="3256" spans="1:16" hidden="1" x14ac:dyDescent="0.25">
      <c r="A3256" s="3" t="s">
        <v>4322</v>
      </c>
      <c r="B3256" t="s">
        <v>1854</v>
      </c>
      <c r="C3256" t="s">
        <v>2667</v>
      </c>
      <c r="D3256" t="s">
        <v>26</v>
      </c>
      <c r="E3256" t="s">
        <v>3928</v>
      </c>
      <c r="F3256">
        <v>1</v>
      </c>
      <c r="G3256" s="3" t="s">
        <v>32</v>
      </c>
      <c r="H3256" s="44" t="s">
        <v>15</v>
      </c>
      <c r="I3256" s="17">
        <v>203942.43</v>
      </c>
      <c r="J3256" s="17">
        <f>IF(Gastos[[#This Row],[Divisa]]="$", I3256*1, IF(Gastos[[#This Row],[Divisa]]="U$D", I3256*$N$1, IF(Gastos[[#This Row],[Divisa]]="EUR", I3256*$N$2, 0)))</f>
        <v>203942.43</v>
      </c>
      <c r="K3256" s="54">
        <f>Gastos[[#This Row],[Importe AR$]]/$N$1</f>
        <v>130.73232692307693</v>
      </c>
      <c r="L3256" t="s">
        <v>340</v>
      </c>
      <c r="M3256" s="69"/>
      <c r="N3256" s="43" t="str">
        <f>IF(Gastos[[#This Row],[Fecha_Cheque]]&gt;0,WEEKNUM(Gastos[[#This Row],[Fecha_Cheque]]),MID(Gastos[[#This Row],[Semana]],6,2))</f>
        <v>38</v>
      </c>
      <c r="O3256" t="s">
        <v>4369</v>
      </c>
      <c r="P3256" t="s">
        <v>27</v>
      </c>
    </row>
    <row r="3257" spans="1:16" hidden="1" x14ac:dyDescent="0.25">
      <c r="A3257" s="3" t="s">
        <v>4409</v>
      </c>
      <c r="B3257" t="s">
        <v>1854</v>
      </c>
      <c r="C3257" t="s">
        <v>2667</v>
      </c>
      <c r="D3257" t="s">
        <v>26</v>
      </c>
      <c r="E3257" t="s">
        <v>3928</v>
      </c>
      <c r="F3257">
        <v>2</v>
      </c>
      <c r="G3257" s="3" t="s">
        <v>32</v>
      </c>
      <c r="H3257" s="44" t="s">
        <v>15</v>
      </c>
      <c r="I3257" s="17">
        <v>1157747.8600000001</v>
      </c>
      <c r="J3257" s="17">
        <f>IF(Gastos[[#This Row],[Divisa]]="$", I3257*1, IF(Gastos[[#This Row],[Divisa]]="U$D", I3257*$N$1, IF(Gastos[[#This Row],[Divisa]]="EUR", I3257*$N$2, 0)))</f>
        <v>1157747.8600000001</v>
      </c>
      <c r="K3257" s="54">
        <f>Gastos[[#This Row],[Importe AR$]]/$N$1</f>
        <v>742.1460641025642</v>
      </c>
      <c r="M3257" s="69">
        <v>46312</v>
      </c>
      <c r="N3257" s="43">
        <f>IF(Gastos[[#This Row],[Fecha_Cheque]]&gt;0,WEEKNUM(Gastos[[#This Row],[Fecha_Cheque]]),MID(Gastos[[#This Row],[Semana]],6,2))</f>
        <v>42</v>
      </c>
      <c r="O3257" t="s">
        <v>4435</v>
      </c>
      <c r="P3257" t="s">
        <v>27</v>
      </c>
    </row>
    <row r="3258" spans="1:16" hidden="1" x14ac:dyDescent="0.25">
      <c r="A3258" s="3" t="s">
        <v>4409</v>
      </c>
      <c r="B3258" t="s">
        <v>1854</v>
      </c>
      <c r="C3258" t="s">
        <v>2667</v>
      </c>
      <c r="D3258" t="s">
        <v>26</v>
      </c>
      <c r="E3258" t="s">
        <v>3928</v>
      </c>
      <c r="F3258">
        <v>2</v>
      </c>
      <c r="G3258" s="3" t="s">
        <v>32</v>
      </c>
      <c r="H3258" s="44" t="s">
        <v>15</v>
      </c>
      <c r="I3258" s="17">
        <v>1500000</v>
      </c>
      <c r="J3258" s="17">
        <f>IF(Gastos[[#This Row],[Divisa]]="$", I3258*1, IF(Gastos[[#This Row],[Divisa]]="U$D", I3258*$N$1, IF(Gastos[[#This Row],[Divisa]]="EUR", I3258*$N$2, 0)))</f>
        <v>1500000</v>
      </c>
      <c r="K3258" s="54">
        <f>Gastos[[#This Row],[Importe AR$]]/$N$1</f>
        <v>961.53846153846155</v>
      </c>
      <c r="M3258" s="69">
        <v>46311</v>
      </c>
      <c r="N3258" s="43">
        <f>IF(Gastos[[#This Row],[Fecha_Cheque]]&gt;0,WEEKNUM(Gastos[[#This Row],[Fecha_Cheque]]),MID(Gastos[[#This Row],[Semana]],6,2))</f>
        <v>42</v>
      </c>
      <c r="O3258" t="s">
        <v>4435</v>
      </c>
      <c r="P3258" t="s">
        <v>27</v>
      </c>
    </row>
    <row r="3259" spans="1:16" hidden="1" x14ac:dyDescent="0.25">
      <c r="A3259" s="3" t="s">
        <v>4409</v>
      </c>
      <c r="B3259" t="s">
        <v>1854</v>
      </c>
      <c r="C3259" t="s">
        <v>2667</v>
      </c>
      <c r="D3259" t="s">
        <v>26</v>
      </c>
      <c r="E3259" t="s">
        <v>3928</v>
      </c>
      <c r="F3259">
        <v>2</v>
      </c>
      <c r="G3259" s="3" t="s">
        <v>32</v>
      </c>
      <c r="H3259" s="44" t="s">
        <v>15</v>
      </c>
      <c r="I3259" s="17">
        <v>43624.03</v>
      </c>
      <c r="J3259" s="17">
        <f>IF(Gastos[[#This Row],[Divisa]]="$", I3259*1, IF(Gastos[[#This Row],[Divisa]]="U$D", I3259*$N$1, IF(Gastos[[#This Row],[Divisa]]="EUR", I3259*$N$2, 0)))</f>
        <v>43624.03</v>
      </c>
      <c r="K3259" s="54">
        <f>Gastos[[#This Row],[Importe AR$]]/$N$1</f>
        <v>27.964121794871794</v>
      </c>
      <c r="L3259" t="s">
        <v>340</v>
      </c>
      <c r="M3259" s="69"/>
      <c r="N3259" s="43" t="str">
        <f>IF(Gastos[[#This Row],[Fecha_Cheque]]&gt;0,WEEKNUM(Gastos[[#This Row],[Fecha_Cheque]]),MID(Gastos[[#This Row],[Semana]],6,2))</f>
        <v>40</v>
      </c>
      <c r="O3259" t="s">
        <v>4435</v>
      </c>
      <c r="P3259" t="s">
        <v>27</v>
      </c>
    </row>
    <row r="3260" spans="1:16" hidden="1" x14ac:dyDescent="0.25">
      <c r="A3260" s="3" t="s">
        <v>4447</v>
      </c>
      <c r="B3260" t="s">
        <v>1854</v>
      </c>
      <c r="C3260" t="s">
        <v>2667</v>
      </c>
      <c r="D3260" t="s">
        <v>26</v>
      </c>
      <c r="E3260" t="s">
        <v>3928</v>
      </c>
      <c r="F3260">
        <v>1</v>
      </c>
      <c r="G3260" s="3" t="s">
        <v>32</v>
      </c>
      <c r="H3260" s="44" t="s">
        <v>15</v>
      </c>
      <c r="I3260" s="17">
        <v>5000000</v>
      </c>
      <c r="J3260" s="17">
        <f>IF(Gastos[[#This Row],[Divisa]]="$", I3260*1, IF(Gastos[[#This Row],[Divisa]]="U$D", I3260*$N$1, IF(Gastos[[#This Row],[Divisa]]="EUR", I3260*$N$2, 0)))</f>
        <v>5000000</v>
      </c>
      <c r="K3260" s="54">
        <f>Gastos[[#This Row],[Importe AR$]]/$N$1</f>
        <v>3205.1282051282051</v>
      </c>
      <c r="M3260" s="69">
        <v>46351</v>
      </c>
      <c r="N3260" s="43">
        <f>IF(Gastos[[#This Row],[Fecha_Cheque]]&gt;0,WEEKNUM(Gastos[[#This Row],[Fecha_Cheque]]),MID(Gastos[[#This Row],[Semana]],6,2))</f>
        <v>48</v>
      </c>
      <c r="O3260" t="s">
        <v>4490</v>
      </c>
      <c r="P3260" t="s">
        <v>27</v>
      </c>
    </row>
    <row r="3261" spans="1:16" hidden="1" x14ac:dyDescent="0.25">
      <c r="A3261" s="3" t="s">
        <v>4447</v>
      </c>
      <c r="B3261" t="s">
        <v>1854</v>
      </c>
      <c r="C3261" t="s">
        <v>2667</v>
      </c>
      <c r="D3261" t="s">
        <v>26</v>
      </c>
      <c r="E3261" t="s">
        <v>3928</v>
      </c>
      <c r="F3261">
        <v>2</v>
      </c>
      <c r="G3261" s="3" t="s">
        <v>32</v>
      </c>
      <c r="H3261" s="44" t="s">
        <v>15</v>
      </c>
      <c r="I3261" s="17">
        <v>186530</v>
      </c>
      <c r="J3261" s="17">
        <f>IF(Gastos[[#This Row],[Divisa]]="$", I3261*1, IF(Gastos[[#This Row],[Divisa]]="U$D", I3261*$N$1, IF(Gastos[[#This Row],[Divisa]]="EUR", I3261*$N$2, 0)))</f>
        <v>186530</v>
      </c>
      <c r="K3261" s="54">
        <f>Gastos[[#This Row],[Importe AR$]]/$N$1</f>
        <v>119.57051282051282</v>
      </c>
      <c r="M3261" s="69">
        <v>46317</v>
      </c>
      <c r="N3261" s="43">
        <f>IF(Gastos[[#This Row],[Fecha_Cheque]]&gt;0,WEEKNUM(Gastos[[#This Row],[Fecha_Cheque]]),MID(Gastos[[#This Row],[Semana]],6,2))</f>
        <v>43</v>
      </c>
      <c r="O3261" t="s">
        <v>4508</v>
      </c>
      <c r="P3261" t="s">
        <v>27</v>
      </c>
    </row>
    <row r="3262" spans="1:16" hidden="1" x14ac:dyDescent="0.25">
      <c r="A3262" s="3" t="s">
        <v>4447</v>
      </c>
      <c r="B3262" t="s">
        <v>1854</v>
      </c>
      <c r="C3262" t="s">
        <v>2667</v>
      </c>
      <c r="D3262" t="s">
        <v>26</v>
      </c>
      <c r="E3262" t="s">
        <v>3928</v>
      </c>
      <c r="F3262">
        <v>2</v>
      </c>
      <c r="G3262" s="3" t="s">
        <v>32</v>
      </c>
      <c r="H3262" s="44" t="s">
        <v>15</v>
      </c>
      <c r="I3262" s="17">
        <v>1333000</v>
      </c>
      <c r="J3262" s="17">
        <f>IF(Gastos[[#This Row],[Divisa]]="$", I3262*1, IF(Gastos[[#This Row],[Divisa]]="U$D", I3262*$N$1, IF(Gastos[[#This Row],[Divisa]]="EUR", I3262*$N$2, 0)))</f>
        <v>1333000</v>
      </c>
      <c r="K3262" s="54">
        <f>Gastos[[#This Row],[Importe AR$]]/$N$1</f>
        <v>854.48717948717945</v>
      </c>
      <c r="M3262" s="69">
        <v>46347</v>
      </c>
      <c r="N3262" s="43">
        <f>IF(Gastos[[#This Row],[Fecha_Cheque]]&gt;0,WEEKNUM(Gastos[[#This Row],[Fecha_Cheque]]),MID(Gastos[[#This Row],[Semana]],6,2))</f>
        <v>47</v>
      </c>
      <c r="O3262" t="s">
        <v>4508</v>
      </c>
      <c r="P3262" t="s">
        <v>27</v>
      </c>
    </row>
    <row r="3263" spans="1:16" hidden="1" x14ac:dyDescent="0.25">
      <c r="A3263" s="3" t="s">
        <v>4447</v>
      </c>
      <c r="B3263" t="s">
        <v>1854</v>
      </c>
      <c r="C3263" t="s">
        <v>2667</v>
      </c>
      <c r="D3263" t="s">
        <v>26</v>
      </c>
      <c r="E3263" t="s">
        <v>3928</v>
      </c>
      <c r="F3263">
        <v>2</v>
      </c>
      <c r="G3263" s="3" t="s">
        <v>2114</v>
      </c>
      <c r="H3263" s="44" t="s">
        <v>15</v>
      </c>
      <c r="I3263" s="17">
        <v>1500000</v>
      </c>
      <c r="J3263" s="17">
        <f>IF(Gastos[[#This Row],[Divisa]]="$", I3263*1, IF(Gastos[[#This Row],[Divisa]]="U$D", I3263*$N$1, IF(Gastos[[#This Row],[Divisa]]="EUR", I3263*$N$2, 0)))</f>
        <v>1500000</v>
      </c>
      <c r="K3263" s="54">
        <f>Gastos[[#This Row],[Importe AR$]]/$N$1</f>
        <v>961.53846153846155</v>
      </c>
      <c r="M3263" s="69">
        <v>46342</v>
      </c>
      <c r="N3263" s="43">
        <f>IF(Gastos[[#This Row],[Fecha_Cheque]]&gt;0,WEEKNUM(Gastos[[#This Row],[Fecha_Cheque]]),MID(Gastos[[#This Row],[Semana]],6,2))</f>
        <v>47</v>
      </c>
      <c r="O3263" t="s">
        <v>4508</v>
      </c>
      <c r="P3263" t="s">
        <v>27</v>
      </c>
    </row>
    <row r="3264" spans="1:16" hidden="1" x14ac:dyDescent="0.25">
      <c r="A3264" s="3" t="s">
        <v>4513</v>
      </c>
      <c r="B3264" t="s">
        <v>1854</v>
      </c>
      <c r="C3264" t="s">
        <v>2667</v>
      </c>
      <c r="D3264" t="s">
        <v>26</v>
      </c>
      <c r="E3264" t="s">
        <v>42</v>
      </c>
      <c r="F3264">
        <v>2</v>
      </c>
      <c r="G3264" s="3" t="s">
        <v>4</v>
      </c>
      <c r="H3264" s="44" t="s">
        <v>15</v>
      </c>
      <c r="I3264" s="17">
        <v>545000</v>
      </c>
      <c r="J3264" s="17">
        <f>IF(Gastos[[#This Row],[Divisa]]="$", I3264*1, IF(Gastos[[#This Row],[Divisa]]="U$D", I3264*$N$1, IF(Gastos[[#This Row],[Divisa]]="EUR", I3264*$N$2, 0)))</f>
        <v>545000</v>
      </c>
      <c r="K3264" s="54">
        <f>Gastos[[#This Row],[Importe AR$]]/$N$1</f>
        <v>349.35897435897436</v>
      </c>
      <c r="M3264" s="69">
        <v>46351</v>
      </c>
      <c r="N3264" s="43">
        <f>IF(Gastos[[#This Row],[Fecha_Cheque]]&gt;0,WEEKNUM(Gastos[[#This Row],[Fecha_Cheque]]),MID(Gastos[[#This Row],[Semana]],6,2))</f>
        <v>48</v>
      </c>
      <c r="O3264" t="s">
        <v>296</v>
      </c>
      <c r="P3264" t="s">
        <v>27</v>
      </c>
    </row>
    <row r="3265" spans="1:16" hidden="1" x14ac:dyDescent="0.25">
      <c r="A3265" s="3" t="s">
        <v>4513</v>
      </c>
      <c r="B3265" t="s">
        <v>1854</v>
      </c>
      <c r="C3265" t="s">
        <v>2667</v>
      </c>
      <c r="D3265" t="s">
        <v>26</v>
      </c>
      <c r="E3265" t="s">
        <v>42</v>
      </c>
      <c r="F3265">
        <v>2</v>
      </c>
      <c r="G3265" s="3" t="s">
        <v>4</v>
      </c>
      <c r="H3265" s="44" t="s">
        <v>15</v>
      </c>
      <c r="I3265" s="17">
        <v>977000</v>
      </c>
      <c r="J3265" s="17">
        <f>IF(Gastos[[#This Row],[Divisa]]="$", I3265*1, IF(Gastos[[#This Row],[Divisa]]="U$D", I3265*$N$1, IF(Gastos[[#This Row],[Divisa]]="EUR", I3265*$N$2, 0)))</f>
        <v>977000</v>
      </c>
      <c r="K3265" s="54">
        <f>Gastos[[#This Row],[Importe AR$]]/$N$1</f>
        <v>626.28205128205127</v>
      </c>
      <c r="M3265" s="69">
        <v>46345</v>
      </c>
      <c r="N3265" s="43">
        <f>IF(Gastos[[#This Row],[Fecha_Cheque]]&gt;0,WEEKNUM(Gastos[[#This Row],[Fecha_Cheque]]),MID(Gastos[[#This Row],[Semana]],6,2))</f>
        <v>47</v>
      </c>
      <c r="O3265" t="s">
        <v>296</v>
      </c>
      <c r="P3265" t="s">
        <v>27</v>
      </c>
    </row>
    <row r="3266" spans="1:16" hidden="1" x14ac:dyDescent="0.25">
      <c r="A3266" s="3" t="s">
        <v>4513</v>
      </c>
      <c r="B3266" t="s">
        <v>1854</v>
      </c>
      <c r="C3266" t="s">
        <v>2667</v>
      </c>
      <c r="D3266" t="s">
        <v>26</v>
      </c>
      <c r="E3266" t="s">
        <v>42</v>
      </c>
      <c r="F3266">
        <v>2</v>
      </c>
      <c r="G3266" s="3" t="s">
        <v>4</v>
      </c>
      <c r="H3266" s="44" t="s">
        <v>15</v>
      </c>
      <c r="I3266" s="17">
        <v>2000000</v>
      </c>
      <c r="J3266" s="17">
        <f>IF(Gastos[[#This Row],[Divisa]]="$", I3266*1, IF(Gastos[[#This Row],[Divisa]]="U$D", I3266*$N$1, IF(Gastos[[#This Row],[Divisa]]="EUR", I3266*$N$2, 0)))</f>
        <v>2000000</v>
      </c>
      <c r="K3266" s="54">
        <f>Gastos[[#This Row],[Importe AR$]]/$N$1</f>
        <v>1282.051282051282</v>
      </c>
      <c r="M3266" s="69">
        <v>46361</v>
      </c>
      <c r="N3266" s="43">
        <f>IF(Gastos[[#This Row],[Fecha_Cheque]]&gt;0,WEEKNUM(Gastos[[#This Row],[Fecha_Cheque]]),MID(Gastos[[#This Row],[Semana]],6,2))</f>
        <v>49</v>
      </c>
      <c r="O3266" t="s">
        <v>296</v>
      </c>
      <c r="P3266" t="s">
        <v>27</v>
      </c>
    </row>
    <row r="3267" spans="1:16" x14ac:dyDescent="0.25">
      <c r="A3267" s="3" t="s">
        <v>4655</v>
      </c>
      <c r="B3267" t="s">
        <v>1644</v>
      </c>
      <c r="C3267" t="s">
        <v>1645</v>
      </c>
      <c r="D3267" t="s">
        <v>26</v>
      </c>
      <c r="E3267" t="s">
        <v>62</v>
      </c>
      <c r="F3267">
        <v>1</v>
      </c>
      <c r="G3267" s="3" t="s">
        <v>32</v>
      </c>
      <c r="H3267" s="46" t="s">
        <v>15</v>
      </c>
      <c r="I3267" s="17">
        <v>42881246.810000002</v>
      </c>
      <c r="J3267" s="17">
        <f>IF(Gastos[[#This Row],[Divisa]]="$", I3267*1, IF(Gastos[[#This Row],[Divisa]]="U$D", I3267*$N$1, IF(Gastos[[#This Row],[Divisa]]="EUR", I3267*$N$2, 0)))</f>
        <v>42881246.810000002</v>
      </c>
      <c r="K3267" s="54">
        <f>Gastos[[#This Row],[Importe AR$]]/$N$1</f>
        <v>27487.978724358974</v>
      </c>
      <c r="M3267" s="69"/>
      <c r="N3267" s="43" t="str">
        <f>IF(Gastos[[#This Row],[Fecha_Cheque]]&gt;0,WEEKNUM(Gastos[[#This Row],[Fecha_Cheque]]),MID(Gastos[[#This Row],[Semana]],6,2))</f>
        <v>44</v>
      </c>
    </row>
    <row r="3268" spans="1:16" x14ac:dyDescent="0.25">
      <c r="A3268" s="3" t="s">
        <v>4655</v>
      </c>
      <c r="B3268" t="s">
        <v>1677</v>
      </c>
      <c r="C3268" t="s">
        <v>4035</v>
      </c>
      <c r="D3268" t="s">
        <v>26</v>
      </c>
      <c r="E3268" t="s">
        <v>62</v>
      </c>
      <c r="F3268">
        <v>2</v>
      </c>
      <c r="G3268" s="3" t="s">
        <v>4</v>
      </c>
      <c r="H3268" s="44" t="s">
        <v>15</v>
      </c>
      <c r="I3268" s="17">
        <v>1000000</v>
      </c>
      <c r="J3268" s="17">
        <f>IF(Gastos[[#This Row],[Divisa]]="$", I3268*1, IF(Gastos[[#This Row],[Divisa]]="U$D", I3268*$N$1, IF(Gastos[[#This Row],[Divisa]]="EUR", I3268*$N$2, 0)))</f>
        <v>1000000</v>
      </c>
      <c r="K3268" s="54">
        <f>Gastos[[#This Row],[Importe AR$]]/$N$1</f>
        <v>641.02564102564099</v>
      </c>
      <c r="M3268" s="69"/>
      <c r="N3268" s="43" t="str">
        <f>IF(Gastos[[#This Row],[Fecha_Cheque]]&gt;0,WEEKNUM(Gastos[[#This Row],[Fecha_Cheque]]),MID(Gastos[[#This Row],[Semana]],6,2))</f>
        <v>44</v>
      </c>
      <c r="P3268" t="s">
        <v>7</v>
      </c>
    </row>
    <row r="3269" spans="1:16" x14ac:dyDescent="0.25">
      <c r="A3269" s="3" t="s">
        <v>4655</v>
      </c>
      <c r="B3269" t="s">
        <v>1677</v>
      </c>
      <c r="C3269" t="s">
        <v>4035</v>
      </c>
      <c r="D3269" t="s">
        <v>26</v>
      </c>
      <c r="E3269" t="s">
        <v>62</v>
      </c>
      <c r="F3269">
        <v>2</v>
      </c>
      <c r="G3269" s="3" t="s">
        <v>4</v>
      </c>
      <c r="H3269" s="44" t="s">
        <v>15</v>
      </c>
      <c r="I3269" s="49">
        <v>780000</v>
      </c>
      <c r="J3269" s="17">
        <f>IF(Gastos[[#This Row],[Divisa]]="$", I3269*1, IF(Gastos[[#This Row],[Divisa]]="U$D", I3269*$N$1, IF(Gastos[[#This Row],[Divisa]]="EUR", I3269*$N$2, 0)))</f>
        <v>780000</v>
      </c>
      <c r="K3269" s="54">
        <f>Gastos[[#This Row],[Importe AR$]]/$N$1</f>
        <v>500</v>
      </c>
      <c r="M3269" s="69"/>
      <c r="N3269" s="43" t="str">
        <f>IF(Gastos[[#This Row],[Fecha_Cheque]]&gt;0,WEEKNUM(Gastos[[#This Row],[Fecha_Cheque]]),MID(Gastos[[#This Row],[Semana]],6,2))</f>
        <v>44</v>
      </c>
      <c r="O3269" t="s">
        <v>4671</v>
      </c>
      <c r="P3269" t="s">
        <v>7</v>
      </c>
    </row>
    <row r="3270" spans="1:16" x14ac:dyDescent="0.25">
      <c r="A3270" s="3" t="s">
        <v>4655</v>
      </c>
      <c r="B3270" t="s">
        <v>3802</v>
      </c>
      <c r="C3270" t="s">
        <v>422</v>
      </c>
      <c r="D3270" t="s">
        <v>26</v>
      </c>
      <c r="E3270" t="s">
        <v>91</v>
      </c>
      <c r="F3270">
        <v>1</v>
      </c>
      <c r="G3270" s="3" t="s">
        <v>5</v>
      </c>
      <c r="H3270" s="44" t="s">
        <v>15</v>
      </c>
      <c r="I3270" s="17">
        <v>536000</v>
      </c>
      <c r="J3270" s="17">
        <f>IF(Gastos[[#This Row],[Divisa]]="$", I3270*1, IF(Gastos[[#This Row],[Divisa]]="U$D", I3270*$N$1, IF(Gastos[[#This Row],[Divisa]]="EUR", I3270*$N$2, 0)))</f>
        <v>536000</v>
      </c>
      <c r="K3270" s="54">
        <f>Gastos[[#This Row],[Importe AR$]]/$N$1</f>
        <v>343.58974358974359</v>
      </c>
      <c r="M3270" s="69"/>
      <c r="N3270" s="43" t="str">
        <f>IF(Gastos[[#This Row],[Fecha_Cheque]]&gt;0,WEEKNUM(Gastos[[#This Row],[Fecha_Cheque]]),MID(Gastos[[#This Row],[Semana]],6,2))</f>
        <v>44</v>
      </c>
      <c r="P3270" t="s">
        <v>7</v>
      </c>
    </row>
    <row r="3271" spans="1:16" x14ac:dyDescent="0.25">
      <c r="A3271" s="3" t="s">
        <v>4655</v>
      </c>
      <c r="B3271" t="s">
        <v>1760</v>
      </c>
      <c r="C3271" t="s">
        <v>3914</v>
      </c>
      <c r="D3271" t="s">
        <v>26</v>
      </c>
      <c r="E3271" t="s">
        <v>62</v>
      </c>
      <c r="F3271">
        <v>2</v>
      </c>
      <c r="G3271" s="3" t="s">
        <v>32</v>
      </c>
      <c r="H3271" s="46" t="s">
        <v>15</v>
      </c>
      <c r="I3271" s="17">
        <v>4290000</v>
      </c>
      <c r="J3271" s="17">
        <f>IF(Gastos[[#This Row],[Divisa]]="$", I3271*1, IF(Gastos[[#This Row],[Divisa]]="U$D", I3271*$N$1, IF(Gastos[[#This Row],[Divisa]]="EUR", I3271*$N$2, 0)))</f>
        <v>4290000</v>
      </c>
      <c r="K3271" s="54">
        <f>Gastos[[#This Row],[Importe AR$]]/$N$1</f>
        <v>2750</v>
      </c>
      <c r="M3271" s="69"/>
      <c r="N3271" s="43" t="str">
        <f>IF(Gastos[[#This Row],[Fecha_Cheque]]&gt;0,WEEKNUM(Gastos[[#This Row],[Fecha_Cheque]]),MID(Gastos[[#This Row],[Semana]],6,2))</f>
        <v>44</v>
      </c>
    </row>
    <row r="3272" spans="1:16" hidden="1" x14ac:dyDescent="0.25">
      <c r="A3272" s="3" t="s">
        <v>128</v>
      </c>
      <c r="B3272" t="s">
        <v>1896</v>
      </c>
      <c r="C3272" t="s">
        <v>1897</v>
      </c>
      <c r="D3272" t="s">
        <v>26</v>
      </c>
      <c r="E3272" t="s">
        <v>31</v>
      </c>
      <c r="F3272">
        <v>1</v>
      </c>
      <c r="G3272" s="3" t="s">
        <v>5</v>
      </c>
      <c r="H3272" s="46" t="s">
        <v>15</v>
      </c>
      <c r="I3272" s="17">
        <v>2096325</v>
      </c>
      <c r="J3272" s="17">
        <f>IF(Gastos[[#This Row],[Divisa]]="$", I3272*1, IF(Gastos[[#This Row],[Divisa]]="U$D", I3272*$N$1, IF(Gastos[[#This Row],[Divisa]]="EUR", I3272*$N$2, 0)))</f>
        <v>2096325</v>
      </c>
      <c r="K3272" s="54">
        <f>Gastos[[#This Row],[Importe AR$]]/$N$1</f>
        <v>1343.7980769230769</v>
      </c>
      <c r="M3272" s="69"/>
      <c r="N3272" s="43" t="str">
        <f>IF(Gastos[[#This Row],[Fecha_Cheque]]&gt;0,WEEKNUM(Gastos[[#This Row],[Fecha_Cheque]]),MID(Gastos[[#This Row],[Semana]],6,2))</f>
        <v>43</v>
      </c>
      <c r="O3272" t="s">
        <v>1898</v>
      </c>
      <c r="P3272" t="s">
        <v>27</v>
      </c>
    </row>
    <row r="3273" spans="1:16" hidden="1" x14ac:dyDescent="0.25">
      <c r="A3273" s="3" t="s">
        <v>171</v>
      </c>
      <c r="B3273" t="s">
        <v>1899</v>
      </c>
      <c r="C3273" t="s">
        <v>1900</v>
      </c>
      <c r="D3273" t="s">
        <v>26</v>
      </c>
      <c r="E3273" t="s">
        <v>31</v>
      </c>
      <c r="F3273">
        <v>1</v>
      </c>
      <c r="G3273" s="3" t="s">
        <v>32</v>
      </c>
      <c r="H3273" s="46" t="s">
        <v>15</v>
      </c>
      <c r="I3273" s="17">
        <v>5000000</v>
      </c>
      <c r="J3273" s="17">
        <f>IF(Gastos[[#This Row],[Divisa]]="$", I3273*1, IF(Gastos[[#This Row],[Divisa]]="U$D", I3273*$N$1, IF(Gastos[[#This Row],[Divisa]]="EUR", I3273*$N$2, 0)))</f>
        <v>5000000</v>
      </c>
      <c r="K3273" s="54">
        <f>Gastos[[#This Row],[Importe AR$]]/$N$1</f>
        <v>3205.1282051282051</v>
      </c>
      <c r="M3273" s="69">
        <v>45947</v>
      </c>
      <c r="N3273" s="43">
        <f>IF(Gastos[[#This Row],[Fecha_Cheque]]&gt;0,WEEKNUM(Gastos[[#This Row],[Fecha_Cheque]]),MID(Gastos[[#This Row],[Semana]],6,2))</f>
        <v>42</v>
      </c>
      <c r="O3273" t="s">
        <v>1901</v>
      </c>
      <c r="P3273" t="s">
        <v>27</v>
      </c>
    </row>
    <row r="3274" spans="1:16" hidden="1" x14ac:dyDescent="0.25">
      <c r="A3274" s="3" t="s">
        <v>56</v>
      </c>
      <c r="B3274" t="s">
        <v>1899</v>
      </c>
      <c r="C3274" t="s">
        <v>1900</v>
      </c>
      <c r="D3274" t="s">
        <v>26</v>
      </c>
      <c r="E3274" t="s">
        <v>31</v>
      </c>
      <c r="F3274">
        <v>1</v>
      </c>
      <c r="G3274" s="3" t="s">
        <v>32</v>
      </c>
      <c r="H3274" s="46" t="s">
        <v>15</v>
      </c>
      <c r="I3274" s="17">
        <v>500371.20000000001</v>
      </c>
      <c r="J3274" s="17">
        <f>IF(Gastos[[#This Row],[Divisa]]="$", I3274*1, IF(Gastos[[#This Row],[Divisa]]="U$D", I3274*$N$1, IF(Gastos[[#This Row],[Divisa]]="EUR", I3274*$N$2, 0)))</f>
        <v>500371.20000000001</v>
      </c>
      <c r="K3274" s="54">
        <f>Gastos[[#This Row],[Importe AR$]]/$N$1</f>
        <v>320.75076923076927</v>
      </c>
      <c r="M3274" s="69">
        <v>45947</v>
      </c>
      <c r="N3274" s="43">
        <f>IF(Gastos[[#This Row],[Fecha_Cheque]]&gt;0,WEEKNUM(Gastos[[#This Row],[Fecha_Cheque]]),MID(Gastos[[#This Row],[Semana]],6,2))</f>
        <v>42</v>
      </c>
      <c r="O3274" t="s">
        <v>1902</v>
      </c>
      <c r="P3274" t="s">
        <v>27</v>
      </c>
    </row>
    <row r="3275" spans="1:16" hidden="1" x14ac:dyDescent="0.25">
      <c r="A3275" s="3" t="s">
        <v>56</v>
      </c>
      <c r="B3275" t="s">
        <v>1899</v>
      </c>
      <c r="C3275" t="s">
        <v>1900</v>
      </c>
      <c r="D3275" t="s">
        <v>26</v>
      </c>
      <c r="E3275" t="s">
        <v>31</v>
      </c>
      <c r="F3275">
        <v>1</v>
      </c>
      <c r="G3275" s="3" t="s">
        <v>32</v>
      </c>
      <c r="H3275" s="46" t="s">
        <v>15</v>
      </c>
      <c r="I3275" s="17">
        <v>1493366.7</v>
      </c>
      <c r="J3275" s="17">
        <f>IF(Gastos[[#This Row],[Divisa]]="$", I3275*1, IF(Gastos[[#This Row],[Divisa]]="U$D", I3275*$N$1, IF(Gastos[[#This Row],[Divisa]]="EUR", I3275*$N$2, 0)))</f>
        <v>1493366.7</v>
      </c>
      <c r="K3275" s="54">
        <f>Gastos[[#This Row],[Importe AR$]]/$N$1</f>
        <v>957.28634615384613</v>
      </c>
      <c r="M3275" s="69">
        <v>45950</v>
      </c>
      <c r="N3275" s="43">
        <f>IF(Gastos[[#This Row],[Fecha_Cheque]]&gt;0,WEEKNUM(Gastos[[#This Row],[Fecha_Cheque]]),MID(Gastos[[#This Row],[Semana]],6,2))</f>
        <v>43</v>
      </c>
      <c r="O3275" t="s">
        <v>1902</v>
      </c>
      <c r="P3275" t="s">
        <v>27</v>
      </c>
    </row>
    <row r="3276" spans="1:16" hidden="1" x14ac:dyDescent="0.25">
      <c r="A3276" s="3" t="s">
        <v>56</v>
      </c>
      <c r="B3276" t="s">
        <v>1899</v>
      </c>
      <c r="C3276" t="s">
        <v>1900</v>
      </c>
      <c r="D3276" t="s">
        <v>26</v>
      </c>
      <c r="E3276" t="s">
        <v>31</v>
      </c>
      <c r="F3276">
        <v>1</v>
      </c>
      <c r="G3276" s="3" t="s">
        <v>32</v>
      </c>
      <c r="H3276" s="46" t="s">
        <v>15</v>
      </c>
      <c r="I3276" s="17">
        <v>324008</v>
      </c>
      <c r="J3276" s="17">
        <f>IF(Gastos[[#This Row],[Divisa]]="$", I3276*1, IF(Gastos[[#This Row],[Divisa]]="U$D", I3276*$N$1, IF(Gastos[[#This Row],[Divisa]]="EUR", I3276*$N$2, 0)))</f>
        <v>324008</v>
      </c>
      <c r="K3276" s="54">
        <f>Gastos[[#This Row],[Importe AR$]]/$N$1</f>
        <v>207.69743589743589</v>
      </c>
      <c r="M3276" s="69">
        <v>45955</v>
      </c>
      <c r="N3276" s="43">
        <f>IF(Gastos[[#This Row],[Fecha_Cheque]]&gt;0,WEEKNUM(Gastos[[#This Row],[Fecha_Cheque]]),MID(Gastos[[#This Row],[Semana]],6,2))</f>
        <v>43</v>
      </c>
      <c r="O3276" t="s">
        <v>1902</v>
      </c>
      <c r="P3276" t="s">
        <v>27</v>
      </c>
    </row>
    <row r="3277" spans="1:16" hidden="1" x14ac:dyDescent="0.25">
      <c r="A3277" s="3" t="s">
        <v>56</v>
      </c>
      <c r="B3277" t="s">
        <v>1899</v>
      </c>
      <c r="C3277" t="s">
        <v>1900</v>
      </c>
      <c r="D3277" t="s">
        <v>26</v>
      </c>
      <c r="E3277" t="s">
        <v>31</v>
      </c>
      <c r="F3277">
        <v>1</v>
      </c>
      <c r="G3277" s="3" t="s">
        <v>32</v>
      </c>
      <c r="H3277" s="46" t="s">
        <v>15</v>
      </c>
      <c r="I3277" s="17">
        <v>404657.27</v>
      </c>
      <c r="J3277" s="17">
        <f>IF(Gastos[[#This Row],[Divisa]]="$", I3277*1, IF(Gastos[[#This Row],[Divisa]]="U$D", I3277*$N$1, IF(Gastos[[#This Row],[Divisa]]="EUR", I3277*$N$2, 0)))</f>
        <v>404657.27</v>
      </c>
      <c r="K3277" s="54">
        <f>Gastos[[#This Row],[Importe AR$]]/$N$1</f>
        <v>259.3956858974359</v>
      </c>
      <c r="M3277" s="69">
        <v>45961</v>
      </c>
      <c r="N3277" s="43">
        <f>IF(Gastos[[#This Row],[Fecha_Cheque]]&gt;0,WEEKNUM(Gastos[[#This Row],[Fecha_Cheque]]),MID(Gastos[[#This Row],[Semana]],6,2))</f>
        <v>44</v>
      </c>
      <c r="O3277" t="s">
        <v>1902</v>
      </c>
      <c r="P3277" t="s">
        <v>27</v>
      </c>
    </row>
    <row r="3278" spans="1:16" hidden="1" x14ac:dyDescent="0.25">
      <c r="A3278" s="3" t="s">
        <v>56</v>
      </c>
      <c r="B3278" t="s">
        <v>1899</v>
      </c>
      <c r="C3278" t="s">
        <v>1900</v>
      </c>
      <c r="D3278" t="s">
        <v>26</v>
      </c>
      <c r="E3278" t="s">
        <v>31</v>
      </c>
      <c r="F3278">
        <v>1</v>
      </c>
      <c r="G3278" s="3" t="s">
        <v>32</v>
      </c>
      <c r="H3278" s="46" t="s">
        <v>15</v>
      </c>
      <c r="I3278" s="17">
        <v>339006.62</v>
      </c>
      <c r="J3278" s="17">
        <f>IF(Gastos[[#This Row],[Divisa]]="$", I3278*1, IF(Gastos[[#This Row],[Divisa]]="U$D", I3278*$N$1, IF(Gastos[[#This Row],[Divisa]]="EUR", I3278*$N$2, 0)))</f>
        <v>339006.62</v>
      </c>
      <c r="K3278" s="54">
        <f>Gastos[[#This Row],[Importe AR$]]/$N$1</f>
        <v>217.31193589743589</v>
      </c>
      <c r="M3278" s="69">
        <v>45968</v>
      </c>
      <c r="N3278" s="43">
        <f>IF(Gastos[[#This Row],[Fecha_Cheque]]&gt;0,WEEKNUM(Gastos[[#This Row],[Fecha_Cheque]]),MID(Gastos[[#This Row],[Semana]],6,2))</f>
        <v>45</v>
      </c>
      <c r="O3278" t="s">
        <v>1902</v>
      </c>
      <c r="P3278" t="s">
        <v>27</v>
      </c>
    </row>
    <row r="3279" spans="1:16" hidden="1" x14ac:dyDescent="0.25">
      <c r="A3279" s="3" t="s">
        <v>56</v>
      </c>
      <c r="B3279" t="s">
        <v>1899</v>
      </c>
      <c r="C3279" t="s">
        <v>1900</v>
      </c>
      <c r="D3279" t="s">
        <v>26</v>
      </c>
      <c r="E3279" t="s">
        <v>31</v>
      </c>
      <c r="F3279">
        <v>1</v>
      </c>
      <c r="G3279" s="3" t="s">
        <v>32</v>
      </c>
      <c r="H3279" s="46" t="s">
        <v>15</v>
      </c>
      <c r="I3279" s="17">
        <v>1247144.4099999999</v>
      </c>
      <c r="J3279" s="17">
        <f>IF(Gastos[[#This Row],[Divisa]]="$", I3279*1, IF(Gastos[[#This Row],[Divisa]]="U$D", I3279*$N$1, IF(Gastos[[#This Row],[Divisa]]="EUR", I3279*$N$2, 0)))</f>
        <v>1247144.4099999999</v>
      </c>
      <c r="K3279" s="54">
        <f>Gastos[[#This Row],[Importe AR$]]/$N$1</f>
        <v>799.45154487179479</v>
      </c>
      <c r="M3279" s="69">
        <v>45975</v>
      </c>
      <c r="N3279" s="43">
        <f>IF(Gastos[[#This Row],[Fecha_Cheque]]&gt;0,WEEKNUM(Gastos[[#This Row],[Fecha_Cheque]]),MID(Gastos[[#This Row],[Semana]],6,2))</f>
        <v>46</v>
      </c>
      <c r="O3279" t="s">
        <v>1902</v>
      </c>
      <c r="P3279" t="s">
        <v>27</v>
      </c>
    </row>
    <row r="3280" spans="1:16" hidden="1" x14ac:dyDescent="0.25">
      <c r="A3280" s="3" t="s">
        <v>124</v>
      </c>
      <c r="B3280" t="s">
        <v>1899</v>
      </c>
      <c r="C3280" t="s">
        <v>1903</v>
      </c>
      <c r="D3280" t="s">
        <v>26</v>
      </c>
      <c r="E3280" t="s">
        <v>31</v>
      </c>
      <c r="F3280">
        <v>1</v>
      </c>
      <c r="G3280" s="3" t="s">
        <v>32</v>
      </c>
      <c r="H3280" s="46" t="s">
        <v>15</v>
      </c>
      <c r="I3280" s="17">
        <v>1414190.76</v>
      </c>
      <c r="J3280" s="17">
        <f>IF(Gastos[[#This Row],[Divisa]]="$", I3280*1, IF(Gastos[[#This Row],[Divisa]]="U$D", I3280*$N$1, IF(Gastos[[#This Row],[Divisa]]="EUR", I3280*$N$2, 0)))</f>
        <v>1414190.76</v>
      </c>
      <c r="K3280" s="54">
        <f>Gastos[[#This Row],[Importe AR$]]/$N$1</f>
        <v>906.53253846153848</v>
      </c>
      <c r="L3280" t="s">
        <v>215</v>
      </c>
      <c r="M3280" s="69">
        <v>45946</v>
      </c>
      <c r="N3280" s="43">
        <f>IF(Gastos[[#This Row],[Fecha_Cheque]]&gt;0,WEEKNUM(Gastos[[#This Row],[Fecha_Cheque]]),MID(Gastos[[#This Row],[Semana]],6,2))</f>
        <v>42</v>
      </c>
      <c r="O3280" t="s">
        <v>1904</v>
      </c>
      <c r="P3280" t="s">
        <v>27</v>
      </c>
    </row>
    <row r="3281" spans="1:16" hidden="1" x14ac:dyDescent="0.25">
      <c r="A3281" s="3" t="s">
        <v>232</v>
      </c>
      <c r="B3281" t="s">
        <v>1899</v>
      </c>
      <c r="C3281" t="s">
        <v>1905</v>
      </c>
      <c r="D3281" t="s">
        <v>26</v>
      </c>
      <c r="E3281" t="s">
        <v>31</v>
      </c>
      <c r="F3281">
        <v>1</v>
      </c>
      <c r="G3281" s="3" t="s">
        <v>32</v>
      </c>
      <c r="H3281" s="46" t="s">
        <v>15</v>
      </c>
      <c r="I3281" s="17">
        <v>1892019.68</v>
      </c>
      <c r="J3281" s="17">
        <f>IF(Gastos[[#This Row],[Divisa]]="$", I3281*1, IF(Gastos[[#This Row],[Divisa]]="U$D", I3281*$N$1, IF(Gastos[[#This Row],[Divisa]]="EUR", I3281*$N$2, 0)))</f>
        <v>1892019.68</v>
      </c>
      <c r="K3281" s="54">
        <f>Gastos[[#This Row],[Importe AR$]]/$N$1</f>
        <v>1212.8331282051281</v>
      </c>
      <c r="M3281" s="69"/>
      <c r="N3281" s="43" t="str">
        <f>IF(Gastos[[#This Row],[Fecha_Cheque]]&gt;0,WEEKNUM(Gastos[[#This Row],[Fecha_Cheque]]),MID(Gastos[[#This Row],[Semana]],6,2))</f>
        <v>44</v>
      </c>
      <c r="O3281" t="s">
        <v>1906</v>
      </c>
      <c r="P3281" t="s">
        <v>27</v>
      </c>
    </row>
    <row r="3282" spans="1:16" hidden="1" x14ac:dyDescent="0.25">
      <c r="A3282" s="3" t="s">
        <v>68</v>
      </c>
      <c r="B3282" t="s">
        <v>1899</v>
      </c>
      <c r="C3282" t="s">
        <v>1907</v>
      </c>
      <c r="D3282" t="s">
        <v>26</v>
      </c>
      <c r="E3282" t="s">
        <v>31</v>
      </c>
      <c r="F3282">
        <v>1</v>
      </c>
      <c r="G3282" s="3" t="s">
        <v>32</v>
      </c>
      <c r="H3282" s="46" t="s">
        <v>15</v>
      </c>
      <c r="I3282" s="17">
        <v>1020516.95</v>
      </c>
      <c r="J3282" s="17">
        <f>IF(Gastos[[#This Row],[Divisa]]="$", I3282*1, IF(Gastos[[#This Row],[Divisa]]="U$D", I3282*$N$1, IF(Gastos[[#This Row],[Divisa]]="EUR", I3282*$N$2, 0)))</f>
        <v>1020516.95</v>
      </c>
      <c r="K3282" s="54">
        <f>Gastos[[#This Row],[Importe AR$]]/$N$1</f>
        <v>654.17753205128201</v>
      </c>
      <c r="M3282" s="69">
        <v>46088</v>
      </c>
      <c r="N3282" s="43">
        <f>IF(Gastos[[#This Row],[Fecha_Cheque]]&gt;0,WEEKNUM(Gastos[[#This Row],[Fecha_Cheque]]),MID(Gastos[[#This Row],[Semana]],6,2))</f>
        <v>10</v>
      </c>
      <c r="O3282" t="s">
        <v>1908</v>
      </c>
      <c r="P3282" t="s">
        <v>27</v>
      </c>
    </row>
    <row r="3283" spans="1:16" hidden="1" x14ac:dyDescent="0.25">
      <c r="A3283" s="3" t="s">
        <v>68</v>
      </c>
      <c r="B3283" t="s">
        <v>1899</v>
      </c>
      <c r="C3283" t="s">
        <v>1907</v>
      </c>
      <c r="D3283" t="s">
        <v>26</v>
      </c>
      <c r="E3283" t="s">
        <v>31</v>
      </c>
      <c r="F3283">
        <v>1</v>
      </c>
      <c r="G3283" s="3" t="s">
        <v>32</v>
      </c>
      <c r="H3283" s="46" t="s">
        <v>15</v>
      </c>
      <c r="I3283" s="17">
        <v>1025660.32</v>
      </c>
      <c r="J3283" s="17">
        <f>IF(Gastos[[#This Row],[Divisa]]="$", I3283*1, IF(Gastos[[#This Row],[Divisa]]="U$D", I3283*$N$1, IF(Gastos[[#This Row],[Divisa]]="EUR", I3283*$N$2, 0)))</f>
        <v>1025660.32</v>
      </c>
      <c r="K3283" s="54">
        <f>Gastos[[#This Row],[Importe AR$]]/$N$1</f>
        <v>657.47456410256405</v>
      </c>
      <c r="M3283" s="69">
        <v>46080</v>
      </c>
      <c r="N3283" s="43">
        <f>IF(Gastos[[#This Row],[Fecha_Cheque]]&gt;0,WEEKNUM(Gastos[[#This Row],[Fecha_Cheque]]),MID(Gastos[[#This Row],[Semana]],6,2))</f>
        <v>9</v>
      </c>
      <c r="O3283" t="s">
        <v>1908</v>
      </c>
      <c r="P3283" t="s">
        <v>27</v>
      </c>
    </row>
    <row r="3284" spans="1:16" hidden="1" x14ac:dyDescent="0.25">
      <c r="A3284" s="3" t="s">
        <v>68</v>
      </c>
      <c r="B3284" t="s">
        <v>1899</v>
      </c>
      <c r="C3284" t="s">
        <v>1907</v>
      </c>
      <c r="D3284" t="s">
        <v>26</v>
      </c>
      <c r="E3284" t="s">
        <v>31</v>
      </c>
      <c r="F3284">
        <v>1</v>
      </c>
      <c r="G3284" s="3" t="s">
        <v>32</v>
      </c>
      <c r="H3284" s="46" t="s">
        <v>15</v>
      </c>
      <c r="I3284" s="17">
        <v>2500000</v>
      </c>
      <c r="J3284" s="17">
        <f>IF(Gastos[[#This Row],[Divisa]]="$", I3284*1, IF(Gastos[[#This Row],[Divisa]]="U$D", I3284*$N$1, IF(Gastos[[#This Row],[Divisa]]="EUR", I3284*$N$2, 0)))</f>
        <v>2500000</v>
      </c>
      <c r="K3284" s="54">
        <f>Gastos[[#This Row],[Importe AR$]]/$N$1</f>
        <v>1602.5641025641025</v>
      </c>
      <c r="M3284" s="69">
        <v>46110</v>
      </c>
      <c r="N3284" s="43">
        <f>IF(Gastos[[#This Row],[Fecha_Cheque]]&gt;0,WEEKNUM(Gastos[[#This Row],[Fecha_Cheque]]),MID(Gastos[[#This Row],[Semana]],6,2))</f>
        <v>14</v>
      </c>
      <c r="O3284" t="s">
        <v>1908</v>
      </c>
      <c r="P3284" t="s">
        <v>27</v>
      </c>
    </row>
    <row r="3285" spans="1:16" hidden="1" x14ac:dyDescent="0.25">
      <c r="A3285" s="3" t="s">
        <v>2740</v>
      </c>
      <c r="B3285" t="s">
        <v>1899</v>
      </c>
      <c r="C3285" t="s">
        <v>3011</v>
      </c>
      <c r="D3285" t="s">
        <v>26</v>
      </c>
      <c r="E3285" t="s">
        <v>62</v>
      </c>
      <c r="F3285">
        <v>1</v>
      </c>
      <c r="G3285" s="3" t="s">
        <v>32</v>
      </c>
      <c r="H3285" s="46" t="s">
        <v>15</v>
      </c>
      <c r="I3285" s="17">
        <v>1954947.6</v>
      </c>
      <c r="J3285" s="17">
        <f>IF(Gastos[[#This Row],[Divisa]]="$", I3285*1, IF(Gastos[[#This Row],[Divisa]]="U$D", I3285*$N$1, IF(Gastos[[#This Row],[Divisa]]="EUR", I3285*$N$2, 0)))</f>
        <v>1954947.6</v>
      </c>
      <c r="K3285" s="54">
        <f>Gastos[[#This Row],[Importe AR$]]/$N$1</f>
        <v>1253.1715384615386</v>
      </c>
      <c r="M3285" s="69">
        <v>46157</v>
      </c>
      <c r="N3285" s="43">
        <f>IF(Gastos[[#This Row],[Fecha_Cheque]]&gt;0,WEEKNUM(Gastos[[#This Row],[Fecha_Cheque]]),MID(Gastos[[#This Row],[Semana]],6,2))</f>
        <v>20</v>
      </c>
      <c r="O3285" t="s">
        <v>3012</v>
      </c>
      <c r="P3285" t="s">
        <v>27</v>
      </c>
    </row>
    <row r="3286" spans="1:16" hidden="1" x14ac:dyDescent="0.25">
      <c r="A3286" s="3" t="s">
        <v>2740</v>
      </c>
      <c r="B3286" t="s">
        <v>1899</v>
      </c>
      <c r="C3286" t="s">
        <v>3011</v>
      </c>
      <c r="D3286" t="s">
        <v>26</v>
      </c>
      <c r="E3286" t="s">
        <v>62</v>
      </c>
      <c r="F3286">
        <v>1</v>
      </c>
      <c r="G3286" s="3" t="s">
        <v>32</v>
      </c>
      <c r="H3286" s="46" t="s">
        <v>15</v>
      </c>
      <c r="I3286" s="17">
        <v>32313.42</v>
      </c>
      <c r="J3286" s="17">
        <f>IF(Gastos[[#This Row],[Divisa]]="$", I3286*1, IF(Gastos[[#This Row],[Divisa]]="U$D", I3286*$N$1, IF(Gastos[[#This Row],[Divisa]]="EUR", I3286*$N$2, 0)))</f>
        <v>32313.42</v>
      </c>
      <c r="K3286" s="54">
        <f>Gastos[[#This Row],[Importe AR$]]/$N$1</f>
        <v>20.713730769230768</v>
      </c>
      <c r="L3286" t="s">
        <v>340</v>
      </c>
      <c r="M3286" s="69"/>
      <c r="N3286" s="43" t="str">
        <f>IF(Gastos[[#This Row],[Fecha_Cheque]]&gt;0,WEEKNUM(Gastos[[#This Row],[Fecha_Cheque]]),MID(Gastos[[#This Row],[Semana]],6,2))</f>
        <v>16</v>
      </c>
      <c r="O3286" t="s">
        <v>3012</v>
      </c>
      <c r="P3286" t="s">
        <v>27</v>
      </c>
    </row>
    <row r="3287" spans="1:16" hidden="1" x14ac:dyDescent="0.25">
      <c r="A3287" s="3" t="s">
        <v>2740</v>
      </c>
      <c r="B3287" t="s">
        <v>1899</v>
      </c>
      <c r="C3287" t="s">
        <v>3011</v>
      </c>
      <c r="D3287" t="s">
        <v>26</v>
      </c>
      <c r="E3287" t="s">
        <v>62</v>
      </c>
      <c r="F3287">
        <v>1</v>
      </c>
      <c r="G3287" s="3" t="s">
        <v>32</v>
      </c>
      <c r="H3287" s="46" t="s">
        <v>15</v>
      </c>
      <c r="I3287" s="17">
        <v>3628387.86</v>
      </c>
      <c r="J3287" s="17">
        <f>IF(Gastos[[#This Row],[Divisa]]="$", I3287*1, IF(Gastos[[#This Row],[Divisa]]="U$D", I3287*$N$1, IF(Gastos[[#This Row],[Divisa]]="EUR", I3287*$N$2, 0)))</f>
        <v>3628387.86</v>
      </c>
      <c r="K3287" s="54">
        <f>Gastos[[#This Row],[Importe AR$]]/$N$1</f>
        <v>2325.8896538461536</v>
      </c>
      <c r="M3287" s="69">
        <v>46149</v>
      </c>
      <c r="N3287" s="43">
        <f>IF(Gastos[[#This Row],[Fecha_Cheque]]&gt;0,WEEKNUM(Gastos[[#This Row],[Fecha_Cheque]]),MID(Gastos[[#This Row],[Semana]],6,2))</f>
        <v>19</v>
      </c>
      <c r="O3287" t="s">
        <v>3013</v>
      </c>
      <c r="P3287" t="s">
        <v>27</v>
      </c>
    </row>
    <row r="3288" spans="1:16" hidden="1" x14ac:dyDescent="0.25">
      <c r="A3288" s="3" t="s">
        <v>2740</v>
      </c>
      <c r="B3288" t="s">
        <v>1899</v>
      </c>
      <c r="C3288" t="s">
        <v>3011</v>
      </c>
      <c r="D3288" t="s">
        <v>26</v>
      </c>
      <c r="E3288" t="s">
        <v>62</v>
      </c>
      <c r="F3288">
        <v>1</v>
      </c>
      <c r="G3288" s="3" t="s">
        <v>32</v>
      </c>
      <c r="H3288" s="46" t="s">
        <v>15</v>
      </c>
      <c r="I3288" s="17">
        <v>3393502.8</v>
      </c>
      <c r="J3288" s="17">
        <f>IF(Gastos[[#This Row],[Divisa]]="$", I3288*1, IF(Gastos[[#This Row],[Divisa]]="U$D", I3288*$N$1, IF(Gastos[[#This Row],[Divisa]]="EUR", I3288*$N$2, 0)))</f>
        <v>3393502.8</v>
      </c>
      <c r="K3288" s="54">
        <f>Gastos[[#This Row],[Importe AR$]]/$N$1</f>
        <v>2175.3223076923077</v>
      </c>
      <c r="M3288" s="69">
        <v>46157</v>
      </c>
      <c r="N3288" s="43">
        <f>IF(Gastos[[#This Row],[Fecha_Cheque]]&gt;0,WEEKNUM(Gastos[[#This Row],[Fecha_Cheque]]),MID(Gastos[[#This Row],[Semana]],6,2))</f>
        <v>20</v>
      </c>
      <c r="O3288" t="s">
        <v>3013</v>
      </c>
      <c r="P3288" t="s">
        <v>27</v>
      </c>
    </row>
    <row r="3289" spans="1:16" hidden="1" x14ac:dyDescent="0.25">
      <c r="A3289" s="3" t="s">
        <v>2740</v>
      </c>
      <c r="B3289" t="s">
        <v>1899</v>
      </c>
      <c r="C3289" t="s">
        <v>3011</v>
      </c>
      <c r="D3289" t="s">
        <v>26</v>
      </c>
      <c r="E3289" t="s">
        <v>62</v>
      </c>
      <c r="F3289">
        <v>1</v>
      </c>
      <c r="G3289" s="3" t="s">
        <v>32</v>
      </c>
      <c r="H3289" s="46" t="s">
        <v>15</v>
      </c>
      <c r="I3289" s="17">
        <v>113459.68</v>
      </c>
      <c r="J3289" s="17">
        <f>IF(Gastos[[#This Row],[Divisa]]="$", I3289*1, IF(Gastos[[#This Row],[Divisa]]="U$D", I3289*$N$1, IF(Gastos[[#This Row],[Divisa]]="EUR", I3289*$N$2, 0)))</f>
        <v>113459.68</v>
      </c>
      <c r="K3289" s="54">
        <f>Gastos[[#This Row],[Importe AR$]]/$N$1</f>
        <v>72.730564102564102</v>
      </c>
      <c r="M3289" s="69"/>
      <c r="N3289" s="43" t="str">
        <f>IF(Gastos[[#This Row],[Fecha_Cheque]]&gt;0,WEEKNUM(Gastos[[#This Row],[Fecha_Cheque]]),MID(Gastos[[#This Row],[Semana]],6,2))</f>
        <v>16</v>
      </c>
      <c r="O3289" t="s">
        <v>3013</v>
      </c>
      <c r="P3289" t="s">
        <v>27</v>
      </c>
    </row>
    <row r="3290" spans="1:16" hidden="1" x14ac:dyDescent="0.25">
      <c r="A3290" s="3" t="s">
        <v>2731</v>
      </c>
      <c r="B3290" t="s">
        <v>3105</v>
      </c>
      <c r="C3290" t="s">
        <v>2934</v>
      </c>
      <c r="D3290" t="s">
        <v>26</v>
      </c>
      <c r="E3290" t="s">
        <v>31</v>
      </c>
      <c r="F3290">
        <v>1</v>
      </c>
      <c r="G3290" s="3" t="s">
        <v>32</v>
      </c>
      <c r="H3290" s="44" t="s">
        <v>15</v>
      </c>
      <c r="I3290" s="17">
        <v>548831</v>
      </c>
      <c r="J3290" s="17">
        <f>IF(Gastos[[#This Row],[Divisa]]="$", I3290*1, IF(Gastos[[#This Row],[Divisa]]="U$D", I3290*$N$1, IF(Gastos[[#This Row],[Divisa]]="EUR", I3290*$N$2, 0)))</f>
        <v>548831</v>
      </c>
      <c r="K3290" s="54">
        <f>Gastos[[#This Row],[Importe AR$]]/$N$1</f>
        <v>351.81474358974361</v>
      </c>
      <c r="M3290" s="69">
        <v>46171</v>
      </c>
      <c r="N3290" s="43">
        <f>IF(Gastos[[#This Row],[Fecha_Cheque]]&gt;0,WEEKNUM(Gastos[[#This Row],[Fecha_Cheque]]),MID(Gastos[[#This Row],[Semana]],6,2))</f>
        <v>22</v>
      </c>
      <c r="O3290" t="s">
        <v>3106</v>
      </c>
      <c r="P3290" t="s">
        <v>27</v>
      </c>
    </row>
    <row r="3291" spans="1:16" hidden="1" x14ac:dyDescent="0.25">
      <c r="A3291" s="3" t="s">
        <v>2731</v>
      </c>
      <c r="B3291" t="s">
        <v>3105</v>
      </c>
      <c r="C3291" t="s">
        <v>2934</v>
      </c>
      <c r="D3291" t="s">
        <v>26</v>
      </c>
      <c r="E3291" t="s">
        <v>31</v>
      </c>
      <c r="F3291">
        <v>1</v>
      </c>
      <c r="G3291" s="3" t="s">
        <v>32</v>
      </c>
      <c r="H3291" s="44" t="s">
        <v>15</v>
      </c>
      <c r="I3291" s="17">
        <v>548831</v>
      </c>
      <c r="J3291" s="17">
        <f>IF(Gastos[[#This Row],[Divisa]]="$", I3291*1, IF(Gastos[[#This Row],[Divisa]]="U$D", I3291*$N$1, IF(Gastos[[#This Row],[Divisa]]="EUR", I3291*$N$2, 0)))</f>
        <v>548831</v>
      </c>
      <c r="K3291" s="54">
        <f>Gastos[[#This Row],[Importe AR$]]/$N$1</f>
        <v>351.81474358974361</v>
      </c>
      <c r="M3291" s="69">
        <v>46161</v>
      </c>
      <c r="N3291" s="43">
        <f>IF(Gastos[[#This Row],[Fecha_Cheque]]&gt;0,WEEKNUM(Gastos[[#This Row],[Fecha_Cheque]]),MID(Gastos[[#This Row],[Semana]],6,2))</f>
        <v>21</v>
      </c>
      <c r="O3291" t="s">
        <v>3106</v>
      </c>
      <c r="P3291" t="s">
        <v>27</v>
      </c>
    </row>
    <row r="3292" spans="1:16" hidden="1" x14ac:dyDescent="0.25">
      <c r="A3292" s="3" t="s">
        <v>2731</v>
      </c>
      <c r="B3292" t="s">
        <v>3105</v>
      </c>
      <c r="C3292" t="s">
        <v>2934</v>
      </c>
      <c r="D3292" t="s">
        <v>26</v>
      </c>
      <c r="E3292" t="s">
        <v>31</v>
      </c>
      <c r="F3292">
        <v>1</v>
      </c>
      <c r="G3292" s="3" t="s">
        <v>32</v>
      </c>
      <c r="H3292" s="44" t="s">
        <v>15</v>
      </c>
      <c r="I3292" s="17">
        <v>548831</v>
      </c>
      <c r="J3292" s="17">
        <f>IF(Gastos[[#This Row],[Divisa]]="$", I3292*1, IF(Gastos[[#This Row],[Divisa]]="U$D", I3292*$N$1, IF(Gastos[[#This Row],[Divisa]]="EUR", I3292*$N$2, 0)))</f>
        <v>548831</v>
      </c>
      <c r="K3292" s="54">
        <f>Gastos[[#This Row],[Importe AR$]]/$N$1</f>
        <v>351.81474358974361</v>
      </c>
      <c r="M3292" s="69">
        <v>46178</v>
      </c>
      <c r="N3292" s="43">
        <f>IF(Gastos[[#This Row],[Fecha_Cheque]]&gt;0,WEEKNUM(Gastos[[#This Row],[Fecha_Cheque]]),MID(Gastos[[#This Row],[Semana]],6,2))</f>
        <v>23</v>
      </c>
      <c r="O3292" t="s">
        <v>3106</v>
      </c>
      <c r="P3292" t="s">
        <v>27</v>
      </c>
    </row>
    <row r="3293" spans="1:16" hidden="1" x14ac:dyDescent="0.25">
      <c r="A3293" s="3" t="s">
        <v>2731</v>
      </c>
      <c r="B3293" t="s">
        <v>3105</v>
      </c>
      <c r="C3293" t="s">
        <v>2934</v>
      </c>
      <c r="D3293" t="s">
        <v>26</v>
      </c>
      <c r="E3293" t="s">
        <v>31</v>
      </c>
      <c r="F3293">
        <v>1</v>
      </c>
      <c r="G3293" s="3" t="s">
        <v>32</v>
      </c>
      <c r="H3293" s="44" t="s">
        <v>15</v>
      </c>
      <c r="I3293" s="17">
        <v>2406885</v>
      </c>
      <c r="J3293" s="17">
        <f>IF(Gastos[[#This Row],[Divisa]]="$", I3293*1, IF(Gastos[[#This Row],[Divisa]]="U$D", I3293*$N$1, IF(Gastos[[#This Row],[Divisa]]="EUR", I3293*$N$2, 0)))</f>
        <v>2406885</v>
      </c>
      <c r="K3293" s="54">
        <f>Gastos[[#This Row],[Importe AR$]]/$N$1</f>
        <v>1542.875</v>
      </c>
      <c r="M3293" s="69">
        <v>46163</v>
      </c>
      <c r="N3293" s="43">
        <f>IF(Gastos[[#This Row],[Fecha_Cheque]]&gt;0,WEEKNUM(Gastos[[#This Row],[Fecha_Cheque]]),MID(Gastos[[#This Row],[Semana]],6,2))</f>
        <v>21</v>
      </c>
      <c r="O3293" t="s">
        <v>3106</v>
      </c>
      <c r="P3293" t="s">
        <v>27</v>
      </c>
    </row>
    <row r="3294" spans="1:16" hidden="1" x14ac:dyDescent="0.25">
      <c r="A3294" s="3" t="s">
        <v>2731</v>
      </c>
      <c r="B3294" t="s">
        <v>3105</v>
      </c>
      <c r="C3294" t="s">
        <v>2934</v>
      </c>
      <c r="D3294" t="s">
        <v>26</v>
      </c>
      <c r="E3294" t="s">
        <v>31</v>
      </c>
      <c r="F3294">
        <v>1</v>
      </c>
      <c r="G3294" s="3" t="s">
        <v>32</v>
      </c>
      <c r="H3294" s="44" t="s">
        <v>15</v>
      </c>
      <c r="I3294" s="17">
        <v>68124</v>
      </c>
      <c r="J3294" s="17">
        <f>IF(Gastos[[#This Row],[Divisa]]="$", I3294*1, IF(Gastos[[#This Row],[Divisa]]="U$D", I3294*$N$1, IF(Gastos[[#This Row],[Divisa]]="EUR", I3294*$N$2, 0)))</f>
        <v>68124</v>
      </c>
      <c r="K3294" s="54">
        <f>Gastos[[#This Row],[Importe AR$]]/$N$1</f>
        <v>43.669230769230772</v>
      </c>
      <c r="L3294" t="s">
        <v>340</v>
      </c>
      <c r="M3294" s="69"/>
      <c r="N3294" s="43" t="str">
        <f>IF(Gastos[[#This Row],[Fecha_Cheque]]&gt;0,WEEKNUM(Gastos[[#This Row],[Fecha_Cheque]]),MID(Gastos[[#This Row],[Semana]],6,2))</f>
        <v>17</v>
      </c>
      <c r="O3294" t="s">
        <v>3106</v>
      </c>
      <c r="P3294" t="s">
        <v>27</v>
      </c>
    </row>
    <row r="3295" spans="1:16" hidden="1" x14ac:dyDescent="0.25">
      <c r="A3295" s="3" t="s">
        <v>2841</v>
      </c>
      <c r="B3295" t="s">
        <v>3105</v>
      </c>
      <c r="C3295" t="s">
        <v>125</v>
      </c>
      <c r="D3295" t="s">
        <v>26</v>
      </c>
      <c r="E3295" t="s">
        <v>31</v>
      </c>
      <c r="F3295">
        <v>1</v>
      </c>
      <c r="G3295" s="3" t="s">
        <v>5</v>
      </c>
      <c r="H3295" s="44" t="s">
        <v>15</v>
      </c>
      <c r="I3295" s="17">
        <v>2406885</v>
      </c>
      <c r="J3295" s="17">
        <f>IF(Gastos[[#This Row],[Divisa]]="$", I3295*1, IF(Gastos[[#This Row],[Divisa]]="U$D", I3295*$N$1, IF(Gastos[[#This Row],[Divisa]]="EUR", I3295*$N$2, 0)))</f>
        <v>2406885</v>
      </c>
      <c r="K3295" s="54">
        <f>Gastos[[#This Row],[Importe AR$]]/$N$1</f>
        <v>1542.875</v>
      </c>
      <c r="M3295" s="69"/>
      <c r="N3295" s="43" t="str">
        <f>IF(Gastos[[#This Row],[Fecha_Cheque]]&gt;0,WEEKNUM(Gastos[[#This Row],[Fecha_Cheque]]),MID(Gastos[[#This Row],[Semana]],6,2))</f>
        <v>22</v>
      </c>
      <c r="O3295" t="s">
        <v>3292</v>
      </c>
      <c r="P3295" t="s">
        <v>27</v>
      </c>
    </row>
    <row r="3296" spans="1:16" hidden="1" x14ac:dyDescent="0.25">
      <c r="A3296" s="3" t="s">
        <v>3882</v>
      </c>
      <c r="B3296" t="s">
        <v>3105</v>
      </c>
      <c r="C3296" t="s">
        <v>3011</v>
      </c>
      <c r="D3296" t="s">
        <v>26</v>
      </c>
      <c r="E3296" t="s">
        <v>62</v>
      </c>
      <c r="F3296">
        <v>1</v>
      </c>
      <c r="G3296" s="3" t="s">
        <v>32</v>
      </c>
      <c r="H3296" s="44" t="s">
        <v>15</v>
      </c>
      <c r="I3296" s="17">
        <v>930079</v>
      </c>
      <c r="J3296" s="17">
        <f>IF(Gastos[[#This Row],[Divisa]]="$", I3296*1, IF(Gastos[[#This Row],[Divisa]]="U$D", I3296*$N$1, IF(Gastos[[#This Row],[Divisa]]="EUR", I3296*$N$2, 0)))</f>
        <v>930079</v>
      </c>
      <c r="K3296" s="54">
        <f>Gastos[[#This Row],[Importe AR$]]/$N$1</f>
        <v>596.20448717948716</v>
      </c>
      <c r="M3296" s="69">
        <v>46262</v>
      </c>
      <c r="N3296" s="43">
        <f>IF(Gastos[[#This Row],[Fecha_Cheque]]&gt;0,WEEKNUM(Gastos[[#This Row],[Fecha_Cheque]]),MID(Gastos[[#This Row],[Semana]],6,2))</f>
        <v>35</v>
      </c>
      <c r="O3296" t="s">
        <v>3913</v>
      </c>
      <c r="P3296" t="s">
        <v>27</v>
      </c>
    </row>
    <row r="3297" spans="1:16" hidden="1" x14ac:dyDescent="0.25">
      <c r="A3297" s="3" t="s">
        <v>3882</v>
      </c>
      <c r="B3297" t="s">
        <v>3105</v>
      </c>
      <c r="C3297" t="s">
        <v>3011</v>
      </c>
      <c r="D3297" t="s">
        <v>26</v>
      </c>
      <c r="E3297" t="s">
        <v>62</v>
      </c>
      <c r="F3297">
        <v>1</v>
      </c>
      <c r="G3297" s="3" t="s">
        <v>5</v>
      </c>
      <c r="H3297" s="44" t="s">
        <v>15</v>
      </c>
      <c r="I3297" s="17">
        <v>81858.45</v>
      </c>
      <c r="J3297" s="17">
        <f>IF(Gastos[[#This Row],[Divisa]]="$", I3297*1, IF(Gastos[[#This Row],[Divisa]]="U$D", I3297*$N$1, IF(Gastos[[#This Row],[Divisa]]="EUR", I3297*$N$2, 0)))</f>
        <v>81858.45</v>
      </c>
      <c r="K3297" s="54">
        <f>Gastos[[#This Row],[Importe AR$]]/$N$1</f>
        <v>52.473365384615384</v>
      </c>
      <c r="M3297" s="69"/>
      <c r="N3297" s="43" t="str">
        <f>IF(Gastos[[#This Row],[Fecha_Cheque]]&gt;0,WEEKNUM(Gastos[[#This Row],[Fecha_Cheque]]),MID(Gastos[[#This Row],[Semana]],6,2))</f>
        <v>31</v>
      </c>
      <c r="O3297" t="s">
        <v>3898</v>
      </c>
      <c r="P3297" t="s">
        <v>27</v>
      </c>
    </row>
    <row r="3298" spans="1:16" hidden="1" x14ac:dyDescent="0.25">
      <c r="A3298" s="3" t="s">
        <v>3882</v>
      </c>
      <c r="B3298" t="s">
        <v>3105</v>
      </c>
      <c r="C3298" t="s">
        <v>3011</v>
      </c>
      <c r="D3298" t="s">
        <v>26</v>
      </c>
      <c r="E3298" t="s">
        <v>62</v>
      </c>
      <c r="F3298">
        <v>1</v>
      </c>
      <c r="G3298" s="3" t="s">
        <v>32</v>
      </c>
      <c r="H3298" s="44" t="s">
        <v>15</v>
      </c>
      <c r="I3298" s="17">
        <v>12452.06</v>
      </c>
      <c r="J3298" s="17">
        <f>IF(Gastos[[#This Row],[Divisa]]="$", I3298*1, IF(Gastos[[#This Row],[Divisa]]="U$D", I3298*$N$1, IF(Gastos[[#This Row],[Divisa]]="EUR", I3298*$N$2, 0)))</f>
        <v>12452.06</v>
      </c>
      <c r="K3298" s="54">
        <f>Gastos[[#This Row],[Importe AR$]]/$N$1</f>
        <v>7.9820897435897429</v>
      </c>
      <c r="L3298" t="s">
        <v>340</v>
      </c>
      <c r="M3298" s="69"/>
      <c r="N3298" s="43" t="str">
        <f>IF(Gastos[[#This Row],[Fecha_Cheque]]&gt;0,WEEKNUM(Gastos[[#This Row],[Fecha_Cheque]]),MID(Gastos[[#This Row],[Semana]],6,2))</f>
        <v>31</v>
      </c>
      <c r="O3298" t="s">
        <v>3913</v>
      </c>
      <c r="P3298" t="s">
        <v>27</v>
      </c>
    </row>
    <row r="3299" spans="1:16" hidden="1" x14ac:dyDescent="0.25">
      <c r="A3299" s="3" t="s">
        <v>4157</v>
      </c>
      <c r="B3299" t="s">
        <v>3105</v>
      </c>
      <c r="C3299" t="s">
        <v>2934</v>
      </c>
      <c r="D3299" t="s">
        <v>26</v>
      </c>
      <c r="E3299" t="s">
        <v>31</v>
      </c>
      <c r="F3299">
        <v>1</v>
      </c>
      <c r="G3299" s="3" t="s">
        <v>32</v>
      </c>
      <c r="H3299" s="44" t="s">
        <v>15</v>
      </c>
      <c r="I3299" s="17">
        <v>11133936</v>
      </c>
      <c r="J3299" s="17">
        <f>IF(Gastos[[#This Row],[Divisa]]="$", I3299*1, IF(Gastos[[#This Row],[Divisa]]="U$D", I3299*$N$1, IF(Gastos[[#This Row],[Divisa]]="EUR", I3299*$N$2, 0)))</f>
        <v>11133936</v>
      </c>
      <c r="K3299" s="54">
        <f>Gastos[[#This Row],[Importe AR$]]/$N$1</f>
        <v>7137.1384615384613</v>
      </c>
      <c r="M3299" s="69">
        <v>46294</v>
      </c>
      <c r="N3299" s="43">
        <f>IF(Gastos[[#This Row],[Fecha_Cheque]]&gt;0,WEEKNUM(Gastos[[#This Row],[Fecha_Cheque]]),MID(Gastos[[#This Row],[Semana]],6,2))</f>
        <v>40</v>
      </c>
      <c r="O3299" t="s">
        <v>4178</v>
      </c>
      <c r="P3299" t="s">
        <v>27</v>
      </c>
    </row>
    <row r="3300" spans="1:16" hidden="1" x14ac:dyDescent="0.25">
      <c r="A3300" s="3" t="s">
        <v>4157</v>
      </c>
      <c r="B3300" t="s">
        <v>3105</v>
      </c>
      <c r="C3300" t="s">
        <v>2934</v>
      </c>
      <c r="D3300" t="s">
        <v>26</v>
      </c>
      <c r="E3300" t="s">
        <v>31</v>
      </c>
      <c r="F3300">
        <v>1</v>
      </c>
      <c r="G3300" s="3" t="s">
        <v>32</v>
      </c>
      <c r="H3300" s="44" t="s">
        <v>15</v>
      </c>
      <c r="I3300" s="17">
        <v>218198.72</v>
      </c>
      <c r="J3300" s="17">
        <f>IF(Gastos[[#This Row],[Divisa]]="$", I3300*1, IF(Gastos[[#This Row],[Divisa]]="U$D", I3300*$N$1, IF(Gastos[[#This Row],[Divisa]]="EUR", I3300*$N$2, 0)))</f>
        <v>218198.72</v>
      </c>
      <c r="K3300" s="54">
        <f>Gastos[[#This Row],[Importe AR$]]/$N$1</f>
        <v>139.87097435897437</v>
      </c>
      <c r="L3300" t="s">
        <v>340</v>
      </c>
      <c r="M3300" s="69"/>
      <c r="N3300" s="43" t="str">
        <f>IF(Gastos[[#This Row],[Fecha_Cheque]]&gt;0,WEEKNUM(Gastos[[#This Row],[Fecha_Cheque]]),MID(Gastos[[#This Row],[Semana]],6,2))</f>
        <v>36</v>
      </c>
      <c r="O3300" t="s">
        <v>4178</v>
      </c>
      <c r="P3300" t="s">
        <v>27</v>
      </c>
    </row>
    <row r="3301" spans="1:16" hidden="1" x14ac:dyDescent="0.25">
      <c r="A3301" s="3" t="s">
        <v>4157</v>
      </c>
      <c r="B3301" t="s">
        <v>3105</v>
      </c>
      <c r="C3301" t="s">
        <v>4110</v>
      </c>
      <c r="D3301" t="s">
        <v>26</v>
      </c>
      <c r="E3301" t="s">
        <v>31</v>
      </c>
      <c r="F3301">
        <v>1</v>
      </c>
      <c r="G3301" s="3" t="s">
        <v>32</v>
      </c>
      <c r="H3301" s="44" t="s">
        <v>15</v>
      </c>
      <c r="I3301" s="17">
        <v>930079</v>
      </c>
      <c r="J3301" s="17">
        <f>IF(Gastos[[#This Row],[Divisa]]="$", I3301*1, IF(Gastos[[#This Row],[Divisa]]="U$D", I3301*$N$1, IF(Gastos[[#This Row],[Divisa]]="EUR", I3301*$N$2, 0)))</f>
        <v>930079</v>
      </c>
      <c r="K3301" s="54">
        <f>Gastos[[#This Row],[Importe AR$]]/$N$1</f>
        <v>596.20448717948716</v>
      </c>
      <c r="M3301" s="69"/>
      <c r="N3301" s="43" t="str">
        <f>IF(Gastos[[#This Row],[Fecha_Cheque]]&gt;0,WEEKNUM(Gastos[[#This Row],[Fecha_Cheque]]),MID(Gastos[[#This Row],[Semana]],6,2))</f>
        <v>36</v>
      </c>
      <c r="O3301" t="s">
        <v>4195</v>
      </c>
      <c r="P3301" t="s">
        <v>27</v>
      </c>
    </row>
    <row r="3302" spans="1:16" hidden="1" x14ac:dyDescent="0.25">
      <c r="A3302" s="3" t="s">
        <v>4447</v>
      </c>
      <c r="B3302" t="s">
        <v>3105</v>
      </c>
      <c r="C3302" t="s">
        <v>4491</v>
      </c>
      <c r="D3302" t="s">
        <v>26</v>
      </c>
      <c r="E3302" t="s">
        <v>62</v>
      </c>
      <c r="F3302">
        <v>2</v>
      </c>
      <c r="G3302" s="3" t="s">
        <v>32</v>
      </c>
      <c r="H3302" s="44" t="s">
        <v>15</v>
      </c>
      <c r="I3302" s="17">
        <v>11133936</v>
      </c>
      <c r="J3302" s="17">
        <f>IF(Gastos[[#This Row],[Divisa]]="$", I3302*1, IF(Gastos[[#This Row],[Divisa]]="U$D", I3302*$N$1, IF(Gastos[[#This Row],[Divisa]]="EUR", I3302*$N$2, 0)))</f>
        <v>11133936</v>
      </c>
      <c r="K3302" s="54">
        <f>Gastos[[#This Row],[Importe AR$]]/$N$1</f>
        <v>7137.1384615384613</v>
      </c>
      <c r="M3302" s="69"/>
      <c r="N3302" s="43" t="str">
        <f>IF(Gastos[[#This Row],[Fecha_Cheque]]&gt;0,WEEKNUM(Gastos[[#This Row],[Fecha_Cheque]]),MID(Gastos[[#This Row],[Semana]],6,2))</f>
        <v>41</v>
      </c>
      <c r="O3302" t="s">
        <v>4492</v>
      </c>
      <c r="P3302" t="s">
        <v>27</v>
      </c>
    </row>
    <row r="3303" spans="1:16" hidden="1" x14ac:dyDescent="0.25">
      <c r="A3303" s="3" t="s">
        <v>4447</v>
      </c>
      <c r="B3303" t="s">
        <v>3105</v>
      </c>
      <c r="C3303" t="s">
        <v>4491</v>
      </c>
      <c r="D3303" t="s">
        <v>26</v>
      </c>
      <c r="E3303" t="s">
        <v>62</v>
      </c>
      <c r="F3303">
        <v>2</v>
      </c>
      <c r="G3303" s="3" t="s">
        <v>32</v>
      </c>
      <c r="H3303" s="44" t="s">
        <v>15</v>
      </c>
      <c r="I3303" s="17">
        <v>15851</v>
      </c>
      <c r="J3303" s="17">
        <f>IF(Gastos[[#This Row],[Divisa]]="$", I3303*1, IF(Gastos[[#This Row],[Divisa]]="U$D", I3303*$N$1, IF(Gastos[[#This Row],[Divisa]]="EUR", I3303*$N$2, 0)))</f>
        <v>15851</v>
      </c>
      <c r="K3303" s="54">
        <f>Gastos[[#This Row],[Importe AR$]]/$N$1</f>
        <v>10.160897435897436</v>
      </c>
      <c r="M3303" s="69"/>
      <c r="N3303" s="43" t="str">
        <f>IF(Gastos[[#This Row],[Fecha_Cheque]]&gt;0,WEEKNUM(Gastos[[#This Row],[Fecha_Cheque]]),MID(Gastos[[#This Row],[Semana]],6,2))</f>
        <v>41</v>
      </c>
      <c r="O3303" t="s">
        <v>4496</v>
      </c>
      <c r="P3303" t="s">
        <v>27</v>
      </c>
    </row>
    <row r="3304" spans="1:16" hidden="1" x14ac:dyDescent="0.25">
      <c r="A3304" s="3" t="s">
        <v>4513</v>
      </c>
      <c r="B3304" t="s">
        <v>3105</v>
      </c>
      <c r="C3304" t="s">
        <v>2934</v>
      </c>
      <c r="D3304" t="s">
        <v>26</v>
      </c>
      <c r="E3304" t="s">
        <v>62</v>
      </c>
      <c r="F3304">
        <v>1</v>
      </c>
      <c r="G3304" s="3" t="s">
        <v>32</v>
      </c>
      <c r="H3304" s="44" t="s">
        <v>15</v>
      </c>
      <c r="I3304" s="17">
        <v>2400000</v>
      </c>
      <c r="J3304" s="17">
        <f>IF(Gastos[[#This Row],[Divisa]]="$", I3304*1, IF(Gastos[[#This Row],[Divisa]]="U$D", I3304*$N$1, IF(Gastos[[#This Row],[Divisa]]="EUR", I3304*$N$2, 0)))</f>
        <v>2400000</v>
      </c>
      <c r="K3304" s="54">
        <f>Gastos[[#This Row],[Importe AR$]]/$N$1</f>
        <v>1538.4615384615386</v>
      </c>
      <c r="M3304" s="69">
        <v>46356</v>
      </c>
      <c r="N3304" s="43">
        <f>IF(Gastos[[#This Row],[Fecha_Cheque]]&gt;0,WEEKNUM(Gastos[[#This Row],[Fecha_Cheque]]),MID(Gastos[[#This Row],[Semana]],6,2))</f>
        <v>49</v>
      </c>
      <c r="O3304" t="s">
        <v>4554</v>
      </c>
      <c r="P3304" t="s">
        <v>27</v>
      </c>
    </row>
    <row r="3305" spans="1:16" hidden="1" x14ac:dyDescent="0.25">
      <c r="A3305" s="3" t="s">
        <v>4513</v>
      </c>
      <c r="B3305" t="s">
        <v>3105</v>
      </c>
      <c r="C3305" t="s">
        <v>2934</v>
      </c>
      <c r="D3305" t="s">
        <v>26</v>
      </c>
      <c r="E3305" t="s">
        <v>62</v>
      </c>
      <c r="F3305">
        <v>1</v>
      </c>
      <c r="G3305" s="3" t="s">
        <v>32</v>
      </c>
      <c r="H3305" s="44" t="s">
        <v>15</v>
      </c>
      <c r="I3305" s="17">
        <v>2400000</v>
      </c>
      <c r="J3305" s="17">
        <f>IF(Gastos[[#This Row],[Divisa]]="$", I3305*1, IF(Gastos[[#This Row],[Divisa]]="U$D", I3305*$N$1, IF(Gastos[[#This Row],[Divisa]]="EUR", I3305*$N$2, 0)))</f>
        <v>2400000</v>
      </c>
      <c r="K3305" s="54">
        <f>Gastos[[#This Row],[Importe AR$]]/$N$1</f>
        <v>1538.4615384615386</v>
      </c>
      <c r="M3305" s="69">
        <v>46357</v>
      </c>
      <c r="N3305" s="43">
        <f>IF(Gastos[[#This Row],[Fecha_Cheque]]&gt;0,WEEKNUM(Gastos[[#This Row],[Fecha_Cheque]]),MID(Gastos[[#This Row],[Semana]],6,2))</f>
        <v>49</v>
      </c>
      <c r="O3305" t="s">
        <v>4554</v>
      </c>
      <c r="P3305" t="s">
        <v>27</v>
      </c>
    </row>
    <row r="3306" spans="1:16" hidden="1" x14ac:dyDescent="0.25">
      <c r="A3306" s="3" t="s">
        <v>4513</v>
      </c>
      <c r="B3306" t="s">
        <v>3105</v>
      </c>
      <c r="C3306" t="s">
        <v>2934</v>
      </c>
      <c r="D3306" t="s">
        <v>26</v>
      </c>
      <c r="E3306" t="s">
        <v>62</v>
      </c>
      <c r="F3306">
        <v>1</v>
      </c>
      <c r="G3306" s="3" t="s">
        <v>32</v>
      </c>
      <c r="H3306" s="44" t="s">
        <v>15</v>
      </c>
      <c r="I3306" s="17">
        <v>75120.84</v>
      </c>
      <c r="J3306" s="17">
        <f>IF(Gastos[[#This Row],[Divisa]]="$", I3306*1, IF(Gastos[[#This Row],[Divisa]]="U$D", I3306*$N$1, IF(Gastos[[#This Row],[Divisa]]="EUR", I3306*$N$2, 0)))</f>
        <v>75120.84</v>
      </c>
      <c r="K3306" s="54">
        <f>Gastos[[#This Row],[Importe AR$]]/$N$1</f>
        <v>48.154384615384615</v>
      </c>
      <c r="L3306" t="s">
        <v>340</v>
      </c>
      <c r="M3306" s="69"/>
      <c r="N3306" s="43" t="str">
        <f>IF(Gastos[[#This Row],[Fecha_Cheque]]&gt;0,WEEKNUM(Gastos[[#This Row],[Fecha_Cheque]]),MID(Gastos[[#This Row],[Semana]],6,2))</f>
        <v>42</v>
      </c>
      <c r="O3306" t="s">
        <v>4554</v>
      </c>
      <c r="P3306" t="s">
        <v>27</v>
      </c>
    </row>
    <row r="3307" spans="1:16" x14ac:dyDescent="0.25">
      <c r="A3307" s="3" t="s">
        <v>4655</v>
      </c>
      <c r="B3307" t="s">
        <v>1805</v>
      </c>
      <c r="C3307" t="s">
        <v>3436</v>
      </c>
      <c r="D3307" t="s">
        <v>26</v>
      </c>
      <c r="E3307" t="s">
        <v>62</v>
      </c>
      <c r="F3307">
        <v>1</v>
      </c>
      <c r="G3307" s="3" t="s">
        <v>32</v>
      </c>
      <c r="H3307" s="46" t="s">
        <v>2</v>
      </c>
      <c r="I3307" s="17">
        <v>528.97</v>
      </c>
      <c r="J3307" s="17">
        <f>IF(Gastos[[#This Row],[Divisa]]="$", I3307*1, IF(Gastos[[#This Row],[Divisa]]="U$D", I3307*$N$1, IF(Gastos[[#This Row],[Divisa]]="EUR", I3307*$N$2, 0)))</f>
        <v>825193.20000000007</v>
      </c>
      <c r="K3307" s="54">
        <f>Gastos[[#This Row],[Importe AR$]]/$N$1</f>
        <v>528.97</v>
      </c>
      <c r="M3307" s="69"/>
      <c r="N3307" s="43" t="str">
        <f>IF(Gastos[[#This Row],[Fecha_Cheque]]&gt;0,WEEKNUM(Gastos[[#This Row],[Fecha_Cheque]]),MID(Gastos[[#This Row],[Semana]],6,2))</f>
        <v>44</v>
      </c>
    </row>
    <row r="3308" spans="1:16" hidden="1" x14ac:dyDescent="0.25">
      <c r="A3308" s="3" t="s">
        <v>718</v>
      </c>
      <c r="B3308" t="s">
        <v>1911</v>
      </c>
      <c r="C3308" t="s">
        <v>1912</v>
      </c>
      <c r="D3308" t="s">
        <v>26</v>
      </c>
      <c r="E3308" t="s">
        <v>31</v>
      </c>
      <c r="F3308">
        <v>1</v>
      </c>
      <c r="G3308" s="3" t="s">
        <v>4</v>
      </c>
      <c r="H3308" s="46" t="s">
        <v>15</v>
      </c>
      <c r="I3308" s="17">
        <v>84000</v>
      </c>
      <c r="J3308" s="17">
        <f>IF(Gastos[[#This Row],[Divisa]]="$", I3308*1, IF(Gastos[[#This Row],[Divisa]]="U$D", I3308*$N$1, IF(Gastos[[#This Row],[Divisa]]="EUR", I3308*$N$2, 0)))</f>
        <v>84000</v>
      </c>
      <c r="K3308" s="54">
        <f>Gastos[[#This Row],[Importe AR$]]/$N$1</f>
        <v>53.846153846153847</v>
      </c>
      <c r="M3308" s="69"/>
      <c r="N3308" s="43" t="str">
        <f>IF(Gastos[[#This Row],[Fecha_Cheque]]&gt;0,WEEKNUM(Gastos[[#This Row],[Fecha_Cheque]]),MID(Gastos[[#This Row],[Semana]],6,2))</f>
        <v>18</v>
      </c>
      <c r="O3308" t="s">
        <v>1913</v>
      </c>
      <c r="P3308" t="s">
        <v>27</v>
      </c>
    </row>
    <row r="3309" spans="1:16" hidden="1" x14ac:dyDescent="0.25">
      <c r="A3309" s="3" t="s">
        <v>2740</v>
      </c>
      <c r="B3309" t="s">
        <v>3037</v>
      </c>
      <c r="C3309" t="s">
        <v>3038</v>
      </c>
      <c r="D3309" t="s">
        <v>26</v>
      </c>
      <c r="E3309" t="s">
        <v>42</v>
      </c>
      <c r="F3309">
        <v>1</v>
      </c>
      <c r="G3309" s="3" t="s">
        <v>4</v>
      </c>
      <c r="H3309" s="44" t="s">
        <v>15</v>
      </c>
      <c r="I3309" s="17">
        <v>38000</v>
      </c>
      <c r="J3309" s="17">
        <f>IF(Gastos[[#This Row],[Divisa]]="$", I3309*1, IF(Gastos[[#This Row],[Divisa]]="U$D", I3309*$N$1, IF(Gastos[[#This Row],[Divisa]]="EUR", I3309*$N$2, 0)))</f>
        <v>38000</v>
      </c>
      <c r="K3309" s="54">
        <f>Gastos[[#This Row],[Importe AR$]]/$N$1</f>
        <v>24.358974358974358</v>
      </c>
      <c r="M3309" s="69"/>
      <c r="N3309" s="43" t="str">
        <f>IF(Gastos[[#This Row],[Fecha_Cheque]]&gt;0,WEEKNUM(Gastos[[#This Row],[Fecha_Cheque]]),MID(Gastos[[#This Row],[Semana]],6,2))</f>
        <v>16</v>
      </c>
      <c r="O3309" t="s">
        <v>3039</v>
      </c>
      <c r="P3309" t="s">
        <v>27</v>
      </c>
    </row>
    <row r="3310" spans="1:16" hidden="1" x14ac:dyDescent="0.25">
      <c r="A3310" s="3" t="s">
        <v>2751</v>
      </c>
      <c r="B3310" t="s">
        <v>3037</v>
      </c>
      <c r="C3310" t="s">
        <v>3134</v>
      </c>
      <c r="D3310" t="s">
        <v>26</v>
      </c>
      <c r="E3310" t="s">
        <v>42</v>
      </c>
      <c r="F3310">
        <v>1</v>
      </c>
      <c r="G3310" s="3" t="s">
        <v>4</v>
      </c>
      <c r="H3310" s="44" t="s">
        <v>15</v>
      </c>
      <c r="I3310" s="17">
        <v>13000</v>
      </c>
      <c r="J3310" s="17">
        <f>IF(Gastos[[#This Row],[Divisa]]="$", I3310*1, IF(Gastos[[#This Row],[Divisa]]="U$D", I3310*$N$1, IF(Gastos[[#This Row],[Divisa]]="EUR", I3310*$N$2, 0)))</f>
        <v>13000</v>
      </c>
      <c r="K3310" s="54">
        <f>Gastos[[#This Row],[Importe AR$]]/$N$1</f>
        <v>8.3333333333333339</v>
      </c>
      <c r="M3310" s="69"/>
      <c r="N3310" s="43" t="str">
        <f>IF(Gastos[[#This Row],[Fecha_Cheque]]&gt;0,WEEKNUM(Gastos[[#This Row],[Fecha_Cheque]]),MID(Gastos[[#This Row],[Semana]],6,2))</f>
        <v>18</v>
      </c>
      <c r="O3310" t="s">
        <v>3135</v>
      </c>
      <c r="P3310" t="s">
        <v>27</v>
      </c>
    </row>
    <row r="3311" spans="1:16" hidden="1" x14ac:dyDescent="0.25">
      <c r="A3311" s="3" t="s">
        <v>2763</v>
      </c>
      <c r="B3311" t="s">
        <v>3037</v>
      </c>
      <c r="C3311" t="s">
        <v>3375</v>
      </c>
      <c r="D3311" t="s">
        <v>26</v>
      </c>
      <c r="E3311" t="s">
        <v>42</v>
      </c>
      <c r="F3311">
        <v>1</v>
      </c>
      <c r="G3311" s="3" t="s">
        <v>4</v>
      </c>
      <c r="H3311" s="44" t="s">
        <v>15</v>
      </c>
      <c r="I3311" s="17">
        <v>30000</v>
      </c>
      <c r="J3311" s="17">
        <f>IF(Gastos[[#This Row],[Divisa]]="$", I3311*1, IF(Gastos[[#This Row],[Divisa]]="U$D", I3311*$N$1, IF(Gastos[[#This Row],[Divisa]]="EUR", I3311*$N$2, 0)))</f>
        <v>30000</v>
      </c>
      <c r="K3311" s="54">
        <f>Gastos[[#This Row],[Importe AR$]]/$N$1</f>
        <v>19.23076923076923</v>
      </c>
      <c r="M3311" s="69"/>
      <c r="N3311" s="43" t="str">
        <f>IF(Gastos[[#This Row],[Fecha_Cheque]]&gt;0,WEEKNUM(Gastos[[#This Row],[Fecha_Cheque]]),MID(Gastos[[#This Row],[Semana]],6,2))</f>
        <v>23</v>
      </c>
      <c r="O3311" t="s">
        <v>3376</v>
      </c>
      <c r="P3311" t="s">
        <v>27</v>
      </c>
    </row>
    <row r="3312" spans="1:16" hidden="1" x14ac:dyDescent="0.25">
      <c r="A3312" s="3" t="s">
        <v>253</v>
      </c>
      <c r="B3312" t="s">
        <v>1914</v>
      </c>
      <c r="C3312" t="s">
        <v>1916</v>
      </c>
      <c r="D3312" t="s">
        <v>26</v>
      </c>
      <c r="E3312" t="s">
        <v>31</v>
      </c>
      <c r="F3312">
        <v>1</v>
      </c>
      <c r="G3312" s="3" t="s">
        <v>5</v>
      </c>
      <c r="H3312" s="46" t="s">
        <v>15</v>
      </c>
      <c r="I3312" s="17">
        <v>641148.75</v>
      </c>
      <c r="J3312" s="17">
        <f>IF(Gastos[[#This Row],[Divisa]]="$", I3312*1, IF(Gastos[[#This Row],[Divisa]]="U$D", I3312*$N$1, IF(Gastos[[#This Row],[Divisa]]="EUR", I3312*$N$2, 0)))</f>
        <v>641148.75</v>
      </c>
      <c r="K3312" s="54">
        <f>Gastos[[#This Row],[Importe AR$]]/$N$1</f>
        <v>410.99278846153845</v>
      </c>
      <c r="M3312" s="69"/>
      <c r="N3312" s="43" t="str">
        <f>IF(Gastos[[#This Row],[Fecha_Cheque]]&gt;0,WEEKNUM(Gastos[[#This Row],[Fecha_Cheque]]),MID(Gastos[[#This Row],[Semana]],6,2))</f>
        <v>24</v>
      </c>
      <c r="P3312" t="s">
        <v>27</v>
      </c>
    </row>
    <row r="3313" spans="1:16" hidden="1" x14ac:dyDescent="0.25">
      <c r="A3313" s="3" t="s">
        <v>332</v>
      </c>
      <c r="B3313" t="s">
        <v>1914</v>
      </c>
      <c r="C3313" t="s">
        <v>1915</v>
      </c>
      <c r="D3313" t="s">
        <v>61</v>
      </c>
      <c r="E3313" t="s">
        <v>62</v>
      </c>
      <c r="F3313">
        <v>1</v>
      </c>
      <c r="G3313" s="3" t="s">
        <v>32</v>
      </c>
      <c r="H3313" s="46" t="s">
        <v>15</v>
      </c>
      <c r="I3313" s="17">
        <v>1263082.7</v>
      </c>
      <c r="J3313" s="17">
        <f>IF(Gastos[[#This Row],[Divisa]]="$", I3313*1, IF(Gastos[[#This Row],[Divisa]]="U$D", I3313*$N$1, IF(Gastos[[#This Row],[Divisa]]="EUR", I3313*$N$2, 0)))</f>
        <v>1263082.7</v>
      </c>
      <c r="K3313" s="54">
        <f>Gastos[[#This Row],[Importe AR$]]/$N$1</f>
        <v>809.66839743589742</v>
      </c>
      <c r="L3313" s="48"/>
      <c r="M3313" s="69">
        <v>46122</v>
      </c>
      <c r="N3313" s="43">
        <f>IF(Gastos[[#This Row],[Fecha_Cheque]]&gt;0,WEEKNUM(Gastos[[#This Row],[Fecha_Cheque]]),MID(Gastos[[#This Row],[Semana]],6,2))</f>
        <v>15</v>
      </c>
      <c r="O3313" t="s">
        <v>2690</v>
      </c>
      <c r="P3313" t="s">
        <v>27</v>
      </c>
    </row>
    <row r="3314" spans="1:16" hidden="1" x14ac:dyDescent="0.25">
      <c r="A3314" s="3" t="s">
        <v>332</v>
      </c>
      <c r="B3314" t="s">
        <v>1914</v>
      </c>
      <c r="C3314" t="s">
        <v>1915</v>
      </c>
      <c r="D3314" t="s">
        <v>61</v>
      </c>
      <c r="E3314" t="s">
        <v>62</v>
      </c>
      <c r="F3314">
        <v>1</v>
      </c>
      <c r="G3314" s="3" t="s">
        <v>32</v>
      </c>
      <c r="H3314" s="46" t="s">
        <v>15</v>
      </c>
      <c r="I3314" s="17">
        <v>4325896.5999999996</v>
      </c>
      <c r="J3314" s="17">
        <f>IF(Gastos[[#This Row],[Divisa]]="$", I3314*1, IF(Gastos[[#This Row],[Divisa]]="U$D", I3314*$N$1, IF(Gastos[[#This Row],[Divisa]]="EUR", I3314*$N$2, 0)))</f>
        <v>4325896.5999999996</v>
      </c>
      <c r="K3314" s="54">
        <f>Gastos[[#This Row],[Importe AR$]]/$N$1</f>
        <v>2773.0106410256408</v>
      </c>
      <c r="L3314" s="48"/>
      <c r="M3314" s="69">
        <v>46111</v>
      </c>
      <c r="N3314" s="43">
        <f>IF(Gastos[[#This Row],[Fecha_Cheque]]&gt;0,WEEKNUM(Gastos[[#This Row],[Fecha_Cheque]]),MID(Gastos[[#This Row],[Semana]],6,2))</f>
        <v>14</v>
      </c>
      <c r="O3314" t="s">
        <v>2690</v>
      </c>
      <c r="P3314" t="s">
        <v>27</v>
      </c>
    </row>
    <row r="3315" spans="1:16" hidden="1" x14ac:dyDescent="0.25">
      <c r="A3315" s="3" t="s">
        <v>332</v>
      </c>
      <c r="B3315" t="s">
        <v>1914</v>
      </c>
      <c r="C3315" t="s">
        <v>1915</v>
      </c>
      <c r="D3315" t="s">
        <v>61</v>
      </c>
      <c r="E3315" t="s">
        <v>62</v>
      </c>
      <c r="F3315">
        <v>1</v>
      </c>
      <c r="G3315" s="3" t="s">
        <v>32</v>
      </c>
      <c r="H3315" s="46" t="s">
        <v>15</v>
      </c>
      <c r="I3315" s="17">
        <v>4500119.54</v>
      </c>
      <c r="J3315" s="17">
        <f>IF(Gastos[[#This Row],[Divisa]]="$", I3315*1, IF(Gastos[[#This Row],[Divisa]]="U$D", I3315*$N$1, IF(Gastos[[#This Row],[Divisa]]="EUR", I3315*$N$2, 0)))</f>
        <v>4500119.54</v>
      </c>
      <c r="K3315" s="54">
        <f>Gastos[[#This Row],[Importe AR$]]/$N$1</f>
        <v>2884.6920128205129</v>
      </c>
      <c r="L3315" s="48"/>
      <c r="M3315" s="69">
        <v>46130</v>
      </c>
      <c r="N3315" s="43">
        <f>IF(Gastos[[#This Row],[Fecha_Cheque]]&gt;0,WEEKNUM(Gastos[[#This Row],[Fecha_Cheque]]),MID(Gastos[[#This Row],[Semana]],6,2))</f>
        <v>16</v>
      </c>
      <c r="O3315" t="s">
        <v>2690</v>
      </c>
      <c r="P3315" t="s">
        <v>27</v>
      </c>
    </row>
    <row r="3316" spans="1:16" hidden="1" x14ac:dyDescent="0.25">
      <c r="A3316" s="3" t="s">
        <v>332</v>
      </c>
      <c r="B3316" t="s">
        <v>1914</v>
      </c>
      <c r="C3316" t="s">
        <v>1915</v>
      </c>
      <c r="D3316" t="s">
        <v>61</v>
      </c>
      <c r="E3316" t="s">
        <v>62</v>
      </c>
      <c r="F3316">
        <v>1</v>
      </c>
      <c r="G3316" s="3" t="s">
        <v>32</v>
      </c>
      <c r="H3316" s="46" t="s">
        <v>15</v>
      </c>
      <c r="I3316" s="17">
        <v>4500119.54</v>
      </c>
      <c r="J3316" s="17">
        <f>IF(Gastos[[#This Row],[Divisa]]="$", I3316*1, IF(Gastos[[#This Row],[Divisa]]="U$D", I3316*$N$1, IF(Gastos[[#This Row],[Divisa]]="EUR", I3316*$N$2, 0)))</f>
        <v>4500119.54</v>
      </c>
      <c r="K3316" s="54">
        <f>Gastos[[#This Row],[Importe AR$]]/$N$1</f>
        <v>2884.6920128205129</v>
      </c>
      <c r="L3316" s="48"/>
      <c r="M3316" s="69">
        <v>46130</v>
      </c>
      <c r="N3316" s="43">
        <f>IF(Gastos[[#This Row],[Fecha_Cheque]]&gt;0,WEEKNUM(Gastos[[#This Row],[Fecha_Cheque]]),MID(Gastos[[#This Row],[Semana]],6,2))</f>
        <v>16</v>
      </c>
      <c r="O3316" t="s">
        <v>2690</v>
      </c>
      <c r="P3316" t="s">
        <v>27</v>
      </c>
    </row>
    <row r="3317" spans="1:16" hidden="1" x14ac:dyDescent="0.25">
      <c r="A3317" s="3" t="s">
        <v>332</v>
      </c>
      <c r="B3317" t="s">
        <v>1914</v>
      </c>
      <c r="C3317" t="s">
        <v>1915</v>
      </c>
      <c r="D3317" t="s">
        <v>61</v>
      </c>
      <c r="E3317" t="s">
        <v>62</v>
      </c>
      <c r="F3317">
        <v>1</v>
      </c>
      <c r="G3317" s="3" t="s">
        <v>32</v>
      </c>
      <c r="H3317" s="46" t="s">
        <v>15</v>
      </c>
      <c r="I3317" s="17">
        <v>4500119.54</v>
      </c>
      <c r="J3317" s="17">
        <f>IF(Gastos[[#This Row],[Divisa]]="$", I3317*1, IF(Gastos[[#This Row],[Divisa]]="U$D", I3317*$N$1, IF(Gastos[[#This Row],[Divisa]]="EUR", I3317*$N$2, 0)))</f>
        <v>4500119.54</v>
      </c>
      <c r="K3317" s="54">
        <f>Gastos[[#This Row],[Importe AR$]]/$N$1</f>
        <v>2884.6920128205129</v>
      </c>
      <c r="L3317" s="48"/>
      <c r="M3317" s="69">
        <v>46130</v>
      </c>
      <c r="N3317" s="43">
        <f>IF(Gastos[[#This Row],[Fecha_Cheque]]&gt;0,WEEKNUM(Gastos[[#This Row],[Fecha_Cheque]]),MID(Gastos[[#This Row],[Semana]],6,2))</f>
        <v>16</v>
      </c>
      <c r="O3317" t="s">
        <v>2690</v>
      </c>
      <c r="P3317" t="s">
        <v>27</v>
      </c>
    </row>
    <row r="3318" spans="1:16" hidden="1" x14ac:dyDescent="0.25">
      <c r="A3318" s="3" t="s">
        <v>332</v>
      </c>
      <c r="B3318" t="s">
        <v>1914</v>
      </c>
      <c r="C3318" t="s">
        <v>1915</v>
      </c>
      <c r="D3318" t="s">
        <v>61</v>
      </c>
      <c r="E3318" t="s">
        <v>62</v>
      </c>
      <c r="F3318">
        <v>1</v>
      </c>
      <c r="G3318" s="3" t="s">
        <v>32</v>
      </c>
      <c r="H3318" s="46" t="s">
        <v>15</v>
      </c>
      <c r="I3318" s="17">
        <v>17626891.640000001</v>
      </c>
      <c r="J3318" s="17">
        <f>IF(Gastos[[#This Row],[Divisa]]="$", I3318*1, IF(Gastos[[#This Row],[Divisa]]="U$D", I3318*$N$1, IF(Gastos[[#This Row],[Divisa]]="EUR", I3318*$N$2, 0)))</f>
        <v>17626891.640000001</v>
      </c>
      <c r="K3318" s="54">
        <f>Gastos[[#This Row],[Importe AR$]]/$N$1</f>
        <v>11299.289512820513</v>
      </c>
      <c r="L3318" s="48"/>
      <c r="M3318" s="69">
        <v>46167</v>
      </c>
      <c r="N3318" s="43">
        <f>IF(Gastos[[#This Row],[Fecha_Cheque]]&gt;0,WEEKNUM(Gastos[[#This Row],[Fecha_Cheque]]),MID(Gastos[[#This Row],[Semana]],6,2))</f>
        <v>22</v>
      </c>
      <c r="O3318" t="s">
        <v>2690</v>
      </c>
      <c r="P3318" t="s">
        <v>27</v>
      </c>
    </row>
    <row r="3319" spans="1:16" hidden="1" x14ac:dyDescent="0.25">
      <c r="A3319" s="3" t="s">
        <v>332</v>
      </c>
      <c r="B3319" t="s">
        <v>1914</v>
      </c>
      <c r="C3319" t="s">
        <v>1915</v>
      </c>
      <c r="D3319" t="s">
        <v>61</v>
      </c>
      <c r="E3319" t="s">
        <v>62</v>
      </c>
      <c r="F3319">
        <v>1</v>
      </c>
      <c r="G3319" s="3" t="s">
        <v>32</v>
      </c>
      <c r="H3319" s="46" t="s">
        <v>15</v>
      </c>
      <c r="I3319" s="17">
        <v>17626891.640000001</v>
      </c>
      <c r="J3319" s="17">
        <f>IF(Gastos[[#This Row],[Divisa]]="$", I3319*1, IF(Gastos[[#This Row],[Divisa]]="U$D", I3319*$N$1, IF(Gastos[[#This Row],[Divisa]]="EUR", I3319*$N$2, 0)))</f>
        <v>17626891.640000001</v>
      </c>
      <c r="K3319" s="54">
        <f>Gastos[[#This Row],[Importe AR$]]/$N$1</f>
        <v>11299.289512820513</v>
      </c>
      <c r="L3319" s="48"/>
      <c r="M3319" s="69">
        <v>46174</v>
      </c>
      <c r="N3319" s="43">
        <f>IF(Gastos[[#This Row],[Fecha_Cheque]]&gt;0,WEEKNUM(Gastos[[#This Row],[Fecha_Cheque]]),MID(Gastos[[#This Row],[Semana]],6,2))</f>
        <v>23</v>
      </c>
      <c r="O3319" t="s">
        <v>2690</v>
      </c>
      <c r="P3319" t="s">
        <v>27</v>
      </c>
    </row>
    <row r="3320" spans="1:16" hidden="1" x14ac:dyDescent="0.25">
      <c r="A3320" s="3" t="s">
        <v>332</v>
      </c>
      <c r="B3320" t="s">
        <v>1914</v>
      </c>
      <c r="C3320" t="s">
        <v>1915</v>
      </c>
      <c r="D3320" t="s">
        <v>61</v>
      </c>
      <c r="E3320" t="s">
        <v>62</v>
      </c>
      <c r="F3320">
        <v>1</v>
      </c>
      <c r="G3320" s="3" t="s">
        <v>32</v>
      </c>
      <c r="H3320" s="46" t="s">
        <v>15</v>
      </c>
      <c r="I3320" s="17">
        <v>17626891.640000001</v>
      </c>
      <c r="J3320" s="17">
        <f>IF(Gastos[[#This Row],[Divisa]]="$", I3320*1, IF(Gastos[[#This Row],[Divisa]]="U$D", I3320*$N$1, IF(Gastos[[#This Row],[Divisa]]="EUR", I3320*$N$2, 0)))</f>
        <v>17626891.640000001</v>
      </c>
      <c r="K3320" s="54">
        <f>Gastos[[#This Row],[Importe AR$]]/$N$1</f>
        <v>11299.289512820513</v>
      </c>
      <c r="L3320" s="48"/>
      <c r="M3320" s="69">
        <v>46181</v>
      </c>
      <c r="N3320" s="43">
        <f>IF(Gastos[[#This Row],[Fecha_Cheque]]&gt;0,WEEKNUM(Gastos[[#This Row],[Fecha_Cheque]]),MID(Gastos[[#This Row],[Semana]],6,2))</f>
        <v>24</v>
      </c>
      <c r="O3320" t="s">
        <v>2690</v>
      </c>
      <c r="P3320" t="s">
        <v>27</v>
      </c>
    </row>
    <row r="3321" spans="1:16" hidden="1" x14ac:dyDescent="0.25">
      <c r="A3321" s="3" t="s">
        <v>332</v>
      </c>
      <c r="B3321" t="s">
        <v>1914</v>
      </c>
      <c r="C3321" t="s">
        <v>1915</v>
      </c>
      <c r="D3321" t="s">
        <v>61</v>
      </c>
      <c r="E3321" t="s">
        <v>62</v>
      </c>
      <c r="F3321">
        <v>1</v>
      </c>
      <c r="G3321" s="3" t="s">
        <v>32</v>
      </c>
      <c r="H3321" s="46" t="s">
        <v>15</v>
      </c>
      <c r="I3321" s="17">
        <v>17626891.640000001</v>
      </c>
      <c r="J3321" s="17">
        <f>IF(Gastos[[#This Row],[Divisa]]="$", I3321*1, IF(Gastos[[#This Row],[Divisa]]="U$D", I3321*$N$1, IF(Gastos[[#This Row],[Divisa]]="EUR", I3321*$N$2, 0)))</f>
        <v>17626891.640000001</v>
      </c>
      <c r="K3321" s="54">
        <f>Gastos[[#This Row],[Importe AR$]]/$N$1</f>
        <v>11299.289512820513</v>
      </c>
      <c r="L3321" s="48"/>
      <c r="M3321" s="69">
        <v>46188</v>
      </c>
      <c r="N3321" s="43">
        <f>IF(Gastos[[#This Row],[Fecha_Cheque]]&gt;0,WEEKNUM(Gastos[[#This Row],[Fecha_Cheque]]),MID(Gastos[[#This Row],[Semana]],6,2))</f>
        <v>25</v>
      </c>
      <c r="O3321" t="s">
        <v>2690</v>
      </c>
      <c r="P3321" t="s">
        <v>27</v>
      </c>
    </row>
    <row r="3322" spans="1:16" hidden="1" x14ac:dyDescent="0.25">
      <c r="A3322" s="3" t="s">
        <v>332</v>
      </c>
      <c r="B3322" t="s">
        <v>1914</v>
      </c>
      <c r="C3322" t="s">
        <v>1915</v>
      </c>
      <c r="D3322" t="s">
        <v>61</v>
      </c>
      <c r="E3322" t="s">
        <v>62</v>
      </c>
      <c r="F3322">
        <v>1</v>
      </c>
      <c r="G3322" s="3" t="s">
        <v>32</v>
      </c>
      <c r="H3322" s="46" t="s">
        <v>15</v>
      </c>
      <c r="I3322" s="17">
        <v>17626891.640000001</v>
      </c>
      <c r="J3322" s="17">
        <f>IF(Gastos[[#This Row],[Divisa]]="$", I3322*1, IF(Gastos[[#This Row],[Divisa]]="U$D", I3322*$N$1, IF(Gastos[[#This Row],[Divisa]]="EUR", I3322*$N$2, 0)))</f>
        <v>17626891.640000001</v>
      </c>
      <c r="K3322" s="54">
        <f>Gastos[[#This Row],[Importe AR$]]/$N$1</f>
        <v>11299.289512820513</v>
      </c>
      <c r="L3322" s="48"/>
      <c r="M3322" s="69">
        <v>46195</v>
      </c>
      <c r="N3322" s="43">
        <f>IF(Gastos[[#This Row],[Fecha_Cheque]]&gt;0,WEEKNUM(Gastos[[#This Row],[Fecha_Cheque]]),MID(Gastos[[#This Row],[Semana]],6,2))</f>
        <v>26</v>
      </c>
      <c r="O3322" t="s">
        <v>2690</v>
      </c>
      <c r="P3322" t="s">
        <v>27</v>
      </c>
    </row>
    <row r="3323" spans="1:16" hidden="1" x14ac:dyDescent="0.25">
      <c r="A3323" s="3" t="s">
        <v>332</v>
      </c>
      <c r="B3323" t="s">
        <v>1914</v>
      </c>
      <c r="C3323" t="s">
        <v>1915</v>
      </c>
      <c r="D3323" t="s">
        <v>61</v>
      </c>
      <c r="E3323" t="s">
        <v>62</v>
      </c>
      <c r="F3323">
        <v>1</v>
      </c>
      <c r="G3323" s="3" t="s">
        <v>32</v>
      </c>
      <c r="H3323" s="46" t="s">
        <v>15</v>
      </c>
      <c r="I3323" s="17">
        <v>17626891.640000001</v>
      </c>
      <c r="J3323" s="17">
        <f>IF(Gastos[[#This Row],[Divisa]]="$", I3323*1, IF(Gastos[[#This Row],[Divisa]]="U$D", I3323*$N$1, IF(Gastos[[#This Row],[Divisa]]="EUR", I3323*$N$2, 0)))</f>
        <v>17626891.640000001</v>
      </c>
      <c r="K3323" s="54">
        <f>Gastos[[#This Row],[Importe AR$]]/$N$1</f>
        <v>11299.289512820513</v>
      </c>
      <c r="L3323" s="48"/>
      <c r="M3323" s="69">
        <v>46202</v>
      </c>
      <c r="N3323" s="43">
        <f>IF(Gastos[[#This Row],[Fecha_Cheque]]&gt;0,WEEKNUM(Gastos[[#This Row],[Fecha_Cheque]]),MID(Gastos[[#This Row],[Semana]],6,2))</f>
        <v>27</v>
      </c>
      <c r="O3323" t="s">
        <v>2690</v>
      </c>
      <c r="P3323" t="s">
        <v>27</v>
      </c>
    </row>
    <row r="3324" spans="1:16" hidden="1" x14ac:dyDescent="0.25">
      <c r="A3324" s="3" t="s">
        <v>332</v>
      </c>
      <c r="B3324" t="s">
        <v>1914</v>
      </c>
      <c r="C3324" t="s">
        <v>1915</v>
      </c>
      <c r="D3324" t="s">
        <v>61</v>
      </c>
      <c r="E3324" t="s">
        <v>62</v>
      </c>
      <c r="F3324">
        <v>1</v>
      </c>
      <c r="G3324" s="3" t="s">
        <v>32</v>
      </c>
      <c r="H3324" s="46" t="s">
        <v>15</v>
      </c>
      <c r="I3324" s="17">
        <v>17626891.640000001</v>
      </c>
      <c r="J3324" s="17">
        <f>IF(Gastos[[#This Row],[Divisa]]="$", I3324*1, IF(Gastos[[#This Row],[Divisa]]="U$D", I3324*$N$1, IF(Gastos[[#This Row],[Divisa]]="EUR", I3324*$N$2, 0)))</f>
        <v>17626891.640000001</v>
      </c>
      <c r="K3324" s="54">
        <f>Gastos[[#This Row],[Importe AR$]]/$N$1</f>
        <v>11299.289512820513</v>
      </c>
      <c r="L3324" s="48"/>
      <c r="M3324" s="69">
        <v>46209</v>
      </c>
      <c r="N3324" s="43">
        <f>IF(Gastos[[#This Row],[Fecha_Cheque]]&gt;0,WEEKNUM(Gastos[[#This Row],[Fecha_Cheque]]),MID(Gastos[[#This Row],[Semana]],6,2))</f>
        <v>28</v>
      </c>
      <c r="O3324" t="s">
        <v>2690</v>
      </c>
      <c r="P3324" t="s">
        <v>27</v>
      </c>
    </row>
    <row r="3325" spans="1:16" hidden="1" x14ac:dyDescent="0.25">
      <c r="A3325" s="3" t="s">
        <v>332</v>
      </c>
      <c r="B3325" t="s">
        <v>1914</v>
      </c>
      <c r="C3325" t="s">
        <v>1915</v>
      </c>
      <c r="D3325" t="s">
        <v>61</v>
      </c>
      <c r="E3325" t="s">
        <v>62</v>
      </c>
      <c r="F3325">
        <v>1</v>
      </c>
      <c r="G3325" s="3" t="s">
        <v>32</v>
      </c>
      <c r="H3325" s="46" t="s">
        <v>15</v>
      </c>
      <c r="I3325" s="17">
        <v>17626891.640000001</v>
      </c>
      <c r="J3325" s="17">
        <f>IF(Gastos[[#This Row],[Divisa]]="$", I3325*1, IF(Gastos[[#This Row],[Divisa]]="U$D", I3325*$N$1, IF(Gastos[[#This Row],[Divisa]]="EUR", I3325*$N$2, 0)))</f>
        <v>17626891.640000001</v>
      </c>
      <c r="K3325" s="54">
        <f>Gastos[[#This Row],[Importe AR$]]/$N$1</f>
        <v>11299.289512820513</v>
      </c>
      <c r="L3325" s="48"/>
      <c r="M3325" s="69">
        <v>46216</v>
      </c>
      <c r="N3325" s="43">
        <f>IF(Gastos[[#This Row],[Fecha_Cheque]]&gt;0,WEEKNUM(Gastos[[#This Row],[Fecha_Cheque]]),MID(Gastos[[#This Row],[Semana]],6,2))</f>
        <v>29</v>
      </c>
      <c r="O3325" t="s">
        <v>2690</v>
      </c>
      <c r="P3325" t="s">
        <v>27</v>
      </c>
    </row>
    <row r="3326" spans="1:16" hidden="1" x14ac:dyDescent="0.25">
      <c r="A3326" s="3" t="s">
        <v>332</v>
      </c>
      <c r="B3326" t="s">
        <v>1914</v>
      </c>
      <c r="C3326" t="s">
        <v>1915</v>
      </c>
      <c r="D3326" t="s">
        <v>61</v>
      </c>
      <c r="E3326" t="s">
        <v>62</v>
      </c>
      <c r="F3326">
        <v>1</v>
      </c>
      <c r="G3326" s="3" t="s">
        <v>32</v>
      </c>
      <c r="H3326" s="46" t="s">
        <v>15</v>
      </c>
      <c r="I3326" s="17">
        <v>17626891.640000001</v>
      </c>
      <c r="J3326" s="17">
        <f>IF(Gastos[[#This Row],[Divisa]]="$", I3326*1, IF(Gastos[[#This Row],[Divisa]]="U$D", I3326*$N$1, IF(Gastos[[#This Row],[Divisa]]="EUR", I3326*$N$2, 0)))</f>
        <v>17626891.640000001</v>
      </c>
      <c r="K3326" s="54">
        <f>Gastos[[#This Row],[Importe AR$]]/$N$1</f>
        <v>11299.289512820513</v>
      </c>
      <c r="L3326" s="48"/>
      <c r="M3326" s="69">
        <v>46223</v>
      </c>
      <c r="N3326" s="43">
        <f>IF(Gastos[[#This Row],[Fecha_Cheque]]&gt;0,WEEKNUM(Gastos[[#This Row],[Fecha_Cheque]]),MID(Gastos[[#This Row],[Semana]],6,2))</f>
        <v>30</v>
      </c>
      <c r="O3326" t="s">
        <v>2690</v>
      </c>
      <c r="P3326" t="s">
        <v>27</v>
      </c>
    </row>
    <row r="3327" spans="1:16" hidden="1" x14ac:dyDescent="0.25">
      <c r="A3327" s="3" t="s">
        <v>332</v>
      </c>
      <c r="B3327" t="s">
        <v>1914</v>
      </c>
      <c r="C3327" t="s">
        <v>1915</v>
      </c>
      <c r="D3327" t="s">
        <v>61</v>
      </c>
      <c r="E3327" t="s">
        <v>62</v>
      </c>
      <c r="F3327">
        <v>1</v>
      </c>
      <c r="G3327" s="3" t="s">
        <v>32</v>
      </c>
      <c r="H3327" s="46" t="s">
        <v>15</v>
      </c>
      <c r="I3327" s="17">
        <v>17626891.640000001</v>
      </c>
      <c r="J3327" s="17">
        <f>IF(Gastos[[#This Row],[Divisa]]="$", I3327*1, IF(Gastos[[#This Row],[Divisa]]="U$D", I3327*$N$1, IF(Gastos[[#This Row],[Divisa]]="EUR", I3327*$N$2, 0)))</f>
        <v>17626891.640000001</v>
      </c>
      <c r="K3327" s="54">
        <f>Gastos[[#This Row],[Importe AR$]]/$N$1</f>
        <v>11299.289512820513</v>
      </c>
      <c r="M3327" s="69">
        <v>46230</v>
      </c>
      <c r="N3327" s="43">
        <f>IF(Gastos[[#This Row],[Fecha_Cheque]]&gt;0,WEEKNUM(Gastos[[#This Row],[Fecha_Cheque]]),MID(Gastos[[#This Row],[Semana]],6,2))</f>
        <v>31</v>
      </c>
      <c r="O3327" t="s">
        <v>2690</v>
      </c>
      <c r="P3327" t="s">
        <v>27</v>
      </c>
    </row>
    <row r="3328" spans="1:16" hidden="1" x14ac:dyDescent="0.25">
      <c r="A3328" s="3" t="s">
        <v>332</v>
      </c>
      <c r="B3328" t="s">
        <v>1914</v>
      </c>
      <c r="C3328" t="s">
        <v>1915</v>
      </c>
      <c r="D3328" t="s">
        <v>61</v>
      </c>
      <c r="E3328" t="s">
        <v>62</v>
      </c>
      <c r="F3328">
        <v>1</v>
      </c>
      <c r="G3328" s="3" t="s">
        <v>32</v>
      </c>
      <c r="H3328" s="46" t="s">
        <v>15</v>
      </c>
      <c r="I3328" s="17">
        <v>17626891.640000001</v>
      </c>
      <c r="J3328" s="17">
        <f>IF(Gastos[[#This Row],[Divisa]]="$", I3328*1, IF(Gastos[[#This Row],[Divisa]]="U$D", I3328*$N$1, IF(Gastos[[#This Row],[Divisa]]="EUR", I3328*$N$2, 0)))</f>
        <v>17626891.640000001</v>
      </c>
      <c r="K3328" s="54">
        <f>Gastos[[#This Row],[Importe AR$]]/$N$1</f>
        <v>11299.289512820513</v>
      </c>
      <c r="M3328" s="69">
        <v>46237</v>
      </c>
      <c r="N3328" s="43">
        <f>IF(Gastos[[#This Row],[Fecha_Cheque]]&gt;0,WEEKNUM(Gastos[[#This Row],[Fecha_Cheque]]),MID(Gastos[[#This Row],[Semana]],6,2))</f>
        <v>32</v>
      </c>
      <c r="O3328" t="s">
        <v>2690</v>
      </c>
      <c r="P3328" t="s">
        <v>27</v>
      </c>
    </row>
    <row r="3329" spans="1:16" hidden="1" x14ac:dyDescent="0.25">
      <c r="A3329" s="3" t="s">
        <v>332</v>
      </c>
      <c r="B3329" t="s">
        <v>1914</v>
      </c>
      <c r="C3329" t="s">
        <v>1915</v>
      </c>
      <c r="D3329" t="s">
        <v>61</v>
      </c>
      <c r="E3329" t="s">
        <v>62</v>
      </c>
      <c r="F3329">
        <v>1</v>
      </c>
      <c r="G3329" s="3" t="s">
        <v>32</v>
      </c>
      <c r="H3329" s="46" t="s">
        <v>15</v>
      </c>
      <c r="I3329" s="17">
        <v>17626891.640000001</v>
      </c>
      <c r="J3329" s="17">
        <f>IF(Gastos[[#This Row],[Divisa]]="$", I3329*1, IF(Gastos[[#This Row],[Divisa]]="U$D", I3329*$N$1, IF(Gastos[[#This Row],[Divisa]]="EUR", I3329*$N$2, 0)))</f>
        <v>17626891.640000001</v>
      </c>
      <c r="K3329" s="54">
        <f>Gastos[[#This Row],[Importe AR$]]/$N$1</f>
        <v>11299.289512820513</v>
      </c>
      <c r="M3329" s="69">
        <v>46244</v>
      </c>
      <c r="N3329" s="43">
        <f>IF(Gastos[[#This Row],[Fecha_Cheque]]&gt;0,WEEKNUM(Gastos[[#This Row],[Fecha_Cheque]]),MID(Gastos[[#This Row],[Semana]],6,2))</f>
        <v>33</v>
      </c>
      <c r="O3329" t="s">
        <v>2690</v>
      </c>
      <c r="P3329" t="s">
        <v>27</v>
      </c>
    </row>
    <row r="3330" spans="1:16" hidden="1" x14ac:dyDescent="0.25">
      <c r="A3330" s="3" t="s">
        <v>332</v>
      </c>
      <c r="B3330" t="s">
        <v>1914</v>
      </c>
      <c r="C3330" t="s">
        <v>1915</v>
      </c>
      <c r="D3330" t="s">
        <v>61</v>
      </c>
      <c r="E3330" t="s">
        <v>62</v>
      </c>
      <c r="F3330">
        <v>1</v>
      </c>
      <c r="G3330" s="3" t="s">
        <v>32</v>
      </c>
      <c r="H3330" s="46" t="s">
        <v>15</v>
      </c>
      <c r="I3330" s="17">
        <v>17626891.640000001</v>
      </c>
      <c r="J3330" s="17">
        <f>IF(Gastos[[#This Row],[Divisa]]="$", I3330*1, IF(Gastos[[#This Row],[Divisa]]="U$D", I3330*$N$1, IF(Gastos[[#This Row],[Divisa]]="EUR", I3330*$N$2, 0)))</f>
        <v>17626891.640000001</v>
      </c>
      <c r="K3330" s="54">
        <f>Gastos[[#This Row],[Importe AR$]]/$N$1</f>
        <v>11299.289512820513</v>
      </c>
      <c r="M3330" s="69">
        <v>46251</v>
      </c>
      <c r="N3330" s="43">
        <f>IF(Gastos[[#This Row],[Fecha_Cheque]]&gt;0,WEEKNUM(Gastos[[#This Row],[Fecha_Cheque]]),MID(Gastos[[#This Row],[Semana]],6,2))</f>
        <v>34</v>
      </c>
      <c r="O3330" t="s">
        <v>2690</v>
      </c>
      <c r="P3330" t="s">
        <v>27</v>
      </c>
    </row>
    <row r="3331" spans="1:16" hidden="1" x14ac:dyDescent="0.25">
      <c r="A3331" s="3" t="s">
        <v>332</v>
      </c>
      <c r="B3331" t="s">
        <v>1914</v>
      </c>
      <c r="C3331" t="s">
        <v>1915</v>
      </c>
      <c r="D3331" t="s">
        <v>61</v>
      </c>
      <c r="E3331" t="s">
        <v>62</v>
      </c>
      <c r="F3331">
        <v>1</v>
      </c>
      <c r="G3331" s="3" t="s">
        <v>32</v>
      </c>
      <c r="H3331" s="46" t="s">
        <v>15</v>
      </c>
      <c r="I3331" s="17">
        <v>17626891.640000001</v>
      </c>
      <c r="J3331" s="17">
        <f>IF(Gastos[[#This Row],[Divisa]]="$", I3331*1, IF(Gastos[[#This Row],[Divisa]]="U$D", I3331*$N$1, IF(Gastos[[#This Row],[Divisa]]="EUR", I3331*$N$2, 0)))</f>
        <v>17626891.640000001</v>
      </c>
      <c r="K3331" s="54">
        <f>Gastos[[#This Row],[Importe AR$]]/$N$1</f>
        <v>11299.289512820513</v>
      </c>
      <c r="M3331" s="69">
        <v>46258</v>
      </c>
      <c r="N3331" s="43">
        <f>IF(Gastos[[#This Row],[Fecha_Cheque]]&gt;0,WEEKNUM(Gastos[[#This Row],[Fecha_Cheque]]),MID(Gastos[[#This Row],[Semana]],6,2))</f>
        <v>35</v>
      </c>
      <c r="O3331" t="s">
        <v>2690</v>
      </c>
      <c r="P3331" t="s">
        <v>27</v>
      </c>
    </row>
    <row r="3332" spans="1:16" hidden="1" x14ac:dyDescent="0.25">
      <c r="A3332" s="3" t="s">
        <v>332</v>
      </c>
      <c r="B3332" t="s">
        <v>1914</v>
      </c>
      <c r="C3332" t="s">
        <v>1915</v>
      </c>
      <c r="D3332" t="s">
        <v>61</v>
      </c>
      <c r="E3332" t="s">
        <v>62</v>
      </c>
      <c r="F3332">
        <v>1</v>
      </c>
      <c r="G3332" s="3" t="s">
        <v>32</v>
      </c>
      <c r="H3332" s="46" t="s">
        <v>15</v>
      </c>
      <c r="I3332" s="17">
        <v>17626891.640000001</v>
      </c>
      <c r="J3332" s="17">
        <f>IF(Gastos[[#This Row],[Divisa]]="$", I3332*1, IF(Gastos[[#This Row],[Divisa]]="U$D", I3332*$N$1, IF(Gastos[[#This Row],[Divisa]]="EUR", I3332*$N$2, 0)))</f>
        <v>17626891.640000001</v>
      </c>
      <c r="K3332" s="54">
        <f>Gastos[[#This Row],[Importe AR$]]/$N$1</f>
        <v>11299.289512820513</v>
      </c>
      <c r="M3332" s="69">
        <v>46265</v>
      </c>
      <c r="N3332" s="43">
        <f>IF(Gastos[[#This Row],[Fecha_Cheque]]&gt;0,WEEKNUM(Gastos[[#This Row],[Fecha_Cheque]]),MID(Gastos[[#This Row],[Semana]],6,2))</f>
        <v>36</v>
      </c>
      <c r="O3332" t="s">
        <v>2690</v>
      </c>
      <c r="P3332" t="s">
        <v>27</v>
      </c>
    </row>
    <row r="3333" spans="1:16" hidden="1" x14ac:dyDescent="0.25">
      <c r="A3333" s="3" t="s">
        <v>332</v>
      </c>
      <c r="B3333" t="s">
        <v>1914</v>
      </c>
      <c r="C3333" t="s">
        <v>1915</v>
      </c>
      <c r="D3333" t="s">
        <v>61</v>
      </c>
      <c r="E3333" t="s">
        <v>62</v>
      </c>
      <c r="F3333">
        <v>1</v>
      </c>
      <c r="G3333" s="3" t="s">
        <v>32</v>
      </c>
      <c r="H3333" s="46" t="s">
        <v>15</v>
      </c>
      <c r="I3333" s="17">
        <v>4760026.28</v>
      </c>
      <c r="J3333" s="17">
        <f>IF(Gastos[[#This Row],[Divisa]]="$", I3333*1, IF(Gastos[[#This Row],[Divisa]]="U$D", I3333*$N$1, IF(Gastos[[#This Row],[Divisa]]="EUR", I3333*$N$2, 0)))</f>
        <v>4760026.28</v>
      </c>
      <c r="K3333" s="54">
        <f>Gastos[[#This Row],[Importe AR$]]/$N$1</f>
        <v>3051.2988974358977</v>
      </c>
      <c r="M3333" s="69"/>
      <c r="N3333" s="43" t="str">
        <f>IF(Gastos[[#This Row],[Fecha_Cheque]]&gt;0,WEEKNUM(Gastos[[#This Row],[Fecha_Cheque]]),MID(Gastos[[#This Row],[Semana]],6,2))</f>
        <v>12</v>
      </c>
      <c r="O3333" t="s">
        <v>2690</v>
      </c>
      <c r="P3333" t="s">
        <v>27</v>
      </c>
    </row>
    <row r="3334" spans="1:16" hidden="1" x14ac:dyDescent="0.25">
      <c r="A3334" s="3" t="s">
        <v>828</v>
      </c>
      <c r="B3334" t="s">
        <v>1914</v>
      </c>
      <c r="C3334" t="s">
        <v>2737</v>
      </c>
      <c r="D3334" t="s">
        <v>26</v>
      </c>
      <c r="E3334" t="s">
        <v>62</v>
      </c>
      <c r="F3334">
        <v>1</v>
      </c>
      <c r="G3334" s="3" t="s">
        <v>32</v>
      </c>
      <c r="H3334" s="46" t="s">
        <v>15</v>
      </c>
      <c r="I3334" s="17">
        <v>14518448.83</v>
      </c>
      <c r="J3334" s="17">
        <f>IF(Gastos[[#This Row],[Divisa]]="$", I3334*1, IF(Gastos[[#This Row],[Divisa]]="U$D", I3334*$N$1, IF(Gastos[[#This Row],[Divisa]]="EUR", I3334*$N$2, 0)))</f>
        <v>14518448.83</v>
      </c>
      <c r="K3334" s="54">
        <f>Gastos[[#This Row],[Importe AR$]]/$N$1</f>
        <v>9306.6979679487176</v>
      </c>
      <c r="M3334" s="69">
        <v>46198</v>
      </c>
      <c r="N3334" s="43">
        <f>IF(Gastos[[#This Row],[Fecha_Cheque]]&gt;0,WEEKNUM(Gastos[[#This Row],[Fecha_Cheque]]),MID(Gastos[[#This Row],[Semana]],6,2))</f>
        <v>26</v>
      </c>
      <c r="O3334" t="s">
        <v>2738</v>
      </c>
      <c r="P3334" t="s">
        <v>27</v>
      </c>
    </row>
    <row r="3335" spans="1:16" hidden="1" x14ac:dyDescent="0.25">
      <c r="A3335" s="3" t="s">
        <v>828</v>
      </c>
      <c r="B3335" t="s">
        <v>1914</v>
      </c>
      <c r="C3335" t="s">
        <v>2737</v>
      </c>
      <c r="D3335" t="s">
        <v>26</v>
      </c>
      <c r="E3335" t="s">
        <v>62</v>
      </c>
      <c r="F3335">
        <v>1</v>
      </c>
      <c r="G3335" s="3" t="s">
        <v>32</v>
      </c>
      <c r="H3335" s="46" t="s">
        <v>15</v>
      </c>
      <c r="I3335" s="17">
        <v>239974.35</v>
      </c>
      <c r="J3335" s="17">
        <f>IF(Gastos[[#This Row],[Divisa]]="$", I3335*1, IF(Gastos[[#This Row],[Divisa]]="U$D", I3335*$N$1, IF(Gastos[[#This Row],[Divisa]]="EUR", I3335*$N$2, 0)))</f>
        <v>239974.35</v>
      </c>
      <c r="K3335" s="54">
        <f>Gastos[[#This Row],[Importe AR$]]/$N$1</f>
        <v>153.82971153846154</v>
      </c>
      <c r="L3335" t="s">
        <v>340</v>
      </c>
      <c r="M3335" s="69"/>
      <c r="N3335" s="43" t="str">
        <f>IF(Gastos[[#This Row],[Fecha_Cheque]]&gt;0,WEEKNUM(Gastos[[#This Row],[Fecha_Cheque]]),MID(Gastos[[#This Row],[Semana]],6,2))</f>
        <v>13</v>
      </c>
      <c r="O3335" t="s">
        <v>2738</v>
      </c>
      <c r="P3335" t="s">
        <v>27</v>
      </c>
    </row>
    <row r="3336" spans="1:16" hidden="1" x14ac:dyDescent="0.25">
      <c r="A3336" s="3" t="s">
        <v>2740</v>
      </c>
      <c r="B3336" t="s">
        <v>1914</v>
      </c>
      <c r="C3336" t="s">
        <v>1915</v>
      </c>
      <c r="D3336" t="s">
        <v>61</v>
      </c>
      <c r="E3336" t="s">
        <v>31</v>
      </c>
      <c r="F3336">
        <v>1</v>
      </c>
      <c r="G3336" s="3" t="s">
        <v>32</v>
      </c>
      <c r="H3336" s="44" t="s">
        <v>15</v>
      </c>
      <c r="I3336" s="17">
        <v>14391739.93</v>
      </c>
      <c r="J3336" s="17">
        <f>IF(Gastos[[#This Row],[Divisa]]="$", I3336*1, IF(Gastos[[#This Row],[Divisa]]="U$D", I3336*$N$1, IF(Gastos[[#This Row],[Divisa]]="EUR", I3336*$N$2, 0)))</f>
        <v>14391739.93</v>
      </c>
      <c r="K3336" s="54">
        <f>Gastos[[#This Row],[Importe AR$]]/$N$1</f>
        <v>9225.4743141025647</v>
      </c>
      <c r="M3336" s="69">
        <v>46203</v>
      </c>
      <c r="N3336" s="43">
        <f>IF(Gastos[[#This Row],[Fecha_Cheque]]&gt;0,WEEKNUM(Gastos[[#This Row],[Fecha_Cheque]]),MID(Gastos[[#This Row],[Semana]],6,2))</f>
        <v>27</v>
      </c>
      <c r="O3336" t="s">
        <v>3015</v>
      </c>
      <c r="P3336" t="s">
        <v>27</v>
      </c>
    </row>
    <row r="3337" spans="1:16" hidden="1" x14ac:dyDescent="0.25">
      <c r="A3337" s="3" t="s">
        <v>2740</v>
      </c>
      <c r="B3337" t="s">
        <v>1914</v>
      </c>
      <c r="C3337" t="s">
        <v>1915</v>
      </c>
      <c r="D3337" t="s">
        <v>61</v>
      </c>
      <c r="E3337" t="s">
        <v>31</v>
      </c>
      <c r="F3337">
        <v>1</v>
      </c>
      <c r="G3337" s="3" t="s">
        <v>32</v>
      </c>
      <c r="H3337" s="44" t="s">
        <v>15</v>
      </c>
      <c r="I3337" s="17">
        <v>14391739.939999999</v>
      </c>
      <c r="J3337" s="17">
        <f>IF(Gastos[[#This Row],[Divisa]]="$", I3337*1, IF(Gastos[[#This Row],[Divisa]]="U$D", I3337*$N$1, IF(Gastos[[#This Row],[Divisa]]="EUR", I3337*$N$2, 0)))</f>
        <v>14391739.939999999</v>
      </c>
      <c r="K3337" s="54">
        <f>Gastos[[#This Row],[Importe AR$]]/$N$1</f>
        <v>9225.4743205128198</v>
      </c>
      <c r="M3337" s="69">
        <v>46213</v>
      </c>
      <c r="N3337" s="43">
        <f>IF(Gastos[[#This Row],[Fecha_Cheque]]&gt;0,WEEKNUM(Gastos[[#This Row],[Fecha_Cheque]]),MID(Gastos[[#This Row],[Semana]],6,2))</f>
        <v>28</v>
      </c>
      <c r="O3337" t="s">
        <v>3015</v>
      </c>
      <c r="P3337" t="s">
        <v>27</v>
      </c>
    </row>
    <row r="3338" spans="1:16" hidden="1" x14ac:dyDescent="0.25">
      <c r="A3338" s="3" t="s">
        <v>2740</v>
      </c>
      <c r="B3338" t="s">
        <v>1914</v>
      </c>
      <c r="C3338" t="s">
        <v>1915</v>
      </c>
      <c r="D3338" t="s">
        <v>26</v>
      </c>
      <c r="E3338" t="s">
        <v>31</v>
      </c>
      <c r="F3338">
        <v>1</v>
      </c>
      <c r="G3338" s="3" t="s">
        <v>32</v>
      </c>
      <c r="H3338" s="46" t="s">
        <v>15</v>
      </c>
      <c r="I3338" s="17">
        <v>479200.67</v>
      </c>
      <c r="J3338" s="17">
        <f>IF(Gastos[[#This Row],[Divisa]]="$", I3338*1, IF(Gastos[[#This Row],[Divisa]]="U$D", I3338*$N$1, IF(Gastos[[#This Row],[Divisa]]="EUR", I3338*$N$2, 0)))</f>
        <v>479200.67</v>
      </c>
      <c r="K3338" s="54">
        <f>Gastos[[#This Row],[Importe AR$]]/$N$1</f>
        <v>307.17991666666666</v>
      </c>
      <c r="L3338" t="s">
        <v>340</v>
      </c>
      <c r="M3338" s="69"/>
      <c r="N3338" s="43" t="str">
        <f>IF(Gastos[[#This Row],[Fecha_Cheque]]&gt;0,WEEKNUM(Gastos[[#This Row],[Fecha_Cheque]]),MID(Gastos[[#This Row],[Semana]],6,2))</f>
        <v>16</v>
      </c>
      <c r="O3338" t="s">
        <v>3015</v>
      </c>
      <c r="P3338" t="s">
        <v>27</v>
      </c>
    </row>
    <row r="3339" spans="1:16" hidden="1" x14ac:dyDescent="0.25">
      <c r="A3339" s="3" t="s">
        <v>2740</v>
      </c>
      <c r="B3339" t="s">
        <v>1914</v>
      </c>
      <c r="C3339" t="s">
        <v>1915</v>
      </c>
      <c r="D3339" t="s">
        <v>26</v>
      </c>
      <c r="E3339" t="s">
        <v>31</v>
      </c>
      <c r="F3339">
        <v>1</v>
      </c>
      <c r="G3339" s="3" t="s">
        <v>32</v>
      </c>
      <c r="H3339" s="44" t="s">
        <v>15</v>
      </c>
      <c r="I3339" s="17">
        <v>14025437.58</v>
      </c>
      <c r="J3339" s="17">
        <f>IF(Gastos[[#This Row],[Divisa]]="$", I3339*1, IF(Gastos[[#This Row],[Divisa]]="U$D", I3339*$N$1, IF(Gastos[[#This Row],[Divisa]]="EUR", I3339*$N$2, 0)))</f>
        <v>14025437.58</v>
      </c>
      <c r="K3339" s="54">
        <f>Gastos[[#This Row],[Importe AR$]]/$N$1</f>
        <v>8990.665115384616</v>
      </c>
      <c r="M3339" s="69">
        <v>46218</v>
      </c>
      <c r="N3339" s="43">
        <f>IF(Gastos[[#This Row],[Fecha_Cheque]]&gt;0,WEEKNUM(Gastos[[#This Row],[Fecha_Cheque]]),MID(Gastos[[#This Row],[Semana]],6,2))</f>
        <v>29</v>
      </c>
      <c r="O3339" t="s">
        <v>3016</v>
      </c>
      <c r="P3339" t="s">
        <v>27</v>
      </c>
    </row>
    <row r="3340" spans="1:16" hidden="1" x14ac:dyDescent="0.25">
      <c r="A3340" s="3" t="s">
        <v>2740</v>
      </c>
      <c r="B3340" t="s">
        <v>1914</v>
      </c>
      <c r="C3340" t="s">
        <v>1915</v>
      </c>
      <c r="D3340" t="s">
        <v>26</v>
      </c>
      <c r="E3340" t="s">
        <v>31</v>
      </c>
      <c r="F3340">
        <v>1</v>
      </c>
      <c r="G3340" s="3" t="s">
        <v>32</v>
      </c>
      <c r="H3340" s="44" t="s">
        <v>15</v>
      </c>
      <c r="I3340" s="17">
        <v>235721.64</v>
      </c>
      <c r="J3340" s="17">
        <f>IF(Gastos[[#This Row],[Divisa]]="$", I3340*1, IF(Gastos[[#This Row],[Divisa]]="U$D", I3340*$N$1, IF(Gastos[[#This Row],[Divisa]]="EUR", I3340*$N$2, 0)))</f>
        <v>235721.64</v>
      </c>
      <c r="K3340" s="54">
        <f>Gastos[[#This Row],[Importe AR$]]/$N$1</f>
        <v>151.10361538461538</v>
      </c>
      <c r="L3340" t="s">
        <v>340</v>
      </c>
      <c r="M3340" s="69"/>
      <c r="N3340" s="43" t="str">
        <f>IF(Gastos[[#This Row],[Fecha_Cheque]]&gt;0,WEEKNUM(Gastos[[#This Row],[Fecha_Cheque]]),MID(Gastos[[#This Row],[Semana]],6,2))</f>
        <v>16</v>
      </c>
      <c r="O3340" t="s">
        <v>3016</v>
      </c>
      <c r="P3340" t="s">
        <v>27</v>
      </c>
    </row>
    <row r="3341" spans="1:16" hidden="1" x14ac:dyDescent="0.25">
      <c r="A3341" s="3" t="s">
        <v>2763</v>
      </c>
      <c r="B3341" t="s">
        <v>1914</v>
      </c>
      <c r="C3341" t="s">
        <v>1915</v>
      </c>
      <c r="D3341" t="s">
        <v>61</v>
      </c>
      <c r="E3341" t="s">
        <v>62</v>
      </c>
      <c r="F3341">
        <v>1</v>
      </c>
      <c r="G3341" s="3" t="s">
        <v>32</v>
      </c>
      <c r="H3341" s="44" t="s">
        <v>15</v>
      </c>
      <c r="I3341" s="17">
        <v>7052568.8300000001</v>
      </c>
      <c r="J3341" s="17">
        <f>IF(Gastos[[#This Row],[Divisa]]="$", I3341*1, IF(Gastos[[#This Row],[Divisa]]="U$D", I3341*$N$1, IF(Gastos[[#This Row],[Divisa]]="EUR", I3341*$N$2, 0)))</f>
        <v>7052568.8300000001</v>
      </c>
      <c r="K3341" s="54">
        <f>Gastos[[#This Row],[Importe AR$]]/$N$1</f>
        <v>4520.8774551282049</v>
      </c>
      <c r="M3341" s="69">
        <v>46216</v>
      </c>
      <c r="N3341" s="43">
        <f>IF(Gastos[[#This Row],[Fecha_Cheque]]&gt;0,WEEKNUM(Gastos[[#This Row],[Fecha_Cheque]]),MID(Gastos[[#This Row],[Semana]],6,2))</f>
        <v>29</v>
      </c>
      <c r="O3341" t="s">
        <v>3382</v>
      </c>
      <c r="P3341" t="s">
        <v>27</v>
      </c>
    </row>
    <row r="3342" spans="1:16" hidden="1" x14ac:dyDescent="0.25">
      <c r="A3342" s="3" t="s">
        <v>2763</v>
      </c>
      <c r="B3342" t="s">
        <v>1914</v>
      </c>
      <c r="C3342" t="s">
        <v>1915</v>
      </c>
      <c r="D3342" t="s">
        <v>61</v>
      </c>
      <c r="E3342" t="s">
        <v>62</v>
      </c>
      <c r="F3342">
        <v>1</v>
      </c>
      <c r="G3342" s="3" t="s">
        <v>32</v>
      </c>
      <c r="H3342" s="44" t="s">
        <v>15</v>
      </c>
      <c r="I3342" s="17">
        <v>7052568.8300000001</v>
      </c>
      <c r="J3342" s="17">
        <f>IF(Gastos[[#This Row],[Divisa]]="$", I3342*1, IF(Gastos[[#This Row],[Divisa]]="U$D", I3342*$N$1, IF(Gastos[[#This Row],[Divisa]]="EUR", I3342*$N$2, 0)))</f>
        <v>7052568.8300000001</v>
      </c>
      <c r="K3342" s="54">
        <f>Gastos[[#This Row],[Importe AR$]]/$N$1</f>
        <v>4520.8774551282049</v>
      </c>
      <c r="M3342" s="69">
        <v>46223</v>
      </c>
      <c r="N3342" s="43">
        <f>IF(Gastos[[#This Row],[Fecha_Cheque]]&gt;0,WEEKNUM(Gastos[[#This Row],[Fecha_Cheque]]),MID(Gastos[[#This Row],[Semana]],6,2))</f>
        <v>30</v>
      </c>
      <c r="O3342" t="s">
        <v>3382</v>
      </c>
      <c r="P3342" t="s">
        <v>27</v>
      </c>
    </row>
    <row r="3343" spans="1:16" hidden="1" x14ac:dyDescent="0.25">
      <c r="A3343" s="3" t="s">
        <v>2763</v>
      </c>
      <c r="B3343" t="s">
        <v>1914</v>
      </c>
      <c r="C3343" t="s">
        <v>1915</v>
      </c>
      <c r="D3343" t="s">
        <v>61</v>
      </c>
      <c r="E3343" t="s">
        <v>62</v>
      </c>
      <c r="F3343">
        <v>1</v>
      </c>
      <c r="G3343" s="3" t="s">
        <v>32</v>
      </c>
      <c r="H3343" s="44" t="s">
        <v>15</v>
      </c>
      <c r="I3343" s="17">
        <v>7052568.8300000001</v>
      </c>
      <c r="J3343" s="17">
        <f>IF(Gastos[[#This Row],[Divisa]]="$", I3343*1, IF(Gastos[[#This Row],[Divisa]]="U$D", I3343*$N$1, IF(Gastos[[#This Row],[Divisa]]="EUR", I3343*$N$2, 0)))</f>
        <v>7052568.8300000001</v>
      </c>
      <c r="K3343" s="54">
        <f>Gastos[[#This Row],[Importe AR$]]/$N$1</f>
        <v>4520.8774551282049</v>
      </c>
      <c r="M3343" s="69">
        <v>46232</v>
      </c>
      <c r="N3343" s="43">
        <f>IF(Gastos[[#This Row],[Fecha_Cheque]]&gt;0,WEEKNUM(Gastos[[#This Row],[Fecha_Cheque]]),MID(Gastos[[#This Row],[Semana]],6,2))</f>
        <v>31</v>
      </c>
      <c r="O3343" t="s">
        <v>3382</v>
      </c>
      <c r="P3343" t="s">
        <v>27</v>
      </c>
    </row>
    <row r="3344" spans="1:16" hidden="1" x14ac:dyDescent="0.25">
      <c r="A3344" s="3" t="s">
        <v>2763</v>
      </c>
      <c r="B3344" t="s">
        <v>1914</v>
      </c>
      <c r="C3344" t="s">
        <v>1915</v>
      </c>
      <c r="D3344" t="s">
        <v>61</v>
      </c>
      <c r="E3344" t="s">
        <v>62</v>
      </c>
      <c r="F3344">
        <v>1</v>
      </c>
      <c r="G3344" s="3" t="s">
        <v>32</v>
      </c>
      <c r="H3344" s="44" t="s">
        <v>15</v>
      </c>
      <c r="I3344" s="17">
        <v>7052568.8200000003</v>
      </c>
      <c r="J3344" s="17">
        <f>IF(Gastos[[#This Row],[Divisa]]="$", I3344*1, IF(Gastos[[#This Row],[Divisa]]="U$D", I3344*$N$1, IF(Gastos[[#This Row],[Divisa]]="EUR", I3344*$N$2, 0)))</f>
        <v>7052568.8200000003</v>
      </c>
      <c r="K3344" s="54">
        <f>Gastos[[#This Row],[Importe AR$]]/$N$1</f>
        <v>4520.8774487179489</v>
      </c>
      <c r="M3344" s="69">
        <v>46244</v>
      </c>
      <c r="N3344" s="43">
        <f>IF(Gastos[[#This Row],[Fecha_Cheque]]&gt;0,WEEKNUM(Gastos[[#This Row],[Fecha_Cheque]]),MID(Gastos[[#This Row],[Semana]],6,2))</f>
        <v>33</v>
      </c>
      <c r="O3344" t="s">
        <v>3382</v>
      </c>
      <c r="P3344" t="s">
        <v>27</v>
      </c>
    </row>
    <row r="3345" spans="1:16" hidden="1" x14ac:dyDescent="0.25">
      <c r="A3345" s="3" t="s">
        <v>2763</v>
      </c>
      <c r="B3345" t="s">
        <v>1914</v>
      </c>
      <c r="C3345" t="s">
        <v>1915</v>
      </c>
      <c r="D3345" t="s">
        <v>61</v>
      </c>
      <c r="E3345" t="s">
        <v>62</v>
      </c>
      <c r="F3345">
        <v>1</v>
      </c>
      <c r="G3345" s="3" t="s">
        <v>32</v>
      </c>
      <c r="H3345" s="44" t="s">
        <v>15</v>
      </c>
      <c r="I3345" s="17">
        <v>469566.98</v>
      </c>
      <c r="J3345" s="17">
        <f>IF(Gastos[[#This Row],[Divisa]]="$", I3345*1, IF(Gastos[[#This Row],[Divisa]]="U$D", I3345*$N$1, IF(Gastos[[#This Row],[Divisa]]="EUR", I3345*$N$2, 0)))</f>
        <v>469566.98</v>
      </c>
      <c r="K3345" s="54">
        <f>Gastos[[#This Row],[Importe AR$]]/$N$1</f>
        <v>301.00447435897433</v>
      </c>
      <c r="L3345" t="s">
        <v>340</v>
      </c>
      <c r="M3345" s="69"/>
      <c r="N3345" s="43" t="str">
        <f>IF(Gastos[[#This Row],[Fecha_Cheque]]&gt;0,WEEKNUM(Gastos[[#This Row],[Fecha_Cheque]]),MID(Gastos[[#This Row],[Semana]],6,2))</f>
        <v>23</v>
      </c>
      <c r="O3345" t="s">
        <v>3382</v>
      </c>
      <c r="P3345" t="s">
        <v>27</v>
      </c>
    </row>
    <row r="3346" spans="1:16" hidden="1" x14ac:dyDescent="0.25">
      <c r="A3346" s="3" t="s">
        <v>2726</v>
      </c>
      <c r="B3346" t="s">
        <v>1914</v>
      </c>
      <c r="C3346" t="s">
        <v>1915</v>
      </c>
      <c r="D3346" t="s">
        <v>61</v>
      </c>
      <c r="E3346" t="s">
        <v>62</v>
      </c>
      <c r="F3346">
        <v>1</v>
      </c>
      <c r="G3346" s="3" t="s">
        <v>32</v>
      </c>
      <c r="H3346" s="44" t="s">
        <v>15</v>
      </c>
      <c r="I3346" s="17">
        <v>4090774.09</v>
      </c>
      <c r="J3346" s="17">
        <f>IF(Gastos[[#This Row],[Divisa]]="$", I3346*1, IF(Gastos[[#This Row],[Divisa]]="U$D", I3346*$N$1, IF(Gastos[[#This Row],[Divisa]]="EUR", I3346*$N$2, 0)))</f>
        <v>4090774.09</v>
      </c>
      <c r="K3346" s="54">
        <f>Gastos[[#This Row],[Importe AR$]]/$N$1</f>
        <v>2622.2910833333331</v>
      </c>
      <c r="M3346" s="69">
        <v>46221</v>
      </c>
      <c r="N3346" s="43">
        <f>IF(Gastos[[#This Row],[Fecha_Cheque]]&gt;0,WEEKNUM(Gastos[[#This Row],[Fecha_Cheque]]),MID(Gastos[[#This Row],[Semana]],6,2))</f>
        <v>29</v>
      </c>
      <c r="O3346" t="s">
        <v>3440</v>
      </c>
      <c r="P3346" t="s">
        <v>27</v>
      </c>
    </row>
    <row r="3347" spans="1:16" hidden="1" x14ac:dyDescent="0.25">
      <c r="A3347" s="3" t="s">
        <v>2726</v>
      </c>
      <c r="B3347" t="s">
        <v>1914</v>
      </c>
      <c r="C3347" t="s">
        <v>1915</v>
      </c>
      <c r="D3347" t="s">
        <v>61</v>
      </c>
      <c r="E3347" t="s">
        <v>62</v>
      </c>
      <c r="F3347">
        <v>1</v>
      </c>
      <c r="G3347" s="3" t="s">
        <v>32</v>
      </c>
      <c r="H3347" s="44" t="s">
        <v>15</v>
      </c>
      <c r="I3347" s="17">
        <v>5476402.6500000004</v>
      </c>
      <c r="J3347" s="17">
        <f>IF(Gastos[[#This Row],[Divisa]]="$", I3347*1, IF(Gastos[[#This Row],[Divisa]]="U$D", I3347*$N$1, IF(Gastos[[#This Row],[Divisa]]="EUR", I3347*$N$2, 0)))</f>
        <v>5476402.6500000004</v>
      </c>
      <c r="K3347" s="54">
        <f>Gastos[[#This Row],[Importe AR$]]/$N$1</f>
        <v>3510.5145192307696</v>
      </c>
      <c r="M3347" s="69">
        <v>46244</v>
      </c>
      <c r="N3347" s="43">
        <f>IF(Gastos[[#This Row],[Fecha_Cheque]]&gt;0,WEEKNUM(Gastos[[#This Row],[Fecha_Cheque]]),MID(Gastos[[#This Row],[Semana]],6,2))</f>
        <v>33</v>
      </c>
      <c r="O3347" t="s">
        <v>3440</v>
      </c>
      <c r="P3347" t="s">
        <v>27</v>
      </c>
    </row>
    <row r="3348" spans="1:16" hidden="1" x14ac:dyDescent="0.25">
      <c r="A3348" s="3" t="s">
        <v>2726</v>
      </c>
      <c r="B3348" t="s">
        <v>1914</v>
      </c>
      <c r="C3348" t="s">
        <v>1915</v>
      </c>
      <c r="D3348" t="s">
        <v>61</v>
      </c>
      <c r="E3348" t="s">
        <v>62</v>
      </c>
      <c r="F3348">
        <v>1</v>
      </c>
      <c r="G3348" s="3" t="s">
        <v>32</v>
      </c>
      <c r="H3348" s="44" t="s">
        <v>15</v>
      </c>
      <c r="I3348" s="17">
        <v>5476402.6500000004</v>
      </c>
      <c r="J3348" s="17">
        <f>IF(Gastos[[#This Row],[Divisa]]="$", I3348*1, IF(Gastos[[#This Row],[Divisa]]="U$D", I3348*$N$1, IF(Gastos[[#This Row],[Divisa]]="EUR", I3348*$N$2, 0)))</f>
        <v>5476402.6500000004</v>
      </c>
      <c r="K3348" s="54">
        <f>Gastos[[#This Row],[Importe AR$]]/$N$1</f>
        <v>3510.5145192307696</v>
      </c>
      <c r="M3348" s="69">
        <v>46255</v>
      </c>
      <c r="N3348" s="43">
        <f>IF(Gastos[[#This Row],[Fecha_Cheque]]&gt;0,WEEKNUM(Gastos[[#This Row],[Fecha_Cheque]]),MID(Gastos[[#This Row],[Semana]],6,2))</f>
        <v>34</v>
      </c>
      <c r="O3348" t="s">
        <v>3440</v>
      </c>
      <c r="P3348" t="s">
        <v>27</v>
      </c>
    </row>
    <row r="3349" spans="1:16" hidden="1" x14ac:dyDescent="0.25">
      <c r="A3349" s="3" t="s">
        <v>2726</v>
      </c>
      <c r="B3349" t="s">
        <v>1914</v>
      </c>
      <c r="C3349" t="s">
        <v>1915</v>
      </c>
      <c r="D3349" t="s">
        <v>61</v>
      </c>
      <c r="E3349" t="s">
        <v>62</v>
      </c>
      <c r="F3349">
        <v>1</v>
      </c>
      <c r="G3349" s="3" t="s">
        <v>32</v>
      </c>
      <c r="H3349" s="44" t="s">
        <v>15</v>
      </c>
      <c r="I3349" s="17">
        <v>252833.33</v>
      </c>
      <c r="J3349" s="17">
        <f>IF(Gastos[[#This Row],[Divisa]]="$", I3349*1, IF(Gastos[[#This Row],[Divisa]]="U$D", I3349*$N$1, IF(Gastos[[#This Row],[Divisa]]="EUR", I3349*$N$2, 0)))</f>
        <v>252833.33</v>
      </c>
      <c r="K3349" s="54">
        <f>Gastos[[#This Row],[Importe AR$]]/$N$1</f>
        <v>162.07264743589744</v>
      </c>
      <c r="L3349" t="s">
        <v>340</v>
      </c>
      <c r="M3349" s="69"/>
      <c r="N3349" s="43" t="str">
        <f>IF(Gastos[[#This Row],[Fecha_Cheque]]&gt;0,WEEKNUM(Gastos[[#This Row],[Fecha_Cheque]]),MID(Gastos[[#This Row],[Semana]],6,2))</f>
        <v>24</v>
      </c>
      <c r="O3349" t="s">
        <v>3440</v>
      </c>
      <c r="P3349" t="s">
        <v>27</v>
      </c>
    </row>
    <row r="3350" spans="1:16" hidden="1" x14ac:dyDescent="0.25">
      <c r="A3350" s="3" t="s">
        <v>2726</v>
      </c>
      <c r="B3350" t="s">
        <v>1914</v>
      </c>
      <c r="C3350" t="s">
        <v>1915</v>
      </c>
      <c r="D3350" t="s">
        <v>61</v>
      </c>
      <c r="E3350" t="s">
        <v>62</v>
      </c>
      <c r="F3350">
        <v>1</v>
      </c>
      <c r="G3350" s="3" t="s">
        <v>32</v>
      </c>
      <c r="H3350" s="44" t="s">
        <v>15</v>
      </c>
      <c r="I3350" s="17">
        <v>1017597.14</v>
      </c>
      <c r="J3350" s="17">
        <f>IF(Gastos[[#This Row],[Divisa]]="$", I3350*1, IF(Gastos[[#This Row],[Divisa]]="U$D", I3350*$N$1, IF(Gastos[[#This Row],[Divisa]]="EUR", I3350*$N$2, 0)))</f>
        <v>1017597.14</v>
      </c>
      <c r="K3350" s="54">
        <f>Gastos[[#This Row],[Importe AR$]]/$N$1</f>
        <v>652.30585897435901</v>
      </c>
      <c r="M3350" s="69">
        <v>46214</v>
      </c>
      <c r="N3350" s="43">
        <f>IF(Gastos[[#This Row],[Fecha_Cheque]]&gt;0,WEEKNUM(Gastos[[#This Row],[Fecha_Cheque]]),MID(Gastos[[#This Row],[Semana]],6,2))</f>
        <v>28</v>
      </c>
      <c r="O3350" t="s">
        <v>3441</v>
      </c>
      <c r="P3350" t="s">
        <v>27</v>
      </c>
    </row>
    <row r="3351" spans="1:16" hidden="1" x14ac:dyDescent="0.25">
      <c r="A3351" s="3" t="s">
        <v>2726</v>
      </c>
      <c r="B3351" t="s">
        <v>1914</v>
      </c>
      <c r="C3351" t="s">
        <v>1915</v>
      </c>
      <c r="D3351" t="s">
        <v>61</v>
      </c>
      <c r="E3351" t="s">
        <v>62</v>
      </c>
      <c r="F3351">
        <v>1</v>
      </c>
      <c r="G3351" s="3" t="s">
        <v>32</v>
      </c>
      <c r="H3351" s="44" t="s">
        <v>15</v>
      </c>
      <c r="I3351" s="17">
        <v>1351670.6</v>
      </c>
      <c r="J3351" s="17">
        <f>IF(Gastos[[#This Row],[Divisa]]="$", I3351*1, IF(Gastos[[#This Row],[Divisa]]="U$D", I3351*$N$1, IF(Gastos[[#This Row],[Divisa]]="EUR", I3351*$N$2, 0)))</f>
        <v>1351670.6</v>
      </c>
      <c r="K3351" s="54">
        <f>Gastos[[#This Row],[Importe AR$]]/$N$1</f>
        <v>866.45551282051292</v>
      </c>
      <c r="M3351" s="69">
        <v>46226</v>
      </c>
      <c r="N3351" s="43">
        <f>IF(Gastos[[#This Row],[Fecha_Cheque]]&gt;0,WEEKNUM(Gastos[[#This Row],[Fecha_Cheque]]),MID(Gastos[[#This Row],[Semana]],6,2))</f>
        <v>30</v>
      </c>
      <c r="O3351" t="s">
        <v>3441</v>
      </c>
      <c r="P3351" t="s">
        <v>27</v>
      </c>
    </row>
    <row r="3352" spans="1:16" hidden="1" x14ac:dyDescent="0.25">
      <c r="A3352" s="3" t="s">
        <v>2726</v>
      </c>
      <c r="B3352" t="s">
        <v>1914</v>
      </c>
      <c r="C3352" t="s">
        <v>1915</v>
      </c>
      <c r="D3352" t="s">
        <v>61</v>
      </c>
      <c r="E3352" t="s">
        <v>62</v>
      </c>
      <c r="F3352">
        <v>1</v>
      </c>
      <c r="G3352" s="3" t="s">
        <v>32</v>
      </c>
      <c r="H3352" s="44" t="s">
        <v>15</v>
      </c>
      <c r="I3352" s="17">
        <v>6800000</v>
      </c>
      <c r="J3352" s="17">
        <f>IF(Gastos[[#This Row],[Divisa]]="$", I3352*1, IF(Gastos[[#This Row],[Divisa]]="U$D", I3352*$N$1, IF(Gastos[[#This Row],[Divisa]]="EUR", I3352*$N$2, 0)))</f>
        <v>6800000</v>
      </c>
      <c r="K3352" s="54">
        <f>Gastos[[#This Row],[Importe AR$]]/$N$1</f>
        <v>4358.9743589743593</v>
      </c>
      <c r="M3352" s="69">
        <v>46282</v>
      </c>
      <c r="N3352" s="43">
        <f>IF(Gastos[[#This Row],[Fecha_Cheque]]&gt;0,WEEKNUM(Gastos[[#This Row],[Fecha_Cheque]]),MID(Gastos[[#This Row],[Semana]],6,2))</f>
        <v>38</v>
      </c>
      <c r="O3352" t="s">
        <v>3441</v>
      </c>
      <c r="P3352" t="s">
        <v>27</v>
      </c>
    </row>
    <row r="3353" spans="1:16" hidden="1" x14ac:dyDescent="0.25">
      <c r="A3353" s="3" t="s">
        <v>2726</v>
      </c>
      <c r="B3353" t="s">
        <v>1914</v>
      </c>
      <c r="C3353" t="s">
        <v>1915</v>
      </c>
      <c r="D3353" t="s">
        <v>61</v>
      </c>
      <c r="E3353" t="s">
        <v>62</v>
      </c>
      <c r="F3353">
        <v>1</v>
      </c>
      <c r="G3353" s="3" t="s">
        <v>32</v>
      </c>
      <c r="H3353" s="44" t="s">
        <v>15</v>
      </c>
      <c r="I3353" s="17">
        <v>6800000</v>
      </c>
      <c r="J3353" s="17">
        <f>IF(Gastos[[#This Row],[Divisa]]="$", I3353*1, IF(Gastos[[#This Row],[Divisa]]="U$D", I3353*$N$1, IF(Gastos[[#This Row],[Divisa]]="EUR", I3353*$N$2, 0)))</f>
        <v>6800000</v>
      </c>
      <c r="K3353" s="54">
        <f>Gastos[[#This Row],[Importe AR$]]/$N$1</f>
        <v>4358.9743589743593</v>
      </c>
      <c r="M3353" s="69">
        <v>46289</v>
      </c>
      <c r="N3353" s="43">
        <f>IF(Gastos[[#This Row],[Fecha_Cheque]]&gt;0,WEEKNUM(Gastos[[#This Row],[Fecha_Cheque]]),MID(Gastos[[#This Row],[Semana]],6,2))</f>
        <v>39</v>
      </c>
      <c r="O3353" t="s">
        <v>3441</v>
      </c>
      <c r="P3353" t="s">
        <v>27</v>
      </c>
    </row>
    <row r="3354" spans="1:16" hidden="1" x14ac:dyDescent="0.25">
      <c r="A3354" s="3" t="s">
        <v>2726</v>
      </c>
      <c r="B3354" t="s">
        <v>1914</v>
      </c>
      <c r="C3354" t="s">
        <v>1915</v>
      </c>
      <c r="D3354" t="s">
        <v>61</v>
      </c>
      <c r="E3354" t="s">
        <v>62</v>
      </c>
      <c r="F3354">
        <v>1</v>
      </c>
      <c r="G3354" s="3" t="s">
        <v>32</v>
      </c>
      <c r="H3354" s="44" t="s">
        <v>15</v>
      </c>
      <c r="I3354" s="17">
        <v>6796650.0599999996</v>
      </c>
      <c r="J3354" s="17">
        <f>IF(Gastos[[#This Row],[Divisa]]="$", I3354*1, IF(Gastos[[#This Row],[Divisa]]="U$D", I3354*$N$1, IF(Gastos[[#This Row],[Divisa]]="EUR", I3354*$N$2, 0)))</f>
        <v>6796650.0599999996</v>
      </c>
      <c r="K3354" s="54">
        <f>Gastos[[#This Row],[Importe AR$]]/$N$1</f>
        <v>4356.8269615384615</v>
      </c>
      <c r="M3354" s="69">
        <v>46303</v>
      </c>
      <c r="N3354" s="43">
        <f>IF(Gastos[[#This Row],[Fecha_Cheque]]&gt;0,WEEKNUM(Gastos[[#This Row],[Fecha_Cheque]]),MID(Gastos[[#This Row],[Semana]],6,2))</f>
        <v>41</v>
      </c>
      <c r="O3354" t="s">
        <v>3441</v>
      </c>
      <c r="P3354" t="s">
        <v>27</v>
      </c>
    </row>
    <row r="3355" spans="1:16" hidden="1" x14ac:dyDescent="0.25">
      <c r="A3355" s="3" t="s">
        <v>2726</v>
      </c>
      <c r="B3355" t="s">
        <v>1914</v>
      </c>
      <c r="C3355" t="s">
        <v>1915</v>
      </c>
      <c r="D3355" t="s">
        <v>61</v>
      </c>
      <c r="E3355" t="s">
        <v>62</v>
      </c>
      <c r="F3355">
        <v>1</v>
      </c>
      <c r="G3355" s="3" t="s">
        <v>32</v>
      </c>
      <c r="H3355" s="44" t="s">
        <v>15</v>
      </c>
      <c r="I3355" s="17">
        <v>6800000</v>
      </c>
      <c r="J3355" s="17">
        <f>IF(Gastos[[#This Row],[Divisa]]="$", I3355*1, IF(Gastos[[#This Row],[Divisa]]="U$D", I3355*$N$1, IF(Gastos[[#This Row],[Divisa]]="EUR", I3355*$N$2, 0)))</f>
        <v>6800000</v>
      </c>
      <c r="K3355" s="54">
        <f>Gastos[[#This Row],[Importe AR$]]/$N$1</f>
        <v>4358.9743589743593</v>
      </c>
      <c r="M3355" s="69">
        <v>46296</v>
      </c>
      <c r="N3355" s="43">
        <f>IF(Gastos[[#This Row],[Fecha_Cheque]]&gt;0,WEEKNUM(Gastos[[#This Row],[Fecha_Cheque]]),MID(Gastos[[#This Row],[Semana]],6,2))</f>
        <v>40</v>
      </c>
      <c r="O3355" t="s">
        <v>3441</v>
      </c>
      <c r="P3355" t="s">
        <v>27</v>
      </c>
    </row>
    <row r="3356" spans="1:16" hidden="1" x14ac:dyDescent="0.25">
      <c r="A3356" s="3" t="s">
        <v>2726</v>
      </c>
      <c r="B3356" t="s">
        <v>1914</v>
      </c>
      <c r="C3356" t="s">
        <v>1915</v>
      </c>
      <c r="D3356" t="s">
        <v>61</v>
      </c>
      <c r="E3356" t="s">
        <v>62</v>
      </c>
      <c r="F3356">
        <v>1</v>
      </c>
      <c r="G3356" s="3" t="s">
        <v>32</v>
      </c>
      <c r="H3356" s="44" t="s">
        <v>15</v>
      </c>
      <c r="I3356" s="17">
        <v>6800000</v>
      </c>
      <c r="J3356" s="17">
        <f>IF(Gastos[[#This Row],[Divisa]]="$", I3356*1, IF(Gastos[[#This Row],[Divisa]]="U$D", I3356*$N$1, IF(Gastos[[#This Row],[Divisa]]="EUR", I3356*$N$2, 0)))</f>
        <v>6800000</v>
      </c>
      <c r="K3356" s="54">
        <f>Gastos[[#This Row],[Importe AR$]]/$N$1</f>
        <v>4358.9743589743593</v>
      </c>
      <c r="M3356" s="69">
        <v>46275</v>
      </c>
      <c r="N3356" s="43">
        <f>IF(Gastos[[#This Row],[Fecha_Cheque]]&gt;0,WEEKNUM(Gastos[[#This Row],[Fecha_Cheque]]),MID(Gastos[[#This Row],[Semana]],6,2))</f>
        <v>37</v>
      </c>
      <c r="O3356" t="s">
        <v>3441</v>
      </c>
      <c r="P3356" t="s">
        <v>27</v>
      </c>
    </row>
    <row r="3357" spans="1:16" hidden="1" x14ac:dyDescent="0.25">
      <c r="A3357" s="3" t="s">
        <v>2726</v>
      </c>
      <c r="B3357" t="s">
        <v>1914</v>
      </c>
      <c r="C3357" t="s">
        <v>1915</v>
      </c>
      <c r="D3357" t="s">
        <v>61</v>
      </c>
      <c r="E3357" t="s">
        <v>62</v>
      </c>
      <c r="F3357">
        <v>1</v>
      </c>
      <c r="G3357" s="3" t="s">
        <v>32</v>
      </c>
      <c r="H3357" s="44" t="s">
        <v>15</v>
      </c>
      <c r="I3357" s="17">
        <v>6800000</v>
      </c>
      <c r="J3357" s="17">
        <f>IF(Gastos[[#This Row],[Divisa]]="$", I3357*1, IF(Gastos[[#This Row],[Divisa]]="U$D", I3357*$N$1, IF(Gastos[[#This Row],[Divisa]]="EUR", I3357*$N$2, 0)))</f>
        <v>6800000</v>
      </c>
      <c r="K3357" s="54">
        <f>Gastos[[#This Row],[Importe AR$]]/$N$1</f>
        <v>4358.9743589743593</v>
      </c>
      <c r="M3357" s="69">
        <v>46263</v>
      </c>
      <c r="N3357" s="43">
        <f>IF(Gastos[[#This Row],[Fecha_Cheque]]&gt;0,WEEKNUM(Gastos[[#This Row],[Fecha_Cheque]]),MID(Gastos[[#This Row],[Semana]],6,2))</f>
        <v>35</v>
      </c>
      <c r="O3357" t="s">
        <v>3441</v>
      </c>
      <c r="P3357" t="s">
        <v>27</v>
      </c>
    </row>
    <row r="3358" spans="1:16" hidden="1" x14ac:dyDescent="0.25">
      <c r="A3358" s="3" t="s">
        <v>2726</v>
      </c>
      <c r="B3358" t="s">
        <v>1914</v>
      </c>
      <c r="C3358" t="s">
        <v>1915</v>
      </c>
      <c r="D3358" t="s">
        <v>61</v>
      </c>
      <c r="E3358" t="s">
        <v>62</v>
      </c>
      <c r="F3358">
        <v>1</v>
      </c>
      <c r="G3358" s="3" t="s">
        <v>32</v>
      </c>
      <c r="H3358" s="44" t="s">
        <v>15</v>
      </c>
      <c r="I3358" s="17">
        <v>725477.61</v>
      </c>
      <c r="J3358" s="17">
        <f>IF(Gastos[[#This Row],[Divisa]]="$", I3358*1, IF(Gastos[[#This Row],[Divisa]]="U$D", I3358*$N$1, IF(Gastos[[#This Row],[Divisa]]="EUR", I3358*$N$2, 0)))</f>
        <v>725477.61</v>
      </c>
      <c r="K3358" s="54">
        <f>Gastos[[#This Row],[Importe AR$]]/$N$1</f>
        <v>465.04975000000002</v>
      </c>
      <c r="L3358" t="s">
        <v>340</v>
      </c>
      <c r="M3358" s="69"/>
      <c r="N3358" s="43" t="str">
        <f>IF(Gastos[[#This Row],[Fecha_Cheque]]&gt;0,WEEKNUM(Gastos[[#This Row],[Fecha_Cheque]]),MID(Gastos[[#This Row],[Semana]],6,2))</f>
        <v>24</v>
      </c>
      <c r="O3358" t="s">
        <v>3441</v>
      </c>
      <c r="P3358" t="s">
        <v>27</v>
      </c>
    </row>
    <row r="3359" spans="1:16" hidden="1" x14ac:dyDescent="0.25">
      <c r="A3359" s="3" t="s">
        <v>3439</v>
      </c>
      <c r="B3359" t="s">
        <v>1914</v>
      </c>
      <c r="C3359" t="s">
        <v>1915</v>
      </c>
      <c r="D3359" t="s">
        <v>61</v>
      </c>
      <c r="E3359" t="s">
        <v>62</v>
      </c>
      <c r="F3359">
        <v>1</v>
      </c>
      <c r="G3359" s="3" t="s">
        <v>32</v>
      </c>
      <c r="H3359" s="44" t="s">
        <v>15</v>
      </c>
      <c r="I3359" s="17">
        <v>10876685</v>
      </c>
      <c r="J3359" s="17">
        <f>IF(Gastos[[#This Row],[Divisa]]="$", I3359*1, IF(Gastos[[#This Row],[Divisa]]="U$D", I3359*$N$1, IF(Gastos[[#This Row],[Divisa]]="EUR", I3359*$N$2, 0)))</f>
        <v>10876685</v>
      </c>
      <c r="K3359" s="54">
        <f>Gastos[[#This Row],[Importe AR$]]/$N$1</f>
        <v>6972.2339743589746</v>
      </c>
      <c r="M3359" s="69">
        <v>46254</v>
      </c>
      <c r="N3359" s="43">
        <f>IF(Gastos[[#This Row],[Fecha_Cheque]]&gt;0,WEEKNUM(Gastos[[#This Row],[Fecha_Cheque]]),MID(Gastos[[#This Row],[Semana]],6,2))</f>
        <v>34</v>
      </c>
      <c r="O3359" t="s">
        <v>3535</v>
      </c>
      <c r="P3359" t="s">
        <v>27</v>
      </c>
    </row>
    <row r="3360" spans="1:16" hidden="1" x14ac:dyDescent="0.25">
      <c r="A3360" s="3" t="s">
        <v>3439</v>
      </c>
      <c r="B3360" t="s">
        <v>1914</v>
      </c>
      <c r="C3360" t="s">
        <v>1915</v>
      </c>
      <c r="D3360" t="s">
        <v>61</v>
      </c>
      <c r="E3360" t="s">
        <v>62</v>
      </c>
      <c r="F3360">
        <v>1</v>
      </c>
      <c r="G3360" s="3" t="s">
        <v>32</v>
      </c>
      <c r="H3360" s="44" t="s">
        <v>15</v>
      </c>
      <c r="I3360" s="17">
        <v>10876685</v>
      </c>
      <c r="J3360" s="17">
        <f>IF(Gastos[[#This Row],[Divisa]]="$", I3360*1, IF(Gastos[[#This Row],[Divisa]]="U$D", I3360*$N$1, IF(Gastos[[#This Row],[Divisa]]="EUR", I3360*$N$2, 0)))</f>
        <v>10876685</v>
      </c>
      <c r="K3360" s="54">
        <f>Gastos[[#This Row],[Importe AR$]]/$N$1</f>
        <v>6972.2339743589746</v>
      </c>
      <c r="M3360" s="69">
        <v>46266</v>
      </c>
      <c r="N3360" s="43">
        <f>IF(Gastos[[#This Row],[Fecha_Cheque]]&gt;0,WEEKNUM(Gastos[[#This Row],[Fecha_Cheque]]),MID(Gastos[[#This Row],[Semana]],6,2))</f>
        <v>36</v>
      </c>
      <c r="O3360" t="s">
        <v>3535</v>
      </c>
      <c r="P3360" t="s">
        <v>27</v>
      </c>
    </row>
    <row r="3361" spans="1:16" hidden="1" x14ac:dyDescent="0.25">
      <c r="A3361" s="3" t="s">
        <v>3439</v>
      </c>
      <c r="B3361" t="s">
        <v>1914</v>
      </c>
      <c r="C3361" t="s">
        <v>1915</v>
      </c>
      <c r="D3361" t="s">
        <v>61</v>
      </c>
      <c r="E3361" t="s">
        <v>62</v>
      </c>
      <c r="F3361">
        <v>1</v>
      </c>
      <c r="G3361" s="3" t="s">
        <v>32</v>
      </c>
      <c r="H3361" s="44" t="s">
        <v>15</v>
      </c>
      <c r="I3361" s="17">
        <v>10876685</v>
      </c>
      <c r="J3361" s="17">
        <f>IF(Gastos[[#This Row],[Divisa]]="$", I3361*1, IF(Gastos[[#This Row],[Divisa]]="U$D", I3361*$N$1, IF(Gastos[[#This Row],[Divisa]]="EUR", I3361*$N$2, 0)))</f>
        <v>10876685</v>
      </c>
      <c r="K3361" s="54">
        <f>Gastos[[#This Row],[Importe AR$]]/$N$1</f>
        <v>6972.2339743589746</v>
      </c>
      <c r="M3361" s="69">
        <v>46274</v>
      </c>
      <c r="N3361" s="43">
        <f>IF(Gastos[[#This Row],[Fecha_Cheque]]&gt;0,WEEKNUM(Gastos[[#This Row],[Fecha_Cheque]]),MID(Gastos[[#This Row],[Semana]],6,2))</f>
        <v>37</v>
      </c>
      <c r="O3361" t="s">
        <v>3535</v>
      </c>
      <c r="P3361" t="s">
        <v>27</v>
      </c>
    </row>
    <row r="3362" spans="1:16" hidden="1" x14ac:dyDescent="0.25">
      <c r="A3362" s="3" t="s">
        <v>3439</v>
      </c>
      <c r="B3362" t="s">
        <v>1914</v>
      </c>
      <c r="C3362" t="s">
        <v>1915</v>
      </c>
      <c r="D3362" t="s">
        <v>61</v>
      </c>
      <c r="E3362" t="s">
        <v>62</v>
      </c>
      <c r="F3362">
        <v>1</v>
      </c>
      <c r="G3362" s="3" t="s">
        <v>32</v>
      </c>
      <c r="H3362" s="44" t="s">
        <v>15</v>
      </c>
      <c r="I3362" s="17">
        <v>10876687.130000001</v>
      </c>
      <c r="J3362" s="17">
        <f>IF(Gastos[[#This Row],[Divisa]]="$", I3362*1, IF(Gastos[[#This Row],[Divisa]]="U$D", I3362*$N$1, IF(Gastos[[#This Row],[Divisa]]="EUR", I3362*$N$2, 0)))</f>
        <v>10876687.130000001</v>
      </c>
      <c r="K3362" s="54">
        <f>Gastos[[#This Row],[Importe AR$]]/$N$1</f>
        <v>6972.23533974359</v>
      </c>
      <c r="M3362" s="69">
        <v>46284</v>
      </c>
      <c r="N3362" s="43">
        <f>IF(Gastos[[#This Row],[Fecha_Cheque]]&gt;0,WEEKNUM(Gastos[[#This Row],[Fecha_Cheque]]),MID(Gastos[[#This Row],[Semana]],6,2))</f>
        <v>38</v>
      </c>
      <c r="O3362" t="s">
        <v>3535</v>
      </c>
      <c r="P3362" t="s">
        <v>27</v>
      </c>
    </row>
    <row r="3363" spans="1:16" hidden="1" x14ac:dyDescent="0.25">
      <c r="A3363" s="3" t="s">
        <v>3439</v>
      </c>
      <c r="B3363" t="s">
        <v>1914</v>
      </c>
      <c r="C3363" t="s">
        <v>1915</v>
      </c>
      <c r="D3363" t="s">
        <v>61</v>
      </c>
      <c r="E3363" t="s">
        <v>62</v>
      </c>
      <c r="F3363">
        <v>1</v>
      </c>
      <c r="G3363" s="3" t="s">
        <v>32</v>
      </c>
      <c r="H3363" s="44" t="s">
        <v>15</v>
      </c>
      <c r="I3363" s="17">
        <v>731205.75</v>
      </c>
      <c r="J3363" s="17">
        <f>IF(Gastos[[#This Row],[Divisa]]="$", I3363*1, IF(Gastos[[#This Row],[Divisa]]="U$D", I3363*$N$1, IF(Gastos[[#This Row],[Divisa]]="EUR", I3363*$N$2, 0)))</f>
        <v>731205.75</v>
      </c>
      <c r="K3363" s="54">
        <f>Gastos[[#This Row],[Importe AR$]]/$N$1</f>
        <v>468.72163461538463</v>
      </c>
      <c r="L3363" t="s">
        <v>340</v>
      </c>
      <c r="M3363" s="69"/>
      <c r="N3363" s="43" t="str">
        <f>IF(Gastos[[#This Row],[Fecha_Cheque]]&gt;0,WEEKNUM(Gastos[[#This Row],[Fecha_Cheque]]),MID(Gastos[[#This Row],[Semana]],6,2))</f>
        <v>25</v>
      </c>
      <c r="O3363" t="s">
        <v>3535</v>
      </c>
      <c r="P3363" t="s">
        <v>27</v>
      </c>
    </row>
    <row r="3364" spans="1:16" hidden="1" x14ac:dyDescent="0.25">
      <c r="A3364" s="3" t="s">
        <v>3567</v>
      </c>
      <c r="B3364" t="s">
        <v>1914</v>
      </c>
      <c r="C3364" t="s">
        <v>1915</v>
      </c>
      <c r="D3364" t="s">
        <v>61</v>
      </c>
      <c r="E3364" t="s">
        <v>62</v>
      </c>
      <c r="F3364">
        <v>1</v>
      </c>
      <c r="G3364" s="3" t="s">
        <v>32</v>
      </c>
      <c r="H3364" s="44" t="s">
        <v>15</v>
      </c>
      <c r="I3364" s="17">
        <v>8900000</v>
      </c>
      <c r="J3364" s="17">
        <f>IF(Gastos[[#This Row],[Divisa]]="$", I3364*1, IF(Gastos[[#This Row],[Divisa]]="U$D", I3364*$N$1, IF(Gastos[[#This Row],[Divisa]]="EUR", I3364*$N$2, 0)))</f>
        <v>8900000</v>
      </c>
      <c r="K3364" s="54">
        <f>Gastos[[#This Row],[Importe AR$]]/$N$1</f>
        <v>5705.1282051282051</v>
      </c>
      <c r="M3364" s="69">
        <v>46281</v>
      </c>
      <c r="N3364" s="43">
        <f>IF(Gastos[[#This Row],[Fecha_Cheque]]&gt;0,WEEKNUM(Gastos[[#This Row],[Fecha_Cheque]]),MID(Gastos[[#This Row],[Semana]],6,2))</f>
        <v>38</v>
      </c>
      <c r="O3364" t="s">
        <v>3596</v>
      </c>
      <c r="P3364" t="s">
        <v>27</v>
      </c>
    </row>
    <row r="3365" spans="1:16" hidden="1" x14ac:dyDescent="0.25">
      <c r="A3365" s="3" t="s">
        <v>3567</v>
      </c>
      <c r="B3365" t="s">
        <v>1914</v>
      </c>
      <c r="C3365" t="s">
        <v>1915</v>
      </c>
      <c r="D3365" t="s">
        <v>61</v>
      </c>
      <c r="E3365" t="s">
        <v>62</v>
      </c>
      <c r="F3365">
        <v>1</v>
      </c>
      <c r="G3365" s="3" t="s">
        <v>32</v>
      </c>
      <c r="H3365" s="44" t="s">
        <v>15</v>
      </c>
      <c r="I3365" s="17">
        <v>8900000</v>
      </c>
      <c r="J3365" s="17">
        <f>IF(Gastos[[#This Row],[Divisa]]="$", I3365*1, IF(Gastos[[#This Row],[Divisa]]="U$D", I3365*$N$1, IF(Gastos[[#This Row],[Divisa]]="EUR", I3365*$N$2, 0)))</f>
        <v>8900000</v>
      </c>
      <c r="K3365" s="54">
        <f>Gastos[[#This Row],[Importe AR$]]/$N$1</f>
        <v>5705.1282051282051</v>
      </c>
      <c r="M3365" s="69">
        <v>46288</v>
      </c>
      <c r="N3365" s="43">
        <f>IF(Gastos[[#This Row],[Fecha_Cheque]]&gt;0,WEEKNUM(Gastos[[#This Row],[Fecha_Cheque]]),MID(Gastos[[#This Row],[Semana]],6,2))</f>
        <v>39</v>
      </c>
      <c r="O3365" t="s">
        <v>3596</v>
      </c>
      <c r="P3365" t="s">
        <v>27</v>
      </c>
    </row>
    <row r="3366" spans="1:16" hidden="1" x14ac:dyDescent="0.25">
      <c r="A3366" s="3" t="s">
        <v>3567</v>
      </c>
      <c r="B3366" t="s">
        <v>1914</v>
      </c>
      <c r="C3366" t="s">
        <v>1915</v>
      </c>
      <c r="D3366" t="s">
        <v>61</v>
      </c>
      <c r="E3366" t="s">
        <v>62</v>
      </c>
      <c r="F3366">
        <v>1</v>
      </c>
      <c r="G3366" s="3" t="s">
        <v>32</v>
      </c>
      <c r="H3366" s="44" t="s">
        <v>15</v>
      </c>
      <c r="I3366" s="17">
        <v>8900000</v>
      </c>
      <c r="J3366" s="17">
        <f>IF(Gastos[[#This Row],[Divisa]]="$", I3366*1, IF(Gastos[[#This Row],[Divisa]]="U$D", I3366*$N$1, IF(Gastos[[#This Row],[Divisa]]="EUR", I3366*$N$2, 0)))</f>
        <v>8900000</v>
      </c>
      <c r="K3366" s="54">
        <f>Gastos[[#This Row],[Importe AR$]]/$N$1</f>
        <v>5705.1282051282051</v>
      </c>
      <c r="M3366" s="69">
        <v>46295</v>
      </c>
      <c r="N3366" s="43">
        <f>IF(Gastos[[#This Row],[Fecha_Cheque]]&gt;0,WEEKNUM(Gastos[[#This Row],[Fecha_Cheque]]),MID(Gastos[[#This Row],[Semana]],6,2))</f>
        <v>40</v>
      </c>
      <c r="O3366" t="s">
        <v>3596</v>
      </c>
      <c r="P3366" t="s">
        <v>27</v>
      </c>
    </row>
    <row r="3367" spans="1:16" hidden="1" x14ac:dyDescent="0.25">
      <c r="A3367" s="3" t="s">
        <v>3567</v>
      </c>
      <c r="B3367" t="s">
        <v>1914</v>
      </c>
      <c r="C3367" t="s">
        <v>1915</v>
      </c>
      <c r="D3367" t="s">
        <v>61</v>
      </c>
      <c r="E3367" t="s">
        <v>62</v>
      </c>
      <c r="F3367">
        <v>1</v>
      </c>
      <c r="G3367" s="3" t="s">
        <v>32</v>
      </c>
      <c r="H3367" s="44" t="s">
        <v>15</v>
      </c>
      <c r="I3367" s="17">
        <v>8758802.9600000009</v>
      </c>
      <c r="J3367" s="17">
        <f>IF(Gastos[[#This Row],[Divisa]]="$", I3367*1, IF(Gastos[[#This Row],[Divisa]]="U$D", I3367*$N$1, IF(Gastos[[#This Row],[Divisa]]="EUR", I3367*$N$2, 0)))</f>
        <v>8758802.9600000009</v>
      </c>
      <c r="K3367" s="54">
        <f>Gastos[[#This Row],[Importe AR$]]/$N$1</f>
        <v>5614.6172820512829</v>
      </c>
      <c r="M3367" s="69">
        <v>46265</v>
      </c>
      <c r="N3367" s="43">
        <f>IF(Gastos[[#This Row],[Fecha_Cheque]]&gt;0,WEEKNUM(Gastos[[#This Row],[Fecha_Cheque]]),MID(Gastos[[#This Row],[Semana]],6,2))</f>
        <v>36</v>
      </c>
      <c r="O3367" t="s">
        <v>3596</v>
      </c>
      <c r="P3367" t="s">
        <v>27</v>
      </c>
    </row>
    <row r="3368" spans="1:16" hidden="1" x14ac:dyDescent="0.25">
      <c r="A3368" s="3" t="s">
        <v>3567</v>
      </c>
      <c r="B3368" t="s">
        <v>1914</v>
      </c>
      <c r="C3368" t="s">
        <v>1915</v>
      </c>
      <c r="D3368" t="s">
        <v>61</v>
      </c>
      <c r="E3368" t="s">
        <v>62</v>
      </c>
      <c r="F3368">
        <v>1</v>
      </c>
      <c r="G3368" s="3" t="s">
        <v>32</v>
      </c>
      <c r="H3368" s="44" t="s">
        <v>15</v>
      </c>
      <c r="I3368" s="17">
        <v>8900000</v>
      </c>
      <c r="J3368" s="17">
        <f>IF(Gastos[[#This Row],[Divisa]]="$", I3368*1, IF(Gastos[[#This Row],[Divisa]]="U$D", I3368*$N$1, IF(Gastos[[#This Row],[Divisa]]="EUR", I3368*$N$2, 0)))</f>
        <v>8900000</v>
      </c>
      <c r="K3368" s="54">
        <f>Gastos[[#This Row],[Importe AR$]]/$N$1</f>
        <v>5705.1282051282051</v>
      </c>
      <c r="M3368" s="69">
        <v>46272</v>
      </c>
      <c r="N3368" s="43">
        <f>IF(Gastos[[#This Row],[Fecha_Cheque]]&gt;0,WEEKNUM(Gastos[[#This Row],[Fecha_Cheque]]),MID(Gastos[[#This Row],[Semana]],6,2))</f>
        <v>37</v>
      </c>
      <c r="O3368" t="s">
        <v>3596</v>
      </c>
      <c r="P3368" t="s">
        <v>27</v>
      </c>
    </row>
    <row r="3369" spans="1:16" hidden="1" x14ac:dyDescent="0.25">
      <c r="A3369" s="3" t="s">
        <v>3567</v>
      </c>
      <c r="B3369" t="s">
        <v>1914</v>
      </c>
      <c r="C3369" t="s">
        <v>1915</v>
      </c>
      <c r="D3369" t="s">
        <v>61</v>
      </c>
      <c r="E3369" t="s">
        <v>62</v>
      </c>
      <c r="F3369">
        <v>1</v>
      </c>
      <c r="G3369" s="3" t="s">
        <v>32</v>
      </c>
      <c r="H3369" s="44" t="s">
        <v>15</v>
      </c>
      <c r="I3369" s="17">
        <v>745526.1</v>
      </c>
      <c r="J3369" s="17">
        <f>IF(Gastos[[#This Row],[Divisa]]="$", I3369*1, IF(Gastos[[#This Row],[Divisa]]="U$D", I3369*$N$1, IF(Gastos[[#This Row],[Divisa]]="EUR", I3369*$N$2, 0)))</f>
        <v>745526.1</v>
      </c>
      <c r="K3369" s="54">
        <f>Gastos[[#This Row],[Importe AR$]]/$N$1</f>
        <v>477.90134615384613</v>
      </c>
      <c r="L3369" t="s">
        <v>340</v>
      </c>
      <c r="M3369" s="69"/>
      <c r="N3369" s="43" t="str">
        <f>IF(Gastos[[#This Row],[Fecha_Cheque]]&gt;0,WEEKNUM(Gastos[[#This Row],[Fecha_Cheque]]),MID(Gastos[[#This Row],[Semana]],6,2))</f>
        <v>26</v>
      </c>
      <c r="O3369" t="s">
        <v>3596</v>
      </c>
      <c r="P3369" t="s">
        <v>27</v>
      </c>
    </row>
    <row r="3370" spans="1:16" hidden="1" x14ac:dyDescent="0.25">
      <c r="A3370" s="3" t="s">
        <v>3617</v>
      </c>
      <c r="B3370" t="s">
        <v>1914</v>
      </c>
      <c r="C3370" t="s">
        <v>3644</v>
      </c>
      <c r="D3370" t="s">
        <v>26</v>
      </c>
      <c r="E3370" t="s">
        <v>31</v>
      </c>
      <c r="F3370">
        <v>1</v>
      </c>
      <c r="G3370" s="3" t="s">
        <v>5</v>
      </c>
      <c r="H3370" s="44" t="s">
        <v>15</v>
      </c>
      <c r="I3370" s="17">
        <v>17626891.640000001</v>
      </c>
      <c r="J3370" s="17">
        <f>IF(Gastos[[#This Row],[Divisa]]="$", I3370*1, IF(Gastos[[#This Row],[Divisa]]="U$D", I3370*$N$1, IF(Gastos[[#This Row],[Divisa]]="EUR", I3370*$N$2, 0)))</f>
        <v>17626891.640000001</v>
      </c>
      <c r="K3370" s="54">
        <f>Gastos[[#This Row],[Importe AR$]]/$N$1</f>
        <v>11299.289512820513</v>
      </c>
      <c r="M3370" s="69"/>
      <c r="N3370" s="43" t="str">
        <f>IF(Gastos[[#This Row],[Fecha_Cheque]]&gt;0,WEEKNUM(Gastos[[#This Row],[Fecha_Cheque]]),MID(Gastos[[#This Row],[Semana]],6,2))</f>
        <v>27</v>
      </c>
      <c r="O3370" t="s">
        <v>3659</v>
      </c>
      <c r="P3370" t="s">
        <v>27</v>
      </c>
    </row>
    <row r="3371" spans="1:16" hidden="1" x14ac:dyDescent="0.25">
      <c r="A3371" s="3" t="s">
        <v>3693</v>
      </c>
      <c r="B3371" t="s">
        <v>1914</v>
      </c>
      <c r="C3371" t="s">
        <v>1915</v>
      </c>
      <c r="D3371" t="s">
        <v>26</v>
      </c>
      <c r="E3371" t="s">
        <v>62</v>
      </c>
      <c r="F3371">
        <v>1</v>
      </c>
      <c r="G3371" s="3" t="s">
        <v>32</v>
      </c>
      <c r="H3371" s="44" t="s">
        <v>15</v>
      </c>
      <c r="I3371" s="17">
        <v>8918001.4299999997</v>
      </c>
      <c r="J3371" s="17">
        <f>IF(Gastos[[#This Row],[Divisa]]="$", I3371*1, IF(Gastos[[#This Row],[Divisa]]="U$D", I3371*$N$1, IF(Gastos[[#This Row],[Divisa]]="EUR", I3371*$N$2, 0)))</f>
        <v>8918001.4299999997</v>
      </c>
      <c r="K3371" s="54">
        <f>Gastos[[#This Row],[Importe AR$]]/$N$1</f>
        <v>5716.6675833333329</v>
      </c>
      <c r="M3371" s="69">
        <v>46295</v>
      </c>
      <c r="N3371" s="43">
        <f>IF(Gastos[[#This Row],[Fecha_Cheque]]&gt;0,WEEKNUM(Gastos[[#This Row],[Fecha_Cheque]]),MID(Gastos[[#This Row],[Semana]],6,2))</f>
        <v>40</v>
      </c>
      <c r="O3371" t="s">
        <v>3758</v>
      </c>
      <c r="P3371" t="s">
        <v>27</v>
      </c>
    </row>
    <row r="3372" spans="1:16" hidden="1" x14ac:dyDescent="0.25">
      <c r="A3372" s="3" t="s">
        <v>3693</v>
      </c>
      <c r="B3372" t="s">
        <v>1914</v>
      </c>
      <c r="C3372" t="s">
        <v>1915</v>
      </c>
      <c r="D3372" t="s">
        <v>26</v>
      </c>
      <c r="E3372" t="s">
        <v>62</v>
      </c>
      <c r="F3372">
        <v>1</v>
      </c>
      <c r="G3372" s="3" t="s">
        <v>32</v>
      </c>
      <c r="H3372" s="44" t="s">
        <v>15</v>
      </c>
      <c r="I3372" s="17">
        <v>8918001.4399999995</v>
      </c>
      <c r="J3372" s="17">
        <f>IF(Gastos[[#This Row],[Divisa]]="$", I3372*1, IF(Gastos[[#This Row],[Divisa]]="U$D", I3372*$N$1, IF(Gastos[[#This Row],[Divisa]]="EUR", I3372*$N$2, 0)))</f>
        <v>8918001.4399999995</v>
      </c>
      <c r="K3372" s="54">
        <f>Gastos[[#This Row],[Importe AR$]]/$N$1</f>
        <v>5716.6675897435898</v>
      </c>
      <c r="M3372" s="69">
        <v>46309</v>
      </c>
      <c r="N3372" s="43">
        <f>IF(Gastos[[#This Row],[Fecha_Cheque]]&gt;0,WEEKNUM(Gastos[[#This Row],[Fecha_Cheque]]),MID(Gastos[[#This Row],[Semana]],6,2))</f>
        <v>42</v>
      </c>
      <c r="O3372" t="s">
        <v>3758</v>
      </c>
      <c r="P3372" t="s">
        <v>27</v>
      </c>
    </row>
    <row r="3373" spans="1:16" hidden="1" x14ac:dyDescent="0.25">
      <c r="A3373" s="3" t="s">
        <v>3693</v>
      </c>
      <c r="B3373" t="s">
        <v>1914</v>
      </c>
      <c r="C3373" t="s">
        <v>1915</v>
      </c>
      <c r="D3373" t="s">
        <v>26</v>
      </c>
      <c r="E3373" t="s">
        <v>62</v>
      </c>
      <c r="F3373">
        <v>1</v>
      </c>
      <c r="G3373" s="3" t="s">
        <v>32</v>
      </c>
      <c r="H3373" s="44" t="s">
        <v>15</v>
      </c>
      <c r="I3373" s="17">
        <v>8918001.4299999997</v>
      </c>
      <c r="J3373" s="17">
        <f>IF(Gastos[[#This Row],[Divisa]]="$", I3373*1, IF(Gastos[[#This Row],[Divisa]]="U$D", I3373*$N$1, IF(Gastos[[#This Row],[Divisa]]="EUR", I3373*$N$2, 0)))</f>
        <v>8918001.4299999997</v>
      </c>
      <c r="K3373" s="54">
        <f>Gastos[[#This Row],[Importe AR$]]/$N$1</f>
        <v>5716.6675833333329</v>
      </c>
      <c r="M3373" s="69">
        <v>46302</v>
      </c>
      <c r="N3373" s="43">
        <f>IF(Gastos[[#This Row],[Fecha_Cheque]]&gt;0,WEEKNUM(Gastos[[#This Row],[Fecha_Cheque]]),MID(Gastos[[#This Row],[Semana]],6,2))</f>
        <v>41</v>
      </c>
      <c r="O3373" t="s">
        <v>3758</v>
      </c>
      <c r="P3373" t="s">
        <v>27</v>
      </c>
    </row>
    <row r="3374" spans="1:16" hidden="1" x14ac:dyDescent="0.25">
      <c r="A3374" s="3" t="s">
        <v>3693</v>
      </c>
      <c r="B3374" t="s">
        <v>1914</v>
      </c>
      <c r="C3374" t="s">
        <v>1915</v>
      </c>
      <c r="D3374" t="s">
        <v>26</v>
      </c>
      <c r="E3374" t="s">
        <v>62</v>
      </c>
      <c r="F3374">
        <v>1</v>
      </c>
      <c r="G3374" s="3" t="s">
        <v>32</v>
      </c>
      <c r="H3374" s="44" t="s">
        <v>15</v>
      </c>
      <c r="I3374" s="17">
        <v>8918001.4299999997</v>
      </c>
      <c r="J3374" s="17">
        <f>IF(Gastos[[#This Row],[Divisa]]="$", I3374*1, IF(Gastos[[#This Row],[Divisa]]="U$D", I3374*$N$1, IF(Gastos[[#This Row],[Divisa]]="EUR", I3374*$N$2, 0)))</f>
        <v>8918001.4299999997</v>
      </c>
      <c r="K3374" s="54">
        <f>Gastos[[#This Row],[Importe AR$]]/$N$1</f>
        <v>5716.6675833333329</v>
      </c>
      <c r="M3374" s="69">
        <v>46286</v>
      </c>
      <c r="N3374" s="43">
        <f>IF(Gastos[[#This Row],[Fecha_Cheque]]&gt;0,WEEKNUM(Gastos[[#This Row],[Fecha_Cheque]]),MID(Gastos[[#This Row],[Semana]],6,2))</f>
        <v>39</v>
      </c>
      <c r="O3374" t="s">
        <v>3758</v>
      </c>
      <c r="P3374" t="s">
        <v>27</v>
      </c>
    </row>
    <row r="3375" spans="1:16" hidden="1" x14ac:dyDescent="0.25">
      <c r="A3375" s="3" t="s">
        <v>3693</v>
      </c>
      <c r="B3375" t="s">
        <v>1914</v>
      </c>
      <c r="C3375" t="s">
        <v>1915</v>
      </c>
      <c r="D3375" t="s">
        <v>26</v>
      </c>
      <c r="E3375" t="s">
        <v>62</v>
      </c>
      <c r="F3375">
        <v>1</v>
      </c>
      <c r="G3375" s="3" t="s">
        <v>32</v>
      </c>
      <c r="H3375" s="44" t="s">
        <v>15</v>
      </c>
      <c r="I3375" s="17">
        <v>8918001.4299999997</v>
      </c>
      <c r="J3375" s="17">
        <f>IF(Gastos[[#This Row],[Divisa]]="$", I3375*1, IF(Gastos[[#This Row],[Divisa]]="U$D", I3375*$N$1, IF(Gastos[[#This Row],[Divisa]]="EUR", I3375*$N$2, 0)))</f>
        <v>8918001.4299999997</v>
      </c>
      <c r="K3375" s="54">
        <f>Gastos[[#This Row],[Importe AR$]]/$N$1</f>
        <v>5716.6675833333329</v>
      </c>
      <c r="M3375" s="69">
        <v>46279</v>
      </c>
      <c r="N3375" s="43">
        <f>IF(Gastos[[#This Row],[Fecha_Cheque]]&gt;0,WEEKNUM(Gastos[[#This Row],[Fecha_Cheque]]),MID(Gastos[[#This Row],[Semana]],6,2))</f>
        <v>38</v>
      </c>
      <c r="O3375" t="s">
        <v>3758</v>
      </c>
      <c r="P3375" t="s">
        <v>27</v>
      </c>
    </row>
    <row r="3376" spans="1:16" hidden="1" x14ac:dyDescent="0.25">
      <c r="A3376" s="3" t="s">
        <v>3693</v>
      </c>
      <c r="B3376" t="s">
        <v>1914</v>
      </c>
      <c r="C3376" t="s">
        <v>1915</v>
      </c>
      <c r="D3376" t="s">
        <v>26</v>
      </c>
      <c r="E3376" t="s">
        <v>62</v>
      </c>
      <c r="F3376">
        <v>1</v>
      </c>
      <c r="G3376" s="3" t="s">
        <v>32</v>
      </c>
      <c r="H3376" s="44" t="s">
        <v>15</v>
      </c>
      <c r="I3376" s="17">
        <v>744604.49</v>
      </c>
      <c r="J3376" s="17">
        <f>IF(Gastos[[#This Row],[Divisa]]="$", I3376*1, IF(Gastos[[#This Row],[Divisa]]="U$D", I3376*$N$1, IF(Gastos[[#This Row],[Divisa]]="EUR", I3376*$N$2, 0)))</f>
        <v>744604.49</v>
      </c>
      <c r="K3376" s="54">
        <f>Gastos[[#This Row],[Importe AR$]]/$N$1</f>
        <v>477.3105705128205</v>
      </c>
      <c r="L3376" t="s">
        <v>340</v>
      </c>
      <c r="M3376" s="69"/>
      <c r="N3376" s="43" t="str">
        <f>IF(Gastos[[#This Row],[Fecha_Cheque]]&gt;0,WEEKNUM(Gastos[[#This Row],[Fecha_Cheque]]),MID(Gastos[[#This Row],[Semana]],6,2))</f>
        <v>28</v>
      </c>
      <c r="O3376" t="s">
        <v>3758</v>
      </c>
      <c r="P3376" t="s">
        <v>27</v>
      </c>
    </row>
    <row r="3377" spans="1:16" hidden="1" x14ac:dyDescent="0.25">
      <c r="A3377" s="3" t="s">
        <v>4211</v>
      </c>
      <c r="B3377" t="s">
        <v>1914</v>
      </c>
      <c r="C3377" t="s">
        <v>4279</v>
      </c>
      <c r="D3377" t="s">
        <v>26</v>
      </c>
      <c r="E3377" t="s">
        <v>62</v>
      </c>
      <c r="F3377">
        <v>1</v>
      </c>
      <c r="G3377" s="3" t="s">
        <v>5</v>
      </c>
      <c r="H3377" s="44" t="s">
        <v>15</v>
      </c>
      <c r="I3377" s="17">
        <v>17626891.640000001</v>
      </c>
      <c r="J3377" s="17">
        <f>IF(Gastos[[#This Row],[Divisa]]="$", I3377*1, IF(Gastos[[#This Row],[Divisa]]="U$D", I3377*$N$1, IF(Gastos[[#This Row],[Divisa]]="EUR", I3377*$N$2, 0)))</f>
        <v>17626891.640000001</v>
      </c>
      <c r="K3377" s="54">
        <f>Gastos[[#This Row],[Importe AR$]]/$N$1</f>
        <v>11299.289512820513</v>
      </c>
      <c r="M3377" s="69"/>
      <c r="N3377" s="43" t="str">
        <f>IF(Gastos[[#This Row],[Fecha_Cheque]]&gt;0,WEEKNUM(Gastos[[#This Row],[Fecha_Cheque]]),MID(Gastos[[#This Row],[Semana]],6,2))</f>
        <v>37</v>
      </c>
      <c r="O3377" t="s">
        <v>4217</v>
      </c>
      <c r="P3377" t="s">
        <v>27</v>
      </c>
    </row>
    <row r="3378" spans="1:16" hidden="1" x14ac:dyDescent="0.25">
      <c r="A3378" s="3" t="s">
        <v>4211</v>
      </c>
      <c r="B3378" t="s">
        <v>1914</v>
      </c>
      <c r="C3378" t="s">
        <v>4258</v>
      </c>
      <c r="D3378" t="s">
        <v>26</v>
      </c>
      <c r="E3378" t="s">
        <v>62</v>
      </c>
      <c r="F3378">
        <v>1</v>
      </c>
      <c r="G3378" s="3" t="s">
        <v>5</v>
      </c>
      <c r="H3378" s="44" t="s">
        <v>15</v>
      </c>
      <c r="I3378" s="17">
        <v>17626891.640000001</v>
      </c>
      <c r="J3378" s="17">
        <f>IF(Gastos[[#This Row],[Divisa]]="$", I3378*1, IF(Gastos[[#This Row],[Divisa]]="U$D", I3378*$N$1, IF(Gastos[[#This Row],[Divisa]]="EUR", I3378*$N$2, 0)))</f>
        <v>17626891.640000001</v>
      </c>
      <c r="K3378" s="54">
        <f>Gastos[[#This Row],[Importe AR$]]/$N$1</f>
        <v>11299.289512820513</v>
      </c>
      <c r="M3378" s="69"/>
      <c r="N3378" s="43" t="str">
        <f>IF(Gastos[[#This Row],[Fecha_Cheque]]&gt;0,WEEKNUM(Gastos[[#This Row],[Fecha_Cheque]]),MID(Gastos[[#This Row],[Semana]],6,2))</f>
        <v>37</v>
      </c>
      <c r="O3378" t="s">
        <v>4259</v>
      </c>
      <c r="P3378" t="s">
        <v>27</v>
      </c>
    </row>
    <row r="3379" spans="1:16" hidden="1" x14ac:dyDescent="0.25">
      <c r="A3379" s="3" t="s">
        <v>4211</v>
      </c>
      <c r="B3379" t="s">
        <v>1914</v>
      </c>
      <c r="C3379" t="s">
        <v>4262</v>
      </c>
      <c r="D3379" t="s">
        <v>26</v>
      </c>
      <c r="E3379" t="s">
        <v>62</v>
      </c>
      <c r="F3379">
        <v>1</v>
      </c>
      <c r="G3379" s="3" t="s">
        <v>5</v>
      </c>
      <c r="H3379" s="44" t="s">
        <v>15</v>
      </c>
      <c r="I3379" s="17">
        <v>10876685</v>
      </c>
      <c r="J3379" s="17">
        <f>IF(Gastos[[#This Row],[Divisa]]="$", I3379*1, IF(Gastos[[#This Row],[Divisa]]="U$D", I3379*$N$1, IF(Gastos[[#This Row],[Divisa]]="EUR", I3379*$N$2, 0)))</f>
        <v>10876685</v>
      </c>
      <c r="K3379" s="54">
        <f>Gastos[[#This Row],[Importe AR$]]/$N$1</f>
        <v>6972.2339743589746</v>
      </c>
      <c r="M3379" s="69"/>
      <c r="N3379" s="43" t="str">
        <f>IF(Gastos[[#This Row],[Fecha_Cheque]]&gt;0,WEEKNUM(Gastos[[#This Row],[Fecha_Cheque]]),MID(Gastos[[#This Row],[Semana]],6,2))</f>
        <v>37</v>
      </c>
      <c r="O3379" t="s">
        <v>4260</v>
      </c>
      <c r="P3379" t="s">
        <v>27</v>
      </c>
    </row>
    <row r="3380" spans="1:16" hidden="1" x14ac:dyDescent="0.25">
      <c r="A3380" s="3" t="s">
        <v>4211</v>
      </c>
      <c r="B3380" t="s">
        <v>1914</v>
      </c>
      <c r="C3380" t="s">
        <v>4278</v>
      </c>
      <c r="D3380" t="s">
        <v>26</v>
      </c>
      <c r="E3380" t="s">
        <v>62</v>
      </c>
      <c r="F3380">
        <v>1</v>
      </c>
      <c r="G3380" s="3" t="s">
        <v>5</v>
      </c>
      <c r="H3380" s="44" t="s">
        <v>15</v>
      </c>
      <c r="I3380" s="17">
        <v>8900000</v>
      </c>
      <c r="J3380" s="17">
        <f>IF(Gastos[[#This Row],[Divisa]]="$", I3380*1, IF(Gastos[[#This Row],[Divisa]]="U$D", I3380*$N$1, IF(Gastos[[#This Row],[Divisa]]="EUR", I3380*$N$2, 0)))</f>
        <v>8900000</v>
      </c>
      <c r="K3380" s="54">
        <f>Gastos[[#This Row],[Importe AR$]]/$N$1</f>
        <v>5705.1282051282051</v>
      </c>
      <c r="M3380" s="69"/>
      <c r="N3380" s="43" t="str">
        <f>IF(Gastos[[#This Row],[Fecha_Cheque]]&gt;0,WEEKNUM(Gastos[[#This Row],[Fecha_Cheque]]),MID(Gastos[[#This Row],[Semana]],6,2))</f>
        <v>37</v>
      </c>
      <c r="O3380" t="s">
        <v>4280</v>
      </c>
      <c r="P3380" t="s">
        <v>27</v>
      </c>
    </row>
    <row r="3381" spans="1:16" x14ac:dyDescent="0.25">
      <c r="A3381" s="3" t="s">
        <v>4655</v>
      </c>
      <c r="B3381" t="s">
        <v>1807</v>
      </c>
      <c r="C3381" t="s">
        <v>422</v>
      </c>
      <c r="D3381" t="s">
        <v>26</v>
      </c>
      <c r="E3381" t="s">
        <v>91</v>
      </c>
      <c r="F3381">
        <v>1</v>
      </c>
      <c r="G3381" s="3" t="s">
        <v>5</v>
      </c>
      <c r="H3381" s="44" t="s">
        <v>15</v>
      </c>
      <c r="I3381" s="17">
        <v>0</v>
      </c>
      <c r="J3381" s="17">
        <f>IF(Gastos[[#This Row],[Divisa]]="$", I3381*1, IF(Gastos[[#This Row],[Divisa]]="U$D", I3381*$N$1, IF(Gastos[[#This Row],[Divisa]]="EUR", I3381*$N$2, 0)))</f>
        <v>0</v>
      </c>
      <c r="K3381" s="54">
        <f>Gastos[[#This Row],[Importe AR$]]/$N$1</f>
        <v>0</v>
      </c>
      <c r="M3381" s="69"/>
      <c r="N3381" s="43" t="str">
        <f>IF(Gastos[[#This Row],[Fecha_Cheque]]&gt;0,WEEKNUM(Gastos[[#This Row],[Fecha_Cheque]]),MID(Gastos[[#This Row],[Semana]],6,2))</f>
        <v>44</v>
      </c>
      <c r="P3381" t="s">
        <v>7</v>
      </c>
    </row>
    <row r="3382" spans="1:16" hidden="1" x14ac:dyDescent="0.25">
      <c r="A3382" s="3" t="s">
        <v>28</v>
      </c>
      <c r="B3382" t="s">
        <v>1954</v>
      </c>
      <c r="C3382" t="s">
        <v>1955</v>
      </c>
      <c r="D3382" t="s">
        <v>26</v>
      </c>
      <c r="E3382" t="s">
        <v>31</v>
      </c>
      <c r="F3382">
        <v>1</v>
      </c>
      <c r="G3382" s="3" t="s">
        <v>5</v>
      </c>
      <c r="H3382" s="46" t="s">
        <v>15</v>
      </c>
      <c r="I3382" s="17">
        <v>155848</v>
      </c>
      <c r="J3382" s="17">
        <f>IF(Gastos[[#This Row],[Divisa]]="$", I3382*1, IF(Gastos[[#This Row],[Divisa]]="U$D", I3382*$N$1, IF(Gastos[[#This Row],[Divisa]]="EUR", I3382*$N$2, 0)))</f>
        <v>155848</v>
      </c>
      <c r="K3382" s="54">
        <f>Gastos[[#This Row],[Importe AR$]]/$N$1</f>
        <v>99.902564102564099</v>
      </c>
      <c r="M3382" s="69"/>
      <c r="N3382" s="43" t="str">
        <f>IF(Gastos[[#This Row],[Fecha_Cheque]]&gt;0,WEEKNUM(Gastos[[#This Row],[Fecha_Cheque]]),MID(Gastos[[#This Row],[Semana]],6,2))</f>
        <v>21</v>
      </c>
      <c r="O3382" t="s">
        <v>1956</v>
      </c>
      <c r="P3382" t="s">
        <v>733</v>
      </c>
    </row>
    <row r="3383" spans="1:16" hidden="1" x14ac:dyDescent="0.25">
      <c r="A3383" s="3" t="s">
        <v>180</v>
      </c>
      <c r="B3383" t="s">
        <v>1954</v>
      </c>
      <c r="C3383" t="s">
        <v>2386</v>
      </c>
      <c r="D3383" t="s">
        <v>26</v>
      </c>
      <c r="E3383" t="s">
        <v>31</v>
      </c>
      <c r="F3383">
        <v>1</v>
      </c>
      <c r="G3383" s="3" t="s">
        <v>5</v>
      </c>
      <c r="H3383" s="46" t="s">
        <v>15</v>
      </c>
      <c r="I3383" s="17">
        <v>191760.8</v>
      </c>
      <c r="J3383" s="17">
        <f>IF(Gastos[[#This Row],[Divisa]]="$", I3383*1, IF(Gastos[[#This Row],[Divisa]]="U$D", I3383*$N$1, IF(Gastos[[#This Row],[Divisa]]="EUR", I3383*$N$2, 0)))</f>
        <v>191760.8</v>
      </c>
      <c r="K3383" s="54">
        <f>Gastos[[#This Row],[Importe AR$]]/$N$1</f>
        <v>122.92358974358973</v>
      </c>
      <c r="M3383" s="69"/>
      <c r="N3383" s="43" t="str">
        <f>IF(Gastos[[#This Row],[Fecha_Cheque]]&gt;0,WEEKNUM(Gastos[[#This Row],[Fecha_Cheque]]),MID(Gastos[[#This Row],[Semana]],6,2))</f>
        <v>09</v>
      </c>
      <c r="O3383" t="s">
        <v>2387</v>
      </c>
      <c r="P3383" t="s">
        <v>27</v>
      </c>
    </row>
    <row r="3384" spans="1:16" hidden="1" x14ac:dyDescent="0.25">
      <c r="A3384" s="3" t="s">
        <v>2711</v>
      </c>
      <c r="B3384" t="s">
        <v>1954</v>
      </c>
      <c r="C3384" t="s">
        <v>2950</v>
      </c>
      <c r="D3384" t="s">
        <v>26</v>
      </c>
      <c r="E3384" t="s">
        <v>31</v>
      </c>
      <c r="F3384">
        <v>1</v>
      </c>
      <c r="G3384" s="3" t="s">
        <v>32</v>
      </c>
      <c r="H3384" s="44" t="s">
        <v>15</v>
      </c>
      <c r="I3384" s="17">
        <v>170005</v>
      </c>
      <c r="J3384" s="17">
        <f>IF(Gastos[[#This Row],[Divisa]]="$", I3384*1, IF(Gastos[[#This Row],[Divisa]]="U$D", I3384*$N$1, IF(Gastos[[#This Row],[Divisa]]="EUR", I3384*$N$2, 0)))</f>
        <v>170005</v>
      </c>
      <c r="K3384" s="54">
        <f>Gastos[[#This Row],[Importe AR$]]/$N$1</f>
        <v>108.9775641025641</v>
      </c>
      <c r="M3384" s="69">
        <v>46137</v>
      </c>
      <c r="N3384" s="43">
        <f>IF(Gastos[[#This Row],[Fecha_Cheque]]&gt;0,WEEKNUM(Gastos[[#This Row],[Fecha_Cheque]]),MID(Gastos[[#This Row],[Semana]],6,2))</f>
        <v>17</v>
      </c>
      <c r="O3384" t="s">
        <v>2951</v>
      </c>
      <c r="P3384" t="s">
        <v>27</v>
      </c>
    </row>
    <row r="3385" spans="1:16" hidden="1" x14ac:dyDescent="0.25">
      <c r="A3385" s="3" t="s">
        <v>2792</v>
      </c>
      <c r="B3385" t="s">
        <v>3309</v>
      </c>
      <c r="C3385" t="s">
        <v>3310</v>
      </c>
      <c r="D3385" t="s">
        <v>26</v>
      </c>
      <c r="E3385" t="s">
        <v>31</v>
      </c>
      <c r="F3385">
        <v>1</v>
      </c>
      <c r="G3385" s="3" t="s">
        <v>32</v>
      </c>
      <c r="H3385" s="44" t="s">
        <v>15</v>
      </c>
      <c r="I3385" s="17">
        <v>208000</v>
      </c>
      <c r="J3385" s="17">
        <f>IF(Gastos[[#This Row],[Divisa]]="$", I3385*1, IF(Gastos[[#This Row],[Divisa]]="U$D", I3385*$N$1, IF(Gastos[[#This Row],[Divisa]]="EUR", I3385*$N$2, 0)))</f>
        <v>208000</v>
      </c>
      <c r="K3385" s="54">
        <f>Gastos[[#This Row],[Importe AR$]]/$N$1</f>
        <v>133.33333333333334</v>
      </c>
      <c r="M3385" s="69">
        <v>46179</v>
      </c>
      <c r="N3385" s="43">
        <f>IF(Gastos[[#This Row],[Fecha_Cheque]]&gt;0,WEEKNUM(Gastos[[#This Row],[Fecha_Cheque]]),MID(Gastos[[#This Row],[Semana]],6,2))</f>
        <v>23</v>
      </c>
      <c r="O3385" t="s">
        <v>3311</v>
      </c>
      <c r="P3385" t="s">
        <v>27</v>
      </c>
    </row>
    <row r="3386" spans="1:16" hidden="1" x14ac:dyDescent="0.25">
      <c r="A3386" s="3" t="s">
        <v>64</v>
      </c>
      <c r="B3386" t="s">
        <v>1959</v>
      </c>
      <c r="C3386" t="s">
        <v>1960</v>
      </c>
      <c r="D3386" t="s">
        <v>26</v>
      </c>
      <c r="E3386" t="s">
        <v>42</v>
      </c>
      <c r="F3386">
        <v>1</v>
      </c>
      <c r="G3386" s="3" t="s">
        <v>4</v>
      </c>
      <c r="H3386" s="46" t="s">
        <v>15</v>
      </c>
      <c r="I3386" s="17">
        <v>8000</v>
      </c>
      <c r="J3386" s="17">
        <f>IF(Gastos[[#This Row],[Divisa]]="$", I3386*1, IF(Gastos[[#This Row],[Divisa]]="U$D", I3386*$N$1, IF(Gastos[[#This Row],[Divisa]]="EUR", I3386*$N$2, 0)))</f>
        <v>8000</v>
      </c>
      <c r="K3386" s="54">
        <f>Gastos[[#This Row],[Importe AR$]]/$N$1</f>
        <v>5.1282051282051286</v>
      </c>
      <c r="M3386" s="69"/>
      <c r="N3386" s="43" t="str">
        <f>IF(Gastos[[#This Row],[Fecha_Cheque]]&gt;0,WEEKNUM(Gastos[[#This Row],[Fecha_Cheque]]),MID(Gastos[[#This Row],[Semana]],6,2))</f>
        <v>33</v>
      </c>
      <c r="O3386" t="s">
        <v>1961</v>
      </c>
      <c r="P3386" t="s">
        <v>27</v>
      </c>
    </row>
    <row r="3387" spans="1:16" hidden="1" x14ac:dyDescent="0.25">
      <c r="A3387" s="3" t="s">
        <v>3963</v>
      </c>
      <c r="B3387" t="s">
        <v>1959</v>
      </c>
      <c r="C3387" t="s">
        <v>4002</v>
      </c>
      <c r="D3387" t="s">
        <v>26</v>
      </c>
      <c r="E3387" t="s">
        <v>42</v>
      </c>
      <c r="F3387">
        <v>1</v>
      </c>
      <c r="G3387" s="3" t="s">
        <v>4</v>
      </c>
      <c r="H3387" s="44" t="s">
        <v>15</v>
      </c>
      <c r="I3387" s="17">
        <v>11000</v>
      </c>
      <c r="J3387" s="17">
        <f>IF(Gastos[[#This Row],[Divisa]]="$", I3387*1, IF(Gastos[[#This Row],[Divisa]]="U$D", I3387*$N$1, IF(Gastos[[#This Row],[Divisa]]="EUR", I3387*$N$2, 0)))</f>
        <v>11000</v>
      </c>
      <c r="K3387" s="54">
        <f>Gastos[[#This Row],[Importe AR$]]/$N$1</f>
        <v>7.0512820512820511</v>
      </c>
      <c r="M3387" s="69"/>
      <c r="N3387" s="43" t="str">
        <f>IF(Gastos[[#This Row],[Fecha_Cheque]]&gt;0,WEEKNUM(Gastos[[#This Row],[Fecha_Cheque]]),MID(Gastos[[#This Row],[Semana]],6,2))</f>
        <v>32</v>
      </c>
      <c r="O3387" t="s">
        <v>4003</v>
      </c>
      <c r="P3387" t="s">
        <v>27</v>
      </c>
    </row>
    <row r="3388" spans="1:16" hidden="1" x14ac:dyDescent="0.25">
      <c r="A3388" s="3" t="s">
        <v>305</v>
      </c>
      <c r="B3388" t="s">
        <v>1962</v>
      </c>
      <c r="C3388" t="s">
        <v>1963</v>
      </c>
      <c r="D3388" t="s">
        <v>26</v>
      </c>
      <c r="E3388" t="s">
        <v>31</v>
      </c>
      <c r="F3388">
        <v>2</v>
      </c>
      <c r="G3388" s="3" t="s">
        <v>32</v>
      </c>
      <c r="H3388" s="46" t="s">
        <v>15</v>
      </c>
      <c r="I3388" s="17">
        <v>858143.4</v>
      </c>
      <c r="J3388" s="17">
        <f>IF(Gastos[[#This Row],[Divisa]]="$", I3388*1, IF(Gastos[[#This Row],[Divisa]]="U$D", I3388*$N$1, IF(Gastos[[#This Row],[Divisa]]="EUR", I3388*$N$2, 0)))</f>
        <v>858143.4</v>
      </c>
      <c r="K3388" s="54">
        <f>Gastos[[#This Row],[Importe AR$]]/$N$1</f>
        <v>550.09192307692308</v>
      </c>
      <c r="M3388" s="69"/>
      <c r="N3388" s="43" t="str">
        <f>IF(Gastos[[#This Row],[Fecha_Cheque]]&gt;0,WEEKNUM(Gastos[[#This Row],[Fecha_Cheque]]),MID(Gastos[[#This Row],[Semana]],6,2))</f>
        <v>31</v>
      </c>
      <c r="O3388" t="s">
        <v>123</v>
      </c>
      <c r="P3388" t="s">
        <v>27</v>
      </c>
    </row>
    <row r="3389" spans="1:16" hidden="1" x14ac:dyDescent="0.25">
      <c r="A3389" s="3" t="s">
        <v>206</v>
      </c>
      <c r="B3389" t="s">
        <v>1964</v>
      </c>
      <c r="C3389" t="s">
        <v>1965</v>
      </c>
      <c r="D3389" t="s">
        <v>26</v>
      </c>
      <c r="E3389" t="s">
        <v>62</v>
      </c>
      <c r="F3389">
        <v>1</v>
      </c>
      <c r="G3389" s="3" t="s">
        <v>32</v>
      </c>
      <c r="H3389" s="46" t="s">
        <v>15</v>
      </c>
      <c r="I3389" s="17">
        <v>1441243.4</v>
      </c>
      <c r="J3389" s="17">
        <f>IF(Gastos[[#This Row],[Divisa]]="$", I3389*1, IF(Gastos[[#This Row],[Divisa]]="U$D", I3389*$N$1, IF(Gastos[[#This Row],[Divisa]]="EUR", I3389*$N$2, 0)))</f>
        <v>1441243.4</v>
      </c>
      <c r="K3389" s="54">
        <f>Gastos[[#This Row],[Importe AR$]]/$N$1</f>
        <v>923.87397435897435</v>
      </c>
      <c r="M3389" s="69">
        <v>46078</v>
      </c>
      <c r="N3389" s="43">
        <f>IF(Gastos[[#This Row],[Fecha_Cheque]]&gt;0,WEEKNUM(Gastos[[#This Row],[Fecha_Cheque]]),MID(Gastos[[#This Row],[Semana]],6,2))</f>
        <v>9</v>
      </c>
      <c r="O3389" t="s">
        <v>1966</v>
      </c>
      <c r="P3389" t="s">
        <v>27</v>
      </c>
    </row>
    <row r="3390" spans="1:16" hidden="1" x14ac:dyDescent="0.25">
      <c r="A3390" s="3" t="s">
        <v>89</v>
      </c>
      <c r="B3390" t="s">
        <v>1967</v>
      </c>
      <c r="D3390" t="s">
        <v>26</v>
      </c>
      <c r="E3390" t="s">
        <v>31</v>
      </c>
      <c r="F3390">
        <v>1</v>
      </c>
      <c r="G3390" s="3" t="s">
        <v>5</v>
      </c>
      <c r="H3390" s="46" t="s">
        <v>15</v>
      </c>
      <c r="I3390" s="17">
        <v>1212182.48</v>
      </c>
      <c r="J3390" s="17">
        <f>IF(Gastos[[#This Row],[Divisa]]="$", I3390*1, IF(Gastos[[#This Row],[Divisa]]="U$D", I3390*$N$1, IF(Gastos[[#This Row],[Divisa]]="EUR", I3390*$N$2, 0)))</f>
        <v>1212182.48</v>
      </c>
      <c r="K3390" s="54">
        <f>Gastos[[#This Row],[Importe AR$]]/$N$1</f>
        <v>777.04005128205131</v>
      </c>
      <c r="M3390" s="69"/>
      <c r="N3390" s="43" t="str">
        <f>IF(Gastos[[#This Row],[Fecha_Cheque]]&gt;0,WEEKNUM(Gastos[[#This Row],[Fecha_Cheque]]),MID(Gastos[[#This Row],[Semana]],6,2))</f>
        <v>39</v>
      </c>
      <c r="O3390" t="s">
        <v>1968</v>
      </c>
      <c r="P3390" t="s">
        <v>27</v>
      </c>
    </row>
    <row r="3391" spans="1:16" hidden="1" x14ac:dyDescent="0.25">
      <c r="A3391" s="3" t="s">
        <v>128</v>
      </c>
      <c r="B3391" t="s">
        <v>1967</v>
      </c>
      <c r="C3391" t="s">
        <v>484</v>
      </c>
      <c r="D3391" t="s">
        <v>26</v>
      </c>
      <c r="E3391" t="s">
        <v>31</v>
      </c>
      <c r="F3391">
        <v>1</v>
      </c>
      <c r="G3391" s="3" t="s">
        <v>5</v>
      </c>
      <c r="H3391" s="46" t="s">
        <v>15</v>
      </c>
      <c r="I3391" s="17">
        <v>1000820</v>
      </c>
      <c r="J3391" s="17">
        <f>IF(Gastos[[#This Row],[Divisa]]="$", I3391*1, IF(Gastos[[#This Row],[Divisa]]="U$D", I3391*$N$1, IF(Gastos[[#This Row],[Divisa]]="EUR", I3391*$N$2, 0)))</f>
        <v>1000820</v>
      </c>
      <c r="K3391" s="54">
        <f>Gastos[[#This Row],[Importe AR$]]/$N$1</f>
        <v>641.5512820512821</v>
      </c>
      <c r="M3391" s="69"/>
      <c r="N3391" s="43" t="str">
        <f>IF(Gastos[[#This Row],[Fecha_Cheque]]&gt;0,WEEKNUM(Gastos[[#This Row],[Fecha_Cheque]]),MID(Gastos[[#This Row],[Semana]],6,2))</f>
        <v>43</v>
      </c>
      <c r="O3391" t="s">
        <v>1969</v>
      </c>
      <c r="P3391" t="s">
        <v>27</v>
      </c>
    </row>
    <row r="3392" spans="1:16" hidden="1" x14ac:dyDescent="0.25">
      <c r="A3392" s="3" t="s">
        <v>378</v>
      </c>
      <c r="B3392" t="s">
        <v>1967</v>
      </c>
      <c r="C3392" t="s">
        <v>1970</v>
      </c>
      <c r="D3392" t="s">
        <v>26</v>
      </c>
      <c r="E3392" t="s">
        <v>31</v>
      </c>
      <c r="F3392">
        <v>1</v>
      </c>
      <c r="G3392" s="3" t="s">
        <v>32</v>
      </c>
      <c r="H3392" s="46" t="s">
        <v>15</v>
      </c>
      <c r="I3392" s="17">
        <v>317048.69</v>
      </c>
      <c r="J3392" s="17">
        <f>IF(Gastos[[#This Row],[Divisa]]="$", I3392*1, IF(Gastos[[#This Row],[Divisa]]="U$D", I3392*$N$1, IF(Gastos[[#This Row],[Divisa]]="EUR", I3392*$N$2, 0)))</f>
        <v>317048.69</v>
      </c>
      <c r="K3392" s="54">
        <f>Gastos[[#This Row],[Importe AR$]]/$N$1</f>
        <v>203.23633974358975</v>
      </c>
      <c r="M3392" s="69">
        <v>46066</v>
      </c>
      <c r="N3392" s="43">
        <f>IF(Gastos[[#This Row],[Fecha_Cheque]]&gt;0,WEEKNUM(Gastos[[#This Row],[Fecha_Cheque]]),MID(Gastos[[#This Row],[Semana]],6,2))</f>
        <v>7</v>
      </c>
      <c r="O3392" t="s">
        <v>1971</v>
      </c>
      <c r="P3392" t="s">
        <v>27</v>
      </c>
    </row>
    <row r="3393" spans="1:16" hidden="1" x14ac:dyDescent="0.25">
      <c r="A3393" s="3" t="s">
        <v>378</v>
      </c>
      <c r="B3393" t="s">
        <v>1967</v>
      </c>
      <c r="C3393" t="s">
        <v>1970</v>
      </c>
      <c r="D3393" t="s">
        <v>26</v>
      </c>
      <c r="E3393" t="s">
        <v>31</v>
      </c>
      <c r="F3393">
        <v>1</v>
      </c>
      <c r="G3393" s="3" t="s">
        <v>32</v>
      </c>
      <c r="H3393" s="46" t="s">
        <v>15</v>
      </c>
      <c r="I3393" s="17">
        <v>358060.09</v>
      </c>
      <c r="J3393" s="17">
        <f>IF(Gastos[[#This Row],[Divisa]]="$", I3393*1, IF(Gastos[[#This Row],[Divisa]]="U$D", I3393*$N$1, IF(Gastos[[#This Row],[Divisa]]="EUR", I3393*$N$2, 0)))</f>
        <v>358060.09</v>
      </c>
      <c r="K3393" s="54">
        <f>Gastos[[#This Row],[Importe AR$]]/$N$1</f>
        <v>229.52569871794873</v>
      </c>
      <c r="M3393" s="69">
        <v>46059</v>
      </c>
      <c r="N3393" s="43">
        <f>IF(Gastos[[#This Row],[Fecha_Cheque]]&gt;0,WEEKNUM(Gastos[[#This Row],[Fecha_Cheque]]),MID(Gastos[[#This Row],[Semana]],6,2))</f>
        <v>6</v>
      </c>
      <c r="O3393" t="s">
        <v>1971</v>
      </c>
      <c r="P3393" t="s">
        <v>27</v>
      </c>
    </row>
    <row r="3394" spans="1:16" hidden="1" x14ac:dyDescent="0.25">
      <c r="A3394" s="3" t="s">
        <v>378</v>
      </c>
      <c r="B3394" t="s">
        <v>1967</v>
      </c>
      <c r="C3394" t="s">
        <v>1970</v>
      </c>
      <c r="D3394" t="s">
        <v>26</v>
      </c>
      <c r="E3394" t="s">
        <v>31</v>
      </c>
      <c r="F3394">
        <v>1</v>
      </c>
      <c r="G3394" s="3" t="s">
        <v>32</v>
      </c>
      <c r="H3394" s="46" t="s">
        <v>15</v>
      </c>
      <c r="I3394" s="17">
        <v>114771.22</v>
      </c>
      <c r="J3394" s="17">
        <f>IF(Gastos[[#This Row],[Divisa]]="$", I3394*1, IF(Gastos[[#This Row],[Divisa]]="U$D", I3394*$N$1, IF(Gastos[[#This Row],[Divisa]]="EUR", I3394*$N$2, 0)))</f>
        <v>114771.22</v>
      </c>
      <c r="K3394" s="54">
        <f>Gastos[[#This Row],[Importe AR$]]/$N$1</f>
        <v>73.571294871794876</v>
      </c>
      <c r="M3394" s="69">
        <v>46036</v>
      </c>
      <c r="N3394" s="43">
        <f>IF(Gastos[[#This Row],[Fecha_Cheque]]&gt;0,WEEKNUM(Gastos[[#This Row],[Fecha_Cheque]]),MID(Gastos[[#This Row],[Semana]],6,2))</f>
        <v>3</v>
      </c>
      <c r="O3394" t="s">
        <v>1971</v>
      </c>
      <c r="P3394" t="s">
        <v>27</v>
      </c>
    </row>
    <row r="3395" spans="1:16" hidden="1" x14ac:dyDescent="0.25">
      <c r="A3395" s="3" t="s">
        <v>75</v>
      </c>
      <c r="B3395" t="s">
        <v>1967</v>
      </c>
      <c r="C3395" t="s">
        <v>1965</v>
      </c>
      <c r="D3395" t="s">
        <v>26</v>
      </c>
      <c r="E3395" t="s">
        <v>31</v>
      </c>
      <c r="F3395">
        <v>1</v>
      </c>
      <c r="G3395" s="3" t="s">
        <v>32</v>
      </c>
      <c r="H3395" s="46" t="s">
        <v>15</v>
      </c>
      <c r="I3395" s="17">
        <v>1441243.4</v>
      </c>
      <c r="J3395" s="17">
        <f>IF(Gastos[[#This Row],[Divisa]]="$", I3395*1, IF(Gastos[[#This Row],[Divisa]]="U$D", I3395*$N$1, IF(Gastos[[#This Row],[Divisa]]="EUR", I3395*$N$2, 0)))</f>
        <v>1441243.4</v>
      </c>
      <c r="K3395" s="54">
        <f>Gastos[[#This Row],[Importe AR$]]/$N$1</f>
        <v>923.87397435897435</v>
      </c>
      <c r="M3395" s="69">
        <v>46080</v>
      </c>
      <c r="N3395" s="43">
        <f>IF(Gastos[[#This Row],[Fecha_Cheque]]&gt;0,WEEKNUM(Gastos[[#This Row],[Fecha_Cheque]]),MID(Gastos[[#This Row],[Semana]],6,2))</f>
        <v>9</v>
      </c>
      <c r="O3395" t="s">
        <v>1972</v>
      </c>
      <c r="P3395" t="s">
        <v>27</v>
      </c>
    </row>
    <row r="3396" spans="1:16" hidden="1" x14ac:dyDescent="0.25">
      <c r="A3396" s="3" t="s">
        <v>180</v>
      </c>
      <c r="B3396" t="s">
        <v>1967</v>
      </c>
      <c r="C3396" t="s">
        <v>484</v>
      </c>
      <c r="D3396" t="s">
        <v>26</v>
      </c>
      <c r="E3396" t="s">
        <v>31</v>
      </c>
      <c r="F3396">
        <v>1</v>
      </c>
      <c r="G3396" s="3" t="s">
        <v>5</v>
      </c>
      <c r="H3396" s="46" t="s">
        <v>15</v>
      </c>
      <c r="I3396" s="17">
        <v>654500</v>
      </c>
      <c r="J3396" s="17">
        <f>IF(Gastos[[#This Row],[Divisa]]="$", I3396*1, IF(Gastos[[#This Row],[Divisa]]="U$D", I3396*$N$1, IF(Gastos[[#This Row],[Divisa]]="EUR", I3396*$N$2, 0)))</f>
        <v>654500</v>
      </c>
      <c r="K3396" s="54">
        <f>Gastos[[#This Row],[Importe AR$]]/$N$1</f>
        <v>419.55128205128204</v>
      </c>
      <c r="M3396" s="69"/>
      <c r="N3396" s="43" t="str">
        <f>IF(Gastos[[#This Row],[Fecha_Cheque]]&gt;0,WEEKNUM(Gastos[[#This Row],[Fecha_Cheque]]),MID(Gastos[[#This Row],[Semana]],6,2))</f>
        <v>09</v>
      </c>
      <c r="O3396" t="s">
        <v>2388</v>
      </c>
      <c r="P3396" t="s">
        <v>27</v>
      </c>
    </row>
    <row r="3397" spans="1:16" hidden="1" x14ac:dyDescent="0.25">
      <c r="A3397" s="3" t="s">
        <v>2740</v>
      </c>
      <c r="B3397" t="s">
        <v>1967</v>
      </c>
      <c r="C3397" t="s">
        <v>3017</v>
      </c>
      <c r="D3397" t="s">
        <v>26</v>
      </c>
      <c r="E3397" t="s">
        <v>62</v>
      </c>
      <c r="F3397">
        <v>1</v>
      </c>
      <c r="G3397" s="3" t="s">
        <v>32</v>
      </c>
      <c r="H3397" s="44" t="s">
        <v>15</v>
      </c>
      <c r="I3397" s="17">
        <v>2604074.48</v>
      </c>
      <c r="J3397" s="17">
        <f>IF(Gastos[[#This Row],[Divisa]]="$", I3397*1, IF(Gastos[[#This Row],[Divisa]]="U$D", I3397*$N$1, IF(Gastos[[#This Row],[Divisa]]="EUR", I3397*$N$2, 0)))</f>
        <v>2604074.48</v>
      </c>
      <c r="K3397" s="54">
        <f>Gastos[[#This Row],[Importe AR$]]/$N$1</f>
        <v>1669.2785128205128</v>
      </c>
      <c r="M3397" s="69">
        <v>46220</v>
      </c>
      <c r="N3397" s="43">
        <f>IF(Gastos[[#This Row],[Fecha_Cheque]]&gt;0,WEEKNUM(Gastos[[#This Row],[Fecha_Cheque]]),MID(Gastos[[#This Row],[Semana]],6,2))</f>
        <v>29</v>
      </c>
      <c r="O3397" t="s">
        <v>3018</v>
      </c>
      <c r="P3397" t="s">
        <v>27</v>
      </c>
    </row>
    <row r="3398" spans="1:16" hidden="1" x14ac:dyDescent="0.25">
      <c r="A3398" s="3" t="s">
        <v>2740</v>
      </c>
      <c r="B3398" t="s">
        <v>1967</v>
      </c>
      <c r="C3398" t="s">
        <v>3017</v>
      </c>
      <c r="D3398" t="s">
        <v>26</v>
      </c>
      <c r="E3398" t="s">
        <v>62</v>
      </c>
      <c r="F3398">
        <v>1</v>
      </c>
      <c r="G3398" s="3" t="s">
        <v>32</v>
      </c>
      <c r="H3398" s="44" t="s">
        <v>15</v>
      </c>
      <c r="I3398" s="17">
        <v>2604074.46</v>
      </c>
      <c r="J3398" s="17">
        <f>IF(Gastos[[#This Row],[Divisa]]="$", I3398*1, IF(Gastos[[#This Row],[Divisa]]="U$D", I3398*$N$1, IF(Gastos[[#This Row],[Divisa]]="EUR", I3398*$N$2, 0)))</f>
        <v>2604074.46</v>
      </c>
      <c r="K3398" s="54">
        <f>Gastos[[#This Row],[Importe AR$]]/$N$1</f>
        <v>1669.2784999999999</v>
      </c>
      <c r="M3398" s="69">
        <v>46190</v>
      </c>
      <c r="N3398" s="43">
        <f>IF(Gastos[[#This Row],[Fecha_Cheque]]&gt;0,WEEKNUM(Gastos[[#This Row],[Fecha_Cheque]]),MID(Gastos[[#This Row],[Semana]],6,2))</f>
        <v>25</v>
      </c>
      <c r="O3398" t="s">
        <v>3018</v>
      </c>
      <c r="P3398" t="s">
        <v>27</v>
      </c>
    </row>
    <row r="3399" spans="1:16" hidden="1" x14ac:dyDescent="0.25">
      <c r="A3399" s="3" t="s">
        <v>2740</v>
      </c>
      <c r="B3399" t="s">
        <v>1967</v>
      </c>
      <c r="C3399" t="s">
        <v>3017</v>
      </c>
      <c r="D3399" t="s">
        <v>26</v>
      </c>
      <c r="E3399" t="s">
        <v>62</v>
      </c>
      <c r="F3399">
        <v>1</v>
      </c>
      <c r="G3399" s="3" t="s">
        <v>32</v>
      </c>
      <c r="H3399" s="44" t="s">
        <v>15</v>
      </c>
      <c r="I3399" s="17">
        <v>2604074.46</v>
      </c>
      <c r="J3399" s="17">
        <f>IF(Gastos[[#This Row],[Divisa]]="$", I3399*1, IF(Gastos[[#This Row],[Divisa]]="U$D", I3399*$N$1, IF(Gastos[[#This Row],[Divisa]]="EUR", I3399*$N$2, 0)))</f>
        <v>2604074.46</v>
      </c>
      <c r="K3399" s="54">
        <f>Gastos[[#This Row],[Importe AR$]]/$N$1</f>
        <v>1669.2784999999999</v>
      </c>
      <c r="M3399" s="69">
        <v>46159</v>
      </c>
      <c r="N3399" s="43">
        <f>IF(Gastos[[#This Row],[Fecha_Cheque]]&gt;0,WEEKNUM(Gastos[[#This Row],[Fecha_Cheque]]),MID(Gastos[[#This Row],[Semana]],6,2))</f>
        <v>21</v>
      </c>
      <c r="O3399" t="s">
        <v>3018</v>
      </c>
      <c r="P3399" t="s">
        <v>27</v>
      </c>
    </row>
    <row r="3400" spans="1:16" hidden="1" x14ac:dyDescent="0.25">
      <c r="A3400" s="3" t="s">
        <v>2740</v>
      </c>
      <c r="B3400" t="s">
        <v>1967</v>
      </c>
      <c r="C3400" t="s">
        <v>3017</v>
      </c>
      <c r="D3400" t="s">
        <v>26</v>
      </c>
      <c r="E3400" t="s">
        <v>62</v>
      </c>
      <c r="F3400">
        <v>1</v>
      </c>
      <c r="G3400" s="3" t="s">
        <v>32</v>
      </c>
      <c r="H3400" s="44" t="s">
        <v>15</v>
      </c>
      <c r="I3400" s="17">
        <v>125376.6</v>
      </c>
      <c r="J3400" s="17">
        <f>IF(Gastos[[#This Row],[Divisa]]="$", I3400*1, IF(Gastos[[#This Row],[Divisa]]="U$D", I3400*$N$1, IF(Gastos[[#This Row],[Divisa]]="EUR", I3400*$N$2, 0)))</f>
        <v>125376.6</v>
      </c>
      <c r="K3400" s="54">
        <f>Gastos[[#This Row],[Importe AR$]]/$N$1</f>
        <v>80.369615384615386</v>
      </c>
      <c r="L3400" t="s">
        <v>340</v>
      </c>
      <c r="M3400" s="69"/>
      <c r="N3400" s="43" t="str">
        <f>IF(Gastos[[#This Row],[Fecha_Cheque]]&gt;0,WEEKNUM(Gastos[[#This Row],[Fecha_Cheque]]),MID(Gastos[[#This Row],[Semana]],6,2))</f>
        <v>16</v>
      </c>
      <c r="O3400" t="s">
        <v>3018</v>
      </c>
      <c r="P3400" t="s">
        <v>27</v>
      </c>
    </row>
    <row r="3401" spans="1:16" hidden="1" x14ac:dyDescent="0.25">
      <c r="A3401" s="3" t="s">
        <v>3754</v>
      </c>
      <c r="B3401" t="s">
        <v>1967</v>
      </c>
      <c r="C3401" t="s">
        <v>3608</v>
      </c>
      <c r="D3401" t="s">
        <v>26</v>
      </c>
      <c r="E3401" t="s">
        <v>42</v>
      </c>
      <c r="F3401">
        <v>2</v>
      </c>
      <c r="G3401" s="3" t="s">
        <v>32</v>
      </c>
      <c r="H3401" s="44" t="s">
        <v>15</v>
      </c>
      <c r="I3401" s="17">
        <v>802684</v>
      </c>
      <c r="J3401" s="17">
        <f>IF(Gastos[[#This Row],[Divisa]]="$", I3401*1, IF(Gastos[[#This Row],[Divisa]]="U$D", I3401*$N$1, IF(Gastos[[#This Row],[Divisa]]="EUR", I3401*$N$2, 0)))</f>
        <v>802684</v>
      </c>
      <c r="K3401" s="54">
        <f>Gastos[[#This Row],[Importe AR$]]/$N$1</f>
        <v>514.54102564102561</v>
      </c>
      <c r="M3401" s="69">
        <v>46242</v>
      </c>
      <c r="N3401" s="43">
        <f>IF(Gastos[[#This Row],[Fecha_Cheque]]&gt;0,WEEKNUM(Gastos[[#This Row],[Fecha_Cheque]]),MID(Gastos[[#This Row],[Semana]],6,2))</f>
        <v>32</v>
      </c>
      <c r="O3401" t="s">
        <v>3795</v>
      </c>
      <c r="P3401" t="s">
        <v>27</v>
      </c>
    </row>
    <row r="3402" spans="1:16" hidden="1" x14ac:dyDescent="0.25">
      <c r="A3402" s="3" t="s">
        <v>3754</v>
      </c>
      <c r="B3402" t="s">
        <v>1967</v>
      </c>
      <c r="C3402" t="s">
        <v>3608</v>
      </c>
      <c r="D3402" t="s">
        <v>26</v>
      </c>
      <c r="E3402" t="s">
        <v>42</v>
      </c>
      <c r="F3402">
        <v>2</v>
      </c>
      <c r="G3402" s="3" t="s">
        <v>32</v>
      </c>
      <c r="H3402" s="44" t="s">
        <v>15</v>
      </c>
      <c r="I3402" s="17">
        <v>1200000</v>
      </c>
      <c r="J3402" s="17">
        <f>IF(Gastos[[#This Row],[Divisa]]="$", I3402*1, IF(Gastos[[#This Row],[Divisa]]="U$D", I3402*$N$1, IF(Gastos[[#This Row],[Divisa]]="EUR", I3402*$N$2, 0)))</f>
        <v>1200000</v>
      </c>
      <c r="K3402" s="54">
        <f>Gastos[[#This Row],[Importe AR$]]/$N$1</f>
        <v>769.23076923076928</v>
      </c>
      <c r="M3402" s="69">
        <v>46246</v>
      </c>
      <c r="N3402" s="43">
        <f>IF(Gastos[[#This Row],[Fecha_Cheque]]&gt;0,WEEKNUM(Gastos[[#This Row],[Fecha_Cheque]]),MID(Gastos[[#This Row],[Semana]],6,2))</f>
        <v>33</v>
      </c>
      <c r="O3402" t="s">
        <v>3795</v>
      </c>
      <c r="P3402" t="s">
        <v>27</v>
      </c>
    </row>
    <row r="3403" spans="1:16" hidden="1" x14ac:dyDescent="0.25">
      <c r="A3403" s="3" t="s">
        <v>3754</v>
      </c>
      <c r="B3403" t="s">
        <v>1967</v>
      </c>
      <c r="C3403" t="s">
        <v>3608</v>
      </c>
      <c r="D3403" t="s">
        <v>26</v>
      </c>
      <c r="E3403" t="s">
        <v>42</v>
      </c>
      <c r="F3403">
        <v>2</v>
      </c>
      <c r="G3403" s="3" t="s">
        <v>32</v>
      </c>
      <c r="H3403" s="44" t="s">
        <v>15</v>
      </c>
      <c r="I3403" s="17">
        <v>2000000</v>
      </c>
      <c r="J3403" s="17">
        <f>IF(Gastos[[#This Row],[Divisa]]="$", I3403*1, IF(Gastos[[#This Row],[Divisa]]="U$D", I3403*$N$1, IF(Gastos[[#This Row],[Divisa]]="EUR", I3403*$N$2, 0)))</f>
        <v>2000000</v>
      </c>
      <c r="K3403" s="54">
        <f>Gastos[[#This Row],[Importe AR$]]/$N$1</f>
        <v>1282.051282051282</v>
      </c>
      <c r="M3403" s="69">
        <v>46245</v>
      </c>
      <c r="N3403" s="43">
        <f>IF(Gastos[[#This Row],[Fecha_Cheque]]&gt;0,WEEKNUM(Gastos[[#This Row],[Fecha_Cheque]]),MID(Gastos[[#This Row],[Semana]],6,2))</f>
        <v>33</v>
      </c>
      <c r="O3403" t="s">
        <v>3795</v>
      </c>
      <c r="P3403" t="s">
        <v>27</v>
      </c>
    </row>
    <row r="3404" spans="1:16" hidden="1" x14ac:dyDescent="0.25">
      <c r="A3404" s="3" t="s">
        <v>53</v>
      </c>
      <c r="B3404" t="s">
        <v>1973</v>
      </c>
      <c r="C3404" t="s">
        <v>1974</v>
      </c>
      <c r="D3404" t="s">
        <v>26</v>
      </c>
      <c r="E3404" t="s">
        <v>31</v>
      </c>
      <c r="F3404">
        <v>1</v>
      </c>
      <c r="G3404" s="3" t="s">
        <v>32</v>
      </c>
      <c r="H3404" s="46" t="s">
        <v>15</v>
      </c>
      <c r="I3404" s="17">
        <v>206689.03</v>
      </c>
      <c r="J3404" s="17">
        <f>IF(Gastos[[#This Row],[Divisa]]="$", I3404*1, IF(Gastos[[#This Row],[Divisa]]="U$D", I3404*$N$1, IF(Gastos[[#This Row],[Divisa]]="EUR", I3404*$N$2, 0)))</f>
        <v>206689.03</v>
      </c>
      <c r="K3404" s="54">
        <f>Gastos[[#This Row],[Importe AR$]]/$N$1</f>
        <v>132.49296794871796</v>
      </c>
      <c r="M3404" s="69">
        <v>45882</v>
      </c>
      <c r="N3404" s="43">
        <f>IF(Gastos[[#This Row],[Fecha_Cheque]]&gt;0,WEEKNUM(Gastos[[#This Row],[Fecha_Cheque]]),MID(Gastos[[#This Row],[Semana]],6,2))</f>
        <v>33</v>
      </c>
      <c r="O3404" t="s">
        <v>1975</v>
      </c>
      <c r="P3404" t="s">
        <v>27</v>
      </c>
    </row>
    <row r="3405" spans="1:16" hidden="1" x14ac:dyDescent="0.25">
      <c r="A3405" s="3" t="s">
        <v>53</v>
      </c>
      <c r="B3405" t="s">
        <v>1973</v>
      </c>
      <c r="C3405" t="s">
        <v>1974</v>
      </c>
      <c r="D3405" t="s">
        <v>26</v>
      </c>
      <c r="E3405" t="s">
        <v>31</v>
      </c>
      <c r="F3405">
        <v>1</v>
      </c>
      <c r="G3405" s="3" t="s">
        <v>4</v>
      </c>
      <c r="H3405" s="46" t="s">
        <v>15</v>
      </c>
      <c r="I3405" s="17">
        <v>110103.47</v>
      </c>
      <c r="J3405" s="17">
        <f>IF(Gastos[[#This Row],[Divisa]]="$", I3405*1, IF(Gastos[[#This Row],[Divisa]]="U$D", I3405*$N$1, IF(Gastos[[#This Row],[Divisa]]="EUR", I3405*$N$2, 0)))</f>
        <v>110103.47</v>
      </c>
      <c r="K3405" s="54">
        <f>Gastos[[#This Row],[Importe AR$]]/$N$1</f>
        <v>70.57914743589744</v>
      </c>
      <c r="M3405" s="69"/>
      <c r="N3405" s="43" t="str">
        <f>IF(Gastos[[#This Row],[Fecha_Cheque]]&gt;0,WEEKNUM(Gastos[[#This Row],[Fecha_Cheque]]),MID(Gastos[[#This Row],[Semana]],6,2))</f>
        <v>34</v>
      </c>
      <c r="O3405" t="s">
        <v>1975</v>
      </c>
      <c r="P3405" t="s">
        <v>27</v>
      </c>
    </row>
    <row r="3406" spans="1:16" hidden="1" x14ac:dyDescent="0.25">
      <c r="A3406" s="3" t="s">
        <v>2763</v>
      </c>
      <c r="B3406" t="s">
        <v>3384</v>
      </c>
      <c r="C3406" t="s">
        <v>3281</v>
      </c>
      <c r="D3406" t="s">
        <v>26</v>
      </c>
      <c r="E3406" t="s">
        <v>42</v>
      </c>
      <c r="F3406">
        <v>1</v>
      </c>
      <c r="G3406" s="3" t="s">
        <v>4</v>
      </c>
      <c r="H3406" s="44" t="s">
        <v>15</v>
      </c>
      <c r="I3406" s="17">
        <v>13960</v>
      </c>
      <c r="J3406" s="17">
        <f>IF(Gastos[[#This Row],[Divisa]]="$", I3406*1, IF(Gastos[[#This Row],[Divisa]]="U$D", I3406*$N$1, IF(Gastos[[#This Row],[Divisa]]="EUR", I3406*$N$2, 0)))</f>
        <v>13960</v>
      </c>
      <c r="K3406" s="54">
        <f>Gastos[[#This Row],[Importe AR$]]/$N$1</f>
        <v>8.9487179487179489</v>
      </c>
      <c r="M3406" s="69"/>
      <c r="N3406" s="43" t="str">
        <f>IF(Gastos[[#This Row],[Fecha_Cheque]]&gt;0,WEEKNUM(Gastos[[#This Row],[Fecha_Cheque]]),MID(Gastos[[#This Row],[Semana]],6,2))</f>
        <v>23</v>
      </c>
      <c r="O3406" t="s">
        <v>3194</v>
      </c>
      <c r="P3406" t="s">
        <v>27</v>
      </c>
    </row>
    <row r="3407" spans="1:16" hidden="1" x14ac:dyDescent="0.25">
      <c r="A3407" s="3" t="s">
        <v>2763</v>
      </c>
      <c r="B3407" t="s">
        <v>3384</v>
      </c>
      <c r="C3407" t="s">
        <v>3281</v>
      </c>
      <c r="D3407" t="s">
        <v>26</v>
      </c>
      <c r="E3407" t="s">
        <v>42</v>
      </c>
      <c r="F3407">
        <v>1</v>
      </c>
      <c r="G3407" s="3" t="s">
        <v>4</v>
      </c>
      <c r="H3407" s="44" t="s">
        <v>15</v>
      </c>
      <c r="I3407" s="17">
        <v>21940</v>
      </c>
      <c r="J3407" s="17">
        <f>IF(Gastos[[#This Row],[Divisa]]="$", I3407*1, IF(Gastos[[#This Row],[Divisa]]="U$D", I3407*$N$1, IF(Gastos[[#This Row],[Divisa]]="EUR", I3407*$N$2, 0)))</f>
        <v>21940</v>
      </c>
      <c r="K3407" s="54">
        <f>Gastos[[#This Row],[Importe AR$]]/$N$1</f>
        <v>14.064102564102564</v>
      </c>
      <c r="M3407" s="69"/>
      <c r="N3407" s="43" t="str">
        <f>IF(Gastos[[#This Row],[Fecha_Cheque]]&gt;0,WEEKNUM(Gastos[[#This Row],[Fecha_Cheque]]),MID(Gastos[[#This Row],[Semana]],6,2))</f>
        <v>23</v>
      </c>
      <c r="O3407" t="s">
        <v>3385</v>
      </c>
      <c r="P3407" t="s">
        <v>27</v>
      </c>
    </row>
    <row r="3408" spans="1:16" hidden="1" x14ac:dyDescent="0.25">
      <c r="A3408" s="3" t="s">
        <v>3567</v>
      </c>
      <c r="B3408" t="s">
        <v>3384</v>
      </c>
      <c r="C3408" t="s">
        <v>1948</v>
      </c>
      <c r="D3408" t="s">
        <v>26</v>
      </c>
      <c r="E3408" t="s">
        <v>42</v>
      </c>
      <c r="F3408">
        <v>1</v>
      </c>
      <c r="G3408" s="3" t="s">
        <v>4</v>
      </c>
      <c r="H3408" s="44" t="s">
        <v>15</v>
      </c>
      <c r="I3408" s="17">
        <v>15900</v>
      </c>
      <c r="J3408" s="17">
        <f>IF(Gastos[[#This Row],[Divisa]]="$", I3408*1, IF(Gastos[[#This Row],[Divisa]]="U$D", I3408*$N$1, IF(Gastos[[#This Row],[Divisa]]="EUR", I3408*$N$2, 0)))</f>
        <v>15900</v>
      </c>
      <c r="K3408" s="54">
        <f>Gastos[[#This Row],[Importe AR$]]/$N$1</f>
        <v>10.192307692307692</v>
      </c>
      <c r="M3408" s="69"/>
      <c r="N3408" s="43" t="str">
        <f>IF(Gastos[[#This Row],[Fecha_Cheque]]&gt;0,WEEKNUM(Gastos[[#This Row],[Fecha_Cheque]]),MID(Gastos[[#This Row],[Semana]],6,2))</f>
        <v>26</v>
      </c>
      <c r="O3408" t="s">
        <v>3570</v>
      </c>
      <c r="P3408" t="s">
        <v>27</v>
      </c>
    </row>
    <row r="3409" spans="1:16" hidden="1" x14ac:dyDescent="0.25">
      <c r="A3409" s="3" t="s">
        <v>3693</v>
      </c>
      <c r="B3409" t="s">
        <v>3384</v>
      </c>
      <c r="C3409" t="s">
        <v>1948</v>
      </c>
      <c r="D3409" t="s">
        <v>26</v>
      </c>
      <c r="E3409" t="s">
        <v>42</v>
      </c>
      <c r="F3409">
        <v>1</v>
      </c>
      <c r="G3409" s="3" t="s">
        <v>4</v>
      </c>
      <c r="H3409" s="44" t="s">
        <v>15</v>
      </c>
      <c r="I3409" s="17">
        <v>12900</v>
      </c>
      <c r="J3409" s="17">
        <f>IF(Gastos[[#This Row],[Divisa]]="$", I3409*1, IF(Gastos[[#This Row],[Divisa]]="U$D", I3409*$N$1, IF(Gastos[[#This Row],[Divisa]]="EUR", I3409*$N$2, 0)))</f>
        <v>12900</v>
      </c>
      <c r="K3409" s="54">
        <f>Gastos[[#This Row],[Importe AR$]]/$N$1</f>
        <v>8.2692307692307701</v>
      </c>
      <c r="M3409" s="69"/>
      <c r="N3409" s="43" t="str">
        <f>IF(Gastos[[#This Row],[Fecha_Cheque]]&gt;0,WEEKNUM(Gastos[[#This Row],[Fecha_Cheque]]),MID(Gastos[[#This Row],[Semana]],6,2))</f>
        <v>28</v>
      </c>
      <c r="O3409" t="s">
        <v>3728</v>
      </c>
      <c r="P3409" t="s">
        <v>27</v>
      </c>
    </row>
    <row r="3410" spans="1:16" hidden="1" x14ac:dyDescent="0.25">
      <c r="A3410" s="3" t="s">
        <v>3882</v>
      </c>
      <c r="B3410" t="s">
        <v>3384</v>
      </c>
      <c r="C3410" t="s">
        <v>1211</v>
      </c>
      <c r="D3410" t="s">
        <v>26</v>
      </c>
      <c r="E3410" t="s">
        <v>42</v>
      </c>
      <c r="F3410">
        <v>1</v>
      </c>
      <c r="G3410" s="3" t="s">
        <v>4</v>
      </c>
      <c r="H3410" s="44" t="s">
        <v>15</v>
      </c>
      <c r="I3410" s="17">
        <v>28100</v>
      </c>
      <c r="J3410" s="17">
        <f>IF(Gastos[[#This Row],[Divisa]]="$", I3410*1, IF(Gastos[[#This Row],[Divisa]]="U$D", I3410*$N$1, IF(Gastos[[#This Row],[Divisa]]="EUR", I3410*$N$2, 0)))</f>
        <v>28100</v>
      </c>
      <c r="K3410" s="54">
        <f>Gastos[[#This Row],[Importe AR$]]/$N$1</f>
        <v>18.012820512820515</v>
      </c>
      <c r="M3410" s="69"/>
      <c r="N3410" s="43" t="str">
        <f>IF(Gastos[[#This Row],[Fecha_Cheque]]&gt;0,WEEKNUM(Gastos[[#This Row],[Fecha_Cheque]]),MID(Gastos[[#This Row],[Semana]],6,2))</f>
        <v>31</v>
      </c>
      <c r="O3410" t="s">
        <v>3944</v>
      </c>
      <c r="P3410" t="s">
        <v>27</v>
      </c>
    </row>
    <row r="3411" spans="1:16" hidden="1" x14ac:dyDescent="0.25">
      <c r="A3411" s="3" t="s">
        <v>378</v>
      </c>
      <c r="B3411" t="s">
        <v>1976</v>
      </c>
      <c r="C3411" t="s">
        <v>1977</v>
      </c>
      <c r="D3411" t="s">
        <v>26</v>
      </c>
      <c r="E3411" t="s">
        <v>62</v>
      </c>
      <c r="F3411">
        <v>1</v>
      </c>
      <c r="G3411" s="3" t="s">
        <v>5</v>
      </c>
      <c r="H3411" s="46" t="s">
        <v>15</v>
      </c>
      <c r="I3411" s="17">
        <v>751918.02</v>
      </c>
      <c r="J3411" s="17">
        <f>IF(Gastos[[#This Row],[Divisa]]="$", I3411*1, IF(Gastos[[#This Row],[Divisa]]="U$D", I3411*$N$1, IF(Gastos[[#This Row],[Divisa]]="EUR", I3411*$N$2, 0)))</f>
        <v>751918.02</v>
      </c>
      <c r="K3411" s="54">
        <f>Gastos[[#This Row],[Importe AR$]]/$N$1</f>
        <v>481.9987307692308</v>
      </c>
      <c r="M3411" s="69"/>
      <c r="N3411" s="43" t="str">
        <f>IF(Gastos[[#This Row],[Fecha_Cheque]]&gt;0,WEEKNUM(Gastos[[#This Row],[Fecha_Cheque]]),MID(Gastos[[#This Row],[Semana]],6,2))</f>
        <v>03</v>
      </c>
      <c r="O3411" t="s">
        <v>1978</v>
      </c>
      <c r="P3411" t="s">
        <v>27</v>
      </c>
    </row>
    <row r="3412" spans="1:16" hidden="1" x14ac:dyDescent="0.25">
      <c r="A3412" s="3" t="s">
        <v>3817</v>
      </c>
      <c r="B3412" t="s">
        <v>1976</v>
      </c>
      <c r="C3412" t="s">
        <v>3848</v>
      </c>
      <c r="D3412" t="s">
        <v>26</v>
      </c>
      <c r="E3412" t="s">
        <v>62</v>
      </c>
      <c r="F3412">
        <v>1</v>
      </c>
      <c r="G3412" s="3" t="s">
        <v>32</v>
      </c>
      <c r="H3412" s="44" t="s">
        <v>15</v>
      </c>
      <c r="I3412" s="17">
        <v>778583.39</v>
      </c>
      <c r="J3412" s="17">
        <f>IF(Gastos[[#This Row],[Divisa]]="$", I3412*1, IF(Gastos[[#This Row],[Divisa]]="U$D", I3412*$N$1, IF(Gastos[[#This Row],[Divisa]]="EUR", I3412*$N$2, 0)))</f>
        <v>778583.39</v>
      </c>
      <c r="K3412" s="54">
        <f>Gastos[[#This Row],[Importe AR$]]/$N$1</f>
        <v>499.09191666666669</v>
      </c>
      <c r="M3412" s="69">
        <v>46262</v>
      </c>
      <c r="N3412" s="43">
        <f>IF(Gastos[[#This Row],[Fecha_Cheque]]&gt;0,WEEKNUM(Gastos[[#This Row],[Fecha_Cheque]]),MID(Gastos[[#This Row],[Semana]],6,2))</f>
        <v>35</v>
      </c>
      <c r="O3412" t="s">
        <v>3849</v>
      </c>
      <c r="P3412" t="s">
        <v>27</v>
      </c>
    </row>
    <row r="3413" spans="1:16" hidden="1" x14ac:dyDescent="0.25">
      <c r="A3413" s="3" t="s">
        <v>3817</v>
      </c>
      <c r="B3413" t="s">
        <v>1976</v>
      </c>
      <c r="C3413" t="s">
        <v>3848</v>
      </c>
      <c r="D3413" t="s">
        <v>26</v>
      </c>
      <c r="E3413" t="s">
        <v>42</v>
      </c>
      <c r="F3413">
        <v>1</v>
      </c>
      <c r="G3413" s="3" t="s">
        <v>4</v>
      </c>
      <c r="H3413" s="44" t="s">
        <v>15</v>
      </c>
      <c r="I3413" s="17">
        <v>157243.72</v>
      </c>
      <c r="J3413" s="17">
        <f>IF(Gastos[[#This Row],[Divisa]]="$", I3413*1, IF(Gastos[[#This Row],[Divisa]]="U$D", I3413*$N$1, IF(Gastos[[#This Row],[Divisa]]="EUR", I3413*$N$2, 0)))</f>
        <v>157243.72</v>
      </c>
      <c r="K3413" s="54">
        <f>Gastos[[#This Row],[Importe AR$]]/$N$1</f>
        <v>100.79725641025641</v>
      </c>
      <c r="M3413" s="69"/>
      <c r="N3413" s="43" t="str">
        <f>IF(Gastos[[#This Row],[Fecha_Cheque]]&gt;0,WEEKNUM(Gastos[[#This Row],[Fecha_Cheque]]),MID(Gastos[[#This Row],[Semana]],6,2))</f>
        <v>30</v>
      </c>
      <c r="O3413" t="s">
        <v>3849</v>
      </c>
      <c r="P3413" t="s">
        <v>27</v>
      </c>
    </row>
    <row r="3414" spans="1:16" hidden="1" x14ac:dyDescent="0.25">
      <c r="A3414" s="3" t="s">
        <v>3817</v>
      </c>
      <c r="B3414" t="s">
        <v>1976</v>
      </c>
      <c r="C3414" t="s">
        <v>3848</v>
      </c>
      <c r="D3414" t="s">
        <v>26</v>
      </c>
      <c r="E3414" t="s">
        <v>62</v>
      </c>
      <c r="F3414">
        <v>1</v>
      </c>
      <c r="G3414" s="3" t="s">
        <v>32</v>
      </c>
      <c r="H3414" s="44" t="s">
        <v>15</v>
      </c>
      <c r="I3414" s="17">
        <v>11172.89</v>
      </c>
      <c r="J3414" s="17">
        <f>IF(Gastos[[#This Row],[Divisa]]="$", I3414*1, IF(Gastos[[#This Row],[Divisa]]="U$D", I3414*$N$1, IF(Gastos[[#This Row],[Divisa]]="EUR", I3414*$N$2, 0)))</f>
        <v>11172.89</v>
      </c>
      <c r="K3414" s="54">
        <f>Gastos[[#This Row],[Importe AR$]]/$N$1</f>
        <v>7.1621089743589739</v>
      </c>
      <c r="M3414" s="69"/>
      <c r="N3414" s="43" t="str">
        <f>IF(Gastos[[#This Row],[Fecha_Cheque]]&gt;0,WEEKNUM(Gastos[[#This Row],[Fecha_Cheque]]),MID(Gastos[[#This Row],[Semana]],6,2))</f>
        <v>30</v>
      </c>
      <c r="O3414" t="s">
        <v>3849</v>
      </c>
      <c r="P3414" t="s">
        <v>27</v>
      </c>
    </row>
    <row r="3415" spans="1:16" hidden="1" x14ac:dyDescent="0.25">
      <c r="A3415" s="3" t="s">
        <v>4447</v>
      </c>
      <c r="B3415" t="s">
        <v>1976</v>
      </c>
      <c r="C3415" t="s">
        <v>3848</v>
      </c>
      <c r="D3415" t="s">
        <v>26</v>
      </c>
      <c r="E3415" t="s">
        <v>62</v>
      </c>
      <c r="F3415">
        <v>1</v>
      </c>
      <c r="G3415" s="3" t="s">
        <v>32</v>
      </c>
      <c r="H3415" s="44" t="s">
        <v>15</v>
      </c>
      <c r="I3415" s="17">
        <v>750000</v>
      </c>
      <c r="J3415" s="17">
        <f>IF(Gastos[[#This Row],[Divisa]]="$", I3415*1, IF(Gastos[[#This Row],[Divisa]]="U$D", I3415*$N$1, IF(Gastos[[#This Row],[Divisa]]="EUR", I3415*$N$2, 0)))</f>
        <v>750000</v>
      </c>
      <c r="K3415" s="54">
        <f>Gastos[[#This Row],[Importe AR$]]/$N$1</f>
        <v>480.76923076923077</v>
      </c>
      <c r="M3415" s="69">
        <v>46321</v>
      </c>
      <c r="N3415" s="43">
        <f>IF(Gastos[[#This Row],[Fecha_Cheque]]&gt;0,WEEKNUM(Gastos[[#This Row],[Fecha_Cheque]]),MID(Gastos[[#This Row],[Semana]],6,2))</f>
        <v>44</v>
      </c>
      <c r="O3415" t="s">
        <v>4438</v>
      </c>
      <c r="P3415" t="s">
        <v>27</v>
      </c>
    </row>
    <row r="3416" spans="1:16" hidden="1" x14ac:dyDescent="0.25">
      <c r="A3416" s="3" t="s">
        <v>4447</v>
      </c>
      <c r="B3416" t="s">
        <v>1976</v>
      </c>
      <c r="C3416" t="s">
        <v>3848</v>
      </c>
      <c r="D3416" t="s">
        <v>26</v>
      </c>
      <c r="E3416" t="s">
        <v>42</v>
      </c>
      <c r="F3416">
        <v>1</v>
      </c>
      <c r="G3416" s="3" t="s">
        <v>4</v>
      </c>
      <c r="H3416" s="44" t="s">
        <v>15</v>
      </c>
      <c r="I3416" s="17">
        <v>8000</v>
      </c>
      <c r="J3416" s="17">
        <f>IF(Gastos[[#This Row],[Divisa]]="$", I3416*1, IF(Gastos[[#This Row],[Divisa]]="U$D", I3416*$N$1, IF(Gastos[[#This Row],[Divisa]]="EUR", I3416*$N$2, 0)))</f>
        <v>8000</v>
      </c>
      <c r="K3416" s="54">
        <f>Gastos[[#This Row],[Importe AR$]]/$N$1</f>
        <v>5.1282051282051286</v>
      </c>
      <c r="M3416" s="69"/>
      <c r="N3416" s="43" t="str">
        <f>IF(Gastos[[#This Row],[Fecha_Cheque]]&gt;0,WEEKNUM(Gastos[[#This Row],[Fecha_Cheque]]),MID(Gastos[[#This Row],[Semana]],6,2))</f>
        <v>41</v>
      </c>
      <c r="O3416" t="s">
        <v>4438</v>
      </c>
      <c r="P3416" t="s">
        <v>27</v>
      </c>
    </row>
    <row r="3417" spans="1:16" x14ac:dyDescent="0.25">
      <c r="A3417" s="3" t="s">
        <v>4655</v>
      </c>
      <c r="B3417" t="s">
        <v>1807</v>
      </c>
      <c r="C3417" t="s">
        <v>422</v>
      </c>
      <c r="D3417" t="s">
        <v>26</v>
      </c>
      <c r="E3417" t="s">
        <v>91</v>
      </c>
      <c r="F3417">
        <v>1</v>
      </c>
      <c r="G3417" s="3" t="s">
        <v>5</v>
      </c>
      <c r="H3417" s="44" t="s">
        <v>15</v>
      </c>
      <c r="I3417" s="17">
        <v>750000</v>
      </c>
      <c r="J3417" s="17">
        <f>IF(Gastos[[#This Row],[Divisa]]="$", I3417*1, IF(Gastos[[#This Row],[Divisa]]="U$D", I3417*$N$1, IF(Gastos[[#This Row],[Divisa]]="EUR", I3417*$N$2, 0)))</f>
        <v>750000</v>
      </c>
      <c r="K3417" s="54">
        <f>Gastos[[#This Row],[Importe AR$]]/$N$1</f>
        <v>480.76923076923077</v>
      </c>
      <c r="M3417" s="69"/>
      <c r="N3417" s="43" t="str">
        <f>IF(Gastos[[#This Row],[Fecha_Cheque]]&gt;0,WEEKNUM(Gastos[[#This Row],[Fecha_Cheque]]),MID(Gastos[[#This Row],[Semana]],6,2))</f>
        <v>44</v>
      </c>
      <c r="P3417" t="s">
        <v>7</v>
      </c>
    </row>
    <row r="3418" spans="1:16" hidden="1" x14ac:dyDescent="0.25">
      <c r="A3418" s="3" t="s">
        <v>52</v>
      </c>
      <c r="B3418" t="s">
        <v>1979</v>
      </c>
      <c r="C3418" t="s">
        <v>155</v>
      </c>
      <c r="D3418" t="s">
        <v>26</v>
      </c>
      <c r="E3418" t="s">
        <v>42</v>
      </c>
      <c r="F3418">
        <v>1</v>
      </c>
      <c r="G3418" s="3" t="s">
        <v>4</v>
      </c>
      <c r="H3418" s="46" t="s">
        <v>15</v>
      </c>
      <c r="I3418" s="19">
        <v>60000</v>
      </c>
      <c r="J3418" s="17">
        <f>IF(Gastos[[#This Row],[Divisa]]="$", I3418*1, IF(Gastos[[#This Row],[Divisa]]="U$D", I3418*$N$1, IF(Gastos[[#This Row],[Divisa]]="EUR", I3418*$N$2, 0)))</f>
        <v>60000</v>
      </c>
      <c r="K3418" s="55">
        <f>Gastos[[#This Row],[Importe AR$]]/$N$1</f>
        <v>38.46153846153846</v>
      </c>
      <c r="M3418" s="69"/>
      <c r="N3418" s="43" t="str">
        <f>IF(Gastos[[#This Row],[Fecha_Cheque]]&gt;0,WEEKNUM(Gastos[[#This Row],[Fecha_Cheque]]),MID(Gastos[[#This Row],[Semana]],6,2))</f>
        <v>12</v>
      </c>
      <c r="P3418" t="s">
        <v>27</v>
      </c>
    </row>
    <row r="3419" spans="1:16" hidden="1" x14ac:dyDescent="0.25">
      <c r="A3419" s="3" t="s">
        <v>538</v>
      </c>
      <c r="B3419" t="s">
        <v>1979</v>
      </c>
      <c r="C3419" t="s">
        <v>1566</v>
      </c>
      <c r="D3419" t="s">
        <v>26</v>
      </c>
      <c r="E3419" t="s">
        <v>42</v>
      </c>
      <c r="F3419">
        <v>1</v>
      </c>
      <c r="G3419" s="3" t="s">
        <v>4</v>
      </c>
      <c r="H3419" s="46" t="s">
        <v>15</v>
      </c>
      <c r="I3419" s="17">
        <v>60000.639999999999</v>
      </c>
      <c r="J3419" s="17">
        <f>IF(Gastos[[#This Row],[Divisa]]="$", I3419*1, IF(Gastos[[#This Row],[Divisa]]="U$D", I3419*$N$1, IF(Gastos[[#This Row],[Divisa]]="EUR", I3419*$N$2, 0)))</f>
        <v>60000.639999999999</v>
      </c>
      <c r="K3419" s="54">
        <f>Gastos[[#This Row],[Importe AR$]]/$N$1</f>
        <v>38.461948717948715</v>
      </c>
      <c r="M3419" s="69"/>
      <c r="N3419" s="43" t="str">
        <f>IF(Gastos[[#This Row],[Fecha_Cheque]]&gt;0,WEEKNUM(Gastos[[#This Row],[Fecha_Cheque]]),MID(Gastos[[#This Row],[Semana]],6,2))</f>
        <v>13</v>
      </c>
      <c r="P3419" t="s">
        <v>27</v>
      </c>
    </row>
    <row r="3420" spans="1:16" hidden="1" x14ac:dyDescent="0.25">
      <c r="A3420" s="3" t="s">
        <v>1018</v>
      </c>
      <c r="B3420" t="s">
        <v>1979</v>
      </c>
      <c r="C3420" t="s">
        <v>155</v>
      </c>
      <c r="D3420" t="s">
        <v>26</v>
      </c>
      <c r="E3420" t="s">
        <v>42</v>
      </c>
      <c r="F3420">
        <v>1</v>
      </c>
      <c r="G3420" s="3" t="s">
        <v>4</v>
      </c>
      <c r="H3420" s="46" t="s">
        <v>15</v>
      </c>
      <c r="I3420" s="19">
        <v>60000</v>
      </c>
      <c r="J3420" s="17">
        <f>IF(Gastos[[#This Row],[Divisa]]="$", I3420*1, IF(Gastos[[#This Row],[Divisa]]="U$D", I3420*$N$1, IF(Gastos[[#This Row],[Divisa]]="EUR", I3420*$N$2, 0)))</f>
        <v>60000</v>
      </c>
      <c r="K3420" s="55">
        <f>Gastos[[#This Row],[Importe AR$]]/$N$1</f>
        <v>38.46153846153846</v>
      </c>
      <c r="M3420" s="69"/>
      <c r="N3420" s="43" t="str">
        <f>IF(Gastos[[#This Row],[Fecha_Cheque]]&gt;0,WEEKNUM(Gastos[[#This Row],[Fecha_Cheque]]),MID(Gastos[[#This Row],[Semana]],6,2))</f>
        <v>14</v>
      </c>
      <c r="P3420" t="s">
        <v>27</v>
      </c>
    </row>
    <row r="3421" spans="1:16" hidden="1" x14ac:dyDescent="0.25">
      <c r="A3421" s="3" t="s">
        <v>216</v>
      </c>
      <c r="B3421" t="s">
        <v>1979</v>
      </c>
      <c r="C3421" t="s">
        <v>155</v>
      </c>
      <c r="D3421" t="s">
        <v>26</v>
      </c>
      <c r="E3421" t="s">
        <v>42</v>
      </c>
      <c r="F3421">
        <v>1</v>
      </c>
      <c r="G3421" s="3" t="s">
        <v>4</v>
      </c>
      <c r="H3421" s="46" t="s">
        <v>15</v>
      </c>
      <c r="I3421" s="17">
        <v>60000</v>
      </c>
      <c r="J3421" s="17">
        <f>IF(Gastos[[#This Row],[Divisa]]="$", I3421*1, IF(Gastos[[#This Row],[Divisa]]="U$D", I3421*$N$1, IF(Gastos[[#This Row],[Divisa]]="EUR", I3421*$N$2, 0)))</f>
        <v>60000</v>
      </c>
      <c r="K3421" s="54">
        <f>Gastos[[#This Row],[Importe AR$]]/$N$1</f>
        <v>38.46153846153846</v>
      </c>
      <c r="M3421" s="69"/>
      <c r="N3421" s="43" t="str">
        <f>IF(Gastos[[#This Row],[Fecha_Cheque]]&gt;0,WEEKNUM(Gastos[[#This Row],[Fecha_Cheque]]),MID(Gastos[[#This Row],[Semana]],6,2))</f>
        <v>15</v>
      </c>
      <c r="P3421" t="s">
        <v>27</v>
      </c>
    </row>
    <row r="3422" spans="1:16" hidden="1" x14ac:dyDescent="0.25">
      <c r="A3422" s="3" t="s">
        <v>144</v>
      </c>
      <c r="B3422" t="s">
        <v>1979</v>
      </c>
      <c r="C3422" t="s">
        <v>155</v>
      </c>
      <c r="D3422" t="s">
        <v>26</v>
      </c>
      <c r="E3422" t="s">
        <v>42</v>
      </c>
      <c r="F3422">
        <v>1</v>
      </c>
      <c r="G3422" s="3" t="s">
        <v>4</v>
      </c>
      <c r="H3422" s="46" t="s">
        <v>15</v>
      </c>
      <c r="I3422" s="17">
        <v>60000</v>
      </c>
      <c r="J3422" s="17">
        <f>IF(Gastos[[#This Row],[Divisa]]="$", I3422*1, IF(Gastos[[#This Row],[Divisa]]="U$D", I3422*$N$1, IF(Gastos[[#This Row],[Divisa]]="EUR", I3422*$N$2, 0)))</f>
        <v>60000</v>
      </c>
      <c r="K3422" s="54">
        <f>Gastos[[#This Row],[Importe AR$]]/$N$1</f>
        <v>38.46153846153846</v>
      </c>
      <c r="M3422" s="69"/>
      <c r="N3422" s="43" t="str">
        <f>IF(Gastos[[#This Row],[Fecha_Cheque]]&gt;0,WEEKNUM(Gastos[[#This Row],[Fecha_Cheque]]),MID(Gastos[[#This Row],[Semana]],6,2))</f>
        <v>16</v>
      </c>
      <c r="P3422" t="s">
        <v>27</v>
      </c>
    </row>
    <row r="3423" spans="1:16" hidden="1" x14ac:dyDescent="0.25">
      <c r="A3423" s="3" t="s">
        <v>147</v>
      </c>
      <c r="B3423" t="s">
        <v>1979</v>
      </c>
      <c r="C3423" t="s">
        <v>155</v>
      </c>
      <c r="D3423" t="s">
        <v>26</v>
      </c>
      <c r="E3423" t="s">
        <v>42</v>
      </c>
      <c r="F3423">
        <v>1</v>
      </c>
      <c r="G3423" s="3" t="s">
        <v>4</v>
      </c>
      <c r="H3423" s="46" t="s">
        <v>15</v>
      </c>
      <c r="I3423" s="17">
        <v>60000</v>
      </c>
      <c r="J3423" s="17">
        <f>IF(Gastos[[#This Row],[Divisa]]="$", I3423*1, IF(Gastos[[#This Row],[Divisa]]="U$D", I3423*$N$1, IF(Gastos[[#This Row],[Divisa]]="EUR", I3423*$N$2, 0)))</f>
        <v>60000</v>
      </c>
      <c r="K3423" s="54">
        <f>Gastos[[#This Row],[Importe AR$]]/$N$1</f>
        <v>38.46153846153846</v>
      </c>
      <c r="M3423" s="69"/>
      <c r="N3423" s="43" t="str">
        <f>IF(Gastos[[#This Row],[Fecha_Cheque]]&gt;0,WEEKNUM(Gastos[[#This Row],[Fecha_Cheque]]),MID(Gastos[[#This Row],[Semana]],6,2))</f>
        <v>17</v>
      </c>
      <c r="P3423" t="s">
        <v>27</v>
      </c>
    </row>
    <row r="3424" spans="1:16" hidden="1" x14ac:dyDescent="0.25">
      <c r="A3424" s="3" t="s">
        <v>290</v>
      </c>
      <c r="B3424" t="s">
        <v>1979</v>
      </c>
      <c r="C3424" t="s">
        <v>155</v>
      </c>
      <c r="D3424" t="s">
        <v>26</v>
      </c>
      <c r="E3424" t="s">
        <v>42</v>
      </c>
      <c r="F3424">
        <v>1</v>
      </c>
      <c r="G3424" s="3" t="s">
        <v>4</v>
      </c>
      <c r="H3424" s="46" t="s">
        <v>15</v>
      </c>
      <c r="I3424" s="17">
        <v>59999.96</v>
      </c>
      <c r="J3424" s="17">
        <f>IF(Gastos[[#This Row],[Divisa]]="$", I3424*1, IF(Gastos[[#This Row],[Divisa]]="U$D", I3424*$N$1, IF(Gastos[[#This Row],[Divisa]]="EUR", I3424*$N$2, 0)))</f>
        <v>59999.96</v>
      </c>
      <c r="K3424" s="54">
        <f>Gastos[[#This Row],[Importe AR$]]/$N$1</f>
        <v>38.461512820512823</v>
      </c>
      <c r="M3424" s="69"/>
      <c r="N3424" s="43" t="str">
        <f>IF(Gastos[[#This Row],[Fecha_Cheque]]&gt;0,WEEKNUM(Gastos[[#This Row],[Fecha_Cheque]]),MID(Gastos[[#This Row],[Semana]],6,2))</f>
        <v>23</v>
      </c>
      <c r="P3424" t="s">
        <v>27</v>
      </c>
    </row>
    <row r="3425" spans="1:16" hidden="1" x14ac:dyDescent="0.25">
      <c r="A3425" s="3" t="s">
        <v>253</v>
      </c>
      <c r="B3425" t="s">
        <v>1979</v>
      </c>
      <c r="C3425" t="s">
        <v>155</v>
      </c>
      <c r="D3425" t="s">
        <v>26</v>
      </c>
      <c r="E3425" t="s">
        <v>42</v>
      </c>
      <c r="F3425">
        <v>1</v>
      </c>
      <c r="G3425" s="3" t="s">
        <v>4</v>
      </c>
      <c r="H3425" s="46" t="s">
        <v>15</v>
      </c>
      <c r="I3425" s="17">
        <v>60000</v>
      </c>
      <c r="J3425" s="17">
        <f>IF(Gastos[[#This Row],[Divisa]]="$", I3425*1, IF(Gastos[[#This Row],[Divisa]]="U$D", I3425*$N$1, IF(Gastos[[#This Row],[Divisa]]="EUR", I3425*$N$2, 0)))</f>
        <v>60000</v>
      </c>
      <c r="K3425" s="54">
        <f>Gastos[[#This Row],[Importe AR$]]/$N$1</f>
        <v>38.46153846153846</v>
      </c>
      <c r="M3425" s="69"/>
      <c r="N3425" s="43" t="str">
        <f>IF(Gastos[[#This Row],[Fecha_Cheque]]&gt;0,WEEKNUM(Gastos[[#This Row],[Fecha_Cheque]]),MID(Gastos[[#This Row],[Semana]],6,2))</f>
        <v>24</v>
      </c>
      <c r="P3425" t="s">
        <v>27</v>
      </c>
    </row>
    <row r="3426" spans="1:16" hidden="1" x14ac:dyDescent="0.25">
      <c r="A3426" s="3" t="s">
        <v>85</v>
      </c>
      <c r="B3426" t="s">
        <v>1979</v>
      </c>
      <c r="C3426" t="s">
        <v>155</v>
      </c>
      <c r="D3426" t="s">
        <v>26</v>
      </c>
      <c r="E3426" t="s">
        <v>42</v>
      </c>
      <c r="F3426">
        <v>1</v>
      </c>
      <c r="G3426" s="3" t="s">
        <v>4</v>
      </c>
      <c r="H3426" s="46" t="s">
        <v>15</v>
      </c>
      <c r="I3426" s="17">
        <v>60000</v>
      </c>
      <c r="J3426" s="17">
        <f>IF(Gastos[[#This Row],[Divisa]]="$", I3426*1, IF(Gastos[[#This Row],[Divisa]]="U$D", I3426*$N$1, IF(Gastos[[#This Row],[Divisa]]="EUR", I3426*$N$2, 0)))</f>
        <v>60000</v>
      </c>
      <c r="K3426" s="54">
        <f>Gastos[[#This Row],[Importe AR$]]/$N$1</f>
        <v>38.46153846153846</v>
      </c>
      <c r="M3426" s="69"/>
      <c r="N3426" s="43" t="str">
        <f>IF(Gastos[[#This Row],[Fecha_Cheque]]&gt;0,WEEKNUM(Gastos[[#This Row],[Fecha_Cheque]]),MID(Gastos[[#This Row],[Semana]],6,2))</f>
        <v>26</v>
      </c>
      <c r="O3426" t="s">
        <v>1980</v>
      </c>
      <c r="P3426" t="s">
        <v>27</v>
      </c>
    </row>
    <row r="3427" spans="1:16" hidden="1" x14ac:dyDescent="0.25">
      <c r="A3427" s="3" t="s">
        <v>99</v>
      </c>
      <c r="B3427" t="s">
        <v>1979</v>
      </c>
      <c r="C3427" t="s">
        <v>1566</v>
      </c>
      <c r="D3427" t="s">
        <v>26</v>
      </c>
      <c r="E3427" t="s">
        <v>42</v>
      </c>
      <c r="F3427">
        <v>1</v>
      </c>
      <c r="G3427" s="3" t="s">
        <v>4</v>
      </c>
      <c r="H3427" s="46" t="s">
        <v>15</v>
      </c>
      <c r="I3427" s="17">
        <v>65007.72</v>
      </c>
      <c r="J3427" s="17">
        <f>IF(Gastos[[#This Row],[Divisa]]="$", I3427*1, IF(Gastos[[#This Row],[Divisa]]="U$D", I3427*$N$1, IF(Gastos[[#This Row],[Divisa]]="EUR", I3427*$N$2, 0)))</f>
        <v>65007.72</v>
      </c>
      <c r="K3427" s="54">
        <f>Gastos[[#This Row],[Importe AR$]]/$N$1</f>
        <v>41.671615384615386</v>
      </c>
      <c r="M3427" s="69"/>
      <c r="N3427" s="43" t="str">
        <f>IF(Gastos[[#This Row],[Fecha_Cheque]]&gt;0,WEEKNUM(Gastos[[#This Row],[Fecha_Cheque]]),MID(Gastos[[#This Row],[Semana]],6,2))</f>
        <v>28</v>
      </c>
      <c r="O3427" t="s">
        <v>1981</v>
      </c>
      <c r="P3427" t="s">
        <v>27</v>
      </c>
    </row>
    <row r="3428" spans="1:16" hidden="1" x14ac:dyDescent="0.25">
      <c r="A3428" s="3" t="s">
        <v>114</v>
      </c>
      <c r="B3428" t="s">
        <v>1979</v>
      </c>
      <c r="C3428" t="s">
        <v>155</v>
      </c>
      <c r="D3428" t="s">
        <v>26</v>
      </c>
      <c r="E3428" t="s">
        <v>42</v>
      </c>
      <c r="F3428">
        <v>1</v>
      </c>
      <c r="G3428" s="3" t="s">
        <v>4</v>
      </c>
      <c r="H3428" s="46" t="s">
        <v>15</v>
      </c>
      <c r="I3428" s="17">
        <v>60000</v>
      </c>
      <c r="J3428" s="17">
        <f>IF(Gastos[[#This Row],[Divisa]]="$", I3428*1, IF(Gastos[[#This Row],[Divisa]]="U$D", I3428*$N$1, IF(Gastos[[#This Row],[Divisa]]="EUR", I3428*$N$2, 0)))</f>
        <v>60000</v>
      </c>
      <c r="K3428" s="54">
        <f>Gastos[[#This Row],[Importe AR$]]/$N$1</f>
        <v>38.46153846153846</v>
      </c>
      <c r="M3428" s="69"/>
      <c r="N3428" s="43" t="str">
        <f>IF(Gastos[[#This Row],[Fecha_Cheque]]&gt;0,WEEKNUM(Gastos[[#This Row],[Fecha_Cheque]]),MID(Gastos[[#This Row],[Semana]],6,2))</f>
        <v>29</v>
      </c>
      <c r="O3428" t="s">
        <v>1982</v>
      </c>
      <c r="P3428" t="s">
        <v>27</v>
      </c>
    </row>
    <row r="3429" spans="1:16" hidden="1" x14ac:dyDescent="0.25">
      <c r="A3429" s="3" t="s">
        <v>217</v>
      </c>
      <c r="B3429" t="s">
        <v>1979</v>
      </c>
      <c r="C3429" t="s">
        <v>155</v>
      </c>
      <c r="D3429" t="s">
        <v>26</v>
      </c>
      <c r="E3429" t="s">
        <v>42</v>
      </c>
      <c r="F3429">
        <v>1</v>
      </c>
      <c r="G3429" s="3" t="s">
        <v>4</v>
      </c>
      <c r="H3429" s="46" t="s">
        <v>15</v>
      </c>
      <c r="I3429" s="17">
        <v>60000</v>
      </c>
      <c r="J3429" s="17">
        <f>IF(Gastos[[#This Row],[Divisa]]="$", I3429*1, IF(Gastos[[#This Row],[Divisa]]="U$D", I3429*$N$1, IF(Gastos[[#This Row],[Divisa]]="EUR", I3429*$N$2, 0)))</f>
        <v>60000</v>
      </c>
      <c r="K3429" s="54">
        <f>Gastos[[#This Row],[Importe AR$]]/$N$1</f>
        <v>38.46153846153846</v>
      </c>
      <c r="M3429" s="69"/>
      <c r="N3429" s="43" t="str">
        <f>IF(Gastos[[#This Row],[Fecha_Cheque]]&gt;0,WEEKNUM(Gastos[[#This Row],[Fecha_Cheque]]),MID(Gastos[[#This Row],[Semana]],6,2))</f>
        <v>30</v>
      </c>
      <c r="O3429" t="s">
        <v>1983</v>
      </c>
      <c r="P3429" t="s">
        <v>27</v>
      </c>
    </row>
    <row r="3430" spans="1:16" hidden="1" x14ac:dyDescent="0.25">
      <c r="A3430" s="3" t="s">
        <v>305</v>
      </c>
      <c r="B3430" t="s">
        <v>1979</v>
      </c>
      <c r="C3430" t="s">
        <v>155</v>
      </c>
      <c r="D3430" t="s">
        <v>26</v>
      </c>
      <c r="E3430" t="s">
        <v>42</v>
      </c>
      <c r="F3430">
        <v>1</v>
      </c>
      <c r="G3430" s="3" t="s">
        <v>4</v>
      </c>
      <c r="H3430" s="46" t="s">
        <v>15</v>
      </c>
      <c r="I3430" s="17">
        <v>65000</v>
      </c>
      <c r="J3430" s="17">
        <f>IF(Gastos[[#This Row],[Divisa]]="$", I3430*1, IF(Gastos[[#This Row],[Divisa]]="U$D", I3430*$N$1, IF(Gastos[[#This Row],[Divisa]]="EUR", I3430*$N$2, 0)))</f>
        <v>65000</v>
      </c>
      <c r="K3430" s="54">
        <f>Gastos[[#This Row],[Importe AR$]]/$N$1</f>
        <v>41.666666666666664</v>
      </c>
      <c r="M3430" s="69"/>
      <c r="N3430" s="43" t="str">
        <f>IF(Gastos[[#This Row],[Fecha_Cheque]]&gt;0,WEEKNUM(Gastos[[#This Row],[Fecha_Cheque]]),MID(Gastos[[#This Row],[Semana]],6,2))</f>
        <v>31</v>
      </c>
      <c r="O3430" t="s">
        <v>123</v>
      </c>
      <c r="P3430" t="s">
        <v>27</v>
      </c>
    </row>
    <row r="3431" spans="1:16" hidden="1" x14ac:dyDescent="0.25">
      <c r="A3431" s="3" t="s">
        <v>64</v>
      </c>
      <c r="B3431" t="s">
        <v>1979</v>
      </c>
      <c r="C3431" t="s">
        <v>155</v>
      </c>
      <c r="D3431" t="s">
        <v>26</v>
      </c>
      <c r="E3431" t="s">
        <v>42</v>
      </c>
      <c r="F3431">
        <v>1</v>
      </c>
      <c r="G3431" s="3" t="s">
        <v>4</v>
      </c>
      <c r="H3431" s="46" t="s">
        <v>15</v>
      </c>
      <c r="I3431" s="17">
        <v>65000</v>
      </c>
      <c r="J3431" s="17">
        <f>IF(Gastos[[#This Row],[Divisa]]="$", I3431*1, IF(Gastos[[#This Row],[Divisa]]="U$D", I3431*$N$1, IF(Gastos[[#This Row],[Divisa]]="EUR", I3431*$N$2, 0)))</f>
        <v>65000</v>
      </c>
      <c r="K3431" s="54">
        <f>Gastos[[#This Row],[Importe AR$]]/$N$1</f>
        <v>41.666666666666664</v>
      </c>
      <c r="M3431" s="69"/>
      <c r="N3431" s="43" t="str">
        <f>IF(Gastos[[#This Row],[Fecha_Cheque]]&gt;0,WEEKNUM(Gastos[[#This Row],[Fecha_Cheque]]),MID(Gastos[[#This Row],[Semana]],6,2))</f>
        <v>33</v>
      </c>
      <c r="O3431" t="s">
        <v>1984</v>
      </c>
      <c r="P3431" t="s">
        <v>27</v>
      </c>
    </row>
    <row r="3432" spans="1:16" hidden="1" x14ac:dyDescent="0.25">
      <c r="A3432" s="3" t="s">
        <v>34</v>
      </c>
      <c r="B3432" t="s">
        <v>1979</v>
      </c>
      <c r="C3432" t="s">
        <v>1985</v>
      </c>
      <c r="D3432" t="s">
        <v>26</v>
      </c>
      <c r="E3432" t="s">
        <v>42</v>
      </c>
      <c r="F3432">
        <v>1</v>
      </c>
      <c r="G3432" s="3" t="s">
        <v>4</v>
      </c>
      <c r="H3432" s="46" t="s">
        <v>15</v>
      </c>
      <c r="I3432" s="17">
        <v>68000</v>
      </c>
      <c r="J3432" s="17">
        <f>IF(Gastos[[#This Row],[Divisa]]="$", I3432*1, IF(Gastos[[#This Row],[Divisa]]="U$D", I3432*$N$1, IF(Gastos[[#This Row],[Divisa]]="EUR", I3432*$N$2, 0)))</f>
        <v>68000</v>
      </c>
      <c r="K3432" s="54">
        <f>Gastos[[#This Row],[Importe AR$]]/$N$1</f>
        <v>43.589743589743591</v>
      </c>
      <c r="M3432" s="69"/>
      <c r="N3432" s="43" t="str">
        <f>IF(Gastos[[#This Row],[Fecha_Cheque]]&gt;0,WEEKNUM(Gastos[[#This Row],[Fecha_Cheque]]),MID(Gastos[[#This Row],[Semana]],6,2))</f>
        <v>32</v>
      </c>
      <c r="O3432" t="s">
        <v>1986</v>
      </c>
      <c r="P3432" t="s">
        <v>27</v>
      </c>
    </row>
    <row r="3433" spans="1:16" hidden="1" x14ac:dyDescent="0.25">
      <c r="A3433" s="3" t="s">
        <v>53</v>
      </c>
      <c r="B3433" t="s">
        <v>1979</v>
      </c>
      <c r="C3433" t="s">
        <v>155</v>
      </c>
      <c r="D3433" t="s">
        <v>26</v>
      </c>
      <c r="E3433" t="s">
        <v>42</v>
      </c>
      <c r="F3433">
        <v>1</v>
      </c>
      <c r="G3433" s="3" t="s">
        <v>4</v>
      </c>
      <c r="H3433" s="46" t="s">
        <v>15</v>
      </c>
      <c r="I3433" s="17">
        <v>65000</v>
      </c>
      <c r="J3433" s="17">
        <f>IF(Gastos[[#This Row],[Divisa]]="$", I3433*1, IF(Gastos[[#This Row],[Divisa]]="U$D", I3433*$N$1, IF(Gastos[[#This Row],[Divisa]]="EUR", I3433*$N$2, 0)))</f>
        <v>65000</v>
      </c>
      <c r="K3433" s="54">
        <f>Gastos[[#This Row],[Importe AR$]]/$N$1</f>
        <v>41.666666666666664</v>
      </c>
      <c r="M3433" s="69"/>
      <c r="N3433" s="43" t="str">
        <f>IF(Gastos[[#This Row],[Fecha_Cheque]]&gt;0,WEEKNUM(Gastos[[#This Row],[Fecha_Cheque]]),MID(Gastos[[#This Row],[Semana]],6,2))</f>
        <v>34</v>
      </c>
      <c r="O3433" t="s">
        <v>1987</v>
      </c>
      <c r="P3433" t="s">
        <v>27</v>
      </c>
    </row>
    <row r="3434" spans="1:16" hidden="1" x14ac:dyDescent="0.25">
      <c r="A3434" s="3" t="s">
        <v>117</v>
      </c>
      <c r="B3434" t="s">
        <v>1979</v>
      </c>
      <c r="C3434" t="s">
        <v>155</v>
      </c>
      <c r="D3434" t="s">
        <v>26</v>
      </c>
      <c r="E3434" t="s">
        <v>42</v>
      </c>
      <c r="F3434">
        <v>1</v>
      </c>
      <c r="G3434" s="3" t="s">
        <v>4</v>
      </c>
      <c r="H3434" s="46" t="s">
        <v>15</v>
      </c>
      <c r="I3434" s="17">
        <v>65000</v>
      </c>
      <c r="J3434" s="17">
        <f>IF(Gastos[[#This Row],[Divisa]]="$", I3434*1, IF(Gastos[[#This Row],[Divisa]]="U$D", I3434*$N$1, IF(Gastos[[#This Row],[Divisa]]="EUR", I3434*$N$2, 0)))</f>
        <v>65000</v>
      </c>
      <c r="K3434" s="54">
        <f>Gastos[[#This Row],[Importe AR$]]/$N$1</f>
        <v>41.666666666666664</v>
      </c>
      <c r="M3434" s="69"/>
      <c r="N3434" s="43" t="str">
        <f>IF(Gastos[[#This Row],[Fecha_Cheque]]&gt;0,WEEKNUM(Gastos[[#This Row],[Fecha_Cheque]]),MID(Gastos[[#This Row],[Semana]],6,2))</f>
        <v>35</v>
      </c>
      <c r="O3434" t="s">
        <v>901</v>
      </c>
      <c r="P3434" t="s">
        <v>27</v>
      </c>
    </row>
    <row r="3435" spans="1:16" hidden="1" x14ac:dyDescent="0.25">
      <c r="A3435" s="3" t="s">
        <v>210</v>
      </c>
      <c r="B3435" t="s">
        <v>1979</v>
      </c>
      <c r="C3435" t="s">
        <v>155</v>
      </c>
      <c r="D3435" t="s">
        <v>26</v>
      </c>
      <c r="E3435" t="s">
        <v>42</v>
      </c>
      <c r="F3435">
        <v>1</v>
      </c>
      <c r="G3435" s="3" t="s">
        <v>4</v>
      </c>
      <c r="H3435" s="46" t="s">
        <v>15</v>
      </c>
      <c r="I3435" s="17">
        <v>65000</v>
      </c>
      <c r="J3435" s="17">
        <f>IF(Gastos[[#This Row],[Divisa]]="$", I3435*1, IF(Gastos[[#This Row],[Divisa]]="U$D", I3435*$N$1, IF(Gastos[[#This Row],[Divisa]]="EUR", I3435*$N$2, 0)))</f>
        <v>65000</v>
      </c>
      <c r="K3435" s="54">
        <f>Gastos[[#This Row],[Importe AR$]]/$N$1</f>
        <v>41.666666666666664</v>
      </c>
      <c r="M3435" s="69"/>
      <c r="N3435" s="43" t="str">
        <f>IF(Gastos[[#This Row],[Fecha_Cheque]]&gt;0,WEEKNUM(Gastos[[#This Row],[Fecha_Cheque]]),MID(Gastos[[#This Row],[Semana]],6,2))</f>
        <v>37</v>
      </c>
      <c r="O3435" t="s">
        <v>1988</v>
      </c>
      <c r="P3435" t="s">
        <v>27</v>
      </c>
    </row>
    <row r="3436" spans="1:16" hidden="1" x14ac:dyDescent="0.25">
      <c r="A3436" s="3" t="s">
        <v>171</v>
      </c>
      <c r="B3436" t="s">
        <v>1979</v>
      </c>
      <c r="C3436" t="s">
        <v>155</v>
      </c>
      <c r="D3436" t="s">
        <v>26</v>
      </c>
      <c r="E3436" t="s">
        <v>42</v>
      </c>
      <c r="F3436">
        <v>1</v>
      </c>
      <c r="G3436" s="3" t="s">
        <v>4</v>
      </c>
      <c r="H3436" s="46" t="s">
        <v>15</v>
      </c>
      <c r="I3436" s="17">
        <v>65000</v>
      </c>
      <c r="J3436" s="17">
        <f>IF(Gastos[[#This Row],[Divisa]]="$", I3436*1, IF(Gastos[[#This Row],[Divisa]]="U$D", I3436*$N$1, IF(Gastos[[#This Row],[Divisa]]="EUR", I3436*$N$2, 0)))</f>
        <v>65000</v>
      </c>
      <c r="K3436" s="54">
        <f>Gastos[[#This Row],[Importe AR$]]/$N$1</f>
        <v>41.666666666666664</v>
      </c>
      <c r="M3436" s="69"/>
      <c r="N3436" s="43" t="str">
        <f>IF(Gastos[[#This Row],[Fecha_Cheque]]&gt;0,WEEKNUM(Gastos[[#This Row],[Fecha_Cheque]]),MID(Gastos[[#This Row],[Semana]],6,2))</f>
        <v>38</v>
      </c>
      <c r="O3436" t="s">
        <v>1989</v>
      </c>
      <c r="P3436" t="s">
        <v>27</v>
      </c>
    </row>
    <row r="3437" spans="1:16" hidden="1" x14ac:dyDescent="0.25">
      <c r="A3437" s="3" t="s">
        <v>89</v>
      </c>
      <c r="B3437" t="s">
        <v>1979</v>
      </c>
      <c r="C3437" t="s">
        <v>155</v>
      </c>
      <c r="D3437" t="s">
        <v>26</v>
      </c>
      <c r="E3437" t="s">
        <v>42</v>
      </c>
      <c r="F3437">
        <v>1</v>
      </c>
      <c r="G3437" s="3" t="s">
        <v>4</v>
      </c>
      <c r="H3437" s="46" t="s">
        <v>15</v>
      </c>
      <c r="I3437" s="17">
        <v>65000</v>
      </c>
      <c r="J3437" s="17">
        <f>IF(Gastos[[#This Row],[Divisa]]="$", I3437*1, IF(Gastos[[#This Row],[Divisa]]="U$D", I3437*$N$1, IF(Gastos[[#This Row],[Divisa]]="EUR", I3437*$N$2, 0)))</f>
        <v>65000</v>
      </c>
      <c r="K3437" s="54">
        <f>Gastos[[#This Row],[Importe AR$]]/$N$1</f>
        <v>41.666666666666664</v>
      </c>
      <c r="M3437" s="69"/>
      <c r="N3437" s="43" t="str">
        <f>IF(Gastos[[#This Row],[Fecha_Cheque]]&gt;0,WEEKNUM(Gastos[[#This Row],[Fecha_Cheque]]),MID(Gastos[[#This Row],[Semana]],6,2))</f>
        <v>39</v>
      </c>
      <c r="O3437" t="s">
        <v>1990</v>
      </c>
      <c r="P3437" t="s">
        <v>27</v>
      </c>
    </row>
    <row r="3438" spans="1:16" hidden="1" x14ac:dyDescent="0.25">
      <c r="A3438" s="3" t="s">
        <v>124</v>
      </c>
      <c r="B3438" t="s">
        <v>1979</v>
      </c>
      <c r="C3438" t="s">
        <v>155</v>
      </c>
      <c r="D3438" t="s">
        <v>26</v>
      </c>
      <c r="E3438" t="s">
        <v>42</v>
      </c>
      <c r="F3438">
        <v>1</v>
      </c>
      <c r="G3438" s="3" t="s">
        <v>4</v>
      </c>
      <c r="H3438" s="46" t="s">
        <v>15</v>
      </c>
      <c r="I3438" s="17">
        <v>75000</v>
      </c>
      <c r="J3438" s="17">
        <f>IF(Gastos[[#This Row],[Divisa]]="$", I3438*1, IF(Gastos[[#This Row],[Divisa]]="U$D", I3438*$N$1, IF(Gastos[[#This Row],[Divisa]]="EUR", I3438*$N$2, 0)))</f>
        <v>75000</v>
      </c>
      <c r="K3438" s="54">
        <f>Gastos[[#This Row],[Importe AR$]]/$N$1</f>
        <v>48.07692307692308</v>
      </c>
      <c r="M3438" s="69"/>
      <c r="N3438" s="43" t="str">
        <f>IF(Gastos[[#This Row],[Fecha_Cheque]]&gt;0,WEEKNUM(Gastos[[#This Row],[Fecha_Cheque]]),MID(Gastos[[#This Row],[Semana]],6,2))</f>
        <v>42</v>
      </c>
      <c r="O3438" t="s">
        <v>1991</v>
      </c>
      <c r="P3438" t="s">
        <v>27</v>
      </c>
    </row>
    <row r="3439" spans="1:16" hidden="1" x14ac:dyDescent="0.25">
      <c r="A3439" s="3" t="s">
        <v>128</v>
      </c>
      <c r="B3439" t="s">
        <v>1979</v>
      </c>
      <c r="C3439" t="s">
        <v>155</v>
      </c>
      <c r="D3439" t="s">
        <v>26</v>
      </c>
      <c r="E3439" t="s">
        <v>42</v>
      </c>
      <c r="F3439">
        <v>1</v>
      </c>
      <c r="G3439" s="3" t="s">
        <v>4</v>
      </c>
      <c r="H3439" s="46" t="s">
        <v>15</v>
      </c>
      <c r="I3439" s="17">
        <v>74999.929999999993</v>
      </c>
      <c r="J3439" s="17">
        <f>IF(Gastos[[#This Row],[Divisa]]="$", I3439*1, IF(Gastos[[#This Row],[Divisa]]="U$D", I3439*$N$1, IF(Gastos[[#This Row],[Divisa]]="EUR", I3439*$N$2, 0)))</f>
        <v>74999.929999999993</v>
      </c>
      <c r="K3439" s="54">
        <f>Gastos[[#This Row],[Importe AR$]]/$N$1</f>
        <v>48.076878205128203</v>
      </c>
      <c r="M3439" s="69"/>
      <c r="N3439" s="43" t="str">
        <f>IF(Gastos[[#This Row],[Fecha_Cheque]]&gt;0,WEEKNUM(Gastos[[#This Row],[Fecha_Cheque]]),MID(Gastos[[#This Row],[Semana]],6,2))</f>
        <v>43</v>
      </c>
      <c r="O3439" t="s">
        <v>1992</v>
      </c>
      <c r="P3439" t="s">
        <v>27</v>
      </c>
    </row>
    <row r="3440" spans="1:16" hidden="1" x14ac:dyDescent="0.25">
      <c r="A3440" s="3" t="s">
        <v>232</v>
      </c>
      <c r="B3440" t="s">
        <v>1979</v>
      </c>
      <c r="C3440" t="s">
        <v>155</v>
      </c>
      <c r="D3440" t="s">
        <v>26</v>
      </c>
      <c r="E3440" t="s">
        <v>42</v>
      </c>
      <c r="F3440">
        <v>1</v>
      </c>
      <c r="G3440" s="3" t="s">
        <v>4</v>
      </c>
      <c r="H3440" s="46" t="s">
        <v>15</v>
      </c>
      <c r="I3440" s="17">
        <v>74999.95</v>
      </c>
      <c r="J3440" s="17">
        <f>IF(Gastos[[#This Row],[Divisa]]="$", I3440*1, IF(Gastos[[#This Row],[Divisa]]="U$D", I3440*$N$1, IF(Gastos[[#This Row],[Divisa]]="EUR", I3440*$N$2, 0)))</f>
        <v>74999.95</v>
      </c>
      <c r="K3440" s="54">
        <f>Gastos[[#This Row],[Importe AR$]]/$N$1</f>
        <v>48.076891025641025</v>
      </c>
      <c r="M3440" s="69"/>
      <c r="N3440" s="43" t="str">
        <f>IF(Gastos[[#This Row],[Fecha_Cheque]]&gt;0,WEEKNUM(Gastos[[#This Row],[Fecha_Cheque]]),MID(Gastos[[#This Row],[Semana]],6,2))</f>
        <v>44</v>
      </c>
      <c r="O3440" t="s">
        <v>1993</v>
      </c>
      <c r="P3440" t="s">
        <v>27</v>
      </c>
    </row>
    <row r="3441" spans="1:16" hidden="1" x14ac:dyDescent="0.25">
      <c r="A3441" s="3" t="s">
        <v>130</v>
      </c>
      <c r="B3441" t="s">
        <v>1979</v>
      </c>
      <c r="C3441" t="s">
        <v>155</v>
      </c>
      <c r="D3441" t="s">
        <v>26</v>
      </c>
      <c r="E3441" t="s">
        <v>42</v>
      </c>
      <c r="F3441">
        <v>1</v>
      </c>
      <c r="G3441" s="3" t="s">
        <v>4</v>
      </c>
      <c r="H3441" s="46" t="s">
        <v>15</v>
      </c>
      <c r="I3441" s="17">
        <v>75000</v>
      </c>
      <c r="J3441" s="17">
        <f>IF(Gastos[[#This Row],[Divisa]]="$", I3441*1, IF(Gastos[[#This Row],[Divisa]]="U$D", I3441*$N$1, IF(Gastos[[#This Row],[Divisa]]="EUR", I3441*$N$2, 0)))</f>
        <v>75000</v>
      </c>
      <c r="K3441" s="54">
        <f>Gastos[[#This Row],[Importe AR$]]/$N$1</f>
        <v>48.07692307692308</v>
      </c>
      <c r="M3441" s="69"/>
      <c r="N3441" s="43" t="str">
        <f>IF(Gastos[[#This Row],[Fecha_Cheque]]&gt;0,WEEKNUM(Gastos[[#This Row],[Fecha_Cheque]]),MID(Gastos[[#This Row],[Semana]],6,2))</f>
        <v>45</v>
      </c>
      <c r="O3441" t="s">
        <v>1994</v>
      </c>
      <c r="P3441" t="s">
        <v>27</v>
      </c>
    </row>
    <row r="3442" spans="1:16" hidden="1" x14ac:dyDescent="0.25">
      <c r="A3442" s="3" t="s">
        <v>60</v>
      </c>
      <c r="B3442" t="s">
        <v>1979</v>
      </c>
      <c r="C3442" t="s">
        <v>155</v>
      </c>
      <c r="D3442" t="s">
        <v>26</v>
      </c>
      <c r="E3442" t="s">
        <v>42</v>
      </c>
      <c r="F3442">
        <v>1</v>
      </c>
      <c r="G3442" s="3" t="s">
        <v>4</v>
      </c>
      <c r="H3442" s="46" t="s">
        <v>15</v>
      </c>
      <c r="I3442" s="17">
        <v>74999.960000000006</v>
      </c>
      <c r="J3442" s="17">
        <f>IF(Gastos[[#This Row],[Divisa]]="$", I3442*1, IF(Gastos[[#This Row],[Divisa]]="U$D", I3442*$N$1, IF(Gastos[[#This Row],[Divisa]]="EUR", I3442*$N$2, 0)))</f>
        <v>74999.960000000006</v>
      </c>
      <c r="K3442" s="54">
        <f>Gastos[[#This Row],[Importe AR$]]/$N$1</f>
        <v>48.076897435897443</v>
      </c>
      <c r="M3442" s="69"/>
      <c r="N3442" s="43" t="str">
        <f>IF(Gastos[[#This Row],[Fecha_Cheque]]&gt;0,WEEKNUM(Gastos[[#This Row],[Fecha_Cheque]]),MID(Gastos[[#This Row],[Semana]],6,2))</f>
        <v>46</v>
      </c>
      <c r="O3442" t="s">
        <v>1995</v>
      </c>
      <c r="P3442" t="s">
        <v>27</v>
      </c>
    </row>
    <row r="3443" spans="1:16" hidden="1" x14ac:dyDescent="0.25">
      <c r="A3443" s="3" t="s">
        <v>81</v>
      </c>
      <c r="B3443" t="s">
        <v>1979</v>
      </c>
      <c r="C3443" t="s">
        <v>155</v>
      </c>
      <c r="D3443" t="s">
        <v>26</v>
      </c>
      <c r="E3443" t="s">
        <v>42</v>
      </c>
      <c r="F3443">
        <v>1</v>
      </c>
      <c r="G3443" s="3" t="s">
        <v>4</v>
      </c>
      <c r="H3443" s="46" t="s">
        <v>15</v>
      </c>
      <c r="I3443" s="17">
        <v>75000</v>
      </c>
      <c r="J3443" s="17">
        <f>IF(Gastos[[#This Row],[Divisa]]="$", I3443*1, IF(Gastos[[#This Row],[Divisa]]="U$D", I3443*$N$1, IF(Gastos[[#This Row],[Divisa]]="EUR", I3443*$N$2, 0)))</f>
        <v>75000</v>
      </c>
      <c r="K3443" s="54">
        <f>Gastos[[#This Row],[Importe AR$]]/$N$1</f>
        <v>48.07692307692308</v>
      </c>
      <c r="M3443" s="69"/>
      <c r="N3443" s="43" t="str">
        <f>IF(Gastos[[#This Row],[Fecha_Cheque]]&gt;0,WEEKNUM(Gastos[[#This Row],[Fecha_Cheque]]),MID(Gastos[[#This Row],[Semana]],6,2))</f>
        <v>49</v>
      </c>
      <c r="O3443" t="s">
        <v>1996</v>
      </c>
      <c r="P3443" t="s">
        <v>27</v>
      </c>
    </row>
    <row r="3444" spans="1:16" hidden="1" x14ac:dyDescent="0.25">
      <c r="A3444" s="3" t="s">
        <v>44</v>
      </c>
      <c r="B3444" t="s">
        <v>1979</v>
      </c>
      <c r="C3444" t="s">
        <v>155</v>
      </c>
      <c r="D3444" t="s">
        <v>26</v>
      </c>
      <c r="E3444" t="s">
        <v>42</v>
      </c>
      <c r="F3444">
        <v>1</v>
      </c>
      <c r="G3444" s="3" t="s">
        <v>4</v>
      </c>
      <c r="H3444" s="46" t="s">
        <v>15</v>
      </c>
      <c r="I3444" s="17">
        <v>75000</v>
      </c>
      <c r="J3444" s="17">
        <f>IF(Gastos[[#This Row],[Divisa]]="$", I3444*1, IF(Gastos[[#This Row],[Divisa]]="U$D", I3444*$N$1, IF(Gastos[[#This Row],[Divisa]]="EUR", I3444*$N$2, 0)))</f>
        <v>75000</v>
      </c>
      <c r="K3444" s="54">
        <f>Gastos[[#This Row],[Importe AR$]]/$N$1</f>
        <v>48.07692307692308</v>
      </c>
      <c r="M3444" s="69"/>
      <c r="N3444" s="43" t="str">
        <f>IF(Gastos[[#This Row],[Fecha_Cheque]]&gt;0,WEEKNUM(Gastos[[#This Row],[Fecha_Cheque]]),MID(Gastos[[#This Row],[Semana]],6,2))</f>
        <v>51</v>
      </c>
      <c r="O3444" t="s">
        <v>1997</v>
      </c>
      <c r="P3444" t="s">
        <v>27</v>
      </c>
    </row>
    <row r="3445" spans="1:16" hidden="1" x14ac:dyDescent="0.25">
      <c r="A3445" s="3" t="s">
        <v>378</v>
      </c>
      <c r="B3445" t="s">
        <v>1979</v>
      </c>
      <c r="C3445" t="s">
        <v>155</v>
      </c>
      <c r="D3445" t="s">
        <v>26</v>
      </c>
      <c r="E3445" t="s">
        <v>42</v>
      </c>
      <c r="F3445">
        <v>1</v>
      </c>
      <c r="G3445" s="3" t="s">
        <v>4</v>
      </c>
      <c r="H3445" s="46" t="s">
        <v>15</v>
      </c>
      <c r="I3445" s="17">
        <v>75000</v>
      </c>
      <c r="J3445" s="17">
        <f>IF(Gastos[[#This Row],[Divisa]]="$", I3445*1, IF(Gastos[[#This Row],[Divisa]]="U$D", I3445*$N$1, IF(Gastos[[#This Row],[Divisa]]="EUR", I3445*$N$2, 0)))</f>
        <v>75000</v>
      </c>
      <c r="K3445" s="54">
        <f>Gastos[[#This Row],[Importe AR$]]/$N$1</f>
        <v>48.07692307692308</v>
      </c>
      <c r="M3445" s="69"/>
      <c r="N3445" s="43" t="str">
        <f>IF(Gastos[[#This Row],[Fecha_Cheque]]&gt;0,WEEKNUM(Gastos[[#This Row],[Fecha_Cheque]]),MID(Gastos[[#This Row],[Semana]],6,2))</f>
        <v>03</v>
      </c>
      <c r="O3445" t="s">
        <v>1998</v>
      </c>
      <c r="P3445" t="s">
        <v>27</v>
      </c>
    </row>
    <row r="3446" spans="1:16" hidden="1" x14ac:dyDescent="0.25">
      <c r="A3446" s="3" t="s">
        <v>152</v>
      </c>
      <c r="B3446" t="s">
        <v>1979</v>
      </c>
      <c r="C3446" t="s">
        <v>155</v>
      </c>
      <c r="D3446" t="s">
        <v>26</v>
      </c>
      <c r="E3446" t="s">
        <v>42</v>
      </c>
      <c r="F3446">
        <v>1</v>
      </c>
      <c r="G3446" s="3" t="s">
        <v>4</v>
      </c>
      <c r="H3446" s="46" t="s">
        <v>15</v>
      </c>
      <c r="I3446" s="17">
        <v>77999.95</v>
      </c>
      <c r="J3446" s="17">
        <f>IF(Gastos[[#This Row],[Divisa]]="$", I3446*1, IF(Gastos[[#This Row],[Divisa]]="U$D", I3446*$N$1, IF(Gastos[[#This Row],[Divisa]]="EUR", I3446*$N$2, 0)))</f>
        <v>77999.95</v>
      </c>
      <c r="K3446" s="54">
        <f>Gastos[[#This Row],[Importe AR$]]/$N$1</f>
        <v>49.999967948717945</v>
      </c>
      <c r="M3446" s="69"/>
      <c r="N3446" s="43" t="str">
        <f>IF(Gastos[[#This Row],[Fecha_Cheque]]&gt;0,WEEKNUM(Gastos[[#This Row],[Fecha_Cheque]]),MID(Gastos[[#This Row],[Semana]],6,2))</f>
        <v>04</v>
      </c>
      <c r="O3446" t="s">
        <v>1999</v>
      </c>
      <c r="P3446" t="s">
        <v>27</v>
      </c>
    </row>
    <row r="3447" spans="1:16" hidden="1" x14ac:dyDescent="0.25">
      <c r="A3447" s="3" t="s">
        <v>68</v>
      </c>
      <c r="B3447" t="s">
        <v>1979</v>
      </c>
      <c r="C3447" t="s">
        <v>155</v>
      </c>
      <c r="D3447" t="s">
        <v>26</v>
      </c>
      <c r="E3447" t="s">
        <v>42</v>
      </c>
      <c r="F3447">
        <v>1</v>
      </c>
      <c r="G3447" s="3" t="s">
        <v>4</v>
      </c>
      <c r="H3447" s="46" t="s">
        <v>15</v>
      </c>
      <c r="I3447" s="17">
        <v>77999.95</v>
      </c>
      <c r="J3447" s="17">
        <f>IF(Gastos[[#This Row],[Divisa]]="$", I3447*1, IF(Gastos[[#This Row],[Divisa]]="U$D", I3447*$N$1, IF(Gastos[[#This Row],[Divisa]]="EUR", I3447*$N$2, 0)))</f>
        <v>77999.95</v>
      </c>
      <c r="K3447" s="54">
        <f>Gastos[[#This Row],[Importe AR$]]/$N$1</f>
        <v>49.999967948717945</v>
      </c>
      <c r="M3447" s="69"/>
      <c r="N3447" s="43" t="str">
        <f>IF(Gastos[[#This Row],[Fecha_Cheque]]&gt;0,WEEKNUM(Gastos[[#This Row],[Fecha_Cheque]]),MID(Gastos[[#This Row],[Semana]],6,2))</f>
        <v>05</v>
      </c>
      <c r="O3447" t="s">
        <v>2000</v>
      </c>
      <c r="P3447" t="s">
        <v>27</v>
      </c>
    </row>
    <row r="3448" spans="1:16" hidden="1" x14ac:dyDescent="0.25">
      <c r="A3448" s="3" t="s">
        <v>206</v>
      </c>
      <c r="B3448" t="s">
        <v>1979</v>
      </c>
      <c r="C3448" t="s">
        <v>155</v>
      </c>
      <c r="D3448" t="s">
        <v>26</v>
      </c>
      <c r="E3448" t="s">
        <v>42</v>
      </c>
      <c r="F3448">
        <v>1</v>
      </c>
      <c r="G3448" s="3" t="s">
        <v>4</v>
      </c>
      <c r="H3448" s="46" t="s">
        <v>15</v>
      </c>
      <c r="I3448" s="17">
        <v>78000.039999999994</v>
      </c>
      <c r="J3448" s="17">
        <f>IF(Gastos[[#This Row],[Divisa]]="$", I3448*1, IF(Gastos[[#This Row],[Divisa]]="U$D", I3448*$N$1, IF(Gastos[[#This Row],[Divisa]]="EUR", I3448*$N$2, 0)))</f>
        <v>78000.039999999994</v>
      </c>
      <c r="K3448" s="54">
        <f>Gastos[[#This Row],[Importe AR$]]/$N$1</f>
        <v>50.000025641025637</v>
      </c>
      <c r="M3448" s="69"/>
      <c r="N3448" s="43" t="str">
        <f>IF(Gastos[[#This Row],[Fecha_Cheque]]&gt;0,WEEKNUM(Gastos[[#This Row],[Fecha_Cheque]]),MID(Gastos[[#This Row],[Semana]],6,2))</f>
        <v>06</v>
      </c>
      <c r="O3448" t="s">
        <v>2001</v>
      </c>
      <c r="P3448" t="s">
        <v>27</v>
      </c>
    </row>
    <row r="3449" spans="1:16" hidden="1" x14ac:dyDescent="0.25">
      <c r="A3449" s="3" t="s">
        <v>180</v>
      </c>
      <c r="B3449" t="s">
        <v>1979</v>
      </c>
      <c r="C3449" t="s">
        <v>155</v>
      </c>
      <c r="D3449" t="s">
        <v>26</v>
      </c>
      <c r="E3449" t="s">
        <v>42</v>
      </c>
      <c r="F3449">
        <v>1</v>
      </c>
      <c r="G3449" s="3" t="s">
        <v>4</v>
      </c>
      <c r="H3449" s="46" t="s">
        <v>15</v>
      </c>
      <c r="I3449" s="17">
        <v>77999.929999999993</v>
      </c>
      <c r="J3449" s="17">
        <f>IF(Gastos[[#This Row],[Divisa]]="$", I3449*1, IF(Gastos[[#This Row],[Divisa]]="U$D", I3449*$N$1, IF(Gastos[[#This Row],[Divisa]]="EUR", I3449*$N$2, 0)))</f>
        <v>77999.929999999993</v>
      </c>
      <c r="K3449" s="54">
        <f>Gastos[[#This Row],[Importe AR$]]/$N$1</f>
        <v>49.999955128205123</v>
      </c>
      <c r="M3449" s="69"/>
      <c r="N3449" s="43" t="str">
        <f>IF(Gastos[[#This Row],[Fecha_Cheque]]&gt;0,WEEKNUM(Gastos[[#This Row],[Fecha_Cheque]]),MID(Gastos[[#This Row],[Semana]],6,2))</f>
        <v>09</v>
      </c>
      <c r="O3449" t="s">
        <v>2389</v>
      </c>
      <c r="P3449" t="s">
        <v>27</v>
      </c>
    </row>
    <row r="3450" spans="1:16" hidden="1" x14ac:dyDescent="0.25">
      <c r="A3450" s="3" t="s">
        <v>180</v>
      </c>
      <c r="B3450" t="s">
        <v>1979</v>
      </c>
      <c r="C3450" t="s">
        <v>155</v>
      </c>
      <c r="D3450" t="s">
        <v>26</v>
      </c>
      <c r="E3450" t="s">
        <v>42</v>
      </c>
      <c r="F3450">
        <v>1</v>
      </c>
      <c r="G3450" s="3" t="s">
        <v>4</v>
      </c>
      <c r="H3450" s="46" t="s">
        <v>15</v>
      </c>
      <c r="I3450" s="17">
        <v>77999.92</v>
      </c>
      <c r="J3450" s="17">
        <f>IF(Gastos[[#This Row],[Divisa]]="$", I3450*1, IF(Gastos[[#This Row],[Divisa]]="U$D", I3450*$N$1, IF(Gastos[[#This Row],[Divisa]]="EUR", I3450*$N$2, 0)))</f>
        <v>77999.92</v>
      </c>
      <c r="K3450" s="54">
        <f>Gastos[[#This Row],[Importe AR$]]/$N$1</f>
        <v>49.999948717948719</v>
      </c>
      <c r="L3450" s="8"/>
      <c r="M3450" s="69"/>
      <c r="N3450" s="43" t="str">
        <f>IF(Gastos[[#This Row],[Fecha_Cheque]]&gt;0,WEEKNUM(Gastos[[#This Row],[Fecha_Cheque]]),MID(Gastos[[#This Row],[Semana]],6,2))</f>
        <v>09</v>
      </c>
      <c r="O3450" t="s">
        <v>2390</v>
      </c>
      <c r="P3450" t="s">
        <v>27</v>
      </c>
    </row>
    <row r="3451" spans="1:16" hidden="1" x14ac:dyDescent="0.25">
      <c r="A3451" s="3" t="s">
        <v>619</v>
      </c>
      <c r="B3451" t="s">
        <v>1979</v>
      </c>
      <c r="C3451" t="s">
        <v>155</v>
      </c>
      <c r="D3451" t="s">
        <v>26</v>
      </c>
      <c r="E3451" t="s">
        <v>42</v>
      </c>
      <c r="F3451">
        <v>1</v>
      </c>
      <c r="G3451" s="3" t="s">
        <v>4</v>
      </c>
      <c r="H3451" s="46" t="s">
        <v>15</v>
      </c>
      <c r="I3451" s="17">
        <v>17626891.640000001</v>
      </c>
      <c r="J3451" s="17">
        <f>IF(Gastos[[#This Row],[Divisa]]="$", I3451*1, IF(Gastos[[#This Row],[Divisa]]="U$D", I3451*$N$1, IF(Gastos[[#This Row],[Divisa]]="EUR", I3451*$N$2, 0)))</f>
        <v>17626891.640000001</v>
      </c>
      <c r="K3451" s="54">
        <f>Gastos[[#This Row],[Importe AR$]]/$N$1</f>
        <v>11299.289512820513</v>
      </c>
      <c r="M3451" s="69"/>
      <c r="N3451" s="43" t="str">
        <f>IF(Gastos[[#This Row],[Fecha_Cheque]]&gt;0,WEEKNUM(Gastos[[#This Row],[Fecha_Cheque]]),MID(Gastos[[#This Row],[Semana]],6,2))</f>
        <v>10</v>
      </c>
      <c r="O3451" t="s">
        <v>2679</v>
      </c>
      <c r="P3451" t="s">
        <v>27</v>
      </c>
    </row>
    <row r="3452" spans="1:16" hidden="1" x14ac:dyDescent="0.25">
      <c r="A3452" s="3" t="s">
        <v>332</v>
      </c>
      <c r="B3452" t="s">
        <v>1979</v>
      </c>
      <c r="C3452" t="s">
        <v>155</v>
      </c>
      <c r="D3452" t="s">
        <v>26</v>
      </c>
      <c r="E3452" t="s">
        <v>42</v>
      </c>
      <c r="F3452">
        <v>1</v>
      </c>
      <c r="G3452" s="3" t="s">
        <v>4</v>
      </c>
      <c r="H3452" s="46" t="s">
        <v>15</v>
      </c>
      <c r="I3452" s="49">
        <v>80000.009999999995</v>
      </c>
      <c r="J3452" s="17">
        <f>IF(Gastos[[#This Row],[Divisa]]="$", I3452*1, IF(Gastos[[#This Row],[Divisa]]="U$D", I3452*$N$1, IF(Gastos[[#This Row],[Divisa]]="EUR", I3452*$N$2, 0)))</f>
        <v>80000.009999999995</v>
      </c>
      <c r="K3452" s="54">
        <f>Gastos[[#This Row],[Importe AR$]]/$N$1</f>
        <v>51.282057692307689</v>
      </c>
      <c r="M3452" s="69"/>
      <c r="N3452" s="43" t="str">
        <f>IF(Gastos[[#This Row],[Fecha_Cheque]]&gt;0,WEEKNUM(Gastos[[#This Row],[Fecha_Cheque]]),MID(Gastos[[#This Row],[Semana]],6,2))</f>
        <v>12</v>
      </c>
      <c r="O3452" t="s">
        <v>2700</v>
      </c>
      <c r="P3452" t="s">
        <v>27</v>
      </c>
    </row>
    <row r="3453" spans="1:16" hidden="1" x14ac:dyDescent="0.25">
      <c r="A3453" s="3" t="s">
        <v>828</v>
      </c>
      <c r="B3453" t="s">
        <v>1979</v>
      </c>
      <c r="C3453" t="s">
        <v>155</v>
      </c>
      <c r="D3453" t="s">
        <v>26</v>
      </c>
      <c r="E3453" t="s">
        <v>42</v>
      </c>
      <c r="F3453">
        <v>1</v>
      </c>
      <c r="G3453" s="3" t="s">
        <v>4</v>
      </c>
      <c r="H3453" s="44" t="s">
        <v>15</v>
      </c>
      <c r="I3453" s="17">
        <v>239974.35</v>
      </c>
      <c r="J3453" s="17">
        <f>IF(Gastos[[#This Row],[Divisa]]="$", I3453*1, IF(Gastos[[#This Row],[Divisa]]="U$D", I3453*$N$1, IF(Gastos[[#This Row],[Divisa]]="EUR", I3453*$N$2, 0)))</f>
        <v>239974.35</v>
      </c>
      <c r="K3453" s="54">
        <f>Gastos[[#This Row],[Importe AR$]]/$N$1</f>
        <v>153.82971153846154</v>
      </c>
      <c r="M3453" s="69"/>
      <c r="N3453" s="43" t="str">
        <f>IF(Gastos[[#This Row],[Fecha_Cheque]]&gt;0,WEEKNUM(Gastos[[#This Row],[Fecha_Cheque]]),MID(Gastos[[#This Row],[Semana]],6,2))</f>
        <v>13</v>
      </c>
      <c r="O3453" t="s">
        <v>2739</v>
      </c>
      <c r="P3453" t="s">
        <v>27</v>
      </c>
    </row>
    <row r="3454" spans="1:16" hidden="1" x14ac:dyDescent="0.25">
      <c r="A3454" s="3" t="s">
        <v>2751</v>
      </c>
      <c r="B3454" t="s">
        <v>1979</v>
      </c>
      <c r="C3454" t="s">
        <v>155</v>
      </c>
      <c r="D3454" t="s">
        <v>26</v>
      </c>
      <c r="E3454" t="s">
        <v>42</v>
      </c>
      <c r="F3454">
        <v>1</v>
      </c>
      <c r="G3454" s="3" t="s">
        <v>4</v>
      </c>
      <c r="H3454" s="44" t="s">
        <v>15</v>
      </c>
      <c r="I3454" s="17">
        <v>85999.88</v>
      </c>
      <c r="J3454" s="17">
        <f>IF(Gastos[[#This Row],[Divisa]]="$", I3454*1, IF(Gastos[[#This Row],[Divisa]]="U$D", I3454*$N$1, IF(Gastos[[#This Row],[Divisa]]="EUR", I3454*$N$2, 0)))</f>
        <v>85999.88</v>
      </c>
      <c r="K3454" s="54">
        <f>Gastos[[#This Row],[Importe AR$]]/$N$1</f>
        <v>55.128128205128206</v>
      </c>
      <c r="M3454" s="69"/>
      <c r="N3454" s="43" t="str">
        <f>IF(Gastos[[#This Row],[Fecha_Cheque]]&gt;0,WEEKNUM(Gastos[[#This Row],[Fecha_Cheque]]),MID(Gastos[[#This Row],[Semana]],6,2))</f>
        <v>18</v>
      </c>
      <c r="O3454" t="s">
        <v>3139</v>
      </c>
      <c r="P3454" t="s">
        <v>27</v>
      </c>
    </row>
    <row r="3455" spans="1:16" hidden="1" x14ac:dyDescent="0.25">
      <c r="A3455" s="3" t="s">
        <v>2751</v>
      </c>
      <c r="B3455" t="s">
        <v>1979</v>
      </c>
      <c r="C3455" t="s">
        <v>155</v>
      </c>
      <c r="D3455" t="s">
        <v>26</v>
      </c>
      <c r="E3455" t="s">
        <v>42</v>
      </c>
      <c r="F3455">
        <v>1</v>
      </c>
      <c r="G3455" s="3" t="s">
        <v>4</v>
      </c>
      <c r="H3455" s="44" t="s">
        <v>15</v>
      </c>
      <c r="I3455" s="17">
        <v>85999.88</v>
      </c>
      <c r="J3455" s="17">
        <f>IF(Gastos[[#This Row],[Divisa]]="$", I3455*1, IF(Gastos[[#This Row],[Divisa]]="U$D", I3455*$N$1, IF(Gastos[[#This Row],[Divisa]]="EUR", I3455*$N$2, 0)))</f>
        <v>85999.88</v>
      </c>
      <c r="K3455" s="54">
        <f>Gastos[[#This Row],[Importe AR$]]/$N$1</f>
        <v>55.128128205128206</v>
      </c>
      <c r="M3455" s="69"/>
      <c r="N3455" s="43" t="str">
        <f>IF(Gastos[[#This Row],[Fecha_Cheque]]&gt;0,WEEKNUM(Gastos[[#This Row],[Fecha_Cheque]]),MID(Gastos[[#This Row],[Semana]],6,2))</f>
        <v>18</v>
      </c>
      <c r="O3455" t="s">
        <v>3140</v>
      </c>
      <c r="P3455" t="s">
        <v>27</v>
      </c>
    </row>
    <row r="3456" spans="1:16" hidden="1" x14ac:dyDescent="0.25">
      <c r="A3456" s="3" t="s">
        <v>3439</v>
      </c>
      <c r="B3456" t="s">
        <v>1979</v>
      </c>
      <c r="C3456" t="s">
        <v>155</v>
      </c>
      <c r="D3456" t="s">
        <v>26</v>
      </c>
      <c r="E3456" t="s">
        <v>42</v>
      </c>
      <c r="F3456">
        <v>1</v>
      </c>
      <c r="G3456" s="3" t="s">
        <v>4</v>
      </c>
      <c r="H3456" s="44" t="s">
        <v>15</v>
      </c>
      <c r="I3456" s="17">
        <v>90077.85</v>
      </c>
      <c r="J3456" s="17">
        <f>IF(Gastos[[#This Row],[Divisa]]="$", I3456*1, IF(Gastos[[#This Row],[Divisa]]="U$D", I3456*$N$1, IF(Gastos[[#This Row],[Divisa]]="EUR", I3456*$N$2, 0)))</f>
        <v>90077.85</v>
      </c>
      <c r="K3456" s="54">
        <f>Gastos[[#This Row],[Importe AR$]]/$N$1</f>
        <v>57.74221153846154</v>
      </c>
      <c r="M3456" s="69"/>
      <c r="N3456" s="43" t="str">
        <f>IF(Gastos[[#This Row],[Fecha_Cheque]]&gt;0,WEEKNUM(Gastos[[#This Row],[Fecha_Cheque]]),MID(Gastos[[#This Row],[Semana]],6,2))</f>
        <v>25</v>
      </c>
      <c r="O3456" t="s">
        <v>3561</v>
      </c>
      <c r="P3456" t="s">
        <v>27</v>
      </c>
    </row>
    <row r="3457" spans="1:16" hidden="1" x14ac:dyDescent="0.25">
      <c r="A3457" s="3" t="s">
        <v>3567</v>
      </c>
      <c r="B3457" t="s">
        <v>1979</v>
      </c>
      <c r="C3457" t="s">
        <v>155</v>
      </c>
      <c r="D3457" t="s">
        <v>26</v>
      </c>
      <c r="E3457" t="s">
        <v>42</v>
      </c>
      <c r="F3457">
        <v>1</v>
      </c>
      <c r="G3457" s="3" t="s">
        <v>4</v>
      </c>
      <c r="H3457" s="44" t="s">
        <v>15</v>
      </c>
      <c r="I3457" s="17">
        <v>94999.93</v>
      </c>
      <c r="J3457" s="17">
        <f>IF(Gastos[[#This Row],[Divisa]]="$", I3457*1, IF(Gastos[[#This Row],[Divisa]]="U$D", I3457*$N$1, IF(Gastos[[#This Row],[Divisa]]="EUR", I3457*$N$2, 0)))</f>
        <v>94999.93</v>
      </c>
      <c r="K3457" s="54">
        <f>Gastos[[#This Row],[Importe AR$]]/$N$1</f>
        <v>60.897391025641021</v>
      </c>
      <c r="M3457" s="69"/>
      <c r="N3457" s="43" t="str">
        <f>IF(Gastos[[#This Row],[Fecha_Cheque]]&gt;0,WEEKNUM(Gastos[[#This Row],[Fecha_Cheque]]),MID(Gastos[[#This Row],[Semana]],6,2))</f>
        <v>26</v>
      </c>
      <c r="O3457" t="s">
        <v>3600</v>
      </c>
      <c r="P3457" t="s">
        <v>27</v>
      </c>
    </row>
    <row r="3458" spans="1:16" hidden="1" x14ac:dyDescent="0.25">
      <c r="A3458" s="3" t="s">
        <v>4211</v>
      </c>
      <c r="B3458" t="s">
        <v>1979</v>
      </c>
      <c r="C3458" t="s">
        <v>155</v>
      </c>
      <c r="D3458" t="s">
        <v>26</v>
      </c>
      <c r="E3458" t="s">
        <v>42</v>
      </c>
      <c r="F3458">
        <v>1</v>
      </c>
      <c r="G3458" s="3" t="s">
        <v>4</v>
      </c>
      <c r="H3458" s="44" t="s">
        <v>15</v>
      </c>
      <c r="I3458" s="17">
        <v>95006.8</v>
      </c>
      <c r="J3458" s="17">
        <f>IF(Gastos[[#This Row],[Divisa]]="$", I3458*1, IF(Gastos[[#This Row],[Divisa]]="U$D", I3458*$N$1, IF(Gastos[[#This Row],[Divisa]]="EUR", I3458*$N$2, 0)))</f>
        <v>95006.8</v>
      </c>
      <c r="K3458" s="54">
        <f>Gastos[[#This Row],[Importe AR$]]/$N$1</f>
        <v>60.901794871794877</v>
      </c>
      <c r="M3458" s="69"/>
      <c r="N3458" s="43" t="str">
        <f>IF(Gastos[[#This Row],[Fecha_Cheque]]&gt;0,WEEKNUM(Gastos[[#This Row],[Fecha_Cheque]]),MID(Gastos[[#This Row],[Semana]],6,2))</f>
        <v>37</v>
      </c>
      <c r="O3458" t="s">
        <v>4298</v>
      </c>
      <c r="P3458" t="s">
        <v>27</v>
      </c>
    </row>
    <row r="3459" spans="1:16" hidden="1" x14ac:dyDescent="0.25">
      <c r="A3459" s="3" t="s">
        <v>4409</v>
      </c>
      <c r="B3459" t="s">
        <v>1979</v>
      </c>
      <c r="C3459" t="s">
        <v>155</v>
      </c>
      <c r="D3459" t="s">
        <v>26</v>
      </c>
      <c r="E3459" t="s">
        <v>42</v>
      </c>
      <c r="F3459">
        <v>1</v>
      </c>
      <c r="G3459" s="3" t="s">
        <v>4</v>
      </c>
      <c r="H3459" s="44" t="s">
        <v>15</v>
      </c>
      <c r="I3459" s="17">
        <v>96015.57</v>
      </c>
      <c r="J3459" s="17">
        <f>IF(Gastos[[#This Row],[Divisa]]="$", I3459*1, IF(Gastos[[#This Row],[Divisa]]="U$D", I3459*$N$1, IF(Gastos[[#This Row],[Divisa]]="EUR", I3459*$N$2, 0)))</f>
        <v>96015.57</v>
      </c>
      <c r="K3459" s="54">
        <f>Gastos[[#This Row],[Importe AR$]]/$N$1</f>
        <v>61.548442307692312</v>
      </c>
      <c r="M3459" s="69"/>
      <c r="N3459" s="43" t="str">
        <f>IF(Gastos[[#This Row],[Fecha_Cheque]]&gt;0,WEEKNUM(Gastos[[#This Row],[Fecha_Cheque]]),MID(Gastos[[#This Row],[Semana]],6,2))</f>
        <v>40</v>
      </c>
      <c r="O3459" t="s">
        <v>4406</v>
      </c>
      <c r="P3459" t="s">
        <v>27</v>
      </c>
    </row>
    <row r="3460" spans="1:16" x14ac:dyDescent="0.25">
      <c r="A3460" s="3" t="s">
        <v>4655</v>
      </c>
      <c r="B3460" t="s">
        <v>4658</v>
      </c>
      <c r="C3460" t="s">
        <v>4659</v>
      </c>
      <c r="D3460" t="s">
        <v>26</v>
      </c>
      <c r="E3460" t="s">
        <v>42</v>
      </c>
      <c r="F3460">
        <v>1</v>
      </c>
      <c r="G3460" s="3" t="s">
        <v>4</v>
      </c>
      <c r="H3460" s="44" t="s">
        <v>15</v>
      </c>
      <c r="I3460" s="17">
        <v>10000.040000000001</v>
      </c>
      <c r="J3460" s="17">
        <f>IF(Gastos[[#This Row],[Divisa]]="$", I3460*1, IF(Gastos[[#This Row],[Divisa]]="U$D", I3460*$N$1, IF(Gastos[[#This Row],[Divisa]]="EUR", I3460*$N$2, 0)))</f>
        <v>10000.040000000001</v>
      </c>
      <c r="K3460" s="54">
        <f>Gastos[[#This Row],[Importe AR$]]/$N$1</f>
        <v>6.410282051282052</v>
      </c>
      <c r="M3460" s="69"/>
      <c r="N3460" s="43" t="str">
        <f>IF(Gastos[[#This Row],[Fecha_Cheque]]&gt;0,WEEKNUM(Gastos[[#This Row],[Fecha_Cheque]]),MID(Gastos[[#This Row],[Semana]],6,2))</f>
        <v>44</v>
      </c>
      <c r="O3460" t="s">
        <v>4660</v>
      </c>
      <c r="P3460" t="s">
        <v>27</v>
      </c>
    </row>
    <row r="3461" spans="1:16" hidden="1" x14ac:dyDescent="0.25">
      <c r="A3461" s="3" t="s">
        <v>4447</v>
      </c>
      <c r="B3461" t="s">
        <v>4515</v>
      </c>
      <c r="C3461" t="s">
        <v>2010</v>
      </c>
      <c r="D3461" t="s">
        <v>26</v>
      </c>
      <c r="E3461" t="s">
        <v>62</v>
      </c>
      <c r="F3461">
        <v>1</v>
      </c>
      <c r="G3461" s="3" t="s">
        <v>32</v>
      </c>
      <c r="H3461" s="44" t="s">
        <v>15</v>
      </c>
      <c r="I3461" s="17">
        <v>1193543.01</v>
      </c>
      <c r="J3461" s="17">
        <f>IF(Gastos[[#This Row],[Divisa]]="$", I3461*1, IF(Gastos[[#This Row],[Divisa]]="U$D", I3461*$N$1, IF(Gastos[[#This Row],[Divisa]]="EUR", I3461*$N$2, 0)))</f>
        <v>1193543.01</v>
      </c>
      <c r="K3461" s="54">
        <f>Gastos[[#This Row],[Importe AR$]]/$N$1</f>
        <v>765.09167307692303</v>
      </c>
      <c r="M3461" s="69"/>
      <c r="N3461" s="43" t="str">
        <f>IF(Gastos[[#This Row],[Fecha_Cheque]]&gt;0,WEEKNUM(Gastos[[#This Row],[Fecha_Cheque]]),MID(Gastos[[#This Row],[Semana]],6,2))</f>
        <v>41</v>
      </c>
      <c r="O3461" t="s">
        <v>4516</v>
      </c>
      <c r="P3461" t="s">
        <v>27</v>
      </c>
    </row>
    <row r="3462" spans="1:16" hidden="1" x14ac:dyDescent="0.25">
      <c r="A3462" s="3" t="s">
        <v>4447</v>
      </c>
      <c r="B3462" t="s">
        <v>4515</v>
      </c>
      <c r="C3462" t="s">
        <v>2010</v>
      </c>
      <c r="D3462" t="s">
        <v>26</v>
      </c>
      <c r="E3462" t="s">
        <v>62</v>
      </c>
      <c r="F3462">
        <v>1</v>
      </c>
      <c r="G3462" s="3" t="s">
        <v>32</v>
      </c>
      <c r="H3462" s="44" t="s">
        <v>15</v>
      </c>
      <c r="I3462" s="17">
        <v>0</v>
      </c>
      <c r="J3462" s="17">
        <f>IF(Gastos[[#This Row],[Divisa]]="$", I3462*1, IF(Gastos[[#This Row],[Divisa]]="U$D", I3462*$N$1, IF(Gastos[[#This Row],[Divisa]]="EUR", I3462*$N$2, 0)))</f>
        <v>0</v>
      </c>
      <c r="K3462" s="54">
        <f>Gastos[[#This Row],[Importe AR$]]/$N$1</f>
        <v>0</v>
      </c>
      <c r="M3462" s="69"/>
      <c r="N3462" s="43" t="str">
        <f>IF(Gastos[[#This Row],[Fecha_Cheque]]&gt;0,WEEKNUM(Gastos[[#This Row],[Fecha_Cheque]]),MID(Gastos[[#This Row],[Semana]],6,2))</f>
        <v>41</v>
      </c>
    </row>
    <row r="3463" spans="1:16" hidden="1" x14ac:dyDescent="0.25">
      <c r="A3463" s="3" t="s">
        <v>216</v>
      </c>
      <c r="B3463" t="s">
        <v>2002</v>
      </c>
      <c r="C3463" t="s">
        <v>2003</v>
      </c>
      <c r="D3463" t="s">
        <v>26</v>
      </c>
      <c r="E3463" t="s">
        <v>31</v>
      </c>
      <c r="F3463">
        <v>1</v>
      </c>
      <c r="G3463" s="3" t="s">
        <v>32</v>
      </c>
      <c r="H3463" s="46" t="s">
        <v>15</v>
      </c>
      <c r="I3463" s="17">
        <v>152500</v>
      </c>
      <c r="J3463" s="17">
        <f>IF(Gastos[[#This Row],[Divisa]]="$", I3463*1, IF(Gastos[[#This Row],[Divisa]]="U$D", I3463*$N$1, IF(Gastos[[#This Row],[Divisa]]="EUR", I3463*$N$2, 0)))</f>
        <v>152500</v>
      </c>
      <c r="K3463" s="54">
        <f>Gastos[[#This Row],[Importe AR$]]/$N$1</f>
        <v>97.756410256410263</v>
      </c>
      <c r="L3463" t="s">
        <v>1426</v>
      </c>
      <c r="M3463" s="69"/>
      <c r="N3463" s="43" t="str">
        <f>IF(Gastos[[#This Row],[Fecha_Cheque]]&gt;0,WEEKNUM(Gastos[[#This Row],[Fecha_Cheque]]),MID(Gastos[[#This Row],[Semana]],6,2))</f>
        <v>15</v>
      </c>
      <c r="P3463" t="s">
        <v>27</v>
      </c>
    </row>
    <row r="3464" spans="1:16" hidden="1" x14ac:dyDescent="0.25">
      <c r="A3464" s="3" t="s">
        <v>216</v>
      </c>
      <c r="B3464" t="s">
        <v>2002</v>
      </c>
      <c r="C3464" t="s">
        <v>2004</v>
      </c>
      <c r="D3464" t="s">
        <v>26</v>
      </c>
      <c r="E3464" t="s">
        <v>31</v>
      </c>
      <c r="F3464">
        <v>1</v>
      </c>
      <c r="G3464" s="3" t="s">
        <v>32</v>
      </c>
      <c r="H3464" s="46" t="s">
        <v>15</v>
      </c>
      <c r="I3464" s="17">
        <v>559000</v>
      </c>
      <c r="J3464" s="17">
        <f>IF(Gastos[[#This Row],[Divisa]]="$", I3464*1, IF(Gastos[[#This Row],[Divisa]]="U$D", I3464*$N$1, IF(Gastos[[#This Row],[Divisa]]="EUR", I3464*$N$2, 0)))</f>
        <v>559000</v>
      </c>
      <c r="K3464" s="54">
        <f>Gastos[[#This Row],[Importe AR$]]/$N$1</f>
        <v>358.33333333333331</v>
      </c>
      <c r="L3464" t="s">
        <v>1426</v>
      </c>
      <c r="M3464" s="69"/>
      <c r="N3464" s="43" t="str">
        <f>IF(Gastos[[#This Row],[Fecha_Cheque]]&gt;0,WEEKNUM(Gastos[[#This Row],[Fecha_Cheque]]),MID(Gastos[[#This Row],[Semana]],6,2))</f>
        <v>15</v>
      </c>
      <c r="P3464" t="s">
        <v>27</v>
      </c>
    </row>
    <row r="3465" spans="1:16" hidden="1" x14ac:dyDescent="0.25">
      <c r="A3465" s="3" t="s">
        <v>290</v>
      </c>
      <c r="B3465" t="s">
        <v>2002</v>
      </c>
      <c r="C3465" t="s">
        <v>2005</v>
      </c>
      <c r="D3465" t="s">
        <v>61</v>
      </c>
      <c r="E3465" t="s">
        <v>31</v>
      </c>
      <c r="F3465">
        <v>1</v>
      </c>
      <c r="G3465" s="3" t="s">
        <v>32</v>
      </c>
      <c r="H3465" s="46" t="s">
        <v>15</v>
      </c>
      <c r="I3465" s="17">
        <v>3857300</v>
      </c>
      <c r="J3465" s="17">
        <f>IF(Gastos[[#This Row],[Divisa]]="$", I3465*1, IF(Gastos[[#This Row],[Divisa]]="U$D", I3465*$N$1, IF(Gastos[[#This Row],[Divisa]]="EUR", I3465*$N$2, 0)))</f>
        <v>3857300</v>
      </c>
      <c r="K3465" s="54">
        <f>Gastos[[#This Row],[Importe AR$]]/$N$1</f>
        <v>2472.6282051282051</v>
      </c>
      <c r="L3465" t="s">
        <v>2006</v>
      </c>
      <c r="M3465" s="69"/>
      <c r="N3465" s="43" t="str">
        <f>IF(Gastos[[#This Row],[Fecha_Cheque]]&gt;0,WEEKNUM(Gastos[[#This Row],[Fecha_Cheque]]),MID(Gastos[[#This Row],[Semana]],6,2))</f>
        <v>23</v>
      </c>
      <c r="O3465" t="s">
        <v>2007</v>
      </c>
      <c r="P3465" t="s">
        <v>27</v>
      </c>
    </row>
    <row r="3466" spans="1:16" hidden="1" x14ac:dyDescent="0.25">
      <c r="A3466" s="3" t="s">
        <v>232</v>
      </c>
      <c r="B3466" t="s">
        <v>2002</v>
      </c>
      <c r="C3466" t="s">
        <v>2008</v>
      </c>
      <c r="D3466" t="s">
        <v>26</v>
      </c>
      <c r="E3466" t="s">
        <v>42</v>
      </c>
      <c r="F3466">
        <v>1</v>
      </c>
      <c r="G3466" s="3" t="s">
        <v>4</v>
      </c>
      <c r="H3466" s="46" t="s">
        <v>15</v>
      </c>
      <c r="I3466" s="17">
        <v>265000</v>
      </c>
      <c r="J3466" s="17">
        <f>IF(Gastos[[#This Row],[Divisa]]="$", I3466*1, IF(Gastos[[#This Row],[Divisa]]="U$D", I3466*$N$1, IF(Gastos[[#This Row],[Divisa]]="EUR", I3466*$N$2, 0)))</f>
        <v>265000</v>
      </c>
      <c r="K3466" s="54">
        <f>Gastos[[#This Row],[Importe AR$]]/$N$1</f>
        <v>169.87179487179486</v>
      </c>
      <c r="M3466" s="69"/>
      <c r="N3466" s="43" t="str">
        <f>IF(Gastos[[#This Row],[Fecha_Cheque]]&gt;0,WEEKNUM(Gastos[[#This Row],[Fecha_Cheque]]),MID(Gastos[[#This Row],[Semana]],6,2))</f>
        <v>44</v>
      </c>
      <c r="O3466" t="s">
        <v>2009</v>
      </c>
      <c r="P3466" t="s">
        <v>27</v>
      </c>
    </row>
    <row r="3467" spans="1:16" hidden="1" x14ac:dyDescent="0.25">
      <c r="A3467" s="3" t="s">
        <v>93</v>
      </c>
      <c r="B3467" t="s">
        <v>2002</v>
      </c>
      <c r="C3467" t="s">
        <v>2010</v>
      </c>
      <c r="D3467" t="s">
        <v>26</v>
      </c>
      <c r="E3467" t="s">
        <v>225</v>
      </c>
      <c r="F3467">
        <v>1</v>
      </c>
      <c r="G3467" s="3" t="s">
        <v>32</v>
      </c>
      <c r="H3467" s="46" t="s">
        <v>15</v>
      </c>
      <c r="I3467" s="17">
        <v>450762.96</v>
      </c>
      <c r="J3467" s="17">
        <f>IF(Gastos[[#This Row],[Divisa]]="$", I3467*1, IF(Gastos[[#This Row],[Divisa]]="U$D", I3467*$N$1, IF(Gastos[[#This Row],[Divisa]]="EUR", I3467*$N$2, 0)))</f>
        <v>450762.96</v>
      </c>
      <c r="K3467" s="54">
        <f>Gastos[[#This Row],[Importe AR$]]/$N$1</f>
        <v>288.95061538461539</v>
      </c>
      <c r="M3467" s="69">
        <v>46015</v>
      </c>
      <c r="N3467" s="43">
        <f>IF(Gastos[[#This Row],[Fecha_Cheque]]&gt;0,WEEKNUM(Gastos[[#This Row],[Fecha_Cheque]]),MID(Gastos[[#This Row],[Semana]],6,2))</f>
        <v>52</v>
      </c>
      <c r="O3467" t="s">
        <v>2011</v>
      </c>
      <c r="P3467" t="s">
        <v>27</v>
      </c>
    </row>
    <row r="3468" spans="1:16" hidden="1" x14ac:dyDescent="0.25">
      <c r="A3468" s="3" t="s">
        <v>93</v>
      </c>
      <c r="B3468" t="s">
        <v>2002</v>
      </c>
      <c r="C3468" t="s">
        <v>2010</v>
      </c>
      <c r="D3468" t="s">
        <v>26</v>
      </c>
      <c r="E3468" t="s">
        <v>225</v>
      </c>
      <c r="F3468">
        <v>1</v>
      </c>
      <c r="G3468" s="3" t="s">
        <v>32</v>
      </c>
      <c r="H3468" s="46" t="s">
        <v>15</v>
      </c>
      <c r="I3468" s="17">
        <v>263737.03999999998</v>
      </c>
      <c r="J3468" s="17">
        <f>IF(Gastos[[#This Row],[Divisa]]="$", I3468*1, IF(Gastos[[#This Row],[Divisa]]="U$D", I3468*$N$1, IF(Gastos[[#This Row],[Divisa]]="EUR", I3468*$N$2, 0)))</f>
        <v>263737.03999999998</v>
      </c>
      <c r="K3468" s="54">
        <f>Gastos[[#This Row],[Importe AR$]]/$N$1</f>
        <v>169.06220512820511</v>
      </c>
      <c r="M3468" s="69">
        <v>46003</v>
      </c>
      <c r="N3468" s="43">
        <f>IF(Gastos[[#This Row],[Fecha_Cheque]]&gt;0,WEEKNUM(Gastos[[#This Row],[Fecha_Cheque]]),MID(Gastos[[#This Row],[Semana]],6,2))</f>
        <v>50</v>
      </c>
      <c r="O3468" t="s">
        <v>2011</v>
      </c>
      <c r="P3468" t="s">
        <v>27</v>
      </c>
    </row>
    <row r="3469" spans="1:16" hidden="1" x14ac:dyDescent="0.25">
      <c r="A3469" s="3" t="s">
        <v>39</v>
      </c>
      <c r="B3469" t="s">
        <v>2002</v>
      </c>
      <c r="C3469" t="s">
        <v>2010</v>
      </c>
      <c r="D3469" t="s">
        <v>26</v>
      </c>
      <c r="E3469" t="s">
        <v>225</v>
      </c>
      <c r="F3469">
        <v>1</v>
      </c>
      <c r="G3469" s="3" t="s">
        <v>32</v>
      </c>
      <c r="H3469" s="46" t="s">
        <v>15</v>
      </c>
      <c r="I3469" s="17">
        <v>94692.18</v>
      </c>
      <c r="J3469" s="17">
        <f>IF(Gastos[[#This Row],[Divisa]]="$", I3469*1, IF(Gastos[[#This Row],[Divisa]]="U$D", I3469*$N$1, IF(Gastos[[#This Row],[Divisa]]="EUR", I3469*$N$2, 0)))</f>
        <v>94692.18</v>
      </c>
      <c r="K3469" s="54">
        <f>Gastos[[#This Row],[Importe AR$]]/$N$1</f>
        <v>60.70011538461538</v>
      </c>
      <c r="M3469" s="69">
        <v>46116</v>
      </c>
      <c r="N3469" s="43">
        <f>IF(Gastos[[#This Row],[Fecha_Cheque]]&gt;0,WEEKNUM(Gastos[[#This Row],[Fecha_Cheque]]),MID(Gastos[[#This Row],[Semana]],6,2))</f>
        <v>14</v>
      </c>
      <c r="O3469" t="s">
        <v>2672</v>
      </c>
      <c r="P3469" t="s">
        <v>27</v>
      </c>
    </row>
    <row r="3470" spans="1:16" hidden="1" x14ac:dyDescent="0.25">
      <c r="A3470" s="3" t="s">
        <v>39</v>
      </c>
      <c r="B3470" t="s">
        <v>2002</v>
      </c>
      <c r="C3470" t="s">
        <v>2010</v>
      </c>
      <c r="D3470" t="s">
        <v>26</v>
      </c>
      <c r="E3470" t="s">
        <v>225</v>
      </c>
      <c r="F3470">
        <v>1</v>
      </c>
      <c r="G3470" s="3" t="s">
        <v>32</v>
      </c>
      <c r="H3470" s="46" t="s">
        <v>15</v>
      </c>
      <c r="I3470" s="17">
        <v>350000</v>
      </c>
      <c r="J3470" s="17">
        <f>IF(Gastos[[#This Row],[Divisa]]="$", I3470*1, IF(Gastos[[#This Row],[Divisa]]="U$D", I3470*$N$1, IF(Gastos[[#This Row],[Divisa]]="EUR", I3470*$N$2, 0)))</f>
        <v>350000</v>
      </c>
      <c r="K3470" s="54">
        <f>Gastos[[#This Row],[Importe AR$]]/$N$1</f>
        <v>224.35897435897436</v>
      </c>
      <c r="M3470" s="69">
        <v>46142</v>
      </c>
      <c r="N3470" s="43">
        <f>IF(Gastos[[#This Row],[Fecha_Cheque]]&gt;0,WEEKNUM(Gastos[[#This Row],[Fecha_Cheque]]),MID(Gastos[[#This Row],[Semana]],6,2))</f>
        <v>18</v>
      </c>
      <c r="O3470" t="s">
        <v>2672</v>
      </c>
      <c r="P3470" t="s">
        <v>27</v>
      </c>
    </row>
    <row r="3471" spans="1:16" hidden="1" x14ac:dyDescent="0.25">
      <c r="A3471" s="3" t="s">
        <v>332</v>
      </c>
      <c r="B3471" t="s">
        <v>2002</v>
      </c>
      <c r="C3471" t="s">
        <v>2010</v>
      </c>
      <c r="D3471" t="s">
        <v>26</v>
      </c>
      <c r="E3471" t="s">
        <v>225</v>
      </c>
      <c r="F3471">
        <v>1</v>
      </c>
      <c r="G3471" s="3" t="s">
        <v>32</v>
      </c>
      <c r="H3471" s="46" t="s">
        <v>15</v>
      </c>
      <c r="I3471" s="17">
        <v>400000</v>
      </c>
      <c r="J3471" s="17">
        <f>IF(Gastos[[#This Row],[Divisa]]="$", I3471*1, IF(Gastos[[#This Row],[Divisa]]="U$D", I3471*$N$1, IF(Gastos[[#This Row],[Divisa]]="EUR", I3471*$N$2, 0)))</f>
        <v>400000</v>
      </c>
      <c r="K3471" s="54">
        <f>Gastos[[#This Row],[Importe AR$]]/$N$1</f>
        <v>256.41025641025641</v>
      </c>
      <c r="M3471" s="69">
        <v>46113</v>
      </c>
      <c r="N3471" s="43">
        <f>IF(Gastos[[#This Row],[Fecha_Cheque]]&gt;0,WEEKNUM(Gastos[[#This Row],[Fecha_Cheque]]),MID(Gastos[[#This Row],[Semana]],6,2))</f>
        <v>14</v>
      </c>
      <c r="O3471" t="s">
        <v>2709</v>
      </c>
      <c r="P3471" t="s">
        <v>27</v>
      </c>
    </row>
    <row r="3472" spans="1:16" hidden="1" x14ac:dyDescent="0.25">
      <c r="A3472" s="3" t="s">
        <v>332</v>
      </c>
      <c r="B3472" t="s">
        <v>2002</v>
      </c>
      <c r="C3472" t="s">
        <v>2010</v>
      </c>
      <c r="D3472" t="s">
        <v>26</v>
      </c>
      <c r="E3472" t="s">
        <v>225</v>
      </c>
      <c r="F3472">
        <v>1</v>
      </c>
      <c r="G3472" s="3" t="s">
        <v>32</v>
      </c>
      <c r="H3472" s="46" t="s">
        <v>15</v>
      </c>
      <c r="I3472" s="17">
        <v>649996.89</v>
      </c>
      <c r="J3472" s="17">
        <f>IF(Gastos[[#This Row],[Divisa]]="$", I3472*1, IF(Gastos[[#This Row],[Divisa]]="U$D", I3472*$N$1, IF(Gastos[[#This Row],[Divisa]]="EUR", I3472*$N$2, 0)))</f>
        <v>649996.89</v>
      </c>
      <c r="K3472" s="54">
        <f>Gastos[[#This Row],[Importe AR$]]/$N$1</f>
        <v>416.66467307692307</v>
      </c>
      <c r="M3472" s="69">
        <v>46071</v>
      </c>
      <c r="N3472" s="43">
        <f>IF(Gastos[[#This Row],[Fecha_Cheque]]&gt;0,WEEKNUM(Gastos[[#This Row],[Fecha_Cheque]]),MID(Gastos[[#This Row],[Semana]],6,2))</f>
        <v>8</v>
      </c>
      <c r="O3472" t="s">
        <v>2709</v>
      </c>
      <c r="P3472" t="s">
        <v>27</v>
      </c>
    </row>
    <row r="3473" spans="1:16" hidden="1" x14ac:dyDescent="0.25">
      <c r="A3473" s="3" t="s">
        <v>332</v>
      </c>
      <c r="B3473" t="s">
        <v>2002</v>
      </c>
      <c r="C3473" t="s">
        <v>2010</v>
      </c>
      <c r="D3473" t="s">
        <v>26</v>
      </c>
      <c r="E3473" t="s">
        <v>225</v>
      </c>
      <c r="F3473">
        <v>1</v>
      </c>
      <c r="G3473" s="3" t="s">
        <v>32</v>
      </c>
      <c r="H3473" s="46" t="s">
        <v>15</v>
      </c>
      <c r="I3473" s="17">
        <v>85000</v>
      </c>
      <c r="J3473" s="17">
        <f>IF(Gastos[[#This Row],[Divisa]]="$", I3473*1, IF(Gastos[[#This Row],[Divisa]]="U$D", I3473*$N$1, IF(Gastos[[#This Row],[Divisa]]="EUR", I3473*$N$2, 0)))</f>
        <v>85000</v>
      </c>
      <c r="K3473" s="54">
        <f>Gastos[[#This Row],[Importe AR$]]/$N$1</f>
        <v>54.487179487179489</v>
      </c>
      <c r="M3473" s="69">
        <v>46135</v>
      </c>
      <c r="N3473" s="43">
        <f>IF(Gastos[[#This Row],[Fecha_Cheque]]&gt;0,WEEKNUM(Gastos[[#This Row],[Fecha_Cheque]]),MID(Gastos[[#This Row],[Semana]],6,2))</f>
        <v>17</v>
      </c>
      <c r="O3473" t="s">
        <v>2709</v>
      </c>
      <c r="P3473" t="s">
        <v>27</v>
      </c>
    </row>
    <row r="3474" spans="1:16" hidden="1" x14ac:dyDescent="0.25">
      <c r="A3474" s="3" t="s">
        <v>2731</v>
      </c>
      <c r="B3474" t="s">
        <v>2002</v>
      </c>
      <c r="C3474" t="s">
        <v>2010</v>
      </c>
      <c r="D3474" t="s">
        <v>26</v>
      </c>
      <c r="E3474" t="s">
        <v>225</v>
      </c>
      <c r="F3474">
        <v>1</v>
      </c>
      <c r="G3474" s="3" t="s">
        <v>32</v>
      </c>
      <c r="H3474" s="46" t="s">
        <v>15</v>
      </c>
      <c r="I3474" s="17">
        <v>1320000</v>
      </c>
      <c r="J3474" s="17">
        <f>IF(Gastos[[#This Row],[Divisa]]="$", I3474*1, IF(Gastos[[#This Row],[Divisa]]="U$D", I3474*$N$1, IF(Gastos[[#This Row],[Divisa]]="EUR", I3474*$N$2, 0)))</f>
        <v>1320000</v>
      </c>
      <c r="K3474" s="54">
        <f>Gastos[[#This Row],[Importe AR$]]/$N$1</f>
        <v>846.15384615384619</v>
      </c>
      <c r="M3474" s="69"/>
      <c r="N3474" s="43" t="str">
        <f>IF(Gastos[[#This Row],[Fecha_Cheque]]&gt;0,WEEKNUM(Gastos[[#This Row],[Fecha_Cheque]]),MID(Gastos[[#This Row],[Semana]],6,2))</f>
        <v>17</v>
      </c>
      <c r="O3474" t="s">
        <v>3110</v>
      </c>
      <c r="P3474" t="s">
        <v>27</v>
      </c>
    </row>
    <row r="3475" spans="1:16" hidden="1" x14ac:dyDescent="0.25">
      <c r="A3475" s="3" t="s">
        <v>2792</v>
      </c>
      <c r="B3475" t="s">
        <v>2002</v>
      </c>
      <c r="C3475" t="s">
        <v>224</v>
      </c>
      <c r="D3475" t="s">
        <v>26</v>
      </c>
      <c r="E3475" t="s">
        <v>225</v>
      </c>
      <c r="F3475">
        <v>1</v>
      </c>
      <c r="G3475" s="3" t="s">
        <v>32</v>
      </c>
      <c r="H3475" s="44" t="s">
        <v>15</v>
      </c>
      <c r="I3475" s="17">
        <v>36000</v>
      </c>
      <c r="J3475" s="17">
        <f>IF(Gastos[[#This Row],[Divisa]]="$", I3475*1, IF(Gastos[[#This Row],[Divisa]]="U$D", I3475*$N$1, IF(Gastos[[#This Row],[Divisa]]="EUR", I3475*$N$2, 0)))</f>
        <v>36000</v>
      </c>
      <c r="K3475" s="54">
        <f>Gastos[[#This Row],[Importe AR$]]/$N$1</f>
        <v>23.076923076923077</v>
      </c>
      <c r="M3475" s="69">
        <v>46157</v>
      </c>
      <c r="N3475" s="43">
        <f>IF(Gastos[[#This Row],[Fecha_Cheque]]&gt;0,WEEKNUM(Gastos[[#This Row],[Fecha_Cheque]]),MID(Gastos[[#This Row],[Semana]],6,2))</f>
        <v>20</v>
      </c>
      <c r="O3475" t="s">
        <v>3250</v>
      </c>
      <c r="P3475" t="s">
        <v>27</v>
      </c>
    </row>
    <row r="3476" spans="1:16" hidden="1" x14ac:dyDescent="0.25">
      <c r="A3476" s="3" t="s">
        <v>2792</v>
      </c>
      <c r="B3476" t="s">
        <v>2002</v>
      </c>
      <c r="C3476" t="s">
        <v>224</v>
      </c>
      <c r="D3476" t="s">
        <v>26</v>
      </c>
      <c r="E3476" t="s">
        <v>225</v>
      </c>
      <c r="F3476">
        <v>1</v>
      </c>
      <c r="G3476" s="3" t="s">
        <v>32</v>
      </c>
      <c r="H3476" s="44" t="s">
        <v>15</v>
      </c>
      <c r="I3476" s="17">
        <v>144000</v>
      </c>
      <c r="J3476" s="17">
        <f>IF(Gastos[[#This Row],[Divisa]]="$", I3476*1, IF(Gastos[[#This Row],[Divisa]]="U$D", I3476*$N$1, IF(Gastos[[#This Row],[Divisa]]="EUR", I3476*$N$2, 0)))</f>
        <v>144000</v>
      </c>
      <c r="K3476" s="54">
        <f>Gastos[[#This Row],[Importe AR$]]/$N$1</f>
        <v>92.307692307692307</v>
      </c>
      <c r="M3476" s="69">
        <v>46185</v>
      </c>
      <c r="N3476" s="43">
        <f>IF(Gastos[[#This Row],[Fecha_Cheque]]&gt;0,WEEKNUM(Gastos[[#This Row],[Fecha_Cheque]]),MID(Gastos[[#This Row],[Semana]],6,2))</f>
        <v>24</v>
      </c>
      <c r="O3476" t="s">
        <v>3250</v>
      </c>
      <c r="P3476" t="s">
        <v>27</v>
      </c>
    </row>
    <row r="3477" spans="1:16" hidden="1" x14ac:dyDescent="0.25">
      <c r="A3477" s="3" t="s">
        <v>2792</v>
      </c>
      <c r="B3477" t="s">
        <v>2002</v>
      </c>
      <c r="C3477" t="s">
        <v>224</v>
      </c>
      <c r="D3477" t="s">
        <v>26</v>
      </c>
      <c r="E3477" t="s">
        <v>225</v>
      </c>
      <c r="F3477">
        <v>1</v>
      </c>
      <c r="G3477" s="3" t="s">
        <v>32</v>
      </c>
      <c r="H3477" s="44" t="s">
        <v>15</v>
      </c>
      <c r="I3477" s="17">
        <v>272638.01</v>
      </c>
      <c r="J3477" s="17">
        <f>IF(Gastos[[#This Row],[Divisa]]="$", I3477*1, IF(Gastos[[#This Row],[Divisa]]="U$D", I3477*$N$1, IF(Gastos[[#This Row],[Divisa]]="EUR", I3477*$N$2, 0)))</f>
        <v>272638.01</v>
      </c>
      <c r="K3477" s="54">
        <f>Gastos[[#This Row],[Importe AR$]]/$N$1</f>
        <v>174.76795512820513</v>
      </c>
      <c r="M3477" s="69">
        <v>46157</v>
      </c>
      <c r="N3477" s="43">
        <f>IF(Gastos[[#This Row],[Fecha_Cheque]]&gt;0,WEEKNUM(Gastos[[#This Row],[Fecha_Cheque]]),MID(Gastos[[#This Row],[Semana]],6,2))</f>
        <v>20</v>
      </c>
      <c r="O3477" t="s">
        <v>3250</v>
      </c>
      <c r="P3477" t="s">
        <v>27</v>
      </c>
    </row>
    <row r="3478" spans="1:16" hidden="1" x14ac:dyDescent="0.25">
      <c r="A3478" s="3" t="s">
        <v>3817</v>
      </c>
      <c r="B3478" t="s">
        <v>2002</v>
      </c>
      <c r="C3478" t="s">
        <v>3841</v>
      </c>
      <c r="D3478" t="s">
        <v>26</v>
      </c>
      <c r="E3478" t="s">
        <v>62</v>
      </c>
      <c r="F3478">
        <v>1</v>
      </c>
      <c r="G3478" s="3" t="s">
        <v>32</v>
      </c>
      <c r="H3478" s="44" t="s">
        <v>15</v>
      </c>
      <c r="I3478" s="17">
        <v>987419.2</v>
      </c>
      <c r="J3478" s="17">
        <f>IF(Gastos[[#This Row],[Divisa]]="$", I3478*1, IF(Gastos[[#This Row],[Divisa]]="U$D", I3478*$N$1, IF(Gastos[[#This Row],[Divisa]]="EUR", I3478*$N$2, 0)))</f>
        <v>987419.2</v>
      </c>
      <c r="K3478" s="54">
        <f>Gastos[[#This Row],[Importe AR$]]/$N$1</f>
        <v>632.96102564102557</v>
      </c>
      <c r="M3478" s="69"/>
      <c r="N3478" s="43" t="str">
        <f>IF(Gastos[[#This Row],[Fecha_Cheque]]&gt;0,WEEKNUM(Gastos[[#This Row],[Fecha_Cheque]]),MID(Gastos[[#This Row],[Semana]],6,2))</f>
        <v>30</v>
      </c>
      <c r="O3478" t="s">
        <v>3842</v>
      </c>
      <c r="P3478" t="s">
        <v>27</v>
      </c>
    </row>
    <row r="3479" spans="1:16" hidden="1" x14ac:dyDescent="0.25">
      <c r="A3479" s="3" t="s">
        <v>4005</v>
      </c>
      <c r="B3479" t="s">
        <v>2002</v>
      </c>
      <c r="C3479" t="s">
        <v>4028</v>
      </c>
      <c r="D3479" t="s">
        <v>26</v>
      </c>
      <c r="E3479" t="s">
        <v>31</v>
      </c>
      <c r="F3479">
        <v>1</v>
      </c>
      <c r="G3479" s="3" t="s">
        <v>32</v>
      </c>
      <c r="H3479" s="44" t="s">
        <v>15</v>
      </c>
      <c r="I3479" s="17">
        <v>120000</v>
      </c>
      <c r="J3479" s="17">
        <f>IF(Gastos[[#This Row],[Divisa]]="$", I3479*1, IF(Gastos[[#This Row],[Divisa]]="U$D", I3479*$N$1, IF(Gastos[[#This Row],[Divisa]]="EUR", I3479*$N$2, 0)))</f>
        <v>120000</v>
      </c>
      <c r="K3479" s="54">
        <f>Gastos[[#This Row],[Importe AR$]]/$N$1</f>
        <v>76.92307692307692</v>
      </c>
      <c r="M3479" s="69">
        <v>46277</v>
      </c>
      <c r="N3479" s="43">
        <f>IF(Gastos[[#This Row],[Fecha_Cheque]]&gt;0,WEEKNUM(Gastos[[#This Row],[Fecha_Cheque]]),MID(Gastos[[#This Row],[Semana]],6,2))</f>
        <v>37</v>
      </c>
      <c r="O3479" t="s">
        <v>4029</v>
      </c>
      <c r="P3479" t="s">
        <v>27</v>
      </c>
    </row>
    <row r="3480" spans="1:16" hidden="1" x14ac:dyDescent="0.25">
      <c r="A3480" s="3" t="s">
        <v>4005</v>
      </c>
      <c r="B3480" t="s">
        <v>2002</v>
      </c>
      <c r="C3480" t="s">
        <v>4028</v>
      </c>
      <c r="D3480" t="s">
        <v>26</v>
      </c>
      <c r="E3480" t="s">
        <v>31</v>
      </c>
      <c r="F3480">
        <v>1</v>
      </c>
      <c r="G3480" s="3" t="s">
        <v>32</v>
      </c>
      <c r="H3480" s="44" t="s">
        <v>15</v>
      </c>
      <c r="I3480" s="17">
        <v>120000</v>
      </c>
      <c r="J3480" s="17">
        <f>IF(Gastos[[#This Row],[Divisa]]="$", I3480*1, IF(Gastos[[#This Row],[Divisa]]="U$D", I3480*$N$1, IF(Gastos[[#This Row],[Divisa]]="EUR", I3480*$N$2, 0)))</f>
        <v>120000</v>
      </c>
      <c r="K3480" s="54">
        <f>Gastos[[#This Row],[Importe AR$]]/$N$1</f>
        <v>76.92307692307692</v>
      </c>
      <c r="M3480" s="69">
        <v>46281</v>
      </c>
      <c r="N3480" s="43">
        <f>IF(Gastos[[#This Row],[Fecha_Cheque]]&gt;0,WEEKNUM(Gastos[[#This Row],[Fecha_Cheque]]),MID(Gastos[[#This Row],[Semana]],6,2))</f>
        <v>38</v>
      </c>
      <c r="O3480" t="s">
        <v>4029</v>
      </c>
      <c r="P3480" t="s">
        <v>27</v>
      </c>
    </row>
    <row r="3481" spans="1:16" hidden="1" x14ac:dyDescent="0.25">
      <c r="A3481" s="3" t="s">
        <v>4005</v>
      </c>
      <c r="B3481" t="s">
        <v>2002</v>
      </c>
      <c r="C3481" t="s">
        <v>4028</v>
      </c>
      <c r="D3481" t="s">
        <v>26</v>
      </c>
      <c r="E3481" t="s">
        <v>31</v>
      </c>
      <c r="F3481">
        <v>1</v>
      </c>
      <c r="G3481" s="3" t="s">
        <v>32</v>
      </c>
      <c r="H3481" s="44" t="s">
        <v>15</v>
      </c>
      <c r="I3481" s="17">
        <v>120000</v>
      </c>
      <c r="J3481" s="17">
        <f>IF(Gastos[[#This Row],[Divisa]]="$", I3481*1, IF(Gastos[[#This Row],[Divisa]]="U$D", I3481*$N$1, IF(Gastos[[#This Row],[Divisa]]="EUR", I3481*$N$2, 0)))</f>
        <v>120000</v>
      </c>
      <c r="K3481" s="54">
        <f>Gastos[[#This Row],[Importe AR$]]/$N$1</f>
        <v>76.92307692307692</v>
      </c>
      <c r="M3481" s="69">
        <v>46284</v>
      </c>
      <c r="N3481" s="43">
        <f>IF(Gastos[[#This Row],[Fecha_Cheque]]&gt;0,WEEKNUM(Gastos[[#This Row],[Fecha_Cheque]]),MID(Gastos[[#This Row],[Semana]],6,2))</f>
        <v>38</v>
      </c>
      <c r="O3481" t="s">
        <v>4029</v>
      </c>
      <c r="P3481" t="s">
        <v>27</v>
      </c>
    </row>
    <row r="3482" spans="1:16" hidden="1" x14ac:dyDescent="0.25">
      <c r="A3482" s="3" t="s">
        <v>4005</v>
      </c>
      <c r="B3482" t="s">
        <v>2002</v>
      </c>
      <c r="C3482" t="s">
        <v>4028</v>
      </c>
      <c r="D3482" t="s">
        <v>26</v>
      </c>
      <c r="E3482" t="s">
        <v>31</v>
      </c>
      <c r="F3482">
        <v>1</v>
      </c>
      <c r="G3482" s="3" t="s">
        <v>32</v>
      </c>
      <c r="H3482" s="44" t="s">
        <v>15</v>
      </c>
      <c r="I3482" s="17">
        <v>385700</v>
      </c>
      <c r="J3482" s="17">
        <f>IF(Gastos[[#This Row],[Divisa]]="$", I3482*1, IF(Gastos[[#This Row],[Divisa]]="U$D", I3482*$N$1, IF(Gastos[[#This Row],[Divisa]]="EUR", I3482*$N$2, 0)))</f>
        <v>385700</v>
      </c>
      <c r="K3482" s="54">
        <f>Gastos[[#This Row],[Importe AR$]]/$N$1</f>
        <v>247.24358974358975</v>
      </c>
      <c r="M3482" s="69">
        <v>46283</v>
      </c>
      <c r="N3482" s="43">
        <f>IF(Gastos[[#This Row],[Fecha_Cheque]]&gt;0,WEEKNUM(Gastos[[#This Row],[Fecha_Cheque]]),MID(Gastos[[#This Row],[Semana]],6,2))</f>
        <v>38</v>
      </c>
      <c r="O3482" t="s">
        <v>4029</v>
      </c>
      <c r="P3482" t="s">
        <v>27</v>
      </c>
    </row>
    <row r="3483" spans="1:16" hidden="1" x14ac:dyDescent="0.25">
      <c r="A3483" s="3" t="s">
        <v>4322</v>
      </c>
      <c r="B3483" t="s">
        <v>2002</v>
      </c>
      <c r="C3483" t="s">
        <v>4341</v>
      </c>
      <c r="D3483" t="s">
        <v>26</v>
      </c>
      <c r="E3483" t="s">
        <v>62</v>
      </c>
      <c r="F3483">
        <v>1</v>
      </c>
      <c r="G3483" s="3" t="s">
        <v>32</v>
      </c>
      <c r="H3483" s="44" t="s">
        <v>15</v>
      </c>
      <c r="I3483" s="17">
        <v>243295.46</v>
      </c>
      <c r="J3483" s="17">
        <f>IF(Gastos[[#This Row],[Divisa]]="$", I3483*1, IF(Gastos[[#This Row],[Divisa]]="U$D", I3483*$N$1, IF(Gastos[[#This Row],[Divisa]]="EUR", I3483*$N$2, 0)))</f>
        <v>243295.46</v>
      </c>
      <c r="K3483" s="54">
        <f>Gastos[[#This Row],[Importe AR$]]/$N$1</f>
        <v>155.95862820512821</v>
      </c>
      <c r="M3483" s="69">
        <v>46316</v>
      </c>
      <c r="N3483" s="43">
        <f>IF(Gastos[[#This Row],[Fecha_Cheque]]&gt;0,WEEKNUM(Gastos[[#This Row],[Fecha_Cheque]]),MID(Gastos[[#This Row],[Semana]],6,2))</f>
        <v>43</v>
      </c>
      <c r="O3483" t="s">
        <v>4342</v>
      </c>
      <c r="P3483" t="s">
        <v>27</v>
      </c>
    </row>
    <row r="3484" spans="1:16" hidden="1" x14ac:dyDescent="0.25">
      <c r="A3484" s="3" t="s">
        <v>4322</v>
      </c>
      <c r="B3484" t="s">
        <v>2002</v>
      </c>
      <c r="C3484" t="s">
        <v>4341</v>
      </c>
      <c r="D3484" t="s">
        <v>26</v>
      </c>
      <c r="E3484" t="s">
        <v>62</v>
      </c>
      <c r="F3484">
        <v>1</v>
      </c>
      <c r="G3484" s="3" t="s">
        <v>32</v>
      </c>
      <c r="H3484" s="44" t="s">
        <v>15</v>
      </c>
      <c r="I3484" s="17">
        <v>273096.65000000002</v>
      </c>
      <c r="J3484" s="17">
        <f>IF(Gastos[[#This Row],[Divisa]]="$", I3484*1, IF(Gastos[[#This Row],[Divisa]]="U$D", I3484*$N$1, IF(Gastos[[#This Row],[Divisa]]="EUR", I3484*$N$2, 0)))</f>
        <v>273096.65000000002</v>
      </c>
      <c r="K3484" s="54">
        <f>Gastos[[#This Row],[Importe AR$]]/$N$1</f>
        <v>175.06195512820514</v>
      </c>
      <c r="M3484" s="69">
        <v>46316</v>
      </c>
      <c r="N3484" s="43">
        <f>IF(Gastos[[#This Row],[Fecha_Cheque]]&gt;0,WEEKNUM(Gastos[[#This Row],[Fecha_Cheque]]),MID(Gastos[[#This Row],[Semana]],6,2))</f>
        <v>43</v>
      </c>
      <c r="O3484" t="s">
        <v>4342</v>
      </c>
      <c r="P3484" t="s">
        <v>27</v>
      </c>
    </row>
    <row r="3485" spans="1:16" hidden="1" x14ac:dyDescent="0.25">
      <c r="A3485" s="3" t="s">
        <v>4322</v>
      </c>
      <c r="B3485" t="s">
        <v>2002</v>
      </c>
      <c r="C3485" t="s">
        <v>4341</v>
      </c>
      <c r="D3485" t="s">
        <v>26</v>
      </c>
      <c r="E3485" t="s">
        <v>62</v>
      </c>
      <c r="F3485">
        <v>1</v>
      </c>
      <c r="G3485" s="3" t="s">
        <v>32</v>
      </c>
      <c r="H3485" s="44" t="s">
        <v>15</v>
      </c>
      <c r="I3485" s="17">
        <v>29051.61</v>
      </c>
      <c r="J3485" s="17">
        <f>IF(Gastos[[#This Row],[Divisa]]="$", I3485*1, IF(Gastos[[#This Row],[Divisa]]="U$D", I3485*$N$1, IF(Gastos[[#This Row],[Divisa]]="EUR", I3485*$N$2, 0)))</f>
        <v>29051.61</v>
      </c>
      <c r="K3485" s="54">
        <f>Gastos[[#This Row],[Importe AR$]]/$N$1</f>
        <v>18.622826923076925</v>
      </c>
      <c r="M3485" s="69"/>
      <c r="N3485" s="43" t="str">
        <f>IF(Gastos[[#This Row],[Fecha_Cheque]]&gt;0,WEEKNUM(Gastos[[#This Row],[Fecha_Cheque]]),MID(Gastos[[#This Row],[Semana]],6,2))</f>
        <v>38</v>
      </c>
      <c r="O3485" t="s">
        <v>4342</v>
      </c>
      <c r="P3485" t="s">
        <v>27</v>
      </c>
    </row>
    <row r="3486" spans="1:16" x14ac:dyDescent="0.25">
      <c r="A3486" s="3" t="s">
        <v>4655</v>
      </c>
      <c r="B3486" t="s">
        <v>1854</v>
      </c>
      <c r="C3486" t="s">
        <v>2667</v>
      </c>
      <c r="D3486" t="s">
        <v>26</v>
      </c>
      <c r="E3486" t="s">
        <v>3928</v>
      </c>
      <c r="F3486">
        <v>2</v>
      </c>
      <c r="G3486" s="3" t="s">
        <v>32</v>
      </c>
      <c r="H3486" s="44" t="s">
        <v>2</v>
      </c>
      <c r="I3486" s="17">
        <f>234510.779473684-2294.46</f>
        <v>232216.31947368401</v>
      </c>
      <c r="J3486" s="17">
        <f>IF(Gastos[[#This Row],[Divisa]]="$", I3486*1, IF(Gastos[[#This Row],[Divisa]]="U$D", I3486*$N$1, IF(Gastos[[#This Row],[Divisa]]="EUR", I3486*$N$2, 0)))</f>
        <v>362257458.37894708</v>
      </c>
      <c r="K3486" s="54">
        <f>Gastos[[#This Row],[Importe AR$]]/$N$1</f>
        <v>232216.31947368404</v>
      </c>
      <c r="M3486" s="69"/>
      <c r="N3486" s="43" t="str">
        <f>IF(Gastos[[#This Row],[Fecha_Cheque]]&gt;0,WEEKNUM(Gastos[[#This Row],[Fecha_Cheque]]),MID(Gastos[[#This Row],[Semana]],6,2))</f>
        <v>44</v>
      </c>
    </row>
    <row r="3487" spans="1:16" x14ac:dyDescent="0.25">
      <c r="A3487" s="3" t="s">
        <v>4655</v>
      </c>
      <c r="B3487" t="s">
        <v>1854</v>
      </c>
      <c r="C3487" t="s">
        <v>2667</v>
      </c>
      <c r="D3487" t="s">
        <v>26</v>
      </c>
      <c r="E3487" t="s">
        <v>3928</v>
      </c>
      <c r="F3487">
        <v>2</v>
      </c>
      <c r="G3487" s="3" t="s">
        <v>32</v>
      </c>
      <c r="H3487" s="44" t="s">
        <v>15</v>
      </c>
      <c r="I3487" s="49">
        <v>120000</v>
      </c>
      <c r="J3487" s="17">
        <f>IF(Gastos[[#This Row],[Divisa]]="$", I3487*1, IF(Gastos[[#This Row],[Divisa]]="U$D", I3487*$N$1, IF(Gastos[[#This Row],[Divisa]]="EUR", I3487*$N$2, 0)))</f>
        <v>120000</v>
      </c>
      <c r="K3487" s="54">
        <f>Gastos[[#This Row],[Importe AR$]]/$N$1</f>
        <v>76.92307692307692</v>
      </c>
      <c r="M3487" s="69">
        <v>46336</v>
      </c>
      <c r="N3487" s="43">
        <f>IF(Gastos[[#This Row],[Fecha_Cheque]]&gt;0,WEEKNUM(Gastos[[#This Row],[Fecha_Cheque]]),MID(Gastos[[#This Row],[Semana]],6,2))</f>
        <v>46</v>
      </c>
      <c r="O3487" t="s">
        <v>4672</v>
      </c>
      <c r="P3487" t="s">
        <v>27</v>
      </c>
    </row>
    <row r="3488" spans="1:16" hidden="1" x14ac:dyDescent="0.25">
      <c r="A3488" s="3" t="s">
        <v>253</v>
      </c>
      <c r="B3488" t="s">
        <v>2012</v>
      </c>
      <c r="C3488" t="s">
        <v>2013</v>
      </c>
      <c r="D3488" t="s">
        <v>26</v>
      </c>
      <c r="E3488" t="s">
        <v>31</v>
      </c>
      <c r="F3488">
        <v>1</v>
      </c>
      <c r="G3488" s="3" t="s">
        <v>5</v>
      </c>
      <c r="H3488" s="46" t="s">
        <v>15</v>
      </c>
      <c r="I3488" s="17">
        <v>57160.3</v>
      </c>
      <c r="J3488" s="17">
        <f>IF(Gastos[[#This Row],[Divisa]]="$", I3488*1, IF(Gastos[[#This Row],[Divisa]]="U$D", I3488*$N$1, IF(Gastos[[#This Row],[Divisa]]="EUR", I3488*$N$2, 0)))</f>
        <v>57160.3</v>
      </c>
      <c r="K3488" s="54">
        <f>Gastos[[#This Row],[Importe AR$]]/$N$1</f>
        <v>36.641217948717951</v>
      </c>
      <c r="M3488" s="69"/>
      <c r="N3488" s="43" t="str">
        <f>IF(Gastos[[#This Row],[Fecha_Cheque]]&gt;0,WEEKNUM(Gastos[[#This Row],[Fecha_Cheque]]),MID(Gastos[[#This Row],[Semana]],6,2))</f>
        <v>24</v>
      </c>
      <c r="P3488" t="s">
        <v>27</v>
      </c>
    </row>
    <row r="3489" spans="1:16" hidden="1" x14ac:dyDescent="0.25">
      <c r="A3489" s="3" t="s">
        <v>72</v>
      </c>
      <c r="B3489" t="s">
        <v>2014</v>
      </c>
      <c r="C3489" t="s">
        <v>2015</v>
      </c>
      <c r="D3489" t="s">
        <v>26</v>
      </c>
      <c r="E3489" t="s">
        <v>31</v>
      </c>
      <c r="F3489">
        <v>1</v>
      </c>
      <c r="G3489" s="3" t="s">
        <v>5</v>
      </c>
      <c r="H3489" s="46" t="s">
        <v>15</v>
      </c>
      <c r="I3489" s="17">
        <v>32262.11</v>
      </c>
      <c r="J3489" s="17">
        <f>IF(Gastos[[#This Row],[Divisa]]="$", I3489*1, IF(Gastos[[#This Row],[Divisa]]="U$D", I3489*$N$1, IF(Gastos[[#This Row],[Divisa]]="EUR", I3489*$N$2, 0)))</f>
        <v>32262.11</v>
      </c>
      <c r="K3489" s="54">
        <f>Gastos[[#This Row],[Importe AR$]]/$N$1</f>
        <v>20.680839743589743</v>
      </c>
      <c r="M3489" s="69"/>
      <c r="N3489" s="43" t="str">
        <f>IF(Gastos[[#This Row],[Fecha_Cheque]]&gt;0,WEEKNUM(Gastos[[#This Row],[Fecha_Cheque]]),MID(Gastos[[#This Row],[Semana]],6,2))</f>
        <v>48</v>
      </c>
      <c r="O3489" t="s">
        <v>2016</v>
      </c>
      <c r="P3489" t="s">
        <v>27</v>
      </c>
    </row>
    <row r="3490" spans="1:16" hidden="1" x14ac:dyDescent="0.25">
      <c r="A3490" s="3" t="s">
        <v>81</v>
      </c>
      <c r="B3490" t="s">
        <v>2014</v>
      </c>
      <c r="C3490" t="s">
        <v>2017</v>
      </c>
      <c r="D3490" t="s">
        <v>26</v>
      </c>
      <c r="E3490" t="s">
        <v>31</v>
      </c>
      <c r="F3490">
        <v>1</v>
      </c>
      <c r="G3490" s="3" t="s">
        <v>32</v>
      </c>
      <c r="H3490" s="46" t="s">
        <v>15</v>
      </c>
      <c r="I3490" s="17">
        <v>128610</v>
      </c>
      <c r="J3490" s="17">
        <f>IF(Gastos[[#This Row],[Divisa]]="$", I3490*1, IF(Gastos[[#This Row],[Divisa]]="U$D", I3490*$N$1, IF(Gastos[[#This Row],[Divisa]]="EUR", I3490*$N$2, 0)))</f>
        <v>128610</v>
      </c>
      <c r="K3490" s="54">
        <f>Gastos[[#This Row],[Importe AR$]]/$N$1</f>
        <v>82.442307692307693</v>
      </c>
      <c r="M3490" s="69"/>
      <c r="N3490" s="43" t="str">
        <f>IF(Gastos[[#This Row],[Fecha_Cheque]]&gt;0,WEEKNUM(Gastos[[#This Row],[Fecha_Cheque]]),MID(Gastos[[#This Row],[Semana]],6,2))</f>
        <v>49</v>
      </c>
      <c r="O3490" t="s">
        <v>2018</v>
      </c>
      <c r="P3490" t="s">
        <v>27</v>
      </c>
    </row>
    <row r="3491" spans="1:16" hidden="1" x14ac:dyDescent="0.25">
      <c r="A3491" s="3" t="s">
        <v>397</v>
      </c>
      <c r="B3491" t="s">
        <v>2014</v>
      </c>
      <c r="C3491" t="s">
        <v>2682</v>
      </c>
      <c r="D3491" t="s">
        <v>26</v>
      </c>
      <c r="E3491" t="s">
        <v>31</v>
      </c>
      <c r="F3491">
        <v>1</v>
      </c>
      <c r="G3491" s="3" t="s">
        <v>5</v>
      </c>
      <c r="H3491" s="46" t="s">
        <v>15</v>
      </c>
      <c r="I3491" s="17">
        <v>31996.639999999999</v>
      </c>
      <c r="J3491" s="17">
        <f>IF(Gastos[[#This Row],[Divisa]]="$", I3491*1, IF(Gastos[[#This Row],[Divisa]]="U$D", I3491*$N$1, IF(Gastos[[#This Row],[Divisa]]="EUR", I3491*$N$2, 0)))</f>
        <v>31996.639999999999</v>
      </c>
      <c r="K3491" s="54">
        <f>Gastos[[#This Row],[Importe AR$]]/$N$1</f>
        <v>20.510666666666665</v>
      </c>
      <c r="M3491" s="69"/>
      <c r="N3491" s="43" t="str">
        <f>IF(Gastos[[#This Row],[Fecha_Cheque]]&gt;0,WEEKNUM(Gastos[[#This Row],[Fecha_Cheque]]),MID(Gastos[[#This Row],[Semana]],6,2))</f>
        <v>11</v>
      </c>
      <c r="O3491" t="s">
        <v>2683</v>
      </c>
      <c r="P3491" t="s">
        <v>733</v>
      </c>
    </row>
    <row r="3492" spans="1:16" hidden="1" x14ac:dyDescent="0.25">
      <c r="A3492" s="3" t="s">
        <v>2751</v>
      </c>
      <c r="B3492" t="s">
        <v>2014</v>
      </c>
      <c r="C3492" t="s">
        <v>2015</v>
      </c>
      <c r="D3492" t="s">
        <v>26</v>
      </c>
      <c r="E3492" t="s">
        <v>31</v>
      </c>
      <c r="F3492">
        <v>1</v>
      </c>
      <c r="G3492" s="3" t="s">
        <v>32</v>
      </c>
      <c r="H3492" s="44" t="s">
        <v>15</v>
      </c>
      <c r="I3492" s="17">
        <v>132679.4</v>
      </c>
      <c r="J3492" s="17">
        <f>IF(Gastos[[#This Row],[Divisa]]="$", I3492*1, IF(Gastos[[#This Row],[Divisa]]="U$D", I3492*$N$1, IF(Gastos[[#This Row],[Divisa]]="EUR", I3492*$N$2, 0)))</f>
        <v>132679.4</v>
      </c>
      <c r="K3492" s="54">
        <f>Gastos[[#This Row],[Importe AR$]]/$N$1</f>
        <v>85.050897435897426</v>
      </c>
      <c r="M3492" s="69"/>
      <c r="N3492" s="43" t="str">
        <f>IF(Gastos[[#This Row],[Fecha_Cheque]]&gt;0,WEEKNUM(Gastos[[#This Row],[Fecha_Cheque]]),MID(Gastos[[#This Row],[Semana]],6,2))</f>
        <v>18</v>
      </c>
      <c r="O3492" t="s">
        <v>3141</v>
      </c>
      <c r="P3492" t="s">
        <v>27</v>
      </c>
    </row>
    <row r="3493" spans="1:16" hidden="1" x14ac:dyDescent="0.25">
      <c r="A3493" s="3" t="s">
        <v>3567</v>
      </c>
      <c r="B3493" t="s">
        <v>2014</v>
      </c>
      <c r="C3493" t="s">
        <v>3581</v>
      </c>
      <c r="D3493" t="s">
        <v>26</v>
      </c>
      <c r="E3493" t="s">
        <v>31</v>
      </c>
      <c r="F3493">
        <v>1</v>
      </c>
      <c r="G3493" s="3" t="s">
        <v>32</v>
      </c>
      <c r="H3493" s="44" t="s">
        <v>15</v>
      </c>
      <c r="I3493" s="17">
        <v>72141.17</v>
      </c>
      <c r="J3493" s="17">
        <f>IF(Gastos[[#This Row],[Divisa]]="$", I3493*1, IF(Gastos[[#This Row],[Divisa]]="U$D", I3493*$N$1, IF(Gastos[[#This Row],[Divisa]]="EUR", I3493*$N$2, 0)))</f>
        <v>72141.17</v>
      </c>
      <c r="K3493" s="54">
        <f>Gastos[[#This Row],[Importe AR$]]/$N$1</f>
        <v>46.244339743589741</v>
      </c>
      <c r="M3493" s="69">
        <v>46213</v>
      </c>
      <c r="N3493" s="43">
        <f>IF(Gastos[[#This Row],[Fecha_Cheque]]&gt;0,WEEKNUM(Gastos[[#This Row],[Fecha_Cheque]]),MID(Gastos[[#This Row],[Semana]],6,2))</f>
        <v>28</v>
      </c>
      <c r="O3493" t="s">
        <v>3587</v>
      </c>
      <c r="P3493" t="s">
        <v>27</v>
      </c>
    </row>
    <row r="3494" spans="1:16" hidden="1" x14ac:dyDescent="0.25">
      <c r="A3494" s="3" t="s">
        <v>68</v>
      </c>
      <c r="B3494" t="s">
        <v>2019</v>
      </c>
      <c r="C3494" t="s">
        <v>2020</v>
      </c>
      <c r="D3494" t="s">
        <v>26</v>
      </c>
      <c r="E3494" t="s">
        <v>31</v>
      </c>
      <c r="F3494">
        <v>1</v>
      </c>
      <c r="G3494" s="3" t="s">
        <v>32</v>
      </c>
      <c r="H3494" s="46" t="s">
        <v>15</v>
      </c>
      <c r="I3494" s="17">
        <v>667238.6</v>
      </c>
      <c r="J3494" s="17">
        <f>IF(Gastos[[#This Row],[Divisa]]="$", I3494*1, IF(Gastos[[#This Row],[Divisa]]="U$D", I3494*$N$1, IF(Gastos[[#This Row],[Divisa]]="EUR", I3494*$N$2, 0)))</f>
        <v>667238.6</v>
      </c>
      <c r="K3494" s="54">
        <f>Gastos[[#This Row],[Importe AR$]]/$N$1</f>
        <v>427.71705128205127</v>
      </c>
      <c r="M3494" s="69">
        <v>46072</v>
      </c>
      <c r="N3494" s="43">
        <f>IF(Gastos[[#This Row],[Fecha_Cheque]]&gt;0,WEEKNUM(Gastos[[#This Row],[Fecha_Cheque]]),MID(Gastos[[#This Row],[Semana]],6,2))</f>
        <v>8</v>
      </c>
      <c r="O3494" t="s">
        <v>2021</v>
      </c>
      <c r="P3494" t="s">
        <v>27</v>
      </c>
    </row>
    <row r="3495" spans="1:16" hidden="1" x14ac:dyDescent="0.25">
      <c r="A3495" s="3" t="s">
        <v>4374</v>
      </c>
      <c r="B3495" t="s">
        <v>2019</v>
      </c>
      <c r="C3495" t="s">
        <v>4390</v>
      </c>
      <c r="D3495" t="s">
        <v>26</v>
      </c>
      <c r="E3495" t="s">
        <v>31</v>
      </c>
      <c r="F3495">
        <v>1</v>
      </c>
      <c r="G3495" s="3" t="s">
        <v>32</v>
      </c>
      <c r="H3495" s="44" t="s">
        <v>15</v>
      </c>
      <c r="I3495" s="17">
        <v>2546442.81</v>
      </c>
      <c r="J3495" s="17">
        <f>IF(Gastos[[#This Row],[Divisa]]="$", I3495*1, IF(Gastos[[#This Row],[Divisa]]="U$D", I3495*$N$1, IF(Gastos[[#This Row],[Divisa]]="EUR", I3495*$N$2, 0)))</f>
        <v>2546442.81</v>
      </c>
      <c r="K3495" s="54">
        <f>Gastos[[#This Row],[Importe AR$]]/$N$1</f>
        <v>1632.3351346153847</v>
      </c>
      <c r="M3495" s="69">
        <v>46319</v>
      </c>
      <c r="N3495" s="43">
        <f>IF(Gastos[[#This Row],[Fecha_Cheque]]&gt;0,WEEKNUM(Gastos[[#This Row],[Fecha_Cheque]]),MID(Gastos[[#This Row],[Semana]],6,2))</f>
        <v>43</v>
      </c>
      <c r="O3495" t="s">
        <v>4391</v>
      </c>
      <c r="P3495" t="s">
        <v>27</v>
      </c>
    </row>
    <row r="3496" spans="1:16" hidden="1" x14ac:dyDescent="0.25">
      <c r="A3496" s="3" t="s">
        <v>4374</v>
      </c>
      <c r="B3496" t="s">
        <v>2019</v>
      </c>
      <c r="C3496" t="s">
        <v>4390</v>
      </c>
      <c r="D3496" t="s">
        <v>26</v>
      </c>
      <c r="E3496" t="s">
        <v>31</v>
      </c>
      <c r="F3496">
        <v>1</v>
      </c>
      <c r="G3496" s="3" t="s">
        <v>32</v>
      </c>
      <c r="H3496" s="44" t="s">
        <v>15</v>
      </c>
      <c r="I3496" s="17">
        <v>38242.06</v>
      </c>
      <c r="J3496" s="17">
        <f>IF(Gastos[[#This Row],[Divisa]]="$", I3496*1, IF(Gastos[[#This Row],[Divisa]]="U$D", I3496*$N$1, IF(Gastos[[#This Row],[Divisa]]="EUR", I3496*$N$2, 0)))</f>
        <v>38242.06</v>
      </c>
      <c r="K3496" s="54">
        <f>Gastos[[#This Row],[Importe AR$]]/$N$1</f>
        <v>24.514141025641024</v>
      </c>
      <c r="M3496" s="69"/>
      <c r="N3496" s="43" t="str">
        <f>IF(Gastos[[#This Row],[Fecha_Cheque]]&gt;0,WEEKNUM(Gastos[[#This Row],[Fecha_Cheque]]),MID(Gastos[[#This Row],[Semana]],6,2))</f>
        <v>39</v>
      </c>
      <c r="O3496" t="s">
        <v>4391</v>
      </c>
      <c r="P3496" t="s">
        <v>27</v>
      </c>
    </row>
    <row r="3497" spans="1:16" x14ac:dyDescent="0.25">
      <c r="A3497" s="3" t="s">
        <v>4655</v>
      </c>
      <c r="B3497" t="s">
        <v>1854</v>
      </c>
      <c r="C3497" t="s">
        <v>2667</v>
      </c>
      <c r="D3497" t="s">
        <v>26</v>
      </c>
      <c r="E3497" t="s">
        <v>3928</v>
      </c>
      <c r="F3497">
        <v>2</v>
      </c>
      <c r="G3497" s="3" t="s">
        <v>4</v>
      </c>
      <c r="H3497" s="44" t="s">
        <v>15</v>
      </c>
      <c r="I3497" s="17">
        <v>880000</v>
      </c>
      <c r="J3497" s="17">
        <f>IF(Gastos[[#This Row],[Divisa]]="$", I3497*1, IF(Gastos[[#This Row],[Divisa]]="U$D", I3497*$N$1, IF(Gastos[[#This Row],[Divisa]]="EUR", I3497*$N$2, 0)))</f>
        <v>880000</v>
      </c>
      <c r="K3497" s="54">
        <f>Gastos[[#This Row],[Importe AR$]]/$N$1</f>
        <v>564.10256410256409</v>
      </c>
      <c r="M3497" s="69"/>
      <c r="N3497" s="43" t="str">
        <f>IF(Gastos[[#This Row],[Fecha_Cheque]]&gt;0,WEEKNUM(Gastos[[#This Row],[Fecha_Cheque]]),MID(Gastos[[#This Row],[Semana]],6,2))</f>
        <v>44</v>
      </c>
      <c r="O3497" t="s">
        <v>4672</v>
      </c>
      <c r="P3497" t="s">
        <v>27</v>
      </c>
    </row>
    <row r="3498" spans="1:16" hidden="1" x14ac:dyDescent="0.25">
      <c r="A3498" s="3" t="s">
        <v>4211</v>
      </c>
      <c r="B3498" t="s">
        <v>4283</v>
      </c>
      <c r="C3498" t="s">
        <v>4284</v>
      </c>
      <c r="D3498" t="s">
        <v>26</v>
      </c>
      <c r="E3498" t="s">
        <v>62</v>
      </c>
      <c r="F3498">
        <v>1</v>
      </c>
      <c r="G3498" s="3" t="s">
        <v>5</v>
      </c>
      <c r="H3498" s="44" t="s">
        <v>15</v>
      </c>
      <c r="I3498" s="17">
        <v>15953893.82</v>
      </c>
      <c r="J3498" s="17">
        <f>IF(Gastos[[#This Row],[Divisa]]="$", I3498*1, IF(Gastos[[#This Row],[Divisa]]="U$D", I3498*$N$1, IF(Gastos[[#This Row],[Divisa]]="EUR", I3498*$N$2, 0)))</f>
        <v>15953893.82</v>
      </c>
      <c r="K3498" s="54">
        <f>Gastos[[#This Row],[Importe AR$]]/$N$1</f>
        <v>10226.855012820513</v>
      </c>
      <c r="M3498" s="69"/>
      <c r="N3498" s="43" t="str">
        <f>IF(Gastos[[#This Row],[Fecha_Cheque]]&gt;0,WEEKNUM(Gastos[[#This Row],[Fecha_Cheque]]),MID(Gastos[[#This Row],[Semana]],6,2))</f>
        <v>37</v>
      </c>
      <c r="O3498" t="s">
        <v>4285</v>
      </c>
      <c r="P3498" t="s">
        <v>27</v>
      </c>
    </row>
    <row r="3499" spans="1:16" hidden="1" x14ac:dyDescent="0.25">
      <c r="A3499" s="3" t="s">
        <v>538</v>
      </c>
      <c r="B3499" t="s">
        <v>2022</v>
      </c>
      <c r="C3499" t="s">
        <v>2023</v>
      </c>
      <c r="D3499" t="s">
        <v>26</v>
      </c>
      <c r="E3499" t="s">
        <v>42</v>
      </c>
      <c r="F3499">
        <v>2</v>
      </c>
      <c r="G3499" s="3" t="s">
        <v>4</v>
      </c>
      <c r="H3499" s="46" t="s">
        <v>15</v>
      </c>
      <c r="I3499" s="17">
        <v>76005</v>
      </c>
      <c r="J3499" s="17">
        <f>IF(Gastos[[#This Row],[Divisa]]="$", I3499*1, IF(Gastos[[#This Row],[Divisa]]="U$D", I3499*$N$1, IF(Gastos[[#This Row],[Divisa]]="EUR", I3499*$N$2, 0)))</f>
        <v>76005</v>
      </c>
      <c r="K3499" s="54">
        <f>Gastos[[#This Row],[Importe AR$]]/$N$1</f>
        <v>48.721153846153847</v>
      </c>
      <c r="M3499" s="69"/>
      <c r="N3499" s="43" t="str">
        <f>IF(Gastos[[#This Row],[Fecha_Cheque]]&gt;0,WEEKNUM(Gastos[[#This Row],[Fecha_Cheque]]),MID(Gastos[[#This Row],[Semana]],6,2))</f>
        <v>13</v>
      </c>
      <c r="P3499" t="s">
        <v>27</v>
      </c>
    </row>
    <row r="3500" spans="1:16" hidden="1" x14ac:dyDescent="0.25">
      <c r="A3500" s="3" t="s">
        <v>144</v>
      </c>
      <c r="B3500" t="s">
        <v>2022</v>
      </c>
      <c r="C3500" t="s">
        <v>155</v>
      </c>
      <c r="D3500" t="s">
        <v>26</v>
      </c>
      <c r="E3500" t="s">
        <v>42</v>
      </c>
      <c r="F3500">
        <v>1</v>
      </c>
      <c r="G3500" s="3" t="s">
        <v>4</v>
      </c>
      <c r="H3500" s="46" t="s">
        <v>15</v>
      </c>
      <c r="I3500" s="17">
        <v>71006.070000000007</v>
      </c>
      <c r="J3500" s="17">
        <f>IF(Gastos[[#This Row],[Divisa]]="$", I3500*1, IF(Gastos[[#This Row],[Divisa]]="U$D", I3500*$N$1, IF(Gastos[[#This Row],[Divisa]]="EUR", I3500*$N$2, 0)))</f>
        <v>71006.070000000007</v>
      </c>
      <c r="K3500" s="54">
        <f>Gastos[[#This Row],[Importe AR$]]/$N$1</f>
        <v>45.516711538461543</v>
      </c>
      <c r="M3500" s="69"/>
      <c r="N3500" s="43" t="str">
        <f>IF(Gastos[[#This Row],[Fecha_Cheque]]&gt;0,WEEKNUM(Gastos[[#This Row],[Fecha_Cheque]]),MID(Gastos[[#This Row],[Semana]],6,2))</f>
        <v>16</v>
      </c>
      <c r="P3500" t="s">
        <v>27</v>
      </c>
    </row>
    <row r="3501" spans="1:16" hidden="1" x14ac:dyDescent="0.25">
      <c r="A3501" s="3" t="s">
        <v>290</v>
      </c>
      <c r="B3501" t="s">
        <v>2022</v>
      </c>
      <c r="C3501" t="s">
        <v>155</v>
      </c>
      <c r="D3501" t="s">
        <v>26</v>
      </c>
      <c r="E3501" t="s">
        <v>42</v>
      </c>
      <c r="F3501">
        <v>1</v>
      </c>
      <c r="G3501" s="3" t="s">
        <v>4</v>
      </c>
      <c r="H3501" s="46" t="s">
        <v>15</v>
      </c>
      <c r="I3501" s="17">
        <v>70003.960000000006</v>
      </c>
      <c r="J3501" s="17">
        <f>IF(Gastos[[#This Row],[Divisa]]="$", I3501*1, IF(Gastos[[#This Row],[Divisa]]="U$D", I3501*$N$1, IF(Gastos[[#This Row],[Divisa]]="EUR", I3501*$N$2, 0)))</f>
        <v>70003.960000000006</v>
      </c>
      <c r="K3501" s="54">
        <f>Gastos[[#This Row],[Importe AR$]]/$N$1</f>
        <v>44.87433333333334</v>
      </c>
      <c r="M3501" s="69"/>
      <c r="N3501" s="43" t="str">
        <f>IF(Gastos[[#This Row],[Fecha_Cheque]]&gt;0,WEEKNUM(Gastos[[#This Row],[Fecha_Cheque]]),MID(Gastos[[#This Row],[Semana]],6,2))</f>
        <v>23</v>
      </c>
      <c r="P3501" t="s">
        <v>27</v>
      </c>
    </row>
    <row r="3502" spans="1:16" hidden="1" x14ac:dyDescent="0.25">
      <c r="A3502" s="3" t="s">
        <v>99</v>
      </c>
      <c r="B3502" t="s">
        <v>2022</v>
      </c>
      <c r="C3502" t="s">
        <v>155</v>
      </c>
      <c r="D3502" t="s">
        <v>26</v>
      </c>
      <c r="E3502" t="s">
        <v>42</v>
      </c>
      <c r="F3502">
        <v>1</v>
      </c>
      <c r="G3502" s="3" t="s">
        <v>4</v>
      </c>
      <c r="H3502" s="46" t="s">
        <v>15</v>
      </c>
      <c r="I3502" s="17">
        <v>70000</v>
      </c>
      <c r="J3502" s="17">
        <f>IF(Gastos[[#This Row],[Divisa]]="$", I3502*1, IF(Gastos[[#This Row],[Divisa]]="U$D", I3502*$N$1, IF(Gastos[[#This Row],[Divisa]]="EUR", I3502*$N$2, 0)))</f>
        <v>70000</v>
      </c>
      <c r="K3502" s="54">
        <f>Gastos[[#This Row],[Importe AR$]]/$N$1</f>
        <v>44.871794871794869</v>
      </c>
      <c r="M3502" s="69"/>
      <c r="N3502" s="43" t="str">
        <f>IF(Gastos[[#This Row],[Fecha_Cheque]]&gt;0,WEEKNUM(Gastos[[#This Row],[Fecha_Cheque]]),MID(Gastos[[#This Row],[Semana]],6,2))</f>
        <v>28</v>
      </c>
      <c r="O3502" t="s">
        <v>2024</v>
      </c>
      <c r="P3502" t="s">
        <v>27</v>
      </c>
    </row>
    <row r="3503" spans="1:16" hidden="1" x14ac:dyDescent="0.25">
      <c r="A3503" s="3" t="s">
        <v>114</v>
      </c>
      <c r="B3503" t="s">
        <v>2022</v>
      </c>
      <c r="C3503" t="s">
        <v>155</v>
      </c>
      <c r="D3503" t="s">
        <v>26</v>
      </c>
      <c r="E3503" t="s">
        <v>42</v>
      </c>
      <c r="F3503">
        <v>1</v>
      </c>
      <c r="G3503" s="3" t="s">
        <v>4</v>
      </c>
      <c r="H3503" s="46" t="s">
        <v>15</v>
      </c>
      <c r="I3503" s="17">
        <v>39007.01</v>
      </c>
      <c r="J3503" s="17">
        <f>IF(Gastos[[#This Row],[Divisa]]="$", I3503*1, IF(Gastos[[#This Row],[Divisa]]="U$D", I3503*$N$1, IF(Gastos[[#This Row],[Divisa]]="EUR", I3503*$N$2, 0)))</f>
        <v>39007.01</v>
      </c>
      <c r="K3503" s="54">
        <f>Gastos[[#This Row],[Importe AR$]]/$N$1</f>
        <v>25.004493589743593</v>
      </c>
      <c r="M3503" s="69"/>
      <c r="N3503" s="43" t="str">
        <f>IF(Gastos[[#This Row],[Fecha_Cheque]]&gt;0,WEEKNUM(Gastos[[#This Row],[Fecha_Cheque]]),MID(Gastos[[#This Row],[Semana]],6,2))</f>
        <v>29</v>
      </c>
      <c r="O3503" t="s">
        <v>2025</v>
      </c>
      <c r="P3503" t="s">
        <v>27</v>
      </c>
    </row>
    <row r="3504" spans="1:16" hidden="1" x14ac:dyDescent="0.25">
      <c r="A3504" s="3" t="s">
        <v>217</v>
      </c>
      <c r="B3504" t="s">
        <v>2022</v>
      </c>
      <c r="C3504" t="s">
        <v>155</v>
      </c>
      <c r="D3504" t="s">
        <v>26</v>
      </c>
      <c r="E3504" t="s">
        <v>42</v>
      </c>
      <c r="F3504">
        <v>1</v>
      </c>
      <c r="G3504" s="3" t="s">
        <v>4</v>
      </c>
      <c r="H3504" s="46" t="s">
        <v>15</v>
      </c>
      <c r="I3504" s="17">
        <v>74021.06</v>
      </c>
      <c r="J3504" s="17">
        <f>IF(Gastos[[#This Row],[Divisa]]="$", I3504*1, IF(Gastos[[#This Row],[Divisa]]="U$D", I3504*$N$1, IF(Gastos[[#This Row],[Divisa]]="EUR", I3504*$N$2, 0)))</f>
        <v>74021.06</v>
      </c>
      <c r="K3504" s="54">
        <f>Gastos[[#This Row],[Importe AR$]]/$N$1</f>
        <v>47.449397435897431</v>
      </c>
      <c r="M3504" s="69"/>
      <c r="N3504" s="43" t="str">
        <f>IF(Gastos[[#This Row],[Fecha_Cheque]]&gt;0,WEEKNUM(Gastos[[#This Row],[Fecha_Cheque]]),MID(Gastos[[#This Row],[Semana]],6,2))</f>
        <v>30</v>
      </c>
      <c r="O3504" t="s">
        <v>2026</v>
      </c>
      <c r="P3504" t="s">
        <v>27</v>
      </c>
    </row>
    <row r="3505" spans="1:16" hidden="1" x14ac:dyDescent="0.25">
      <c r="A3505" s="3" t="s">
        <v>64</v>
      </c>
      <c r="B3505" t="s">
        <v>2022</v>
      </c>
      <c r="C3505" t="s">
        <v>155</v>
      </c>
      <c r="D3505" t="s">
        <v>26</v>
      </c>
      <c r="E3505" t="s">
        <v>42</v>
      </c>
      <c r="F3505">
        <v>1</v>
      </c>
      <c r="G3505" s="3" t="s">
        <v>4</v>
      </c>
      <c r="H3505" s="46" t="s">
        <v>15</v>
      </c>
      <c r="I3505" s="17">
        <v>75000</v>
      </c>
      <c r="J3505" s="17">
        <f>IF(Gastos[[#This Row],[Divisa]]="$", I3505*1, IF(Gastos[[#This Row],[Divisa]]="U$D", I3505*$N$1, IF(Gastos[[#This Row],[Divisa]]="EUR", I3505*$N$2, 0)))</f>
        <v>75000</v>
      </c>
      <c r="K3505" s="54">
        <f>Gastos[[#This Row],[Importe AR$]]/$N$1</f>
        <v>48.07692307692308</v>
      </c>
      <c r="M3505" s="69"/>
      <c r="N3505" s="43" t="str">
        <f>IF(Gastos[[#This Row],[Fecha_Cheque]]&gt;0,WEEKNUM(Gastos[[#This Row],[Fecha_Cheque]]),MID(Gastos[[#This Row],[Semana]],6,2))</f>
        <v>33</v>
      </c>
      <c r="O3505" t="s">
        <v>2027</v>
      </c>
      <c r="P3505" t="s">
        <v>27</v>
      </c>
    </row>
    <row r="3506" spans="1:16" hidden="1" x14ac:dyDescent="0.25">
      <c r="A3506" s="3" t="s">
        <v>117</v>
      </c>
      <c r="B3506" t="s">
        <v>2022</v>
      </c>
      <c r="C3506" t="s">
        <v>155</v>
      </c>
      <c r="D3506" t="s">
        <v>26</v>
      </c>
      <c r="E3506" t="s">
        <v>42</v>
      </c>
      <c r="F3506">
        <v>1</v>
      </c>
      <c r="G3506" s="3" t="s">
        <v>4</v>
      </c>
      <c r="H3506" s="46" t="s">
        <v>15</v>
      </c>
      <c r="I3506" s="17">
        <v>62000</v>
      </c>
      <c r="J3506" s="17">
        <f>IF(Gastos[[#This Row],[Divisa]]="$", I3506*1, IF(Gastos[[#This Row],[Divisa]]="U$D", I3506*$N$1, IF(Gastos[[#This Row],[Divisa]]="EUR", I3506*$N$2, 0)))</f>
        <v>62000</v>
      </c>
      <c r="K3506" s="54">
        <f>Gastos[[#This Row],[Importe AR$]]/$N$1</f>
        <v>39.743589743589745</v>
      </c>
      <c r="M3506" s="69"/>
      <c r="N3506" s="43" t="str">
        <f>IF(Gastos[[#This Row],[Fecha_Cheque]]&gt;0,WEEKNUM(Gastos[[#This Row],[Fecha_Cheque]]),MID(Gastos[[#This Row],[Semana]],6,2))</f>
        <v>35</v>
      </c>
      <c r="O3506" t="s">
        <v>901</v>
      </c>
      <c r="P3506" t="s">
        <v>27</v>
      </c>
    </row>
    <row r="3507" spans="1:16" hidden="1" x14ac:dyDescent="0.25">
      <c r="A3507" s="3" t="s">
        <v>171</v>
      </c>
      <c r="B3507" t="s">
        <v>2022</v>
      </c>
      <c r="C3507" t="s">
        <v>155</v>
      </c>
      <c r="D3507" t="s">
        <v>26</v>
      </c>
      <c r="E3507" t="s">
        <v>42</v>
      </c>
      <c r="F3507">
        <v>1</v>
      </c>
      <c r="G3507" s="3" t="s">
        <v>4</v>
      </c>
      <c r="H3507" s="46" t="s">
        <v>15</v>
      </c>
      <c r="I3507" s="17">
        <v>70000</v>
      </c>
      <c r="J3507" s="17">
        <f>IF(Gastos[[#This Row],[Divisa]]="$", I3507*1, IF(Gastos[[#This Row],[Divisa]]="U$D", I3507*$N$1, IF(Gastos[[#This Row],[Divisa]]="EUR", I3507*$N$2, 0)))</f>
        <v>70000</v>
      </c>
      <c r="K3507" s="54">
        <f>Gastos[[#This Row],[Importe AR$]]/$N$1</f>
        <v>44.871794871794869</v>
      </c>
      <c r="M3507" s="69"/>
      <c r="N3507" s="43" t="str">
        <f>IF(Gastos[[#This Row],[Fecha_Cheque]]&gt;0,WEEKNUM(Gastos[[#This Row],[Fecha_Cheque]]),MID(Gastos[[#This Row],[Semana]],6,2))</f>
        <v>38</v>
      </c>
      <c r="O3507" t="s">
        <v>2028</v>
      </c>
      <c r="P3507" t="s">
        <v>27</v>
      </c>
    </row>
    <row r="3508" spans="1:16" hidden="1" x14ac:dyDescent="0.25">
      <c r="A3508" s="3" t="s">
        <v>89</v>
      </c>
      <c r="B3508" t="s">
        <v>2022</v>
      </c>
      <c r="C3508" t="s">
        <v>155</v>
      </c>
      <c r="D3508" t="s">
        <v>26</v>
      </c>
      <c r="E3508" t="s">
        <v>42</v>
      </c>
      <c r="F3508">
        <v>1</v>
      </c>
      <c r="G3508" s="3" t="s">
        <v>4</v>
      </c>
      <c r="H3508" s="46" t="s">
        <v>15</v>
      </c>
      <c r="I3508" s="17">
        <v>65000</v>
      </c>
      <c r="J3508" s="17">
        <f>IF(Gastos[[#This Row],[Divisa]]="$", I3508*1, IF(Gastos[[#This Row],[Divisa]]="U$D", I3508*$N$1, IF(Gastos[[#This Row],[Divisa]]="EUR", I3508*$N$2, 0)))</f>
        <v>65000</v>
      </c>
      <c r="K3508" s="54">
        <f>Gastos[[#This Row],[Importe AR$]]/$N$1</f>
        <v>41.666666666666664</v>
      </c>
      <c r="M3508" s="69"/>
      <c r="N3508" s="43" t="str">
        <f>IF(Gastos[[#This Row],[Fecha_Cheque]]&gt;0,WEEKNUM(Gastos[[#This Row],[Fecha_Cheque]]),MID(Gastos[[#This Row],[Semana]],6,2))</f>
        <v>39</v>
      </c>
      <c r="O3508" t="s">
        <v>2029</v>
      </c>
      <c r="P3508" t="s">
        <v>27</v>
      </c>
    </row>
    <row r="3509" spans="1:16" hidden="1" x14ac:dyDescent="0.25">
      <c r="A3509" s="3" t="s">
        <v>128</v>
      </c>
      <c r="B3509" t="s">
        <v>2022</v>
      </c>
      <c r="C3509" t="s">
        <v>155</v>
      </c>
      <c r="D3509" t="s">
        <v>26</v>
      </c>
      <c r="E3509" t="s">
        <v>42</v>
      </c>
      <c r="F3509">
        <v>1</v>
      </c>
      <c r="G3509" s="3" t="s">
        <v>4</v>
      </c>
      <c r="H3509" s="46" t="s">
        <v>15</v>
      </c>
      <c r="I3509" s="17">
        <v>90022.51</v>
      </c>
      <c r="J3509" s="17">
        <f>IF(Gastos[[#This Row],[Divisa]]="$", I3509*1, IF(Gastos[[#This Row],[Divisa]]="U$D", I3509*$N$1, IF(Gastos[[#This Row],[Divisa]]="EUR", I3509*$N$2, 0)))</f>
        <v>90022.51</v>
      </c>
      <c r="K3509" s="54">
        <f>Gastos[[#This Row],[Importe AR$]]/$N$1</f>
        <v>57.706737179487178</v>
      </c>
      <c r="M3509" s="69"/>
      <c r="N3509" s="43" t="str">
        <f>IF(Gastos[[#This Row],[Fecha_Cheque]]&gt;0,WEEKNUM(Gastos[[#This Row],[Fecha_Cheque]]),MID(Gastos[[#This Row],[Semana]],6,2))</f>
        <v>43</v>
      </c>
      <c r="O3509" t="s">
        <v>2030</v>
      </c>
      <c r="P3509" t="s">
        <v>27</v>
      </c>
    </row>
    <row r="3510" spans="1:16" hidden="1" x14ac:dyDescent="0.25">
      <c r="A3510" s="3" t="s">
        <v>130</v>
      </c>
      <c r="B3510" t="s">
        <v>2022</v>
      </c>
      <c r="C3510" t="s">
        <v>155</v>
      </c>
      <c r="D3510" t="s">
        <v>26</v>
      </c>
      <c r="E3510" t="s">
        <v>42</v>
      </c>
      <c r="F3510">
        <v>1</v>
      </c>
      <c r="G3510" s="3" t="s">
        <v>4</v>
      </c>
      <c r="H3510" s="46" t="s">
        <v>15</v>
      </c>
      <c r="I3510" s="17">
        <v>89000</v>
      </c>
      <c r="J3510" s="17">
        <f>IF(Gastos[[#This Row],[Divisa]]="$", I3510*1, IF(Gastos[[#This Row],[Divisa]]="U$D", I3510*$N$1, IF(Gastos[[#This Row],[Divisa]]="EUR", I3510*$N$2, 0)))</f>
        <v>89000</v>
      </c>
      <c r="K3510" s="54">
        <f>Gastos[[#This Row],[Importe AR$]]/$N$1</f>
        <v>57.051282051282051</v>
      </c>
      <c r="M3510" s="69"/>
      <c r="N3510" s="43" t="str">
        <f>IF(Gastos[[#This Row],[Fecha_Cheque]]&gt;0,WEEKNUM(Gastos[[#This Row],[Fecha_Cheque]]),MID(Gastos[[#This Row],[Semana]],6,2))</f>
        <v>45</v>
      </c>
      <c r="O3510" t="s">
        <v>2031</v>
      </c>
      <c r="P3510" t="s">
        <v>27</v>
      </c>
    </row>
    <row r="3511" spans="1:16" hidden="1" x14ac:dyDescent="0.25">
      <c r="A3511" s="3" t="s">
        <v>79</v>
      </c>
      <c r="B3511" t="s">
        <v>2022</v>
      </c>
      <c r="C3511" t="s">
        <v>155</v>
      </c>
      <c r="D3511" t="s">
        <v>26</v>
      </c>
      <c r="E3511" t="s">
        <v>42</v>
      </c>
      <c r="F3511">
        <v>1</v>
      </c>
      <c r="G3511" s="3" t="s">
        <v>4</v>
      </c>
      <c r="H3511" s="46" t="s">
        <v>15</v>
      </c>
      <c r="I3511" s="17">
        <v>85003</v>
      </c>
      <c r="J3511" s="17">
        <f>IF(Gastos[[#This Row],[Divisa]]="$", I3511*1, IF(Gastos[[#This Row],[Divisa]]="U$D", I3511*$N$1, IF(Gastos[[#This Row],[Divisa]]="EUR", I3511*$N$2, 0)))</f>
        <v>85003</v>
      </c>
      <c r="K3511" s="54">
        <f>Gastos[[#This Row],[Importe AR$]]/$N$1</f>
        <v>54.489102564102566</v>
      </c>
      <c r="M3511" s="69"/>
      <c r="N3511" s="43" t="str">
        <f>IF(Gastos[[#This Row],[Fecha_Cheque]]&gt;0,WEEKNUM(Gastos[[#This Row],[Fecha_Cheque]]),MID(Gastos[[#This Row],[Semana]],6,2))</f>
        <v>47</v>
      </c>
      <c r="O3511" t="s">
        <v>2032</v>
      </c>
      <c r="P3511" t="s">
        <v>27</v>
      </c>
    </row>
    <row r="3512" spans="1:16" hidden="1" x14ac:dyDescent="0.25">
      <c r="A3512" s="3" t="s">
        <v>93</v>
      </c>
      <c r="B3512" t="s">
        <v>2022</v>
      </c>
      <c r="C3512" t="s">
        <v>155</v>
      </c>
      <c r="D3512" t="s">
        <v>26</v>
      </c>
      <c r="E3512" t="s">
        <v>42</v>
      </c>
      <c r="F3512">
        <v>1</v>
      </c>
      <c r="G3512" s="3" t="s">
        <v>4</v>
      </c>
      <c r="H3512" s="46" t="s">
        <v>15</v>
      </c>
      <c r="I3512" s="17">
        <v>87008</v>
      </c>
      <c r="J3512" s="17">
        <f>IF(Gastos[[#This Row],[Divisa]]="$", I3512*1, IF(Gastos[[#This Row],[Divisa]]="U$D", I3512*$N$1, IF(Gastos[[#This Row],[Divisa]]="EUR", I3512*$N$2, 0)))</f>
        <v>87008</v>
      </c>
      <c r="K3512" s="54">
        <f>Gastos[[#This Row],[Importe AR$]]/$N$1</f>
        <v>55.774358974358975</v>
      </c>
      <c r="M3512" s="69"/>
      <c r="N3512" s="43" t="str">
        <f>IF(Gastos[[#This Row],[Fecha_Cheque]]&gt;0,WEEKNUM(Gastos[[#This Row],[Fecha_Cheque]]),MID(Gastos[[#This Row],[Semana]],6,2))</f>
        <v>50</v>
      </c>
      <c r="O3512" t="s">
        <v>2033</v>
      </c>
      <c r="P3512" t="s">
        <v>27</v>
      </c>
    </row>
    <row r="3513" spans="1:16" hidden="1" x14ac:dyDescent="0.25">
      <c r="A3513" s="3" t="s">
        <v>378</v>
      </c>
      <c r="B3513" t="s">
        <v>2022</v>
      </c>
      <c r="C3513" t="s">
        <v>155</v>
      </c>
      <c r="D3513" t="s">
        <v>26</v>
      </c>
      <c r="E3513" t="s">
        <v>42</v>
      </c>
      <c r="F3513">
        <v>1</v>
      </c>
      <c r="G3513" s="3" t="s">
        <v>4</v>
      </c>
      <c r="H3513" s="46" t="s">
        <v>15</v>
      </c>
      <c r="I3513" s="17">
        <v>100005.06</v>
      </c>
      <c r="J3513" s="17">
        <f>IF(Gastos[[#This Row],[Divisa]]="$", I3513*1, IF(Gastos[[#This Row],[Divisa]]="U$D", I3513*$N$1, IF(Gastos[[#This Row],[Divisa]]="EUR", I3513*$N$2, 0)))</f>
        <v>100005.06</v>
      </c>
      <c r="K3513" s="54">
        <f>Gastos[[#This Row],[Importe AR$]]/$N$1</f>
        <v>64.105807692307692</v>
      </c>
      <c r="M3513" s="69"/>
      <c r="N3513" s="43" t="str">
        <f>IF(Gastos[[#This Row],[Fecha_Cheque]]&gt;0,WEEKNUM(Gastos[[#This Row],[Fecha_Cheque]]),MID(Gastos[[#This Row],[Semana]],6,2))</f>
        <v>03</v>
      </c>
      <c r="O3513" t="s">
        <v>2034</v>
      </c>
      <c r="P3513" t="s">
        <v>27</v>
      </c>
    </row>
    <row r="3514" spans="1:16" hidden="1" x14ac:dyDescent="0.25">
      <c r="A3514" s="3" t="s">
        <v>206</v>
      </c>
      <c r="B3514" t="s">
        <v>2022</v>
      </c>
      <c r="C3514" t="s">
        <v>155</v>
      </c>
      <c r="D3514" t="s">
        <v>26</v>
      </c>
      <c r="E3514" t="s">
        <v>42</v>
      </c>
      <c r="F3514">
        <v>1</v>
      </c>
      <c r="G3514" s="3" t="s">
        <v>4</v>
      </c>
      <c r="H3514" s="46" t="s">
        <v>15</v>
      </c>
      <c r="I3514" s="17">
        <v>100000</v>
      </c>
      <c r="J3514" s="17">
        <f>IF(Gastos[[#This Row],[Divisa]]="$", I3514*1, IF(Gastos[[#This Row],[Divisa]]="U$D", I3514*$N$1, IF(Gastos[[#This Row],[Divisa]]="EUR", I3514*$N$2, 0)))</f>
        <v>100000</v>
      </c>
      <c r="K3514" s="54">
        <f>Gastos[[#This Row],[Importe AR$]]/$N$1</f>
        <v>64.102564102564102</v>
      </c>
      <c r="M3514" s="69"/>
      <c r="N3514" s="43" t="str">
        <f>IF(Gastos[[#This Row],[Fecha_Cheque]]&gt;0,WEEKNUM(Gastos[[#This Row],[Fecha_Cheque]]),MID(Gastos[[#This Row],[Semana]],6,2))</f>
        <v>06</v>
      </c>
      <c r="O3514" t="s">
        <v>2035</v>
      </c>
      <c r="P3514" t="s">
        <v>27</v>
      </c>
    </row>
    <row r="3515" spans="1:16" hidden="1" x14ac:dyDescent="0.25">
      <c r="A3515" s="3" t="s">
        <v>139</v>
      </c>
      <c r="B3515" t="s">
        <v>2022</v>
      </c>
      <c r="C3515" t="s">
        <v>155</v>
      </c>
      <c r="D3515" t="s">
        <v>26</v>
      </c>
      <c r="E3515" t="s">
        <v>42</v>
      </c>
      <c r="F3515">
        <v>1</v>
      </c>
      <c r="G3515" s="3" t="s">
        <v>4</v>
      </c>
      <c r="H3515" s="46" t="s">
        <v>15</v>
      </c>
      <c r="I3515" s="17">
        <v>93001.94</v>
      </c>
      <c r="J3515" s="17">
        <f>IF(Gastos[[#This Row],[Divisa]]="$", I3515*1, IF(Gastos[[#This Row],[Divisa]]="U$D", I3515*$N$1, IF(Gastos[[#This Row],[Divisa]]="EUR", I3515*$N$2, 0)))</f>
        <v>93001.94</v>
      </c>
      <c r="K3515" s="54">
        <f>Gastos[[#This Row],[Importe AR$]]/$N$1</f>
        <v>59.616628205128208</v>
      </c>
      <c r="M3515" s="69"/>
      <c r="N3515" s="43" t="str">
        <f>IF(Gastos[[#This Row],[Fecha_Cheque]]&gt;0,WEEKNUM(Gastos[[#This Row],[Fecha_Cheque]]),MID(Gastos[[#This Row],[Semana]],6,2))</f>
        <v>08</v>
      </c>
      <c r="O3515" t="s">
        <v>2036</v>
      </c>
      <c r="P3515" t="s">
        <v>27</v>
      </c>
    </row>
    <row r="3516" spans="1:16" hidden="1" x14ac:dyDescent="0.25">
      <c r="A3516" s="3" t="s">
        <v>619</v>
      </c>
      <c r="B3516" t="s">
        <v>2022</v>
      </c>
      <c r="C3516" t="s">
        <v>155</v>
      </c>
      <c r="D3516" t="s">
        <v>26</v>
      </c>
      <c r="E3516" t="s">
        <v>42</v>
      </c>
      <c r="F3516">
        <v>1</v>
      </c>
      <c r="G3516" s="3" t="s">
        <v>4</v>
      </c>
      <c r="H3516" s="46" t="s">
        <v>15</v>
      </c>
      <c r="I3516" s="17">
        <v>94499.02</v>
      </c>
      <c r="J3516" s="17">
        <f>IF(Gastos[[#This Row],[Divisa]]="$", I3516*1, IF(Gastos[[#This Row],[Divisa]]="U$D", I3516*$N$1, IF(Gastos[[#This Row],[Divisa]]="EUR", I3516*$N$2, 0)))</f>
        <v>94499.02</v>
      </c>
      <c r="K3516" s="54">
        <f>Gastos[[#This Row],[Importe AR$]]/$N$1</f>
        <v>60.576294871794872</v>
      </c>
      <c r="M3516" s="69"/>
      <c r="N3516" s="43" t="str">
        <f>IF(Gastos[[#This Row],[Fecha_Cheque]]&gt;0,WEEKNUM(Gastos[[#This Row],[Fecha_Cheque]]),MID(Gastos[[#This Row],[Semana]],6,2))</f>
        <v>10</v>
      </c>
      <c r="O3516" t="s">
        <v>2639</v>
      </c>
      <c r="P3516" t="s">
        <v>27</v>
      </c>
    </row>
    <row r="3517" spans="1:16" hidden="1" x14ac:dyDescent="0.25">
      <c r="A3517" s="3" t="s">
        <v>828</v>
      </c>
      <c r="B3517" t="s">
        <v>2022</v>
      </c>
      <c r="C3517" t="s">
        <v>155</v>
      </c>
      <c r="D3517" t="s">
        <v>26</v>
      </c>
      <c r="E3517" t="s">
        <v>42</v>
      </c>
      <c r="F3517">
        <v>1</v>
      </c>
      <c r="G3517" s="3" t="s">
        <v>4</v>
      </c>
      <c r="H3517" s="44" t="s">
        <v>15</v>
      </c>
      <c r="I3517" s="17">
        <v>100000</v>
      </c>
      <c r="J3517" s="17">
        <f>IF(Gastos[[#This Row],[Divisa]]="$", I3517*1, IF(Gastos[[#This Row],[Divisa]]="U$D", I3517*$N$1, IF(Gastos[[#This Row],[Divisa]]="EUR", I3517*$N$2, 0)))</f>
        <v>100000</v>
      </c>
      <c r="K3517" s="54">
        <f>Gastos[[#This Row],[Importe AR$]]/$N$1</f>
        <v>64.102564102564102</v>
      </c>
      <c r="M3517" s="69"/>
      <c r="N3517" s="43" t="str">
        <f>IF(Gastos[[#This Row],[Fecha_Cheque]]&gt;0,WEEKNUM(Gastos[[#This Row],[Fecha_Cheque]]),MID(Gastos[[#This Row],[Semana]],6,2))</f>
        <v>13</v>
      </c>
      <c r="O3517" t="s">
        <v>2743</v>
      </c>
      <c r="P3517" t="s">
        <v>27</v>
      </c>
    </row>
    <row r="3518" spans="1:16" hidden="1" x14ac:dyDescent="0.25">
      <c r="A3518" s="3" t="s">
        <v>75</v>
      </c>
      <c r="B3518" t="s">
        <v>2037</v>
      </c>
      <c r="C3518" t="s">
        <v>2038</v>
      </c>
      <c r="D3518" t="s">
        <v>26</v>
      </c>
      <c r="E3518" t="s">
        <v>31</v>
      </c>
      <c r="F3518">
        <v>1</v>
      </c>
      <c r="G3518" s="3" t="s">
        <v>5</v>
      </c>
      <c r="H3518" s="46" t="s">
        <v>15</v>
      </c>
      <c r="I3518" s="17">
        <v>264264</v>
      </c>
      <c r="J3518" s="17">
        <f>IF(Gastos[[#This Row],[Divisa]]="$", I3518*1, IF(Gastos[[#This Row],[Divisa]]="U$D", I3518*$N$1, IF(Gastos[[#This Row],[Divisa]]="EUR", I3518*$N$2, 0)))</f>
        <v>264264</v>
      </c>
      <c r="K3518" s="54">
        <f>Gastos[[#This Row],[Importe AR$]]/$N$1</f>
        <v>169.4</v>
      </c>
      <c r="M3518" s="69"/>
      <c r="N3518" s="43" t="str">
        <f>IF(Gastos[[#This Row],[Fecha_Cheque]]&gt;0,WEEKNUM(Gastos[[#This Row],[Fecha_Cheque]]),MID(Gastos[[#This Row],[Semana]],6,2))</f>
        <v>07</v>
      </c>
      <c r="O3518" t="s">
        <v>2039</v>
      </c>
      <c r="P3518" t="s">
        <v>27</v>
      </c>
    </row>
    <row r="3519" spans="1:16" hidden="1" x14ac:dyDescent="0.25">
      <c r="A3519" s="3" t="s">
        <v>253</v>
      </c>
      <c r="B3519" t="s">
        <v>2040</v>
      </c>
      <c r="C3519" t="s">
        <v>2041</v>
      </c>
      <c r="D3519" t="s">
        <v>61</v>
      </c>
      <c r="E3519" t="s">
        <v>31</v>
      </c>
      <c r="F3519">
        <v>1</v>
      </c>
      <c r="G3519" s="3" t="s">
        <v>32</v>
      </c>
      <c r="H3519" s="46" t="s">
        <v>15</v>
      </c>
      <c r="I3519" s="17">
        <f>7276698/2</f>
        <v>3638349</v>
      </c>
      <c r="J3519" s="17">
        <f>IF(Gastos[[#This Row],[Divisa]]="$", I3519*1, IF(Gastos[[#This Row],[Divisa]]="U$D", I3519*$N$1, IF(Gastos[[#This Row],[Divisa]]="EUR", I3519*$N$2, 0)))</f>
        <v>3638349</v>
      </c>
      <c r="K3519" s="54">
        <f>Gastos[[#This Row],[Importe AR$]]/$N$1</f>
        <v>2332.2750000000001</v>
      </c>
      <c r="L3519" t="s">
        <v>1083</v>
      </c>
      <c r="M3519" s="69">
        <v>45841</v>
      </c>
      <c r="N3519" s="43">
        <f>IF(Gastos[[#This Row],[Fecha_Cheque]]&gt;0,WEEKNUM(Gastos[[#This Row],[Fecha_Cheque]]),MID(Gastos[[#This Row],[Semana]],6,2))</f>
        <v>27</v>
      </c>
      <c r="O3519" t="s">
        <v>2042</v>
      </c>
      <c r="P3519" t="s">
        <v>27</v>
      </c>
    </row>
    <row r="3520" spans="1:16" hidden="1" x14ac:dyDescent="0.25">
      <c r="A3520" s="3" t="s">
        <v>253</v>
      </c>
      <c r="B3520" t="s">
        <v>2040</v>
      </c>
      <c r="C3520" t="s">
        <v>2041</v>
      </c>
      <c r="D3520" t="s">
        <v>61</v>
      </c>
      <c r="E3520" t="s">
        <v>31</v>
      </c>
      <c r="F3520">
        <v>1</v>
      </c>
      <c r="G3520" s="3" t="s">
        <v>32</v>
      </c>
      <c r="H3520" s="46" t="s">
        <v>15</v>
      </c>
      <c r="I3520" s="17">
        <f>7276698/2</f>
        <v>3638349</v>
      </c>
      <c r="J3520" s="17">
        <f>IF(Gastos[[#This Row],[Divisa]]="$", I3520*1, IF(Gastos[[#This Row],[Divisa]]="U$D", I3520*$N$1, IF(Gastos[[#This Row],[Divisa]]="EUR", I3520*$N$2, 0)))</f>
        <v>3638349</v>
      </c>
      <c r="K3520" s="54">
        <f>Gastos[[#This Row],[Importe AR$]]/$N$1</f>
        <v>2332.2750000000001</v>
      </c>
      <c r="L3520" t="s">
        <v>1083</v>
      </c>
      <c r="M3520" s="69">
        <v>45856</v>
      </c>
      <c r="N3520" s="43">
        <f>IF(Gastos[[#This Row],[Fecha_Cheque]]&gt;0,WEEKNUM(Gastos[[#This Row],[Fecha_Cheque]]),MID(Gastos[[#This Row],[Semana]],6,2))</f>
        <v>29</v>
      </c>
      <c r="P3520" t="s">
        <v>27</v>
      </c>
    </row>
    <row r="3521" spans="1:16" hidden="1" x14ac:dyDescent="0.25">
      <c r="A3521" s="3" t="s">
        <v>56</v>
      </c>
      <c r="B3521" t="s">
        <v>2040</v>
      </c>
      <c r="C3521" t="s">
        <v>2043</v>
      </c>
      <c r="D3521" t="s">
        <v>26</v>
      </c>
      <c r="E3521" t="s">
        <v>31</v>
      </c>
      <c r="F3521">
        <v>1</v>
      </c>
      <c r="G3521" s="3" t="s">
        <v>32</v>
      </c>
      <c r="H3521" s="46" t="s">
        <v>15</v>
      </c>
      <c r="I3521" s="17">
        <v>3041000</v>
      </c>
      <c r="J3521" s="17">
        <f>IF(Gastos[[#This Row],[Divisa]]="$", I3521*1, IF(Gastos[[#This Row],[Divisa]]="U$D", I3521*$N$1, IF(Gastos[[#This Row],[Divisa]]="EUR", I3521*$N$2, 0)))</f>
        <v>3041000</v>
      </c>
      <c r="K3521" s="54">
        <f>Gastos[[#This Row],[Importe AR$]]/$N$1</f>
        <v>1949.3589743589744</v>
      </c>
      <c r="M3521" s="69">
        <v>45962</v>
      </c>
      <c r="N3521" s="43">
        <f>IF(Gastos[[#This Row],[Fecha_Cheque]]&gt;0,WEEKNUM(Gastos[[#This Row],[Fecha_Cheque]]),MID(Gastos[[#This Row],[Semana]],6,2))</f>
        <v>44</v>
      </c>
      <c r="O3521" t="s">
        <v>2044</v>
      </c>
      <c r="P3521" t="s">
        <v>27</v>
      </c>
    </row>
    <row r="3522" spans="1:16" hidden="1" x14ac:dyDescent="0.25">
      <c r="A3522" s="3" t="s">
        <v>232</v>
      </c>
      <c r="B3522" t="s">
        <v>2040</v>
      </c>
      <c r="C3522" t="s">
        <v>2043</v>
      </c>
      <c r="D3522" t="s">
        <v>26</v>
      </c>
      <c r="E3522" t="s">
        <v>31</v>
      </c>
      <c r="F3522">
        <v>1</v>
      </c>
      <c r="G3522" s="3" t="s">
        <v>32</v>
      </c>
      <c r="H3522" s="46" t="s">
        <v>15</v>
      </c>
      <c r="I3522" s="17">
        <v>330000</v>
      </c>
      <c r="J3522" s="17">
        <f>IF(Gastos[[#This Row],[Divisa]]="$", I3522*1, IF(Gastos[[#This Row],[Divisa]]="U$D", I3522*$N$1, IF(Gastos[[#This Row],[Divisa]]="EUR", I3522*$N$2, 0)))</f>
        <v>330000</v>
      </c>
      <c r="K3522" s="54">
        <f>Gastos[[#This Row],[Importe AR$]]/$N$1</f>
        <v>211.53846153846155</v>
      </c>
      <c r="M3522" s="69">
        <v>45964</v>
      </c>
      <c r="N3522" s="43">
        <f>IF(Gastos[[#This Row],[Fecha_Cheque]]&gt;0,WEEKNUM(Gastos[[#This Row],[Fecha_Cheque]]),MID(Gastos[[#This Row],[Semana]],6,2))</f>
        <v>45</v>
      </c>
      <c r="O3522" t="s">
        <v>2045</v>
      </c>
      <c r="P3522" t="s">
        <v>27</v>
      </c>
    </row>
    <row r="3523" spans="1:16" hidden="1" x14ac:dyDescent="0.25">
      <c r="A3523" s="3" t="s">
        <v>232</v>
      </c>
      <c r="B3523" t="s">
        <v>2040</v>
      </c>
      <c r="C3523" t="s">
        <v>2043</v>
      </c>
      <c r="D3523" t="s">
        <v>26</v>
      </c>
      <c r="E3523" t="s">
        <v>31</v>
      </c>
      <c r="F3523">
        <v>1</v>
      </c>
      <c r="G3523" s="3" t="s">
        <v>32</v>
      </c>
      <c r="H3523" s="46" t="s">
        <v>15</v>
      </c>
      <c r="I3523" s="17">
        <v>470000</v>
      </c>
      <c r="J3523" s="17">
        <f>IF(Gastos[[#This Row],[Divisa]]="$", I3523*1, IF(Gastos[[#This Row],[Divisa]]="U$D", I3523*$N$1, IF(Gastos[[#This Row],[Divisa]]="EUR", I3523*$N$2, 0)))</f>
        <v>470000</v>
      </c>
      <c r="K3523" s="54">
        <f>Gastos[[#This Row],[Importe AR$]]/$N$1</f>
        <v>301.28205128205127</v>
      </c>
      <c r="M3523" s="69">
        <v>45996</v>
      </c>
      <c r="N3523" s="43">
        <f>IF(Gastos[[#This Row],[Fecha_Cheque]]&gt;0,WEEKNUM(Gastos[[#This Row],[Fecha_Cheque]]),MID(Gastos[[#This Row],[Semana]],6,2))</f>
        <v>49</v>
      </c>
      <c r="O3523" t="s">
        <v>2045</v>
      </c>
      <c r="P3523" t="s">
        <v>27</v>
      </c>
    </row>
    <row r="3524" spans="1:16" hidden="1" x14ac:dyDescent="0.25">
      <c r="A3524" s="3" t="s">
        <v>232</v>
      </c>
      <c r="B3524" t="s">
        <v>2040</v>
      </c>
      <c r="C3524" t="s">
        <v>2043</v>
      </c>
      <c r="D3524" t="s">
        <v>26</v>
      </c>
      <c r="E3524" t="s">
        <v>31</v>
      </c>
      <c r="F3524">
        <v>1</v>
      </c>
      <c r="G3524" s="3" t="s">
        <v>32</v>
      </c>
      <c r="H3524" s="46" t="s">
        <v>15</v>
      </c>
      <c r="I3524" s="17">
        <v>530000</v>
      </c>
      <c r="J3524" s="17">
        <f>IF(Gastos[[#This Row],[Divisa]]="$", I3524*1, IF(Gastos[[#This Row],[Divisa]]="U$D", I3524*$N$1, IF(Gastos[[#This Row],[Divisa]]="EUR", I3524*$N$2, 0)))</f>
        <v>530000</v>
      </c>
      <c r="K3524" s="54">
        <f>Gastos[[#This Row],[Importe AR$]]/$N$1</f>
        <v>339.74358974358972</v>
      </c>
      <c r="M3524" s="69">
        <v>45995</v>
      </c>
      <c r="N3524" s="43">
        <f>IF(Gastos[[#This Row],[Fecha_Cheque]]&gt;0,WEEKNUM(Gastos[[#This Row],[Fecha_Cheque]]),MID(Gastos[[#This Row],[Semana]],6,2))</f>
        <v>49</v>
      </c>
      <c r="O3524" t="s">
        <v>2045</v>
      </c>
      <c r="P3524" t="s">
        <v>27</v>
      </c>
    </row>
    <row r="3525" spans="1:16" hidden="1" x14ac:dyDescent="0.25">
      <c r="A3525" s="3" t="s">
        <v>232</v>
      </c>
      <c r="B3525" t="s">
        <v>2040</v>
      </c>
      <c r="C3525" t="s">
        <v>2043</v>
      </c>
      <c r="D3525" t="s">
        <v>26</v>
      </c>
      <c r="E3525" t="s">
        <v>31</v>
      </c>
      <c r="F3525">
        <v>1</v>
      </c>
      <c r="G3525" s="3" t="s">
        <v>32</v>
      </c>
      <c r="H3525" s="46" t="s">
        <v>15</v>
      </c>
      <c r="I3525" s="17">
        <v>572330</v>
      </c>
      <c r="J3525" s="17">
        <f>IF(Gastos[[#This Row],[Divisa]]="$", I3525*1, IF(Gastos[[#This Row],[Divisa]]="U$D", I3525*$N$1, IF(Gastos[[#This Row],[Divisa]]="EUR", I3525*$N$2, 0)))</f>
        <v>572330</v>
      </c>
      <c r="K3525" s="54">
        <f>Gastos[[#This Row],[Importe AR$]]/$N$1</f>
        <v>366.87820512820514</v>
      </c>
      <c r="M3525" s="69">
        <v>45997</v>
      </c>
      <c r="N3525" s="43">
        <f>IF(Gastos[[#This Row],[Fecha_Cheque]]&gt;0,WEEKNUM(Gastos[[#This Row],[Fecha_Cheque]]),MID(Gastos[[#This Row],[Semana]],6,2))</f>
        <v>49</v>
      </c>
      <c r="O3525" t="s">
        <v>2045</v>
      </c>
      <c r="P3525" t="s">
        <v>27</v>
      </c>
    </row>
    <row r="3526" spans="1:16" hidden="1" x14ac:dyDescent="0.25">
      <c r="A3526" s="3" t="s">
        <v>232</v>
      </c>
      <c r="B3526" t="s">
        <v>2040</v>
      </c>
      <c r="C3526" t="s">
        <v>2043</v>
      </c>
      <c r="D3526" t="s">
        <v>26</v>
      </c>
      <c r="E3526" t="s">
        <v>31</v>
      </c>
      <c r="F3526">
        <v>1</v>
      </c>
      <c r="G3526" s="3" t="s">
        <v>32</v>
      </c>
      <c r="H3526" s="46" t="s">
        <v>15</v>
      </c>
      <c r="I3526" s="17">
        <v>1000000</v>
      </c>
      <c r="J3526" s="17">
        <f>IF(Gastos[[#This Row],[Divisa]]="$", I3526*1, IF(Gastos[[#This Row],[Divisa]]="U$D", I3526*$N$1, IF(Gastos[[#This Row],[Divisa]]="EUR", I3526*$N$2, 0)))</f>
        <v>1000000</v>
      </c>
      <c r="K3526" s="54">
        <f>Gastos[[#This Row],[Importe AR$]]/$N$1</f>
        <v>641.02564102564099</v>
      </c>
      <c r="M3526" s="69">
        <v>46010</v>
      </c>
      <c r="N3526" s="43">
        <f>IF(Gastos[[#This Row],[Fecha_Cheque]]&gt;0,WEEKNUM(Gastos[[#This Row],[Fecha_Cheque]]),MID(Gastos[[#This Row],[Semana]],6,2))</f>
        <v>51</v>
      </c>
      <c r="O3526" t="s">
        <v>2045</v>
      </c>
      <c r="P3526" t="s">
        <v>27</v>
      </c>
    </row>
    <row r="3527" spans="1:16" hidden="1" x14ac:dyDescent="0.25">
      <c r="A3527" s="3" t="s">
        <v>232</v>
      </c>
      <c r="B3527" t="s">
        <v>2040</v>
      </c>
      <c r="C3527" t="s">
        <v>2043</v>
      </c>
      <c r="D3527" t="s">
        <v>26</v>
      </c>
      <c r="E3527" t="s">
        <v>31</v>
      </c>
      <c r="F3527">
        <v>1</v>
      </c>
      <c r="G3527" s="3" t="s">
        <v>32</v>
      </c>
      <c r="H3527" s="46" t="s">
        <v>15</v>
      </c>
      <c r="I3527" s="17">
        <v>553000</v>
      </c>
      <c r="J3527" s="17">
        <f>IF(Gastos[[#This Row],[Divisa]]="$", I3527*1, IF(Gastos[[#This Row],[Divisa]]="U$D", I3527*$N$1, IF(Gastos[[#This Row],[Divisa]]="EUR", I3527*$N$2, 0)))</f>
        <v>553000</v>
      </c>
      <c r="K3527" s="54">
        <f>Gastos[[#This Row],[Importe AR$]]/$N$1</f>
        <v>354.4871794871795</v>
      </c>
      <c r="M3527" s="69">
        <v>45964</v>
      </c>
      <c r="N3527" s="43">
        <f>IF(Gastos[[#This Row],[Fecha_Cheque]]&gt;0,WEEKNUM(Gastos[[#This Row],[Fecha_Cheque]]),MID(Gastos[[#This Row],[Semana]],6,2))</f>
        <v>45</v>
      </c>
      <c r="O3527" t="s">
        <v>2045</v>
      </c>
      <c r="P3527" t="s">
        <v>27</v>
      </c>
    </row>
    <row r="3528" spans="1:16" hidden="1" x14ac:dyDescent="0.25">
      <c r="A3528" s="3" t="s">
        <v>232</v>
      </c>
      <c r="B3528" t="s">
        <v>2040</v>
      </c>
      <c r="C3528" t="s">
        <v>2043</v>
      </c>
      <c r="D3528" t="s">
        <v>26</v>
      </c>
      <c r="E3528" t="s">
        <v>31</v>
      </c>
      <c r="F3528">
        <v>1</v>
      </c>
      <c r="G3528" s="3" t="s">
        <v>5</v>
      </c>
      <c r="H3528" s="46" t="s">
        <v>15</v>
      </c>
      <c r="I3528" s="17">
        <v>286793.40999999997</v>
      </c>
      <c r="J3528" s="17">
        <f>IF(Gastos[[#This Row],[Divisa]]="$", I3528*1, IF(Gastos[[#This Row],[Divisa]]="U$D", I3528*$N$1, IF(Gastos[[#This Row],[Divisa]]="EUR", I3528*$N$2, 0)))</f>
        <v>286793.40999999997</v>
      </c>
      <c r="K3528" s="54">
        <f>Gastos[[#This Row],[Importe AR$]]/$N$1</f>
        <v>183.84192948717947</v>
      </c>
      <c r="M3528" s="69">
        <v>45906</v>
      </c>
      <c r="N3528" s="43">
        <f>IF(Gastos[[#This Row],[Fecha_Cheque]]&gt;0,WEEKNUM(Gastos[[#This Row],[Fecha_Cheque]]),MID(Gastos[[#This Row],[Semana]],6,2))</f>
        <v>36</v>
      </c>
      <c r="O3528" t="s">
        <v>2045</v>
      </c>
      <c r="P3528" t="s">
        <v>27</v>
      </c>
    </row>
    <row r="3529" spans="1:16" hidden="1" x14ac:dyDescent="0.25">
      <c r="A3529" s="3" t="s">
        <v>68</v>
      </c>
      <c r="B3529" t="s">
        <v>2040</v>
      </c>
      <c r="C3529" t="s">
        <v>2046</v>
      </c>
      <c r="D3529" t="s">
        <v>26</v>
      </c>
      <c r="E3529" t="s">
        <v>62</v>
      </c>
      <c r="F3529">
        <v>1</v>
      </c>
      <c r="G3529" s="3" t="s">
        <v>32</v>
      </c>
      <c r="H3529" s="46" t="s">
        <v>15</v>
      </c>
      <c r="I3529" s="17">
        <v>2500000</v>
      </c>
      <c r="J3529" s="17">
        <f>IF(Gastos[[#This Row],[Divisa]]="$", I3529*1, IF(Gastos[[#This Row],[Divisa]]="U$D", I3529*$N$1, IF(Gastos[[#This Row],[Divisa]]="EUR", I3529*$N$2, 0)))</f>
        <v>2500000</v>
      </c>
      <c r="K3529" s="54">
        <f>Gastos[[#This Row],[Importe AR$]]/$N$1</f>
        <v>1602.5641025641025</v>
      </c>
      <c r="M3529" s="69">
        <v>46107</v>
      </c>
      <c r="N3529" s="43">
        <f>IF(Gastos[[#This Row],[Fecha_Cheque]]&gt;0,WEEKNUM(Gastos[[#This Row],[Fecha_Cheque]]),MID(Gastos[[#This Row],[Semana]],6,2))</f>
        <v>13</v>
      </c>
      <c r="O3529" t="s">
        <v>2047</v>
      </c>
      <c r="P3529" t="s">
        <v>27</v>
      </c>
    </row>
    <row r="3530" spans="1:16" hidden="1" x14ac:dyDescent="0.25">
      <c r="A3530" s="3" t="s">
        <v>68</v>
      </c>
      <c r="B3530" t="s">
        <v>2040</v>
      </c>
      <c r="C3530" t="s">
        <v>2046</v>
      </c>
      <c r="D3530" t="s">
        <v>26</v>
      </c>
      <c r="E3530" t="s">
        <v>62</v>
      </c>
      <c r="F3530">
        <v>1</v>
      </c>
      <c r="G3530" s="3" t="s">
        <v>32</v>
      </c>
      <c r="H3530" s="46" t="s">
        <v>15</v>
      </c>
      <c r="I3530" s="17">
        <v>2500000</v>
      </c>
      <c r="J3530" s="17">
        <f>IF(Gastos[[#This Row],[Divisa]]="$", I3530*1, IF(Gastos[[#This Row],[Divisa]]="U$D", I3530*$N$1, IF(Gastos[[#This Row],[Divisa]]="EUR", I3530*$N$2, 0)))</f>
        <v>2500000</v>
      </c>
      <c r="K3530" s="54">
        <f>Gastos[[#This Row],[Importe AR$]]/$N$1</f>
        <v>1602.5641025641025</v>
      </c>
      <c r="M3530" s="69">
        <v>46101</v>
      </c>
      <c r="N3530" s="43">
        <f>IF(Gastos[[#This Row],[Fecha_Cheque]]&gt;0,WEEKNUM(Gastos[[#This Row],[Fecha_Cheque]]),MID(Gastos[[#This Row],[Semana]],6,2))</f>
        <v>12</v>
      </c>
      <c r="O3530" t="s">
        <v>2047</v>
      </c>
      <c r="P3530" t="s">
        <v>27</v>
      </c>
    </row>
    <row r="3531" spans="1:16" hidden="1" x14ac:dyDescent="0.25">
      <c r="A3531" s="3" t="s">
        <v>332</v>
      </c>
      <c r="B3531" t="s">
        <v>2040</v>
      </c>
      <c r="C3531" t="s">
        <v>2046</v>
      </c>
      <c r="D3531" t="s">
        <v>26</v>
      </c>
      <c r="E3531" t="s">
        <v>62</v>
      </c>
      <c r="F3531">
        <v>1</v>
      </c>
      <c r="G3531" s="3" t="s">
        <v>32</v>
      </c>
      <c r="H3531" s="46" t="s">
        <v>15</v>
      </c>
      <c r="I3531" s="17">
        <v>1243471.98</v>
      </c>
      <c r="J3531" s="17">
        <f>IF(Gastos[[#This Row],[Divisa]]="$", I3531*1, IF(Gastos[[#This Row],[Divisa]]="U$D", I3531*$N$1, IF(Gastos[[#This Row],[Divisa]]="EUR", I3531*$N$2, 0)))</f>
        <v>1243471.98</v>
      </c>
      <c r="K3531" s="54">
        <f>Gastos[[#This Row],[Importe AR$]]/$N$1</f>
        <v>797.09742307692306</v>
      </c>
      <c r="L3531" t="s">
        <v>2715</v>
      </c>
      <c r="M3531" s="69">
        <v>46132</v>
      </c>
      <c r="N3531" s="43">
        <f>IF(Gastos[[#This Row],[Fecha_Cheque]]&gt;0,WEEKNUM(Gastos[[#This Row],[Fecha_Cheque]]),MID(Gastos[[#This Row],[Semana]],6,2))</f>
        <v>17</v>
      </c>
      <c r="O3531" t="s">
        <v>2716</v>
      </c>
      <c r="P3531" t="s">
        <v>27</v>
      </c>
    </row>
    <row r="3532" spans="1:16" hidden="1" x14ac:dyDescent="0.25">
      <c r="A3532" s="3" t="s">
        <v>332</v>
      </c>
      <c r="B3532" t="s">
        <v>2040</v>
      </c>
      <c r="C3532" t="s">
        <v>2046</v>
      </c>
      <c r="D3532" t="s">
        <v>26</v>
      </c>
      <c r="E3532" t="s">
        <v>62</v>
      </c>
      <c r="F3532">
        <v>1</v>
      </c>
      <c r="G3532" s="3" t="s">
        <v>32</v>
      </c>
      <c r="H3532" s="46" t="s">
        <v>15</v>
      </c>
      <c r="I3532" s="17">
        <v>16343.39</v>
      </c>
      <c r="J3532" s="17">
        <f>IF(Gastos[[#This Row],[Divisa]]="$", I3532*1, IF(Gastos[[#This Row],[Divisa]]="U$D", I3532*$N$1, IF(Gastos[[#This Row],[Divisa]]="EUR", I3532*$N$2, 0)))</f>
        <v>16343.39</v>
      </c>
      <c r="K3532" s="54">
        <f>Gastos[[#This Row],[Importe AR$]]/$N$1</f>
        <v>10.476532051282051</v>
      </c>
      <c r="M3532" s="69"/>
      <c r="N3532" s="43" t="str">
        <f>IF(Gastos[[#This Row],[Fecha_Cheque]]&gt;0,WEEKNUM(Gastos[[#This Row],[Fecha_Cheque]]),MID(Gastos[[#This Row],[Semana]],6,2))</f>
        <v>12</v>
      </c>
      <c r="O3532" t="s">
        <v>2716</v>
      </c>
      <c r="P3532" t="s">
        <v>27</v>
      </c>
    </row>
    <row r="3533" spans="1:16" hidden="1" x14ac:dyDescent="0.25">
      <c r="A3533" s="3" t="s">
        <v>2841</v>
      </c>
      <c r="B3533" t="s">
        <v>2040</v>
      </c>
      <c r="C3533" t="s">
        <v>3302</v>
      </c>
      <c r="D3533" t="s">
        <v>26</v>
      </c>
      <c r="E3533" t="s">
        <v>31</v>
      </c>
      <c r="F3533">
        <v>1</v>
      </c>
      <c r="G3533" s="3" t="s">
        <v>32</v>
      </c>
      <c r="H3533" s="44" t="s">
        <v>15</v>
      </c>
      <c r="I3533" s="17">
        <v>1588160</v>
      </c>
      <c r="J3533" s="17">
        <f>IF(Gastos[[#This Row],[Divisa]]="$", I3533*1, IF(Gastos[[#This Row],[Divisa]]="U$D", I3533*$N$1, IF(Gastos[[#This Row],[Divisa]]="EUR", I3533*$N$2, 0)))</f>
        <v>1588160</v>
      </c>
      <c r="K3533" s="54">
        <f>Gastos[[#This Row],[Importe AR$]]/$N$1</f>
        <v>1018.0512820512821</v>
      </c>
      <c r="M3533" s="69">
        <v>46223</v>
      </c>
      <c r="N3533" s="43">
        <f>IF(Gastos[[#This Row],[Fecha_Cheque]]&gt;0,WEEKNUM(Gastos[[#This Row],[Fecha_Cheque]]),MID(Gastos[[#This Row],[Semana]],6,2))</f>
        <v>30</v>
      </c>
      <c r="O3533" t="s">
        <v>3303</v>
      </c>
      <c r="P3533" t="s">
        <v>27</v>
      </c>
    </row>
    <row r="3534" spans="1:16" hidden="1" x14ac:dyDescent="0.25">
      <c r="A3534" s="3" t="s">
        <v>2841</v>
      </c>
      <c r="B3534" t="s">
        <v>2040</v>
      </c>
      <c r="C3534" t="s">
        <v>3302</v>
      </c>
      <c r="D3534" t="s">
        <v>26</v>
      </c>
      <c r="E3534" t="s">
        <v>31</v>
      </c>
      <c r="F3534">
        <v>1</v>
      </c>
      <c r="G3534" s="3" t="s">
        <v>32</v>
      </c>
      <c r="H3534" s="44" t="s">
        <v>15</v>
      </c>
      <c r="I3534" s="17">
        <v>1588160</v>
      </c>
      <c r="J3534" s="17">
        <f>IF(Gastos[[#This Row],[Divisa]]="$", I3534*1, IF(Gastos[[#This Row],[Divisa]]="U$D", I3534*$N$1, IF(Gastos[[#This Row],[Divisa]]="EUR", I3534*$N$2, 0)))</f>
        <v>1588160</v>
      </c>
      <c r="K3534" s="54">
        <f>Gastos[[#This Row],[Importe AR$]]/$N$1</f>
        <v>1018.0512820512821</v>
      </c>
      <c r="M3534" s="69">
        <v>46208</v>
      </c>
      <c r="N3534" s="43">
        <f>IF(Gastos[[#This Row],[Fecha_Cheque]]&gt;0,WEEKNUM(Gastos[[#This Row],[Fecha_Cheque]]),MID(Gastos[[#This Row],[Semana]],6,2))</f>
        <v>28</v>
      </c>
      <c r="O3534" t="s">
        <v>3303</v>
      </c>
      <c r="P3534" t="s">
        <v>27</v>
      </c>
    </row>
    <row r="3535" spans="1:16" hidden="1" x14ac:dyDescent="0.25">
      <c r="A3535" s="3" t="s">
        <v>2841</v>
      </c>
      <c r="B3535" t="s">
        <v>2040</v>
      </c>
      <c r="C3535" t="s">
        <v>3302</v>
      </c>
      <c r="D3535" t="s">
        <v>26</v>
      </c>
      <c r="E3535" t="s">
        <v>31</v>
      </c>
      <c r="F3535">
        <v>1</v>
      </c>
      <c r="G3535" s="3" t="s">
        <v>32</v>
      </c>
      <c r="H3535" s="44" t="s">
        <v>15</v>
      </c>
      <c r="I3535" s="17">
        <v>1588160</v>
      </c>
      <c r="J3535" s="17">
        <f>IF(Gastos[[#This Row],[Divisa]]="$", I3535*1, IF(Gastos[[#This Row],[Divisa]]="U$D", I3535*$N$1, IF(Gastos[[#This Row],[Divisa]]="EUR", I3535*$N$2, 0)))</f>
        <v>1588160</v>
      </c>
      <c r="K3535" s="54">
        <f>Gastos[[#This Row],[Importe AR$]]/$N$1</f>
        <v>1018.0512820512821</v>
      </c>
      <c r="M3535" s="69">
        <v>46193</v>
      </c>
      <c r="N3535" s="43">
        <f>IF(Gastos[[#This Row],[Fecha_Cheque]]&gt;0,WEEKNUM(Gastos[[#This Row],[Fecha_Cheque]]),MID(Gastos[[#This Row],[Semana]],6,2))</f>
        <v>25</v>
      </c>
      <c r="O3535" t="s">
        <v>3303</v>
      </c>
      <c r="P3535" t="s">
        <v>27</v>
      </c>
    </row>
    <row r="3536" spans="1:16" hidden="1" x14ac:dyDescent="0.25">
      <c r="A3536" s="3" t="s">
        <v>2841</v>
      </c>
      <c r="B3536" t="s">
        <v>2040</v>
      </c>
      <c r="C3536" t="s">
        <v>3302</v>
      </c>
      <c r="D3536" t="s">
        <v>26</v>
      </c>
      <c r="E3536" t="s">
        <v>31</v>
      </c>
      <c r="F3536">
        <v>1</v>
      </c>
      <c r="G3536" s="3" t="s">
        <v>32</v>
      </c>
      <c r="H3536" s="44" t="s">
        <v>15</v>
      </c>
      <c r="I3536" s="17">
        <v>75520</v>
      </c>
      <c r="J3536" s="17">
        <f>IF(Gastos[[#This Row],[Divisa]]="$", I3536*1, IF(Gastos[[#This Row],[Divisa]]="U$D", I3536*$N$1, IF(Gastos[[#This Row],[Divisa]]="EUR", I3536*$N$2, 0)))</f>
        <v>75520</v>
      </c>
      <c r="K3536" s="54">
        <f>Gastos[[#This Row],[Importe AR$]]/$N$1</f>
        <v>48.410256410256409</v>
      </c>
      <c r="L3536" t="s">
        <v>340</v>
      </c>
      <c r="M3536" s="69"/>
      <c r="N3536" s="43" t="str">
        <f>IF(Gastos[[#This Row],[Fecha_Cheque]]&gt;0,WEEKNUM(Gastos[[#This Row],[Fecha_Cheque]]),MID(Gastos[[#This Row],[Semana]],6,2))</f>
        <v>22</v>
      </c>
      <c r="O3536" t="s">
        <v>3303</v>
      </c>
      <c r="P3536" t="s">
        <v>27</v>
      </c>
    </row>
    <row r="3537" spans="1:16" hidden="1" x14ac:dyDescent="0.25">
      <c r="A3537" s="3" t="s">
        <v>290</v>
      </c>
      <c r="B3537" t="s">
        <v>2049</v>
      </c>
      <c r="C3537" t="s">
        <v>1369</v>
      </c>
      <c r="D3537" t="s">
        <v>97</v>
      </c>
      <c r="E3537" t="s">
        <v>31</v>
      </c>
      <c r="F3537">
        <v>1</v>
      </c>
      <c r="G3537" s="3" t="s">
        <v>5</v>
      </c>
      <c r="H3537" s="46" t="s">
        <v>15</v>
      </c>
      <c r="I3537" s="17">
        <v>5000000</v>
      </c>
      <c r="J3537" s="17">
        <f>IF(Gastos[[#This Row],[Divisa]]="$", I3537*1, IF(Gastos[[#This Row],[Divisa]]="U$D", I3537*$N$1, IF(Gastos[[#This Row],[Divisa]]="EUR", I3537*$N$2, 0)))</f>
        <v>5000000</v>
      </c>
      <c r="K3537" s="54">
        <f>Gastos[[#This Row],[Importe AR$]]/$N$1</f>
        <v>3205.1282051282051</v>
      </c>
      <c r="M3537" s="69"/>
      <c r="N3537" s="43" t="str">
        <f>IF(Gastos[[#This Row],[Fecha_Cheque]]&gt;0,WEEKNUM(Gastos[[#This Row],[Fecha_Cheque]]),MID(Gastos[[#This Row],[Semana]],6,2))</f>
        <v>23</v>
      </c>
      <c r="O3537" t="s">
        <v>2050</v>
      </c>
      <c r="P3537" t="s">
        <v>27</v>
      </c>
    </row>
    <row r="3538" spans="1:16" hidden="1" x14ac:dyDescent="0.25">
      <c r="A3538" s="3" t="s">
        <v>290</v>
      </c>
      <c r="B3538" t="s">
        <v>2049</v>
      </c>
      <c r="C3538" t="s">
        <v>1369</v>
      </c>
      <c r="D3538" t="s">
        <v>97</v>
      </c>
      <c r="E3538" t="s">
        <v>31</v>
      </c>
      <c r="F3538">
        <v>1</v>
      </c>
      <c r="G3538" s="3" t="s">
        <v>32</v>
      </c>
      <c r="H3538" s="46" t="s">
        <v>15</v>
      </c>
      <c r="I3538" s="17">
        <v>15000000</v>
      </c>
      <c r="J3538" s="17">
        <f>IF(Gastos[[#This Row],[Divisa]]="$", I3538*1, IF(Gastos[[#This Row],[Divisa]]="U$D", I3538*$N$1, IF(Gastos[[#This Row],[Divisa]]="EUR", I3538*$N$2, 0)))</f>
        <v>15000000</v>
      </c>
      <c r="K3538" s="54">
        <f>Gastos[[#This Row],[Importe AR$]]/$N$1</f>
        <v>9615.3846153846152</v>
      </c>
      <c r="L3538" t="s">
        <v>215</v>
      </c>
      <c r="M3538" s="69">
        <v>45842</v>
      </c>
      <c r="N3538" s="43">
        <f>IF(Gastos[[#This Row],[Fecha_Cheque]]&gt;0,WEEKNUM(Gastos[[#This Row],[Fecha_Cheque]]),MID(Gastos[[#This Row],[Semana]],6,2))</f>
        <v>27</v>
      </c>
      <c r="P3538" t="s">
        <v>27</v>
      </c>
    </row>
    <row r="3539" spans="1:16" hidden="1" x14ac:dyDescent="0.25">
      <c r="A3539" s="3" t="s">
        <v>290</v>
      </c>
      <c r="B3539" t="s">
        <v>2049</v>
      </c>
      <c r="C3539" t="s">
        <v>1369</v>
      </c>
      <c r="D3539" t="s">
        <v>97</v>
      </c>
      <c r="E3539" t="s">
        <v>31</v>
      </c>
      <c r="F3539">
        <v>1</v>
      </c>
      <c r="G3539" s="3" t="s">
        <v>32</v>
      </c>
      <c r="H3539" s="46" t="s">
        <v>15</v>
      </c>
      <c r="I3539" s="17">
        <v>15000000</v>
      </c>
      <c r="J3539" s="17">
        <f>IF(Gastos[[#This Row],[Divisa]]="$", I3539*1, IF(Gastos[[#This Row],[Divisa]]="U$D", I3539*$N$1, IF(Gastos[[#This Row],[Divisa]]="EUR", I3539*$N$2, 0)))</f>
        <v>15000000</v>
      </c>
      <c r="K3539" s="54">
        <f>Gastos[[#This Row],[Importe AR$]]/$N$1</f>
        <v>9615.3846153846152</v>
      </c>
      <c r="L3539" t="s">
        <v>289</v>
      </c>
      <c r="M3539" s="69">
        <v>45857</v>
      </c>
      <c r="N3539" s="43">
        <f>IF(Gastos[[#This Row],[Fecha_Cheque]]&gt;0,WEEKNUM(Gastos[[#This Row],[Fecha_Cheque]]),MID(Gastos[[#This Row],[Semana]],6,2))</f>
        <v>29</v>
      </c>
      <c r="P3539" t="s">
        <v>27</v>
      </c>
    </row>
    <row r="3540" spans="1:16" hidden="1" x14ac:dyDescent="0.25">
      <c r="A3540" s="3" t="s">
        <v>253</v>
      </c>
      <c r="B3540" t="s">
        <v>2049</v>
      </c>
      <c r="C3540" t="s">
        <v>1369</v>
      </c>
      <c r="D3540" t="s">
        <v>61</v>
      </c>
      <c r="E3540" t="s">
        <v>31</v>
      </c>
      <c r="F3540">
        <v>1</v>
      </c>
      <c r="G3540" s="3" t="s">
        <v>32</v>
      </c>
      <c r="H3540" s="46" t="s">
        <v>15</v>
      </c>
      <c r="I3540" s="17">
        <v>10000000</v>
      </c>
      <c r="J3540" s="17">
        <f>IF(Gastos[[#This Row],[Divisa]]="$", I3540*1, IF(Gastos[[#This Row],[Divisa]]="U$D", I3540*$N$1, IF(Gastos[[#This Row],[Divisa]]="EUR", I3540*$N$2, 0)))</f>
        <v>10000000</v>
      </c>
      <c r="K3540" s="54">
        <f>Gastos[[#This Row],[Importe AR$]]/$N$1</f>
        <v>6410.2564102564102</v>
      </c>
      <c r="L3540" t="s">
        <v>215</v>
      </c>
      <c r="M3540" s="69">
        <v>45852</v>
      </c>
      <c r="N3540" s="43">
        <f>IF(Gastos[[#This Row],[Fecha_Cheque]]&gt;0,WEEKNUM(Gastos[[#This Row],[Fecha_Cheque]]),MID(Gastos[[#This Row],[Semana]],6,2))</f>
        <v>29</v>
      </c>
      <c r="P3540" t="s">
        <v>27</v>
      </c>
    </row>
    <row r="3541" spans="1:16" hidden="1" x14ac:dyDescent="0.25">
      <c r="A3541" s="3" t="s">
        <v>52</v>
      </c>
      <c r="B3541" t="s">
        <v>2049</v>
      </c>
      <c r="C3541" t="s">
        <v>2051</v>
      </c>
      <c r="D3541" t="s">
        <v>26</v>
      </c>
      <c r="E3541" t="s">
        <v>31</v>
      </c>
      <c r="F3541">
        <v>1</v>
      </c>
      <c r="G3541" s="3" t="s">
        <v>32</v>
      </c>
      <c r="H3541" s="46" t="s">
        <v>15</v>
      </c>
      <c r="I3541" s="19">
        <v>9047531.3499999996</v>
      </c>
      <c r="J3541" s="17">
        <f>IF(Gastos[[#This Row],[Divisa]]="$", I3541*1, IF(Gastos[[#This Row],[Divisa]]="U$D", I3541*$N$1, IF(Gastos[[#This Row],[Divisa]]="EUR", I3541*$N$2, 0)))</f>
        <v>9047531.3499999996</v>
      </c>
      <c r="K3541" s="55">
        <f>Gastos[[#This Row],[Importe AR$]]/$N$1</f>
        <v>5799.6995833333331</v>
      </c>
      <c r="L3541" t="s">
        <v>2052</v>
      </c>
      <c r="M3541" s="69"/>
      <c r="N3541" s="43" t="str">
        <f>IF(Gastos[[#This Row],[Fecha_Cheque]]&gt;0,WEEKNUM(Gastos[[#This Row],[Fecha_Cheque]]),MID(Gastos[[#This Row],[Semana]],6,2))</f>
        <v>12</v>
      </c>
      <c r="P3541" t="s">
        <v>27</v>
      </c>
    </row>
    <row r="3542" spans="1:16" hidden="1" x14ac:dyDescent="0.25">
      <c r="A3542" s="3" t="s">
        <v>99</v>
      </c>
      <c r="B3542" t="s">
        <v>2049</v>
      </c>
      <c r="C3542" t="s">
        <v>1369</v>
      </c>
      <c r="D3542" t="s">
        <v>61</v>
      </c>
      <c r="E3542" t="s">
        <v>31</v>
      </c>
      <c r="F3542">
        <v>1</v>
      </c>
      <c r="G3542" s="3" t="s">
        <v>5</v>
      </c>
      <c r="H3542" s="46" t="s">
        <v>15</v>
      </c>
      <c r="I3542" s="17">
        <v>3000000</v>
      </c>
      <c r="J3542" s="17">
        <f>IF(Gastos[[#This Row],[Divisa]]="$", I3542*1, IF(Gastos[[#This Row],[Divisa]]="U$D", I3542*$N$1, IF(Gastos[[#This Row],[Divisa]]="EUR", I3542*$N$2, 0)))</f>
        <v>3000000</v>
      </c>
      <c r="K3542" s="54">
        <f>Gastos[[#This Row],[Importe AR$]]/$N$1</f>
        <v>1923.0769230769231</v>
      </c>
      <c r="M3542" s="69"/>
      <c r="N3542" s="43" t="str">
        <f>IF(Gastos[[#This Row],[Fecha_Cheque]]&gt;0,WEEKNUM(Gastos[[#This Row],[Fecha_Cheque]]),MID(Gastos[[#This Row],[Semana]],6,2))</f>
        <v>28</v>
      </c>
      <c r="O3542" t="s">
        <v>2053</v>
      </c>
      <c r="P3542" t="s">
        <v>27</v>
      </c>
    </row>
    <row r="3543" spans="1:16" hidden="1" x14ac:dyDescent="0.25">
      <c r="A3543" s="3" t="s">
        <v>305</v>
      </c>
      <c r="B3543" t="s">
        <v>2049</v>
      </c>
      <c r="C3543" t="s">
        <v>1369</v>
      </c>
      <c r="D3543" t="s">
        <v>26</v>
      </c>
      <c r="E3543" t="s">
        <v>31</v>
      </c>
      <c r="F3543">
        <v>1</v>
      </c>
      <c r="G3543" s="3" t="s">
        <v>32</v>
      </c>
      <c r="H3543" s="46" t="s">
        <v>15</v>
      </c>
      <c r="I3543" s="17">
        <v>124245</v>
      </c>
      <c r="J3543" s="17">
        <f>IF(Gastos[[#This Row],[Divisa]]="$", I3543*1, IF(Gastos[[#This Row],[Divisa]]="U$D", I3543*$N$1, IF(Gastos[[#This Row],[Divisa]]="EUR", I3543*$N$2, 0)))</f>
        <v>124245</v>
      </c>
      <c r="K3543" s="54">
        <f>Gastos[[#This Row],[Importe AR$]]/$N$1</f>
        <v>79.644230769230774</v>
      </c>
      <c r="M3543" s="69">
        <v>45885</v>
      </c>
      <c r="N3543" s="43">
        <f>IF(Gastos[[#This Row],[Fecha_Cheque]]&gt;0,WEEKNUM(Gastos[[#This Row],[Fecha_Cheque]]),MID(Gastos[[#This Row],[Semana]],6,2))</f>
        <v>33</v>
      </c>
      <c r="O3543" t="s">
        <v>123</v>
      </c>
      <c r="P3543" t="s">
        <v>27</v>
      </c>
    </row>
    <row r="3544" spans="1:16" hidden="1" x14ac:dyDescent="0.25">
      <c r="A3544" s="3" t="s">
        <v>305</v>
      </c>
      <c r="B3544" t="s">
        <v>2049</v>
      </c>
      <c r="C3544" t="s">
        <v>1369</v>
      </c>
      <c r="D3544" t="s">
        <v>26</v>
      </c>
      <c r="E3544" t="s">
        <v>31</v>
      </c>
      <c r="F3544">
        <v>1</v>
      </c>
      <c r="G3544" s="3" t="s">
        <v>32</v>
      </c>
      <c r="H3544" s="46" t="s">
        <v>15</v>
      </c>
      <c r="I3544" s="17">
        <v>386474.59</v>
      </c>
      <c r="J3544" s="17">
        <f>IF(Gastos[[#This Row],[Divisa]]="$", I3544*1, IF(Gastos[[#This Row],[Divisa]]="U$D", I3544*$N$1, IF(Gastos[[#This Row],[Divisa]]="EUR", I3544*$N$2, 0)))</f>
        <v>386474.59</v>
      </c>
      <c r="K3544" s="54">
        <f>Gastos[[#This Row],[Importe AR$]]/$N$1</f>
        <v>247.74012179487181</v>
      </c>
      <c r="M3544" s="69">
        <v>45898</v>
      </c>
      <c r="N3544" s="43">
        <f>IF(Gastos[[#This Row],[Fecha_Cheque]]&gt;0,WEEKNUM(Gastos[[#This Row],[Fecha_Cheque]]),MID(Gastos[[#This Row],[Semana]],6,2))</f>
        <v>35</v>
      </c>
      <c r="O3544" t="s">
        <v>123</v>
      </c>
      <c r="P3544" t="s">
        <v>27</v>
      </c>
    </row>
    <row r="3545" spans="1:16" hidden="1" x14ac:dyDescent="0.25">
      <c r="A3545" s="3" t="s">
        <v>305</v>
      </c>
      <c r="B3545" t="s">
        <v>2049</v>
      </c>
      <c r="C3545" t="s">
        <v>1369</v>
      </c>
      <c r="D3545" t="s">
        <v>26</v>
      </c>
      <c r="E3545" t="s">
        <v>31</v>
      </c>
      <c r="F3545">
        <v>1</v>
      </c>
      <c r="G3545" s="3" t="s">
        <v>32</v>
      </c>
      <c r="H3545" s="46" t="s">
        <v>15</v>
      </c>
      <c r="I3545" s="17">
        <v>2001500</v>
      </c>
      <c r="J3545" s="17">
        <f>IF(Gastos[[#This Row],[Divisa]]="$", I3545*1, IF(Gastos[[#This Row],[Divisa]]="U$D", I3545*$N$1, IF(Gastos[[#This Row],[Divisa]]="EUR", I3545*$N$2, 0)))</f>
        <v>2001500</v>
      </c>
      <c r="K3545" s="54">
        <f>Gastos[[#This Row],[Importe AR$]]/$N$1</f>
        <v>1283.0128205128206</v>
      </c>
      <c r="M3545" s="69">
        <v>45922</v>
      </c>
      <c r="N3545" s="43">
        <f>IF(Gastos[[#This Row],[Fecha_Cheque]]&gt;0,WEEKNUM(Gastos[[#This Row],[Fecha_Cheque]]),MID(Gastos[[#This Row],[Semana]],6,2))</f>
        <v>39</v>
      </c>
      <c r="P3545" t="s">
        <v>27</v>
      </c>
    </row>
    <row r="3546" spans="1:16" hidden="1" x14ac:dyDescent="0.25">
      <c r="A3546" s="3" t="s">
        <v>305</v>
      </c>
      <c r="B3546" t="s">
        <v>2049</v>
      </c>
      <c r="C3546" t="s">
        <v>1369</v>
      </c>
      <c r="D3546" t="s">
        <v>26</v>
      </c>
      <c r="E3546" t="s">
        <v>31</v>
      </c>
      <c r="F3546">
        <v>1</v>
      </c>
      <c r="G3546" s="3" t="s">
        <v>32</v>
      </c>
      <c r="H3546" s="46" t="s">
        <v>15</v>
      </c>
      <c r="I3546" s="17">
        <v>2001500</v>
      </c>
      <c r="J3546" s="17">
        <f>IF(Gastos[[#This Row],[Divisa]]="$", I3546*1, IF(Gastos[[#This Row],[Divisa]]="U$D", I3546*$N$1, IF(Gastos[[#This Row],[Divisa]]="EUR", I3546*$N$2, 0)))</f>
        <v>2001500</v>
      </c>
      <c r="K3546" s="54">
        <f>Gastos[[#This Row],[Importe AR$]]/$N$1</f>
        <v>1283.0128205128206</v>
      </c>
      <c r="M3546" s="69">
        <v>45898</v>
      </c>
      <c r="N3546" s="43">
        <f>IF(Gastos[[#This Row],[Fecha_Cheque]]&gt;0,WEEKNUM(Gastos[[#This Row],[Fecha_Cheque]]),MID(Gastos[[#This Row],[Semana]],6,2))</f>
        <v>35</v>
      </c>
      <c r="P3546" t="s">
        <v>27</v>
      </c>
    </row>
    <row r="3547" spans="1:16" hidden="1" x14ac:dyDescent="0.25">
      <c r="A3547" s="3" t="s">
        <v>305</v>
      </c>
      <c r="B3547" t="s">
        <v>2049</v>
      </c>
      <c r="C3547" t="s">
        <v>1369</v>
      </c>
      <c r="D3547" t="s">
        <v>26</v>
      </c>
      <c r="E3547" t="s">
        <v>31</v>
      </c>
      <c r="F3547">
        <v>1</v>
      </c>
      <c r="G3547" s="3" t="s">
        <v>32</v>
      </c>
      <c r="H3547" s="46" t="s">
        <v>15</v>
      </c>
      <c r="I3547" s="17">
        <v>2001500</v>
      </c>
      <c r="J3547" s="17">
        <f>IF(Gastos[[#This Row],[Divisa]]="$", I3547*1, IF(Gastos[[#This Row],[Divisa]]="U$D", I3547*$N$1, IF(Gastos[[#This Row],[Divisa]]="EUR", I3547*$N$2, 0)))</f>
        <v>2001500</v>
      </c>
      <c r="K3547" s="54">
        <f>Gastos[[#This Row],[Importe AR$]]/$N$1</f>
        <v>1283.0128205128206</v>
      </c>
      <c r="M3547" s="69">
        <v>45904</v>
      </c>
      <c r="N3547" s="43">
        <f>IF(Gastos[[#This Row],[Fecha_Cheque]]&gt;0,WEEKNUM(Gastos[[#This Row],[Fecha_Cheque]]),MID(Gastos[[#This Row],[Semana]],6,2))</f>
        <v>36</v>
      </c>
      <c r="P3547" t="s">
        <v>27</v>
      </c>
    </row>
    <row r="3548" spans="1:16" hidden="1" x14ac:dyDescent="0.25">
      <c r="A3548" s="3" t="s">
        <v>305</v>
      </c>
      <c r="B3548" t="s">
        <v>2049</v>
      </c>
      <c r="C3548" t="s">
        <v>1369</v>
      </c>
      <c r="D3548" t="s">
        <v>26</v>
      </c>
      <c r="E3548" t="s">
        <v>31</v>
      </c>
      <c r="F3548">
        <v>1</v>
      </c>
      <c r="G3548" s="3" t="s">
        <v>32</v>
      </c>
      <c r="H3548" s="46" t="s">
        <v>15</v>
      </c>
      <c r="I3548" s="17">
        <v>2001500</v>
      </c>
      <c r="J3548" s="17">
        <f>IF(Gastos[[#This Row],[Divisa]]="$", I3548*1, IF(Gastos[[#This Row],[Divisa]]="U$D", I3548*$N$1, IF(Gastos[[#This Row],[Divisa]]="EUR", I3548*$N$2, 0)))</f>
        <v>2001500</v>
      </c>
      <c r="K3548" s="54">
        <f>Gastos[[#This Row],[Importe AR$]]/$N$1</f>
        <v>1283.0128205128206</v>
      </c>
      <c r="M3548" s="69">
        <v>45918</v>
      </c>
      <c r="N3548" s="43">
        <f>IF(Gastos[[#This Row],[Fecha_Cheque]]&gt;0,WEEKNUM(Gastos[[#This Row],[Fecha_Cheque]]),MID(Gastos[[#This Row],[Semana]],6,2))</f>
        <v>38</v>
      </c>
      <c r="O3548" t="s">
        <v>123</v>
      </c>
      <c r="P3548" t="s">
        <v>27</v>
      </c>
    </row>
    <row r="3549" spans="1:16" hidden="1" x14ac:dyDescent="0.25">
      <c r="A3549" s="3" t="s">
        <v>305</v>
      </c>
      <c r="B3549" t="s">
        <v>2049</v>
      </c>
      <c r="C3549" t="s">
        <v>1369</v>
      </c>
      <c r="D3549" t="s">
        <v>26</v>
      </c>
      <c r="E3549" t="s">
        <v>31</v>
      </c>
      <c r="F3549">
        <v>1</v>
      </c>
      <c r="G3549" s="3" t="s">
        <v>32</v>
      </c>
      <c r="H3549" s="46" t="s">
        <v>15</v>
      </c>
      <c r="I3549" s="17">
        <v>2001500</v>
      </c>
      <c r="J3549" s="17">
        <f>IF(Gastos[[#This Row],[Divisa]]="$", I3549*1, IF(Gastos[[#This Row],[Divisa]]="U$D", I3549*$N$1, IF(Gastos[[#This Row],[Divisa]]="EUR", I3549*$N$2, 0)))</f>
        <v>2001500</v>
      </c>
      <c r="K3549" s="54">
        <f>Gastos[[#This Row],[Importe AR$]]/$N$1</f>
        <v>1283.0128205128206</v>
      </c>
      <c r="M3549" s="69">
        <v>45916</v>
      </c>
      <c r="N3549" s="43">
        <f>IF(Gastos[[#This Row],[Fecha_Cheque]]&gt;0,WEEKNUM(Gastos[[#This Row],[Fecha_Cheque]]),MID(Gastos[[#This Row],[Semana]],6,2))</f>
        <v>38</v>
      </c>
      <c r="O3549" t="s">
        <v>123</v>
      </c>
      <c r="P3549" t="s">
        <v>27</v>
      </c>
    </row>
    <row r="3550" spans="1:16" hidden="1" x14ac:dyDescent="0.25">
      <c r="A3550" s="3" t="s">
        <v>305</v>
      </c>
      <c r="B3550" t="s">
        <v>2049</v>
      </c>
      <c r="C3550" t="s">
        <v>1369</v>
      </c>
      <c r="D3550" t="s">
        <v>26</v>
      </c>
      <c r="E3550" t="s">
        <v>31</v>
      </c>
      <c r="F3550">
        <v>1</v>
      </c>
      <c r="G3550" s="3" t="s">
        <v>32</v>
      </c>
      <c r="H3550" s="46" t="s">
        <v>15</v>
      </c>
      <c r="I3550" s="17">
        <v>2001500</v>
      </c>
      <c r="J3550" s="17">
        <f>IF(Gastos[[#This Row],[Divisa]]="$", I3550*1, IF(Gastos[[#This Row],[Divisa]]="U$D", I3550*$N$1, IF(Gastos[[#This Row],[Divisa]]="EUR", I3550*$N$2, 0)))</f>
        <v>2001500</v>
      </c>
      <c r="K3550" s="54">
        <f>Gastos[[#This Row],[Importe AR$]]/$N$1</f>
        <v>1283.0128205128206</v>
      </c>
      <c r="M3550" s="69">
        <v>45901</v>
      </c>
      <c r="N3550" s="43">
        <f>IF(Gastos[[#This Row],[Fecha_Cheque]]&gt;0,WEEKNUM(Gastos[[#This Row],[Fecha_Cheque]]),MID(Gastos[[#This Row],[Semana]],6,2))</f>
        <v>36</v>
      </c>
      <c r="P3550" t="s">
        <v>27</v>
      </c>
    </row>
    <row r="3551" spans="1:16" hidden="1" x14ac:dyDescent="0.25">
      <c r="A3551" s="3" t="s">
        <v>305</v>
      </c>
      <c r="B3551" t="s">
        <v>2049</v>
      </c>
      <c r="C3551" t="s">
        <v>1369</v>
      </c>
      <c r="D3551" t="s">
        <v>26</v>
      </c>
      <c r="E3551" t="s">
        <v>31</v>
      </c>
      <c r="F3551">
        <v>1</v>
      </c>
      <c r="G3551" s="3" t="s">
        <v>32</v>
      </c>
      <c r="H3551" s="46" t="s">
        <v>15</v>
      </c>
      <c r="I3551" s="17">
        <v>2001500</v>
      </c>
      <c r="J3551" s="17">
        <f>IF(Gastos[[#This Row],[Divisa]]="$", I3551*1, IF(Gastos[[#This Row],[Divisa]]="U$D", I3551*$N$1, IF(Gastos[[#This Row],[Divisa]]="EUR", I3551*$N$2, 0)))</f>
        <v>2001500</v>
      </c>
      <c r="K3551" s="54">
        <f>Gastos[[#This Row],[Importe AR$]]/$N$1</f>
        <v>1283.0128205128206</v>
      </c>
      <c r="M3551" s="69">
        <v>45919</v>
      </c>
      <c r="N3551" s="43">
        <f>IF(Gastos[[#This Row],[Fecha_Cheque]]&gt;0,WEEKNUM(Gastos[[#This Row],[Fecha_Cheque]]),MID(Gastos[[#This Row],[Semana]],6,2))</f>
        <v>38</v>
      </c>
      <c r="P3551" t="s">
        <v>27</v>
      </c>
    </row>
    <row r="3552" spans="1:16" hidden="1" x14ac:dyDescent="0.25">
      <c r="A3552" s="3" t="s">
        <v>305</v>
      </c>
      <c r="B3552" t="s">
        <v>2049</v>
      </c>
      <c r="C3552" t="s">
        <v>1369</v>
      </c>
      <c r="D3552" t="s">
        <v>26</v>
      </c>
      <c r="E3552" t="s">
        <v>31</v>
      </c>
      <c r="F3552">
        <v>1</v>
      </c>
      <c r="G3552" s="3" t="s">
        <v>32</v>
      </c>
      <c r="H3552" s="46" t="s">
        <v>15</v>
      </c>
      <c r="I3552" s="17">
        <v>2001500</v>
      </c>
      <c r="J3552" s="17">
        <f>IF(Gastos[[#This Row],[Divisa]]="$", I3552*1, IF(Gastos[[#This Row],[Divisa]]="U$D", I3552*$N$1, IF(Gastos[[#This Row],[Divisa]]="EUR", I3552*$N$2, 0)))</f>
        <v>2001500</v>
      </c>
      <c r="K3552" s="54">
        <f>Gastos[[#This Row],[Importe AR$]]/$N$1</f>
        <v>1283.0128205128206</v>
      </c>
      <c r="M3552" s="69">
        <v>45917</v>
      </c>
      <c r="N3552" s="43">
        <f>IF(Gastos[[#This Row],[Fecha_Cheque]]&gt;0,WEEKNUM(Gastos[[#This Row],[Fecha_Cheque]]),MID(Gastos[[#This Row],[Semana]],6,2))</f>
        <v>38</v>
      </c>
      <c r="O3552" t="s">
        <v>123</v>
      </c>
      <c r="P3552" t="s">
        <v>27</v>
      </c>
    </row>
    <row r="3553" spans="1:16" hidden="1" x14ac:dyDescent="0.25">
      <c r="A3553" s="3" t="s">
        <v>89</v>
      </c>
      <c r="B3553" t="s">
        <v>2049</v>
      </c>
      <c r="C3553" t="s">
        <v>1369</v>
      </c>
      <c r="D3553" t="s">
        <v>26</v>
      </c>
      <c r="E3553" t="s">
        <v>31</v>
      </c>
      <c r="F3553">
        <v>1</v>
      </c>
      <c r="G3553" s="3" t="s">
        <v>32</v>
      </c>
      <c r="H3553" s="46" t="s">
        <v>15</v>
      </c>
      <c r="I3553" s="17">
        <v>7743466.5</v>
      </c>
      <c r="J3553" s="17">
        <f>IF(Gastos[[#This Row],[Divisa]]="$", I3553*1, IF(Gastos[[#This Row],[Divisa]]="U$D", I3553*$N$1, IF(Gastos[[#This Row],[Divisa]]="EUR", I3553*$N$2, 0)))</f>
        <v>7743466.5</v>
      </c>
      <c r="K3553" s="54">
        <f>Gastos[[#This Row],[Importe AR$]]/$N$1</f>
        <v>4963.7605769230768</v>
      </c>
      <c r="M3553" s="69">
        <v>45940</v>
      </c>
      <c r="N3553" s="43">
        <f>IF(Gastos[[#This Row],[Fecha_Cheque]]&gt;0,WEEKNUM(Gastos[[#This Row],[Fecha_Cheque]]),MID(Gastos[[#This Row],[Semana]],6,2))</f>
        <v>41</v>
      </c>
      <c r="O3553" t="s">
        <v>2054</v>
      </c>
      <c r="P3553" t="s">
        <v>27</v>
      </c>
    </row>
    <row r="3554" spans="1:16" hidden="1" x14ac:dyDescent="0.25">
      <c r="A3554" s="3" t="s">
        <v>72</v>
      </c>
      <c r="B3554" t="s">
        <v>2049</v>
      </c>
      <c r="C3554" t="s">
        <v>1369</v>
      </c>
      <c r="D3554" t="s">
        <v>61</v>
      </c>
      <c r="E3554" t="s">
        <v>62</v>
      </c>
      <c r="F3554">
        <v>1</v>
      </c>
      <c r="G3554" s="3" t="s">
        <v>5</v>
      </c>
      <c r="H3554" s="46" t="s">
        <v>15</v>
      </c>
      <c r="I3554" s="17">
        <v>584610.61</v>
      </c>
      <c r="J3554" s="17">
        <f>IF(Gastos[[#This Row],[Divisa]]="$", I3554*1, IF(Gastos[[#This Row],[Divisa]]="U$D", I3554*$N$1, IF(Gastos[[#This Row],[Divisa]]="EUR", I3554*$N$2, 0)))</f>
        <v>584610.61</v>
      </c>
      <c r="K3554" s="54">
        <f>Gastos[[#This Row],[Importe AR$]]/$N$1</f>
        <v>374.75039102564102</v>
      </c>
      <c r="M3554" s="69"/>
      <c r="N3554" s="43" t="str">
        <f>IF(Gastos[[#This Row],[Fecha_Cheque]]&gt;0,WEEKNUM(Gastos[[#This Row],[Fecha_Cheque]]),MID(Gastos[[#This Row],[Semana]],6,2))</f>
        <v>48</v>
      </c>
      <c r="O3554" t="s">
        <v>2055</v>
      </c>
      <c r="P3554" t="s">
        <v>27</v>
      </c>
    </row>
    <row r="3555" spans="1:16" hidden="1" x14ac:dyDescent="0.25">
      <c r="A3555" s="3" t="s">
        <v>44</v>
      </c>
      <c r="B3555" t="s">
        <v>2049</v>
      </c>
      <c r="C3555" t="s">
        <v>2056</v>
      </c>
      <c r="D3555" t="s">
        <v>26</v>
      </c>
      <c r="E3555" t="s">
        <v>31</v>
      </c>
      <c r="F3555">
        <v>1</v>
      </c>
      <c r="G3555" s="3" t="s">
        <v>32</v>
      </c>
      <c r="H3555" s="46" t="s">
        <v>15</v>
      </c>
      <c r="I3555" s="17">
        <v>11612739.49</v>
      </c>
      <c r="J3555" s="17">
        <f>IF(Gastos[[#This Row],[Divisa]]="$", I3555*1, IF(Gastos[[#This Row],[Divisa]]="U$D", I3555*$N$1, IF(Gastos[[#This Row],[Divisa]]="EUR", I3555*$N$2, 0)))</f>
        <v>11612739.49</v>
      </c>
      <c r="K3555" s="54">
        <f>Gastos[[#This Row],[Importe AR$]]/$N$1</f>
        <v>7444.063775641026</v>
      </c>
      <c r="M3555" s="69">
        <v>46038</v>
      </c>
      <c r="N3555" s="43">
        <f>IF(Gastos[[#This Row],[Fecha_Cheque]]&gt;0,WEEKNUM(Gastos[[#This Row],[Fecha_Cheque]]),MID(Gastos[[#This Row],[Semana]],6,2))</f>
        <v>3</v>
      </c>
      <c r="O3555" t="s">
        <v>2057</v>
      </c>
      <c r="P3555" t="s">
        <v>27</v>
      </c>
    </row>
    <row r="3556" spans="1:16" hidden="1" x14ac:dyDescent="0.25">
      <c r="A3556" s="3" t="s">
        <v>44</v>
      </c>
      <c r="B3556" t="s">
        <v>2049</v>
      </c>
      <c r="C3556" t="s">
        <v>2056</v>
      </c>
      <c r="D3556" t="s">
        <v>26</v>
      </c>
      <c r="E3556" t="s">
        <v>31</v>
      </c>
      <c r="F3556">
        <v>1</v>
      </c>
      <c r="G3556" s="3" t="s">
        <v>32</v>
      </c>
      <c r="H3556" s="46" t="s">
        <v>15</v>
      </c>
      <c r="I3556" s="17">
        <v>14449670.26</v>
      </c>
      <c r="J3556" s="17">
        <f>IF(Gastos[[#This Row],[Divisa]]="$", I3556*1, IF(Gastos[[#This Row],[Divisa]]="U$D", I3556*$N$1, IF(Gastos[[#This Row],[Divisa]]="EUR", I3556*$N$2, 0)))</f>
        <v>14449670.26</v>
      </c>
      <c r="K3556" s="54">
        <f>Gastos[[#This Row],[Importe AR$]]/$N$1</f>
        <v>9262.6091410256413</v>
      </c>
      <c r="M3556" s="69">
        <v>46108</v>
      </c>
      <c r="N3556" s="43">
        <f>IF(Gastos[[#This Row],[Fecha_Cheque]]&gt;0,WEEKNUM(Gastos[[#This Row],[Fecha_Cheque]]),MID(Gastos[[#This Row],[Semana]],6,2))</f>
        <v>13</v>
      </c>
      <c r="O3556" t="s">
        <v>2057</v>
      </c>
      <c r="P3556" t="s">
        <v>27</v>
      </c>
    </row>
    <row r="3557" spans="1:16" hidden="1" x14ac:dyDescent="0.25">
      <c r="A3557" s="3" t="s">
        <v>44</v>
      </c>
      <c r="B3557" t="s">
        <v>2049</v>
      </c>
      <c r="C3557" t="s">
        <v>2056</v>
      </c>
      <c r="D3557" t="s">
        <v>26</v>
      </c>
      <c r="E3557" t="s">
        <v>31</v>
      </c>
      <c r="F3557">
        <v>1</v>
      </c>
      <c r="G3557" s="3" t="s">
        <v>32</v>
      </c>
      <c r="H3557" s="46" t="s">
        <v>15</v>
      </c>
      <c r="I3557" s="17">
        <v>14449670.25</v>
      </c>
      <c r="J3557" s="17">
        <f>IF(Gastos[[#This Row],[Divisa]]="$", I3557*1, IF(Gastos[[#This Row],[Divisa]]="U$D", I3557*$N$1, IF(Gastos[[#This Row],[Divisa]]="EUR", I3557*$N$2, 0)))</f>
        <v>14449670.25</v>
      </c>
      <c r="K3557" s="54">
        <f>Gastos[[#This Row],[Importe AR$]]/$N$1</f>
        <v>9262.6091346153844</v>
      </c>
      <c r="M3557" s="69">
        <v>46073</v>
      </c>
      <c r="N3557" s="43">
        <f>IF(Gastos[[#This Row],[Fecha_Cheque]]&gt;0,WEEKNUM(Gastos[[#This Row],[Fecha_Cheque]]),MID(Gastos[[#This Row],[Semana]],6,2))</f>
        <v>8</v>
      </c>
      <c r="O3557" t="s">
        <v>2057</v>
      </c>
      <c r="P3557" t="s">
        <v>27</v>
      </c>
    </row>
    <row r="3558" spans="1:16" hidden="1" x14ac:dyDescent="0.25">
      <c r="A3558" s="3" t="s">
        <v>180</v>
      </c>
      <c r="B3558" t="s">
        <v>2049</v>
      </c>
      <c r="C3558" t="s">
        <v>2473</v>
      </c>
      <c r="D3558" t="s">
        <v>26</v>
      </c>
      <c r="E3558" t="s">
        <v>62</v>
      </c>
      <c r="F3558">
        <v>1</v>
      </c>
      <c r="G3558" s="3" t="s">
        <v>32</v>
      </c>
      <c r="H3558" s="46" t="s">
        <v>15</v>
      </c>
      <c r="I3558" s="17">
        <v>1277760</v>
      </c>
      <c r="J3558" s="17">
        <f>IF(Gastos[[#This Row],[Divisa]]="$", I3558*1, IF(Gastos[[#This Row],[Divisa]]="U$D", I3558*$N$1, IF(Gastos[[#This Row],[Divisa]]="EUR", I3558*$N$2, 0)))</f>
        <v>1277760</v>
      </c>
      <c r="K3558" s="54">
        <f>Gastos[[#This Row],[Importe AR$]]/$N$1</f>
        <v>819.07692307692309</v>
      </c>
      <c r="M3558" s="69">
        <v>46118</v>
      </c>
      <c r="N3558" s="43">
        <f>IF(Gastos[[#This Row],[Fecha_Cheque]]&gt;0,WEEKNUM(Gastos[[#This Row],[Fecha_Cheque]]),MID(Gastos[[#This Row],[Semana]],6,2))</f>
        <v>15</v>
      </c>
      <c r="O3558" t="s">
        <v>2474</v>
      </c>
      <c r="P3558" t="s">
        <v>27</v>
      </c>
    </row>
    <row r="3559" spans="1:16" hidden="1" x14ac:dyDescent="0.25">
      <c r="A3559" s="3" t="s">
        <v>180</v>
      </c>
      <c r="B3559" t="s">
        <v>2049</v>
      </c>
      <c r="C3559" t="s">
        <v>2473</v>
      </c>
      <c r="D3559" t="s">
        <v>26</v>
      </c>
      <c r="E3559" t="s">
        <v>62</v>
      </c>
      <c r="F3559">
        <v>1</v>
      </c>
      <c r="G3559" s="3" t="s">
        <v>32</v>
      </c>
      <c r="H3559" s="46" t="s">
        <v>15</v>
      </c>
      <c r="I3559" s="17">
        <v>1500000</v>
      </c>
      <c r="J3559" s="17">
        <f>IF(Gastos[[#This Row],[Divisa]]="$", I3559*1, IF(Gastos[[#This Row],[Divisa]]="U$D", I3559*$N$1, IF(Gastos[[#This Row],[Divisa]]="EUR", I3559*$N$2, 0)))</f>
        <v>1500000</v>
      </c>
      <c r="K3559" s="54">
        <f>Gastos[[#This Row],[Importe AR$]]/$N$1</f>
        <v>961.53846153846155</v>
      </c>
      <c r="M3559" s="69">
        <v>46122</v>
      </c>
      <c r="N3559" s="43">
        <f>IF(Gastos[[#This Row],[Fecha_Cheque]]&gt;0,WEEKNUM(Gastos[[#This Row],[Fecha_Cheque]]),MID(Gastos[[#This Row],[Semana]],6,2))</f>
        <v>15</v>
      </c>
      <c r="O3559" t="s">
        <v>2474</v>
      </c>
      <c r="P3559" t="s">
        <v>27</v>
      </c>
    </row>
    <row r="3560" spans="1:16" hidden="1" x14ac:dyDescent="0.25">
      <c r="A3560" s="3" t="s">
        <v>39</v>
      </c>
      <c r="B3560" t="s">
        <v>2049</v>
      </c>
      <c r="C3560" t="s">
        <v>2473</v>
      </c>
      <c r="D3560" t="s">
        <v>26</v>
      </c>
      <c r="E3560" t="s">
        <v>31</v>
      </c>
      <c r="F3560">
        <v>1</v>
      </c>
      <c r="G3560" s="3" t="s">
        <v>32</v>
      </c>
      <c r="H3560" s="44" t="s">
        <v>15</v>
      </c>
      <c r="I3560" s="17">
        <v>18589549.440000001</v>
      </c>
      <c r="J3560" s="17">
        <f>IF(Gastos[[#This Row],[Divisa]]="$", I3560*1, IF(Gastos[[#This Row],[Divisa]]="U$D", I3560*$N$1, IF(Gastos[[#This Row],[Divisa]]="EUR", I3560*$N$2, 0)))</f>
        <v>18589549.440000001</v>
      </c>
      <c r="K3560" s="54">
        <f>Gastos[[#This Row],[Importe AR$]]/$N$1</f>
        <v>11916.377846153848</v>
      </c>
      <c r="M3560" s="69">
        <v>46173</v>
      </c>
      <c r="N3560" s="43">
        <f>IF(Gastos[[#This Row],[Fecha_Cheque]]&gt;0,WEEKNUM(Gastos[[#This Row],[Fecha_Cheque]]),MID(Gastos[[#This Row],[Semana]],6,2))</f>
        <v>23</v>
      </c>
      <c r="O3560" t="s">
        <v>2673</v>
      </c>
      <c r="P3560" t="s">
        <v>27</v>
      </c>
    </row>
    <row r="3561" spans="1:16" hidden="1" x14ac:dyDescent="0.25">
      <c r="A3561" s="3" t="s">
        <v>39</v>
      </c>
      <c r="B3561" t="s">
        <v>2049</v>
      </c>
      <c r="C3561" t="s">
        <v>2473</v>
      </c>
      <c r="D3561" t="s">
        <v>26</v>
      </c>
      <c r="E3561" t="s">
        <v>31</v>
      </c>
      <c r="F3561">
        <v>1</v>
      </c>
      <c r="G3561" s="3" t="s">
        <v>32</v>
      </c>
      <c r="H3561" s="44" t="s">
        <v>15</v>
      </c>
      <c r="I3561" s="17">
        <v>18589549.440000001</v>
      </c>
      <c r="J3561" s="17">
        <f>IF(Gastos[[#This Row],[Divisa]]="$", I3561*1, IF(Gastos[[#This Row],[Divisa]]="U$D", I3561*$N$1, IF(Gastos[[#This Row],[Divisa]]="EUR", I3561*$N$2, 0)))</f>
        <v>18589549.440000001</v>
      </c>
      <c r="K3561" s="54">
        <f>Gastos[[#This Row],[Importe AR$]]/$N$1</f>
        <v>11916.377846153848</v>
      </c>
      <c r="M3561" s="69">
        <v>46203</v>
      </c>
      <c r="N3561" s="43">
        <f>IF(Gastos[[#This Row],[Fecha_Cheque]]&gt;0,WEEKNUM(Gastos[[#This Row],[Fecha_Cheque]]),MID(Gastos[[#This Row],[Semana]],6,2))</f>
        <v>27</v>
      </c>
      <c r="O3561" t="s">
        <v>2673</v>
      </c>
      <c r="P3561" t="s">
        <v>27</v>
      </c>
    </row>
    <row r="3562" spans="1:16" hidden="1" x14ac:dyDescent="0.25">
      <c r="A3562" s="3" t="s">
        <v>39</v>
      </c>
      <c r="B3562" t="s">
        <v>2049</v>
      </c>
      <c r="C3562" t="s">
        <v>2473</v>
      </c>
      <c r="D3562" t="s">
        <v>26</v>
      </c>
      <c r="E3562" t="s">
        <v>31</v>
      </c>
      <c r="F3562">
        <v>1</v>
      </c>
      <c r="G3562" s="3" t="s">
        <v>32</v>
      </c>
      <c r="H3562" s="44" t="s">
        <v>15</v>
      </c>
      <c r="I3562" s="17">
        <v>18589549.440000001</v>
      </c>
      <c r="J3562" s="17">
        <f>IF(Gastos[[#This Row],[Divisa]]="$", I3562*1, IF(Gastos[[#This Row],[Divisa]]="U$D", I3562*$N$1, IF(Gastos[[#This Row],[Divisa]]="EUR", I3562*$N$2, 0)))</f>
        <v>18589549.440000001</v>
      </c>
      <c r="K3562" s="54">
        <f>Gastos[[#This Row],[Importe AR$]]/$N$1</f>
        <v>11916.377846153848</v>
      </c>
      <c r="M3562" s="69">
        <v>46232</v>
      </c>
      <c r="N3562" s="43">
        <f>IF(Gastos[[#This Row],[Fecha_Cheque]]&gt;0,WEEKNUM(Gastos[[#This Row],[Fecha_Cheque]]),MID(Gastos[[#This Row],[Semana]],6,2))</f>
        <v>31</v>
      </c>
      <c r="O3562" t="s">
        <v>2673</v>
      </c>
      <c r="P3562" t="s">
        <v>27</v>
      </c>
    </row>
    <row r="3563" spans="1:16" hidden="1" x14ac:dyDescent="0.25">
      <c r="A3563" s="3" t="s">
        <v>39</v>
      </c>
      <c r="B3563" t="s">
        <v>2049</v>
      </c>
      <c r="C3563" t="s">
        <v>2473</v>
      </c>
      <c r="D3563" t="s">
        <v>26</v>
      </c>
      <c r="E3563" t="s">
        <v>31</v>
      </c>
      <c r="F3563">
        <v>1</v>
      </c>
      <c r="G3563" s="3" t="s">
        <v>32</v>
      </c>
      <c r="H3563" s="44" t="s">
        <v>15</v>
      </c>
      <c r="I3563" s="17">
        <v>1138135.68</v>
      </c>
      <c r="J3563" s="17">
        <f>IF(Gastos[[#This Row],[Divisa]]="$", I3563*1, IF(Gastos[[#This Row],[Divisa]]="U$D", I3563*$N$1, IF(Gastos[[#This Row],[Divisa]]="EUR", I3563*$N$2, 0)))</f>
        <v>1138135.68</v>
      </c>
      <c r="K3563" s="54">
        <f>Gastos[[#This Row],[Importe AR$]]/$N$1</f>
        <v>729.57415384615376</v>
      </c>
      <c r="L3563" t="s">
        <v>340</v>
      </c>
      <c r="M3563" s="69"/>
      <c r="N3563" s="43" t="str">
        <f>IF(Gastos[[#This Row],[Fecha_Cheque]]&gt;0,WEEKNUM(Gastos[[#This Row],[Fecha_Cheque]]),MID(Gastos[[#This Row],[Semana]],6,2))</f>
        <v>14</v>
      </c>
      <c r="O3563" t="s">
        <v>2673</v>
      </c>
      <c r="P3563" t="s">
        <v>27</v>
      </c>
    </row>
    <row r="3564" spans="1:16" hidden="1" x14ac:dyDescent="0.25">
      <c r="A3564" s="3" t="s">
        <v>332</v>
      </c>
      <c r="B3564" t="s">
        <v>2049</v>
      </c>
      <c r="C3564" t="s">
        <v>2473</v>
      </c>
      <c r="D3564" t="s">
        <v>26</v>
      </c>
      <c r="E3564" t="s">
        <v>62</v>
      </c>
      <c r="F3564">
        <v>1</v>
      </c>
      <c r="G3564" s="3" t="s">
        <v>32</v>
      </c>
      <c r="H3564" s="46" t="s">
        <v>15</v>
      </c>
      <c r="I3564" s="17">
        <v>19295390.300000001</v>
      </c>
      <c r="J3564" s="17">
        <f>IF(Gastos[[#This Row],[Divisa]]="$", I3564*1, IF(Gastos[[#This Row],[Divisa]]="U$D", I3564*$N$1, IF(Gastos[[#This Row],[Divisa]]="EUR", I3564*$N$2, 0)))</f>
        <v>19295390.300000001</v>
      </c>
      <c r="K3564" s="54">
        <f>Gastos[[#This Row],[Importe AR$]]/$N$1</f>
        <v>12368.839935897437</v>
      </c>
      <c r="M3564" s="69">
        <v>46129</v>
      </c>
      <c r="N3564" s="43">
        <f>IF(Gastos[[#This Row],[Fecha_Cheque]]&gt;0,WEEKNUM(Gastos[[#This Row],[Fecha_Cheque]]),MID(Gastos[[#This Row],[Semana]],6,2))</f>
        <v>16</v>
      </c>
      <c r="O3564" t="s">
        <v>2719</v>
      </c>
      <c r="P3564" t="s">
        <v>27</v>
      </c>
    </row>
    <row r="3565" spans="1:16" hidden="1" x14ac:dyDescent="0.25">
      <c r="A3565" s="3" t="s">
        <v>332</v>
      </c>
      <c r="B3565" t="s">
        <v>2049</v>
      </c>
      <c r="C3565" t="s">
        <v>2473</v>
      </c>
      <c r="D3565" t="s">
        <v>26</v>
      </c>
      <c r="E3565" t="s">
        <v>62</v>
      </c>
      <c r="F3565">
        <v>1</v>
      </c>
      <c r="G3565" s="3" t="s">
        <v>32</v>
      </c>
      <c r="H3565" s="46" t="s">
        <v>15</v>
      </c>
      <c r="I3565" s="17">
        <v>19295390.300000001</v>
      </c>
      <c r="J3565" s="17">
        <f>IF(Gastos[[#This Row],[Divisa]]="$", I3565*1, IF(Gastos[[#This Row],[Divisa]]="U$D", I3565*$N$1, IF(Gastos[[#This Row],[Divisa]]="EUR", I3565*$N$2, 0)))</f>
        <v>19295390.300000001</v>
      </c>
      <c r="K3565" s="54">
        <f>Gastos[[#This Row],[Importe AR$]]/$N$1</f>
        <v>12368.839935897437</v>
      </c>
      <c r="M3565" s="69">
        <v>46159</v>
      </c>
      <c r="N3565" s="43">
        <f>IF(Gastos[[#This Row],[Fecha_Cheque]]&gt;0,WEEKNUM(Gastos[[#This Row],[Fecha_Cheque]]),MID(Gastos[[#This Row],[Semana]],6,2))</f>
        <v>21</v>
      </c>
      <c r="O3565" t="s">
        <v>2719</v>
      </c>
      <c r="P3565" t="s">
        <v>27</v>
      </c>
    </row>
    <row r="3566" spans="1:16" hidden="1" x14ac:dyDescent="0.25">
      <c r="A3566" s="3" t="s">
        <v>332</v>
      </c>
      <c r="B3566" t="s">
        <v>2049</v>
      </c>
      <c r="C3566" t="s">
        <v>2473</v>
      </c>
      <c r="D3566" t="s">
        <v>26</v>
      </c>
      <c r="E3566" t="s">
        <v>62</v>
      </c>
      <c r="F3566">
        <v>1</v>
      </c>
      <c r="G3566" s="3" t="s">
        <v>32</v>
      </c>
      <c r="H3566" s="46" t="s">
        <v>15</v>
      </c>
      <c r="I3566" s="17">
        <v>19295390.300000001</v>
      </c>
      <c r="J3566" s="17">
        <f>IF(Gastos[[#This Row],[Divisa]]="$", I3566*1, IF(Gastos[[#This Row],[Divisa]]="U$D", I3566*$N$1, IF(Gastos[[#This Row],[Divisa]]="EUR", I3566*$N$2, 0)))</f>
        <v>19295390.300000001</v>
      </c>
      <c r="K3566" s="54">
        <f>Gastos[[#This Row],[Importe AR$]]/$N$1</f>
        <v>12368.839935897437</v>
      </c>
      <c r="M3566" s="69">
        <v>46190</v>
      </c>
      <c r="N3566" s="43">
        <f>IF(Gastos[[#This Row],[Fecha_Cheque]]&gt;0,WEEKNUM(Gastos[[#This Row],[Fecha_Cheque]]),MID(Gastos[[#This Row],[Semana]],6,2))</f>
        <v>25</v>
      </c>
      <c r="O3566" t="s">
        <v>2719</v>
      </c>
      <c r="P3566" t="s">
        <v>27</v>
      </c>
    </row>
    <row r="3567" spans="1:16" hidden="1" x14ac:dyDescent="0.25">
      <c r="A3567" s="3" t="s">
        <v>332</v>
      </c>
      <c r="B3567" t="s">
        <v>2049</v>
      </c>
      <c r="C3567" t="s">
        <v>2473</v>
      </c>
      <c r="D3567" t="s">
        <v>26</v>
      </c>
      <c r="E3567" t="s">
        <v>62</v>
      </c>
      <c r="F3567">
        <v>1</v>
      </c>
      <c r="G3567" s="3" t="s">
        <v>32</v>
      </c>
      <c r="H3567" s="46" t="s">
        <v>15</v>
      </c>
      <c r="I3567" s="17">
        <v>1181383.5</v>
      </c>
      <c r="J3567" s="17">
        <f>IF(Gastos[[#This Row],[Divisa]]="$", I3567*1, IF(Gastos[[#This Row],[Divisa]]="U$D", I3567*$N$1, IF(Gastos[[#This Row],[Divisa]]="EUR", I3567*$N$2, 0)))</f>
        <v>1181383.5</v>
      </c>
      <c r="K3567" s="54">
        <f>Gastos[[#This Row],[Importe AR$]]/$N$1</f>
        <v>757.29711538461538</v>
      </c>
      <c r="M3567" s="69"/>
      <c r="N3567" s="43" t="str">
        <f>IF(Gastos[[#This Row],[Fecha_Cheque]]&gt;0,WEEKNUM(Gastos[[#This Row],[Fecha_Cheque]]),MID(Gastos[[#This Row],[Semana]],6,2))</f>
        <v>12</v>
      </c>
      <c r="O3567" t="s">
        <v>2719</v>
      </c>
      <c r="P3567" t="s">
        <v>27</v>
      </c>
    </row>
    <row r="3568" spans="1:16" hidden="1" x14ac:dyDescent="0.25">
      <c r="A3568" s="3" t="s">
        <v>332</v>
      </c>
      <c r="B3568" t="s">
        <v>2049</v>
      </c>
      <c r="C3568" t="s">
        <v>2473</v>
      </c>
      <c r="D3568" t="s">
        <v>26</v>
      </c>
      <c r="E3568" t="s">
        <v>62</v>
      </c>
      <c r="F3568">
        <v>1</v>
      </c>
      <c r="G3568" s="3" t="s">
        <v>32</v>
      </c>
      <c r="H3568" s="46" t="s">
        <v>15</v>
      </c>
      <c r="I3568" s="17">
        <v>6117464.3399999999</v>
      </c>
      <c r="J3568" s="17">
        <f>IF(Gastos[[#This Row],[Divisa]]="$", I3568*1, IF(Gastos[[#This Row],[Divisa]]="U$D", I3568*$N$1, IF(Gastos[[#This Row],[Divisa]]="EUR", I3568*$N$2, 0)))</f>
        <v>6117464.3399999999</v>
      </c>
      <c r="K3568" s="54">
        <f>Gastos[[#This Row],[Importe AR$]]/$N$1</f>
        <v>3921.4515000000001</v>
      </c>
      <c r="M3568" s="69">
        <v>46129</v>
      </c>
      <c r="N3568" s="43">
        <f>IF(Gastos[[#This Row],[Fecha_Cheque]]&gt;0,WEEKNUM(Gastos[[#This Row],[Fecha_Cheque]]),MID(Gastos[[#This Row],[Semana]],6,2))</f>
        <v>16</v>
      </c>
      <c r="O3568" t="s">
        <v>2719</v>
      </c>
      <c r="P3568" t="s">
        <v>27</v>
      </c>
    </row>
    <row r="3569" spans="1:16" hidden="1" x14ac:dyDescent="0.25">
      <c r="A3569" s="3" t="s">
        <v>332</v>
      </c>
      <c r="B3569" t="s">
        <v>2049</v>
      </c>
      <c r="C3569" t="s">
        <v>2473</v>
      </c>
      <c r="D3569" t="s">
        <v>26</v>
      </c>
      <c r="E3569" t="s">
        <v>62</v>
      </c>
      <c r="F3569">
        <v>1</v>
      </c>
      <c r="G3569" s="3" t="s">
        <v>32</v>
      </c>
      <c r="H3569" s="46" t="s">
        <v>15</v>
      </c>
      <c r="I3569" s="17">
        <v>6117464.3399999999</v>
      </c>
      <c r="J3569" s="17">
        <f>IF(Gastos[[#This Row],[Divisa]]="$", I3569*1, IF(Gastos[[#This Row],[Divisa]]="U$D", I3569*$N$1, IF(Gastos[[#This Row],[Divisa]]="EUR", I3569*$N$2, 0)))</f>
        <v>6117464.3399999999</v>
      </c>
      <c r="K3569" s="54">
        <f>Gastos[[#This Row],[Importe AR$]]/$N$1</f>
        <v>3921.4515000000001</v>
      </c>
      <c r="M3569" s="69">
        <v>46159</v>
      </c>
      <c r="N3569" s="43">
        <f>IF(Gastos[[#This Row],[Fecha_Cheque]]&gt;0,WEEKNUM(Gastos[[#This Row],[Fecha_Cheque]]),MID(Gastos[[#This Row],[Semana]],6,2))</f>
        <v>21</v>
      </c>
      <c r="O3569" t="s">
        <v>2719</v>
      </c>
      <c r="P3569" t="s">
        <v>27</v>
      </c>
    </row>
    <row r="3570" spans="1:16" hidden="1" x14ac:dyDescent="0.25">
      <c r="A3570" s="3" t="s">
        <v>332</v>
      </c>
      <c r="B3570" t="s">
        <v>2049</v>
      </c>
      <c r="C3570" t="s">
        <v>2473</v>
      </c>
      <c r="D3570" t="s">
        <v>26</v>
      </c>
      <c r="E3570" t="s">
        <v>62</v>
      </c>
      <c r="F3570">
        <v>1</v>
      </c>
      <c r="G3570" s="3" t="s">
        <v>32</v>
      </c>
      <c r="H3570" s="46" t="s">
        <v>15</v>
      </c>
      <c r="I3570" s="17">
        <v>6117464.3600000003</v>
      </c>
      <c r="J3570" s="17">
        <f>IF(Gastos[[#This Row],[Divisa]]="$", I3570*1, IF(Gastos[[#This Row],[Divisa]]="U$D", I3570*$N$1, IF(Gastos[[#This Row],[Divisa]]="EUR", I3570*$N$2, 0)))</f>
        <v>6117464.3600000003</v>
      </c>
      <c r="K3570" s="54">
        <f>Gastos[[#This Row],[Importe AR$]]/$N$1</f>
        <v>3921.451512820513</v>
      </c>
      <c r="M3570" s="69">
        <v>46190</v>
      </c>
      <c r="N3570" s="43">
        <f>IF(Gastos[[#This Row],[Fecha_Cheque]]&gt;0,WEEKNUM(Gastos[[#This Row],[Fecha_Cheque]]),MID(Gastos[[#This Row],[Semana]],6,2))</f>
        <v>25</v>
      </c>
      <c r="O3570" t="s">
        <v>2719</v>
      </c>
      <c r="P3570" t="s">
        <v>27</v>
      </c>
    </row>
    <row r="3571" spans="1:16" hidden="1" x14ac:dyDescent="0.25">
      <c r="A3571" s="3" t="s">
        <v>332</v>
      </c>
      <c r="B3571" t="s">
        <v>2049</v>
      </c>
      <c r="C3571" t="s">
        <v>2473</v>
      </c>
      <c r="D3571" t="s">
        <v>26</v>
      </c>
      <c r="E3571" t="s">
        <v>62</v>
      </c>
      <c r="F3571">
        <v>1</v>
      </c>
      <c r="G3571" s="3" t="s">
        <v>32</v>
      </c>
      <c r="H3571" s="46" t="s">
        <v>15</v>
      </c>
      <c r="I3571" s="17">
        <v>369967.21</v>
      </c>
      <c r="J3571" s="17">
        <f>IF(Gastos[[#This Row],[Divisa]]="$", I3571*1, IF(Gastos[[#This Row],[Divisa]]="U$D", I3571*$N$1, IF(Gastos[[#This Row],[Divisa]]="EUR", I3571*$N$2, 0)))</f>
        <v>369967.21</v>
      </c>
      <c r="K3571" s="54">
        <f>Gastos[[#This Row],[Importe AR$]]/$N$1</f>
        <v>237.15846794871797</v>
      </c>
      <c r="M3571" s="69"/>
      <c r="N3571" s="43" t="str">
        <f>IF(Gastos[[#This Row],[Fecha_Cheque]]&gt;0,WEEKNUM(Gastos[[#This Row],[Fecha_Cheque]]),MID(Gastos[[#This Row],[Semana]],6,2))</f>
        <v>12</v>
      </c>
      <c r="O3571" t="s">
        <v>2719</v>
      </c>
      <c r="P3571" t="s">
        <v>27</v>
      </c>
    </row>
    <row r="3572" spans="1:16" hidden="1" x14ac:dyDescent="0.25">
      <c r="A3572" s="3" t="s">
        <v>2740</v>
      </c>
      <c r="B3572" t="s">
        <v>2049</v>
      </c>
      <c r="C3572" t="s">
        <v>2473</v>
      </c>
      <c r="D3572" t="s">
        <v>26</v>
      </c>
      <c r="E3572" t="s">
        <v>31</v>
      </c>
      <c r="F3572">
        <v>1</v>
      </c>
      <c r="G3572" s="3" t="s">
        <v>32</v>
      </c>
      <c r="H3572" s="46" t="s">
        <v>15</v>
      </c>
      <c r="I3572" s="17">
        <v>12103384.810000001</v>
      </c>
      <c r="J3572" s="17">
        <f>IF(Gastos[[#This Row],[Divisa]]="$", I3572*1, IF(Gastos[[#This Row],[Divisa]]="U$D", I3572*$N$1, IF(Gastos[[#This Row],[Divisa]]="EUR", I3572*$N$2, 0)))</f>
        <v>12103384.810000001</v>
      </c>
      <c r="K3572" s="54">
        <f>Gastos[[#This Row],[Importe AR$]]/$N$1</f>
        <v>7758.5800064102568</v>
      </c>
      <c r="M3572" s="69">
        <v>46189</v>
      </c>
      <c r="N3572" s="43">
        <f>IF(Gastos[[#This Row],[Fecha_Cheque]]&gt;0,WEEKNUM(Gastos[[#This Row],[Fecha_Cheque]]),MID(Gastos[[#This Row],[Semana]],6,2))</f>
        <v>25</v>
      </c>
      <c r="O3572" t="s">
        <v>3034</v>
      </c>
      <c r="P3572" t="s">
        <v>27</v>
      </c>
    </row>
    <row r="3573" spans="1:16" hidden="1" x14ac:dyDescent="0.25">
      <c r="A3573" s="3" t="s">
        <v>2740</v>
      </c>
      <c r="B3573" t="s">
        <v>2049</v>
      </c>
      <c r="C3573" t="s">
        <v>2473</v>
      </c>
      <c r="D3573" t="s">
        <v>26</v>
      </c>
      <c r="E3573" t="s">
        <v>31</v>
      </c>
      <c r="F3573">
        <v>1</v>
      </c>
      <c r="G3573" s="3" t="s">
        <v>32</v>
      </c>
      <c r="H3573" s="46" t="s">
        <v>15</v>
      </c>
      <c r="I3573" s="17">
        <v>5697428.3200000003</v>
      </c>
      <c r="J3573" s="17">
        <f>IF(Gastos[[#This Row],[Divisa]]="$", I3573*1, IF(Gastos[[#This Row],[Divisa]]="U$D", I3573*$N$1, IF(Gastos[[#This Row],[Divisa]]="EUR", I3573*$N$2, 0)))</f>
        <v>5697428.3200000003</v>
      </c>
      <c r="K3573" s="54">
        <f>Gastos[[#This Row],[Importe AR$]]/$N$1</f>
        <v>3652.1976410256411</v>
      </c>
      <c r="M3573" s="69">
        <v>46250</v>
      </c>
      <c r="N3573" s="43">
        <f>IF(Gastos[[#This Row],[Fecha_Cheque]]&gt;0,WEEKNUM(Gastos[[#This Row],[Fecha_Cheque]]),MID(Gastos[[#This Row],[Semana]],6,2))</f>
        <v>34</v>
      </c>
      <c r="O3573" t="s">
        <v>3034</v>
      </c>
      <c r="P3573" t="s">
        <v>27</v>
      </c>
    </row>
    <row r="3574" spans="1:16" hidden="1" x14ac:dyDescent="0.25">
      <c r="A3574" s="3" t="s">
        <v>2740</v>
      </c>
      <c r="B3574" t="s">
        <v>2049</v>
      </c>
      <c r="C3574" t="s">
        <v>2473</v>
      </c>
      <c r="D3574" t="s">
        <v>26</v>
      </c>
      <c r="E3574" t="s">
        <v>31</v>
      </c>
      <c r="F3574">
        <v>1</v>
      </c>
      <c r="G3574" s="3" t="s">
        <v>32</v>
      </c>
      <c r="H3574" s="46" t="s">
        <v>15</v>
      </c>
      <c r="I3574" s="17">
        <v>12103384.810000001</v>
      </c>
      <c r="J3574" s="17">
        <f>IF(Gastos[[#This Row],[Divisa]]="$", I3574*1, IF(Gastos[[#This Row],[Divisa]]="U$D", I3574*$N$1, IF(Gastos[[#This Row],[Divisa]]="EUR", I3574*$N$2, 0)))</f>
        <v>12103384.810000001</v>
      </c>
      <c r="K3574" s="54">
        <f>Gastos[[#This Row],[Importe AR$]]/$N$1</f>
        <v>7758.5800064102568</v>
      </c>
      <c r="M3574" s="69">
        <v>46219</v>
      </c>
      <c r="N3574" s="43">
        <f>IF(Gastos[[#This Row],[Fecha_Cheque]]&gt;0,WEEKNUM(Gastos[[#This Row],[Fecha_Cheque]]),MID(Gastos[[#This Row],[Semana]],6,2))</f>
        <v>29</v>
      </c>
      <c r="O3574" t="s">
        <v>3034</v>
      </c>
      <c r="P3574" t="s">
        <v>27</v>
      </c>
    </row>
    <row r="3575" spans="1:16" hidden="1" x14ac:dyDescent="0.25">
      <c r="A3575" s="3" t="s">
        <v>2740</v>
      </c>
      <c r="B3575" t="s">
        <v>2049</v>
      </c>
      <c r="C3575" t="s">
        <v>2473</v>
      </c>
      <c r="D3575" t="s">
        <v>26</v>
      </c>
      <c r="E3575" t="s">
        <v>31</v>
      </c>
      <c r="F3575">
        <v>1</v>
      </c>
      <c r="G3575" s="3" t="s">
        <v>32</v>
      </c>
      <c r="H3575" s="46" t="s">
        <v>15</v>
      </c>
      <c r="I3575" s="17">
        <v>701454.5</v>
      </c>
      <c r="J3575" s="17">
        <f>IF(Gastos[[#This Row],[Divisa]]="$", I3575*1, IF(Gastos[[#This Row],[Divisa]]="U$D", I3575*$N$1, IF(Gastos[[#This Row],[Divisa]]="EUR", I3575*$N$2, 0)))</f>
        <v>701454.5</v>
      </c>
      <c r="K3575" s="54">
        <f>Gastos[[#This Row],[Importe AR$]]/$N$1</f>
        <v>449.65032051282049</v>
      </c>
      <c r="L3575" t="s">
        <v>340</v>
      </c>
      <c r="M3575" s="69"/>
      <c r="N3575" s="43" t="str">
        <f>IF(Gastos[[#This Row],[Fecha_Cheque]]&gt;0,WEEKNUM(Gastos[[#This Row],[Fecha_Cheque]]),MID(Gastos[[#This Row],[Semana]],6,2))</f>
        <v>16</v>
      </c>
      <c r="O3575" t="s">
        <v>3034</v>
      </c>
      <c r="P3575" t="s">
        <v>27</v>
      </c>
    </row>
    <row r="3576" spans="1:16" hidden="1" x14ac:dyDescent="0.25">
      <c r="A3576" s="3" t="s">
        <v>2731</v>
      </c>
      <c r="B3576" t="s">
        <v>2049</v>
      </c>
      <c r="C3576" t="s">
        <v>2473</v>
      </c>
      <c r="D3576" t="s">
        <v>26</v>
      </c>
      <c r="E3576" t="s">
        <v>31</v>
      </c>
      <c r="F3576">
        <v>1</v>
      </c>
      <c r="G3576" s="3" t="s">
        <v>32</v>
      </c>
      <c r="H3576" s="46" t="s">
        <v>15</v>
      </c>
      <c r="I3576" s="17">
        <v>12103384.810000001</v>
      </c>
      <c r="J3576" s="17">
        <f>IF(Gastos[[#This Row],[Divisa]]="$", I3576*1, IF(Gastos[[#This Row],[Divisa]]="U$D", I3576*$N$1, IF(Gastos[[#This Row],[Divisa]]="EUR", I3576*$N$2, 0)))</f>
        <v>12103384.810000001</v>
      </c>
      <c r="K3576" s="54">
        <f>Gastos[[#This Row],[Importe AR$]]/$N$1</f>
        <v>7758.5800064102568</v>
      </c>
      <c r="M3576" s="69">
        <v>46158</v>
      </c>
      <c r="N3576" s="43">
        <f>IF(Gastos[[#This Row],[Fecha_Cheque]]&gt;0,WEEKNUM(Gastos[[#This Row],[Fecha_Cheque]]),MID(Gastos[[#This Row],[Semana]],6,2))</f>
        <v>20</v>
      </c>
      <c r="O3576" t="s">
        <v>3034</v>
      </c>
      <c r="P3576" t="s">
        <v>27</v>
      </c>
    </row>
    <row r="3577" spans="1:16" hidden="1" x14ac:dyDescent="0.25">
      <c r="A3577" s="3" t="s">
        <v>2804</v>
      </c>
      <c r="B3577" t="s">
        <v>2049</v>
      </c>
      <c r="C3577" t="s">
        <v>2473</v>
      </c>
      <c r="D3577" t="s">
        <v>26</v>
      </c>
      <c r="E3577" t="s">
        <v>62</v>
      </c>
      <c r="F3577">
        <v>1</v>
      </c>
      <c r="G3577" s="3" t="s">
        <v>32</v>
      </c>
      <c r="H3577" s="46" t="s">
        <v>15</v>
      </c>
      <c r="I3577" s="17">
        <v>5012987.83</v>
      </c>
      <c r="J3577" s="17">
        <f>IF(Gastos[[#This Row],[Divisa]]="$", I3577*1, IF(Gastos[[#This Row],[Divisa]]="U$D", I3577*$N$1, IF(Gastos[[#This Row],[Divisa]]="EUR", I3577*$N$2, 0)))</f>
        <v>5012987.83</v>
      </c>
      <c r="K3577" s="54">
        <f>Gastos[[#This Row],[Importe AR$]]/$N$1</f>
        <v>3213.4537371794872</v>
      </c>
      <c r="M3577" s="69">
        <v>46193</v>
      </c>
      <c r="N3577" s="43">
        <f>IF(Gastos[[#This Row],[Fecha_Cheque]]&gt;0,WEEKNUM(Gastos[[#This Row],[Fecha_Cheque]]),MID(Gastos[[#This Row],[Semana]],6,2))</f>
        <v>25</v>
      </c>
      <c r="O3577" t="s">
        <v>3181</v>
      </c>
      <c r="P3577" t="s">
        <v>27</v>
      </c>
    </row>
    <row r="3578" spans="1:16" hidden="1" x14ac:dyDescent="0.25">
      <c r="A3578" s="3" t="s">
        <v>2804</v>
      </c>
      <c r="B3578" t="s">
        <v>2049</v>
      </c>
      <c r="C3578" t="s">
        <v>2473</v>
      </c>
      <c r="D3578" t="s">
        <v>26</v>
      </c>
      <c r="E3578" t="s">
        <v>62</v>
      </c>
      <c r="F3578">
        <v>1</v>
      </c>
      <c r="G3578" s="3" t="s">
        <v>32</v>
      </c>
      <c r="H3578" s="46" t="s">
        <v>15</v>
      </c>
      <c r="I3578" s="17">
        <v>95779.76</v>
      </c>
      <c r="J3578" s="17">
        <f>IF(Gastos[[#This Row],[Divisa]]="$", I3578*1, IF(Gastos[[#This Row],[Divisa]]="U$D", I3578*$N$1, IF(Gastos[[#This Row],[Divisa]]="EUR", I3578*$N$2, 0)))</f>
        <v>95779.76</v>
      </c>
      <c r="K3578" s="54">
        <f>Gastos[[#This Row],[Importe AR$]]/$N$1</f>
        <v>61.397282051282048</v>
      </c>
      <c r="L3578" t="s">
        <v>340</v>
      </c>
      <c r="M3578" s="69"/>
      <c r="N3578" s="43" t="str">
        <f>IF(Gastos[[#This Row],[Fecha_Cheque]]&gt;0,WEEKNUM(Gastos[[#This Row],[Fecha_Cheque]]),MID(Gastos[[#This Row],[Semana]],6,2))</f>
        <v>19</v>
      </c>
      <c r="O3578" t="s">
        <v>3181</v>
      </c>
      <c r="P3578" t="s">
        <v>27</v>
      </c>
    </row>
    <row r="3579" spans="1:16" hidden="1" x14ac:dyDescent="0.25">
      <c r="A3579" s="3" t="s">
        <v>2841</v>
      </c>
      <c r="B3579" t="s">
        <v>2049</v>
      </c>
      <c r="C3579" t="s">
        <v>2473</v>
      </c>
      <c r="D3579" t="s">
        <v>26</v>
      </c>
      <c r="E3579" t="s">
        <v>31</v>
      </c>
      <c r="F3579">
        <v>1</v>
      </c>
      <c r="G3579" s="3" t="s">
        <v>32</v>
      </c>
      <c r="H3579" s="44" t="s">
        <v>15</v>
      </c>
      <c r="I3579" s="17">
        <v>1000000</v>
      </c>
      <c r="J3579" s="17">
        <f>IF(Gastos[[#This Row],[Divisa]]="$", I3579*1, IF(Gastos[[#This Row],[Divisa]]="U$D", I3579*$N$1, IF(Gastos[[#This Row],[Divisa]]="EUR", I3579*$N$2, 0)))</f>
        <v>1000000</v>
      </c>
      <c r="K3579" s="54">
        <f>Gastos[[#This Row],[Importe AR$]]/$N$1</f>
        <v>641.02564102564099</v>
      </c>
      <c r="M3579" s="69">
        <v>46208</v>
      </c>
      <c r="N3579" s="43">
        <f>IF(Gastos[[#This Row],[Fecha_Cheque]]&gt;0,WEEKNUM(Gastos[[#This Row],[Fecha_Cheque]]),MID(Gastos[[#This Row],[Semana]],6,2))</f>
        <v>28</v>
      </c>
      <c r="O3579" t="s">
        <v>3313</v>
      </c>
      <c r="P3579" t="s">
        <v>27</v>
      </c>
    </row>
    <row r="3580" spans="1:16" hidden="1" x14ac:dyDescent="0.25">
      <c r="A3580" s="3" t="s">
        <v>2841</v>
      </c>
      <c r="B3580" t="s">
        <v>2049</v>
      </c>
      <c r="C3580" t="s">
        <v>2473</v>
      </c>
      <c r="D3580" t="s">
        <v>26</v>
      </c>
      <c r="E3580" t="s">
        <v>31</v>
      </c>
      <c r="F3580">
        <v>1</v>
      </c>
      <c r="G3580" s="3" t="s">
        <v>32</v>
      </c>
      <c r="H3580" s="44" t="s">
        <v>15</v>
      </c>
      <c r="I3580" s="17">
        <v>2792000</v>
      </c>
      <c r="J3580" s="17">
        <f>IF(Gastos[[#This Row],[Divisa]]="$", I3580*1, IF(Gastos[[#This Row],[Divisa]]="U$D", I3580*$N$1, IF(Gastos[[#This Row],[Divisa]]="EUR", I3580*$N$2, 0)))</f>
        <v>2792000</v>
      </c>
      <c r="K3580" s="54">
        <f>Gastos[[#This Row],[Importe AR$]]/$N$1</f>
        <v>1789.7435897435898</v>
      </c>
      <c r="M3580" s="69">
        <v>46200</v>
      </c>
      <c r="N3580" s="43">
        <f>IF(Gastos[[#This Row],[Fecha_Cheque]]&gt;0,WEEKNUM(Gastos[[#This Row],[Fecha_Cheque]]),MID(Gastos[[#This Row],[Semana]],6,2))</f>
        <v>26</v>
      </c>
      <c r="O3580" t="s">
        <v>3313</v>
      </c>
      <c r="P3580" t="s">
        <v>27</v>
      </c>
    </row>
    <row r="3581" spans="1:16" hidden="1" x14ac:dyDescent="0.25">
      <c r="A3581" s="3" t="s">
        <v>2841</v>
      </c>
      <c r="B3581" t="s">
        <v>2049</v>
      </c>
      <c r="C3581" t="s">
        <v>2473</v>
      </c>
      <c r="D3581" t="s">
        <v>26</v>
      </c>
      <c r="E3581" t="s">
        <v>31</v>
      </c>
      <c r="F3581">
        <v>1</v>
      </c>
      <c r="G3581" s="3" t="s">
        <v>32</v>
      </c>
      <c r="H3581" s="44" t="s">
        <v>15</v>
      </c>
      <c r="I3581" s="17">
        <v>75840</v>
      </c>
      <c r="J3581" s="17">
        <f>IF(Gastos[[#This Row],[Divisa]]="$", I3581*1, IF(Gastos[[#This Row],[Divisa]]="U$D", I3581*$N$1, IF(Gastos[[#This Row],[Divisa]]="EUR", I3581*$N$2, 0)))</f>
        <v>75840</v>
      </c>
      <c r="K3581" s="54">
        <f>Gastos[[#This Row],[Importe AR$]]/$N$1</f>
        <v>48.615384615384613</v>
      </c>
      <c r="L3581" t="s">
        <v>340</v>
      </c>
      <c r="M3581" s="69"/>
      <c r="N3581" s="43" t="str">
        <f>IF(Gastos[[#This Row],[Fecha_Cheque]]&gt;0,WEEKNUM(Gastos[[#This Row],[Fecha_Cheque]]),MID(Gastos[[#This Row],[Semana]],6,2))</f>
        <v>22</v>
      </c>
      <c r="O3581" t="s">
        <v>3313</v>
      </c>
      <c r="P3581" t="s">
        <v>27</v>
      </c>
    </row>
    <row r="3582" spans="1:16" hidden="1" x14ac:dyDescent="0.25">
      <c r="A3582" s="3" t="s">
        <v>3817</v>
      </c>
      <c r="B3582" t="s">
        <v>2049</v>
      </c>
      <c r="C3582" t="s">
        <v>2473</v>
      </c>
      <c r="D3582" t="s">
        <v>26</v>
      </c>
      <c r="E3582" t="s">
        <v>62</v>
      </c>
      <c r="F3582">
        <v>1</v>
      </c>
      <c r="G3582" s="3" t="s">
        <v>32</v>
      </c>
      <c r="H3582" s="46" t="s">
        <v>15</v>
      </c>
      <c r="I3582" s="17">
        <v>5112965.3600000003</v>
      </c>
      <c r="J3582" s="17">
        <f>IF(Gastos[[#This Row],[Divisa]]="$", I3582*1, IF(Gastos[[#This Row],[Divisa]]="U$D", I3582*$N$1, IF(Gastos[[#This Row],[Divisa]]="EUR", I3582*$N$2, 0)))</f>
        <v>5112965.3600000003</v>
      </c>
      <c r="K3582" s="54">
        <f>Gastos[[#This Row],[Importe AR$]]/$N$1</f>
        <v>3277.5418974358977</v>
      </c>
      <c r="M3582" s="69">
        <v>46263</v>
      </c>
      <c r="N3582" s="43">
        <f>IF(Gastos[[#This Row],[Fecha_Cheque]]&gt;0,WEEKNUM(Gastos[[#This Row],[Fecha_Cheque]]),MID(Gastos[[#This Row],[Semana]],6,2))</f>
        <v>35</v>
      </c>
      <c r="O3582" t="s">
        <v>3734</v>
      </c>
      <c r="P3582" t="s">
        <v>27</v>
      </c>
    </row>
    <row r="3583" spans="1:16" hidden="1" x14ac:dyDescent="0.25">
      <c r="A3583" s="3" t="s">
        <v>3817</v>
      </c>
      <c r="B3583" t="s">
        <v>2049</v>
      </c>
      <c r="C3583" t="s">
        <v>2473</v>
      </c>
      <c r="D3583" t="s">
        <v>26</v>
      </c>
      <c r="E3583" t="s">
        <v>62</v>
      </c>
      <c r="F3583">
        <v>1</v>
      </c>
      <c r="G3583" s="3" t="s">
        <v>32</v>
      </c>
      <c r="H3583" s="46" t="s">
        <v>15</v>
      </c>
      <c r="I3583" s="17">
        <v>97779.31</v>
      </c>
      <c r="J3583" s="17">
        <f>IF(Gastos[[#This Row],[Divisa]]="$", I3583*1, IF(Gastos[[#This Row],[Divisa]]="U$D", I3583*$N$1, IF(Gastos[[#This Row],[Divisa]]="EUR", I3583*$N$2, 0)))</f>
        <v>97779.31</v>
      </c>
      <c r="K3583" s="54">
        <f>Gastos[[#This Row],[Importe AR$]]/$N$1</f>
        <v>62.679044871794872</v>
      </c>
      <c r="L3583" t="s">
        <v>340</v>
      </c>
      <c r="M3583" s="69"/>
      <c r="N3583" s="43" t="str">
        <f>IF(Gastos[[#This Row],[Fecha_Cheque]]&gt;0,WEEKNUM(Gastos[[#This Row],[Fecha_Cheque]]),MID(Gastos[[#This Row],[Semana]],6,2))</f>
        <v>30</v>
      </c>
      <c r="O3583" t="s">
        <v>3734</v>
      </c>
      <c r="P3583" t="s">
        <v>27</v>
      </c>
    </row>
    <row r="3584" spans="1:16" hidden="1" x14ac:dyDescent="0.25">
      <c r="A3584" s="3" t="s">
        <v>4005</v>
      </c>
      <c r="B3584" t="s">
        <v>2049</v>
      </c>
      <c r="C3584" t="s">
        <v>2473</v>
      </c>
      <c r="D3584" t="s">
        <v>26</v>
      </c>
      <c r="E3584" t="s">
        <v>62</v>
      </c>
      <c r="F3584">
        <v>1</v>
      </c>
      <c r="G3584" s="3" t="s">
        <v>32</v>
      </c>
      <c r="H3584" s="46" t="s">
        <v>15</v>
      </c>
      <c r="I3584" s="17">
        <v>2000000</v>
      </c>
      <c r="J3584" s="17">
        <f>IF(Gastos[[#This Row],[Divisa]]="$", I3584*1, IF(Gastos[[#This Row],[Divisa]]="U$D", I3584*$N$1, IF(Gastos[[#This Row],[Divisa]]="EUR", I3584*$N$2, 0)))</f>
        <v>2000000</v>
      </c>
      <c r="K3584" s="54">
        <f>Gastos[[#This Row],[Importe AR$]]/$N$1</f>
        <v>1282.051282051282</v>
      </c>
      <c r="M3584" s="69">
        <v>46291</v>
      </c>
      <c r="N3584" s="43">
        <f>IF(Gastos[[#This Row],[Fecha_Cheque]]&gt;0,WEEKNUM(Gastos[[#This Row],[Fecha_Cheque]]),MID(Gastos[[#This Row],[Semana]],6,2))</f>
        <v>39</v>
      </c>
      <c r="O3584" t="s">
        <v>4039</v>
      </c>
      <c r="P3584" t="s">
        <v>27</v>
      </c>
    </row>
    <row r="3585" spans="1:16" hidden="1" x14ac:dyDescent="0.25">
      <c r="A3585" s="3" t="s">
        <v>4005</v>
      </c>
      <c r="B3585" t="s">
        <v>2049</v>
      </c>
      <c r="C3585" t="s">
        <v>2473</v>
      </c>
      <c r="D3585" t="s">
        <v>26</v>
      </c>
      <c r="E3585" t="s">
        <v>62</v>
      </c>
      <c r="F3585">
        <v>1</v>
      </c>
      <c r="G3585" s="3" t="s">
        <v>32</v>
      </c>
      <c r="H3585" s="46" t="s">
        <v>15</v>
      </c>
      <c r="I3585" s="17">
        <v>3578430</v>
      </c>
      <c r="J3585" s="17">
        <f>IF(Gastos[[#This Row],[Divisa]]="$", I3585*1, IF(Gastos[[#This Row],[Divisa]]="U$D", I3585*$N$1, IF(Gastos[[#This Row],[Divisa]]="EUR", I3585*$N$2, 0)))</f>
        <v>3578430</v>
      </c>
      <c r="K3585" s="54">
        <f>Gastos[[#This Row],[Importe AR$]]/$N$1</f>
        <v>2293.8653846153848</v>
      </c>
      <c r="M3585" s="69">
        <v>46268</v>
      </c>
      <c r="N3585" s="43">
        <f>IF(Gastos[[#This Row],[Fecha_Cheque]]&gt;0,WEEKNUM(Gastos[[#This Row],[Fecha_Cheque]]),MID(Gastos[[#This Row],[Semana]],6,2))</f>
        <v>36</v>
      </c>
      <c r="O3585" t="s">
        <v>4039</v>
      </c>
      <c r="P3585" t="s">
        <v>27</v>
      </c>
    </row>
    <row r="3586" spans="1:16" hidden="1" x14ac:dyDescent="0.25">
      <c r="A3586" s="3" t="s">
        <v>4005</v>
      </c>
      <c r="B3586" t="s">
        <v>2049</v>
      </c>
      <c r="C3586" t="s">
        <v>2473</v>
      </c>
      <c r="D3586" t="s">
        <v>26</v>
      </c>
      <c r="E3586" t="s">
        <v>62</v>
      </c>
      <c r="F3586">
        <v>1</v>
      </c>
      <c r="G3586" s="3" t="s">
        <v>32</v>
      </c>
      <c r="H3586" s="46" t="s">
        <v>15</v>
      </c>
      <c r="I3586" s="17">
        <v>88688.6</v>
      </c>
      <c r="J3586" s="17">
        <f>IF(Gastos[[#This Row],[Divisa]]="$", I3586*1, IF(Gastos[[#This Row],[Divisa]]="U$D", I3586*$N$1, IF(Gastos[[#This Row],[Divisa]]="EUR", I3586*$N$2, 0)))</f>
        <v>88688.6</v>
      </c>
      <c r="K3586" s="54">
        <f>Gastos[[#This Row],[Importe AR$]]/$N$1</f>
        <v>56.851666666666674</v>
      </c>
      <c r="L3586" t="s">
        <v>340</v>
      </c>
      <c r="M3586" s="69"/>
      <c r="N3586" s="43" t="str">
        <f>IF(Gastos[[#This Row],[Fecha_Cheque]]&gt;0,WEEKNUM(Gastos[[#This Row],[Fecha_Cheque]]),MID(Gastos[[#This Row],[Semana]],6,2))</f>
        <v>33</v>
      </c>
      <c r="O3586" t="s">
        <v>4039</v>
      </c>
      <c r="P3586" t="s">
        <v>27</v>
      </c>
    </row>
    <row r="3587" spans="1:16" hidden="1" x14ac:dyDescent="0.25">
      <c r="A3587" s="3" t="s">
        <v>4119</v>
      </c>
      <c r="B3587" t="s">
        <v>2049</v>
      </c>
      <c r="C3587" t="s">
        <v>2473</v>
      </c>
      <c r="D3587" t="s">
        <v>26</v>
      </c>
      <c r="E3587" t="s">
        <v>62</v>
      </c>
      <c r="F3587">
        <v>1</v>
      </c>
      <c r="G3587" s="3" t="s">
        <v>32</v>
      </c>
      <c r="H3587" s="46" t="s">
        <v>15</v>
      </c>
      <c r="I3587" s="17">
        <v>3000000</v>
      </c>
      <c r="J3587" s="17">
        <f>IF(Gastos[[#This Row],[Divisa]]="$", I3587*1, IF(Gastos[[#This Row],[Divisa]]="U$D", I3587*$N$1, IF(Gastos[[#This Row],[Divisa]]="EUR", I3587*$N$2, 0)))</f>
        <v>3000000</v>
      </c>
      <c r="K3587" s="54">
        <f>Gastos[[#This Row],[Importe AR$]]/$N$1</f>
        <v>1923.0769230769231</v>
      </c>
      <c r="M3587" s="69">
        <v>46313</v>
      </c>
      <c r="N3587" s="43">
        <f>IF(Gastos[[#This Row],[Fecha_Cheque]]&gt;0,WEEKNUM(Gastos[[#This Row],[Fecha_Cheque]]),MID(Gastos[[#This Row],[Semana]],6,2))</f>
        <v>43</v>
      </c>
      <c r="O3587" t="s">
        <v>4116</v>
      </c>
      <c r="P3587" t="s">
        <v>27</v>
      </c>
    </row>
    <row r="3588" spans="1:16" hidden="1" x14ac:dyDescent="0.25">
      <c r="A3588" s="3" t="s">
        <v>4119</v>
      </c>
      <c r="B3588" t="s">
        <v>2049</v>
      </c>
      <c r="C3588" t="s">
        <v>2473</v>
      </c>
      <c r="D3588" t="s">
        <v>26</v>
      </c>
      <c r="E3588" t="s">
        <v>62</v>
      </c>
      <c r="F3588">
        <v>1</v>
      </c>
      <c r="G3588" s="3" t="s">
        <v>32</v>
      </c>
      <c r="H3588" s="46" t="s">
        <v>15</v>
      </c>
      <c r="I3588" s="17">
        <v>8991461.5999999996</v>
      </c>
      <c r="J3588" s="17">
        <f>IF(Gastos[[#This Row],[Divisa]]="$", I3588*1, IF(Gastos[[#This Row],[Divisa]]="U$D", I3588*$N$1, IF(Gastos[[#This Row],[Divisa]]="EUR", I3588*$N$2, 0)))</f>
        <v>8991461.5999999996</v>
      </c>
      <c r="K3588" s="54">
        <f>Gastos[[#This Row],[Importe AR$]]/$N$1</f>
        <v>5763.7574358974352</v>
      </c>
      <c r="M3588" s="69">
        <v>46274</v>
      </c>
      <c r="N3588" s="43">
        <f>IF(Gastos[[#This Row],[Fecha_Cheque]]&gt;0,WEEKNUM(Gastos[[#This Row],[Fecha_Cheque]]),MID(Gastos[[#This Row],[Semana]],6,2))</f>
        <v>37</v>
      </c>
      <c r="O3588" t="s">
        <v>4116</v>
      </c>
      <c r="P3588" t="s">
        <v>27</v>
      </c>
    </row>
    <row r="3589" spans="1:16" hidden="1" x14ac:dyDescent="0.25">
      <c r="A3589" s="3" t="s">
        <v>4119</v>
      </c>
      <c r="B3589" t="s">
        <v>2049</v>
      </c>
      <c r="C3589" t="s">
        <v>2473</v>
      </c>
      <c r="D3589" t="s">
        <v>26</v>
      </c>
      <c r="E3589" t="s">
        <v>62</v>
      </c>
      <c r="F3589">
        <v>1</v>
      </c>
      <c r="G3589" s="3" t="s">
        <v>32</v>
      </c>
      <c r="H3589" s="46" t="s">
        <v>15</v>
      </c>
      <c r="I3589" s="17">
        <v>4000000</v>
      </c>
      <c r="J3589" s="17">
        <f>IF(Gastos[[#This Row],[Divisa]]="$", I3589*1, IF(Gastos[[#This Row],[Divisa]]="U$D", I3589*$N$1, IF(Gastos[[#This Row],[Divisa]]="EUR", I3589*$N$2, 0)))</f>
        <v>4000000</v>
      </c>
      <c r="K3589" s="54">
        <f>Gastos[[#This Row],[Importe AR$]]/$N$1</f>
        <v>2564.102564102564</v>
      </c>
      <c r="M3589" s="69">
        <v>46310</v>
      </c>
      <c r="N3589" s="43">
        <f>IF(Gastos[[#This Row],[Fecha_Cheque]]&gt;0,WEEKNUM(Gastos[[#This Row],[Fecha_Cheque]]),MID(Gastos[[#This Row],[Semana]],6,2))</f>
        <v>42</v>
      </c>
      <c r="O3589" t="s">
        <v>4116</v>
      </c>
      <c r="P3589" t="s">
        <v>27</v>
      </c>
    </row>
    <row r="3590" spans="1:16" hidden="1" x14ac:dyDescent="0.25">
      <c r="A3590" s="3" t="s">
        <v>4119</v>
      </c>
      <c r="B3590" t="s">
        <v>2049</v>
      </c>
      <c r="C3590" t="s">
        <v>2473</v>
      </c>
      <c r="D3590" t="s">
        <v>26</v>
      </c>
      <c r="E3590" t="s">
        <v>62</v>
      </c>
      <c r="F3590">
        <v>1</v>
      </c>
      <c r="G3590" s="3" t="s">
        <v>32</v>
      </c>
      <c r="H3590" s="46" t="s">
        <v>15</v>
      </c>
      <c r="I3590" s="17">
        <v>4000000</v>
      </c>
      <c r="J3590" s="17">
        <f>IF(Gastos[[#This Row],[Divisa]]="$", I3590*1, IF(Gastos[[#This Row],[Divisa]]="U$D", I3590*$N$1, IF(Gastos[[#This Row],[Divisa]]="EUR", I3590*$N$2, 0)))</f>
        <v>4000000</v>
      </c>
      <c r="K3590" s="54">
        <f>Gastos[[#This Row],[Importe AR$]]/$N$1</f>
        <v>2564.102564102564</v>
      </c>
      <c r="M3590" s="69">
        <v>46317</v>
      </c>
      <c r="N3590" s="43">
        <f>IF(Gastos[[#This Row],[Fecha_Cheque]]&gt;0,WEEKNUM(Gastos[[#This Row],[Fecha_Cheque]]),MID(Gastos[[#This Row],[Semana]],6,2))</f>
        <v>43</v>
      </c>
      <c r="O3590" t="s">
        <v>4116</v>
      </c>
      <c r="P3590" t="s">
        <v>27</v>
      </c>
    </row>
    <row r="3591" spans="1:16" hidden="1" x14ac:dyDescent="0.25">
      <c r="A3591" s="3" t="s">
        <v>4119</v>
      </c>
      <c r="B3591" t="s">
        <v>2049</v>
      </c>
      <c r="C3591" t="s">
        <v>2473</v>
      </c>
      <c r="D3591" t="s">
        <v>26</v>
      </c>
      <c r="E3591" t="s">
        <v>62</v>
      </c>
      <c r="F3591">
        <v>1</v>
      </c>
      <c r="G3591" s="3" t="s">
        <v>32</v>
      </c>
      <c r="H3591" s="46" t="s">
        <v>15</v>
      </c>
      <c r="I3591" s="17">
        <v>395349.23</v>
      </c>
      <c r="J3591" s="17">
        <f>IF(Gastos[[#This Row],[Divisa]]="$", I3591*1, IF(Gastos[[#This Row],[Divisa]]="U$D", I3591*$N$1, IF(Gastos[[#This Row],[Divisa]]="EUR", I3591*$N$2, 0)))</f>
        <v>395349.23</v>
      </c>
      <c r="K3591" s="54">
        <f>Gastos[[#This Row],[Importe AR$]]/$N$1</f>
        <v>253.42899358974358</v>
      </c>
      <c r="L3591" t="s">
        <v>340</v>
      </c>
      <c r="M3591" s="69"/>
      <c r="N3591" s="43" t="str">
        <f>IF(Gastos[[#This Row],[Fecha_Cheque]]&gt;0,WEEKNUM(Gastos[[#This Row],[Fecha_Cheque]]),MID(Gastos[[#This Row],[Semana]],6,2))</f>
        <v>35</v>
      </c>
      <c r="O3591" t="s">
        <v>4116</v>
      </c>
      <c r="P3591" t="s">
        <v>27</v>
      </c>
    </row>
    <row r="3592" spans="1:16" hidden="1" x14ac:dyDescent="0.25">
      <c r="A3592" s="3" t="s">
        <v>4409</v>
      </c>
      <c r="B3592" t="s">
        <v>2049</v>
      </c>
      <c r="C3592" t="s">
        <v>2473</v>
      </c>
      <c r="D3592" t="s">
        <v>61</v>
      </c>
      <c r="E3592" t="s">
        <v>62</v>
      </c>
      <c r="F3592">
        <v>1</v>
      </c>
      <c r="G3592" s="3" t="s">
        <v>32</v>
      </c>
      <c r="H3592" s="46" t="s">
        <v>15</v>
      </c>
      <c r="I3592" s="17">
        <v>5000000</v>
      </c>
      <c r="J3592" s="17">
        <f>IF(Gastos[[#This Row],[Divisa]]="$", I3592*1, IF(Gastos[[#This Row],[Divisa]]="U$D", I3592*$N$1, IF(Gastos[[#This Row],[Divisa]]="EUR", I3592*$N$2, 0)))</f>
        <v>5000000</v>
      </c>
      <c r="K3592" s="54">
        <f>Gastos[[#This Row],[Importe AR$]]/$N$1</f>
        <v>3205.1282051282051</v>
      </c>
      <c r="M3592" s="69">
        <v>46336</v>
      </c>
      <c r="N3592" s="43">
        <f>IF(Gastos[[#This Row],[Fecha_Cheque]]&gt;0,WEEKNUM(Gastos[[#This Row],[Fecha_Cheque]]),MID(Gastos[[#This Row],[Semana]],6,2))</f>
        <v>46</v>
      </c>
      <c r="O3592" t="s">
        <v>4444</v>
      </c>
      <c r="P3592" t="s">
        <v>27</v>
      </c>
    </row>
    <row r="3593" spans="1:16" hidden="1" x14ac:dyDescent="0.25">
      <c r="A3593" s="3" t="s">
        <v>4409</v>
      </c>
      <c r="B3593" t="s">
        <v>2049</v>
      </c>
      <c r="C3593" t="s">
        <v>2473</v>
      </c>
      <c r="D3593" t="s">
        <v>61</v>
      </c>
      <c r="E3593" t="s">
        <v>62</v>
      </c>
      <c r="F3593">
        <v>1</v>
      </c>
      <c r="G3593" s="3" t="s">
        <v>32</v>
      </c>
      <c r="H3593" s="46" t="s">
        <v>15</v>
      </c>
      <c r="I3593" s="17">
        <v>400000</v>
      </c>
      <c r="J3593" s="17">
        <f>IF(Gastos[[#This Row],[Divisa]]="$", I3593*1, IF(Gastos[[#This Row],[Divisa]]="U$D", I3593*$N$1, IF(Gastos[[#This Row],[Divisa]]="EUR", I3593*$N$2, 0)))</f>
        <v>400000</v>
      </c>
      <c r="K3593" s="54">
        <f>Gastos[[#This Row],[Importe AR$]]/$N$1</f>
        <v>256.41025641025641</v>
      </c>
      <c r="M3593" s="69">
        <v>46340</v>
      </c>
      <c r="N3593" s="43">
        <f>IF(Gastos[[#This Row],[Fecha_Cheque]]&gt;0,WEEKNUM(Gastos[[#This Row],[Fecha_Cheque]]),MID(Gastos[[#This Row],[Semana]],6,2))</f>
        <v>46</v>
      </c>
      <c r="O3593" t="s">
        <v>4444</v>
      </c>
      <c r="P3593" t="s">
        <v>27</v>
      </c>
    </row>
    <row r="3594" spans="1:16" hidden="1" x14ac:dyDescent="0.25">
      <c r="A3594" s="3" t="s">
        <v>4409</v>
      </c>
      <c r="B3594" t="s">
        <v>2049</v>
      </c>
      <c r="C3594" t="s">
        <v>2473</v>
      </c>
      <c r="D3594" t="s">
        <v>61</v>
      </c>
      <c r="E3594" t="s">
        <v>62</v>
      </c>
      <c r="F3594">
        <v>1</v>
      </c>
      <c r="G3594" s="3" t="s">
        <v>32</v>
      </c>
      <c r="H3594" s="46" t="s">
        <v>15</v>
      </c>
      <c r="I3594" s="17">
        <v>2628000</v>
      </c>
      <c r="J3594" s="17">
        <f>IF(Gastos[[#This Row],[Divisa]]="$", I3594*1, IF(Gastos[[#This Row],[Divisa]]="U$D", I3594*$N$1, IF(Gastos[[#This Row],[Divisa]]="EUR", I3594*$N$2, 0)))</f>
        <v>2628000</v>
      </c>
      <c r="K3594" s="54">
        <f>Gastos[[#This Row],[Importe AR$]]/$N$1</f>
        <v>1684.6153846153845</v>
      </c>
      <c r="M3594" s="69">
        <v>46339</v>
      </c>
      <c r="N3594" s="43">
        <f>IF(Gastos[[#This Row],[Fecha_Cheque]]&gt;0,WEEKNUM(Gastos[[#This Row],[Fecha_Cheque]]),MID(Gastos[[#This Row],[Semana]],6,2))</f>
        <v>46</v>
      </c>
      <c r="O3594" t="s">
        <v>4444</v>
      </c>
      <c r="P3594" t="s">
        <v>27</v>
      </c>
    </row>
    <row r="3595" spans="1:16" hidden="1" x14ac:dyDescent="0.25">
      <c r="A3595" s="3" t="s">
        <v>4409</v>
      </c>
      <c r="B3595" t="s">
        <v>2049</v>
      </c>
      <c r="C3595" t="s">
        <v>2473</v>
      </c>
      <c r="D3595" t="s">
        <v>61</v>
      </c>
      <c r="E3595" t="s">
        <v>62</v>
      </c>
      <c r="F3595">
        <v>1</v>
      </c>
      <c r="G3595" s="3" t="s">
        <v>32</v>
      </c>
      <c r="H3595" s="46" t="s">
        <v>15</v>
      </c>
      <c r="I3595" s="17">
        <v>156080</v>
      </c>
      <c r="J3595" s="17">
        <f>IF(Gastos[[#This Row],[Divisa]]="$", I3595*1, IF(Gastos[[#This Row],[Divisa]]="U$D", I3595*$N$1, IF(Gastos[[#This Row],[Divisa]]="EUR", I3595*$N$2, 0)))</f>
        <v>156080</v>
      </c>
      <c r="K3595" s="54">
        <f>Gastos[[#This Row],[Importe AR$]]/$N$1</f>
        <v>100.05128205128206</v>
      </c>
      <c r="L3595" t="s">
        <v>340</v>
      </c>
      <c r="M3595" s="69"/>
      <c r="N3595" s="43" t="str">
        <f>IF(Gastos[[#This Row],[Fecha_Cheque]]&gt;0,WEEKNUM(Gastos[[#This Row],[Fecha_Cheque]]),MID(Gastos[[#This Row],[Semana]],6,2))</f>
        <v>40</v>
      </c>
      <c r="O3595" t="s">
        <v>4444</v>
      </c>
      <c r="P3595" t="s">
        <v>27</v>
      </c>
    </row>
    <row r="3596" spans="1:16" x14ac:dyDescent="0.25">
      <c r="A3596" s="3" t="s">
        <v>4655</v>
      </c>
      <c r="B3596" t="s">
        <v>1854</v>
      </c>
      <c r="C3596" t="s">
        <v>2667</v>
      </c>
      <c r="D3596" t="s">
        <v>26</v>
      </c>
      <c r="E3596" t="s">
        <v>3928</v>
      </c>
      <c r="F3596">
        <v>2</v>
      </c>
      <c r="G3596" s="3" t="s">
        <v>4</v>
      </c>
      <c r="H3596" s="44" t="s">
        <v>15</v>
      </c>
      <c r="I3596" s="17">
        <v>0</v>
      </c>
      <c r="J3596" s="17">
        <f>IF(Gastos[[#This Row],[Divisa]]="$", I3596*1, IF(Gastos[[#This Row],[Divisa]]="U$D", I3596*$N$1, IF(Gastos[[#This Row],[Divisa]]="EUR", I3596*$N$2, 0)))</f>
        <v>0</v>
      </c>
      <c r="K3596" s="54">
        <f>Gastos[[#This Row],[Importe AR$]]/$N$1</f>
        <v>0</v>
      </c>
      <c r="M3596" s="69"/>
      <c r="N3596" s="43" t="str">
        <f>IF(Gastos[[#This Row],[Fecha_Cheque]]&gt;0,WEEKNUM(Gastos[[#This Row],[Fecha_Cheque]]),MID(Gastos[[#This Row],[Semana]],6,2))</f>
        <v>44</v>
      </c>
    </row>
    <row r="3597" spans="1:16" x14ac:dyDescent="0.25">
      <c r="A3597" s="3" t="s">
        <v>4655</v>
      </c>
      <c r="B3597" t="s">
        <v>3926</v>
      </c>
      <c r="C3597" t="s">
        <v>3927</v>
      </c>
      <c r="D3597" t="s">
        <v>26</v>
      </c>
      <c r="E3597" t="s">
        <v>62</v>
      </c>
      <c r="F3597">
        <v>1</v>
      </c>
      <c r="G3597" s="3" t="s">
        <v>32</v>
      </c>
      <c r="H3597" s="44" t="s">
        <v>2</v>
      </c>
      <c r="I3597" s="17">
        <v>94719.85</v>
      </c>
      <c r="J3597" s="17">
        <f>IF(Gastos[[#This Row],[Divisa]]="$", I3597*1, IF(Gastos[[#This Row],[Divisa]]="U$D", I3597*$N$1, IF(Gastos[[#This Row],[Divisa]]="EUR", I3597*$N$2, 0)))</f>
        <v>147762966</v>
      </c>
      <c r="K3597" s="54">
        <f>Gastos[[#This Row],[Importe AR$]]/$N$1</f>
        <v>94719.85</v>
      </c>
      <c r="M3597" s="69"/>
      <c r="N3597" s="43" t="str">
        <f>IF(Gastos[[#This Row],[Fecha_Cheque]]&gt;0,WEEKNUM(Gastos[[#This Row],[Fecha_Cheque]]),MID(Gastos[[#This Row],[Semana]],6,2))</f>
        <v>44</v>
      </c>
    </row>
    <row r="3598" spans="1:16" x14ac:dyDescent="0.25">
      <c r="A3598" s="3" t="s">
        <v>4655</v>
      </c>
      <c r="B3598" t="s">
        <v>3105</v>
      </c>
      <c r="C3598" t="s">
        <v>2934</v>
      </c>
      <c r="D3598" t="s">
        <v>26</v>
      </c>
      <c r="E3598" t="s">
        <v>62</v>
      </c>
      <c r="F3598">
        <v>1</v>
      </c>
      <c r="G3598" s="3" t="s">
        <v>32</v>
      </c>
      <c r="H3598" s="44" t="s">
        <v>15</v>
      </c>
      <c r="I3598" s="17">
        <v>1066365.07</v>
      </c>
      <c r="J3598" s="17">
        <f>IF(Gastos[[#This Row],[Divisa]]="$", I3598*1, IF(Gastos[[#This Row],[Divisa]]="U$D", I3598*$N$1, IF(Gastos[[#This Row],[Divisa]]="EUR", I3598*$N$2, 0)))</f>
        <v>1066365.07</v>
      </c>
      <c r="K3598" s="54">
        <f>Gastos[[#This Row],[Importe AR$]]/$N$1</f>
        <v>683.56735256410263</v>
      </c>
      <c r="M3598" s="69"/>
      <c r="N3598" s="43" t="str">
        <f>IF(Gastos[[#This Row],[Fecha_Cheque]]&gt;0,WEEKNUM(Gastos[[#This Row],[Fecha_Cheque]]),MID(Gastos[[#This Row],[Semana]],6,2))</f>
        <v>44</v>
      </c>
    </row>
    <row r="3599" spans="1:16" x14ac:dyDescent="0.25">
      <c r="A3599" s="3" t="s">
        <v>4655</v>
      </c>
      <c r="B3599" t="s">
        <v>1914</v>
      </c>
      <c r="C3599" t="s">
        <v>1915</v>
      </c>
      <c r="D3599" t="s">
        <v>61</v>
      </c>
      <c r="E3599" t="s">
        <v>62</v>
      </c>
      <c r="F3599">
        <v>1</v>
      </c>
      <c r="G3599" s="3" t="s">
        <v>32</v>
      </c>
      <c r="H3599" s="46" t="s">
        <v>2</v>
      </c>
      <c r="I3599" s="17">
        <v>236811.18</v>
      </c>
      <c r="J3599" s="17">
        <f>IF(Gastos[[#This Row],[Divisa]]="$", I3599*1, IF(Gastos[[#This Row],[Divisa]]="U$D", I3599*$N$1, IF(Gastos[[#This Row],[Divisa]]="EUR", I3599*$N$2, 0)))</f>
        <v>369425440.80000001</v>
      </c>
      <c r="K3599" s="54">
        <f>Gastos[[#This Row],[Importe AR$]]/$N$1</f>
        <v>236811.18000000002</v>
      </c>
      <c r="L3599" s="48"/>
      <c r="M3599" s="69"/>
      <c r="N3599" s="43" t="str">
        <f>IF(Gastos[[#This Row],[Fecha_Cheque]]&gt;0,WEEKNUM(Gastos[[#This Row],[Fecha_Cheque]]),MID(Gastos[[#This Row],[Semana]],6,2))</f>
        <v>44</v>
      </c>
    </row>
    <row r="3600" spans="1:16" x14ac:dyDescent="0.25">
      <c r="A3600" s="3" t="s">
        <v>4655</v>
      </c>
      <c r="B3600" t="s">
        <v>1976</v>
      </c>
      <c r="C3600" t="s">
        <v>3848</v>
      </c>
      <c r="D3600" t="s">
        <v>26</v>
      </c>
      <c r="E3600" t="s">
        <v>62</v>
      </c>
      <c r="F3600">
        <v>1</v>
      </c>
      <c r="G3600" s="3" t="s">
        <v>32</v>
      </c>
      <c r="H3600" s="44" t="s">
        <v>15</v>
      </c>
      <c r="I3600" s="17">
        <v>64000</v>
      </c>
      <c r="J3600" s="17">
        <f>IF(Gastos[[#This Row],[Divisa]]="$", I3600*1, IF(Gastos[[#This Row],[Divisa]]="U$D", I3600*$N$1, IF(Gastos[[#This Row],[Divisa]]="EUR", I3600*$N$2, 0)))</f>
        <v>64000</v>
      </c>
      <c r="K3600" s="54">
        <f>Gastos[[#This Row],[Importe AR$]]/$N$1</f>
        <v>41.025641025641029</v>
      </c>
      <c r="M3600" s="69"/>
      <c r="N3600" s="43" t="str">
        <f>IF(Gastos[[#This Row],[Fecha_Cheque]]&gt;0,WEEKNUM(Gastos[[#This Row],[Fecha_Cheque]]),MID(Gastos[[#This Row],[Semana]],6,2))</f>
        <v>44</v>
      </c>
      <c r="P3600" t="s">
        <v>7</v>
      </c>
    </row>
    <row r="3601" spans="1:16" hidden="1" x14ac:dyDescent="0.25">
      <c r="A3601" s="3" t="s">
        <v>232</v>
      </c>
      <c r="B3601" t="s">
        <v>2058</v>
      </c>
      <c r="C3601" t="s">
        <v>2059</v>
      </c>
      <c r="D3601" t="s">
        <v>26</v>
      </c>
      <c r="E3601" t="s">
        <v>31</v>
      </c>
      <c r="F3601">
        <v>1</v>
      </c>
      <c r="G3601" s="3" t="s">
        <v>5</v>
      </c>
      <c r="H3601" s="46" t="s">
        <v>15</v>
      </c>
      <c r="I3601" s="17">
        <v>183346.8</v>
      </c>
      <c r="J3601" s="17">
        <f>IF(Gastos[[#This Row],[Divisa]]="$", I3601*1, IF(Gastos[[#This Row],[Divisa]]="U$D", I3601*$N$1, IF(Gastos[[#This Row],[Divisa]]="EUR", I3601*$N$2, 0)))</f>
        <v>183346.8</v>
      </c>
      <c r="K3601" s="54">
        <f>Gastos[[#This Row],[Importe AR$]]/$N$1</f>
        <v>117.52999999999999</v>
      </c>
      <c r="M3601" s="69"/>
      <c r="N3601" s="43" t="str">
        <f>IF(Gastos[[#This Row],[Fecha_Cheque]]&gt;0,WEEKNUM(Gastos[[#This Row],[Fecha_Cheque]]),MID(Gastos[[#This Row],[Semana]],6,2))</f>
        <v>44</v>
      </c>
      <c r="O3601" t="s">
        <v>2060</v>
      </c>
      <c r="P3601" t="s">
        <v>27</v>
      </c>
    </row>
    <row r="3602" spans="1:16" hidden="1" x14ac:dyDescent="0.25">
      <c r="A3602" s="3" t="s">
        <v>60</v>
      </c>
      <c r="B3602" t="s">
        <v>2061</v>
      </c>
      <c r="D3602" t="s">
        <v>26</v>
      </c>
      <c r="E3602" t="s">
        <v>91</v>
      </c>
      <c r="F3602">
        <v>1</v>
      </c>
      <c r="G3602" s="3" t="s">
        <v>5</v>
      </c>
      <c r="H3602" s="46" t="s">
        <v>15</v>
      </c>
      <c r="I3602" s="17">
        <v>556800</v>
      </c>
      <c r="J3602" s="17">
        <f>IF(Gastos[[#This Row],[Divisa]]="$", I3602*1, IF(Gastos[[#This Row],[Divisa]]="U$D", I3602*$N$1, IF(Gastos[[#This Row],[Divisa]]="EUR", I3602*$N$2, 0)))</f>
        <v>556800</v>
      </c>
      <c r="K3602" s="54">
        <f>Gastos[[#This Row],[Importe AR$]]/$N$1</f>
        <v>356.92307692307691</v>
      </c>
      <c r="M3602" s="69"/>
      <c r="N3602" s="43" t="str">
        <f>IF(Gastos[[#This Row],[Fecha_Cheque]]&gt;0,WEEKNUM(Gastos[[#This Row],[Fecha_Cheque]]),MID(Gastos[[#This Row],[Semana]],6,2))</f>
        <v>46</v>
      </c>
      <c r="O3602" t="s">
        <v>2063</v>
      </c>
      <c r="P3602" t="s">
        <v>27</v>
      </c>
    </row>
    <row r="3603" spans="1:16" hidden="1" x14ac:dyDescent="0.25">
      <c r="A3603" s="3" t="s">
        <v>39</v>
      </c>
      <c r="B3603" t="s">
        <v>2061</v>
      </c>
      <c r="C3603" t="s">
        <v>421</v>
      </c>
      <c r="D3603" t="s">
        <v>26</v>
      </c>
      <c r="E3603" t="s">
        <v>91</v>
      </c>
      <c r="F3603">
        <v>1</v>
      </c>
      <c r="G3603" s="3" t="s">
        <v>5</v>
      </c>
      <c r="H3603" s="44" t="s">
        <v>15</v>
      </c>
      <c r="I3603" s="71">
        <v>402500</v>
      </c>
      <c r="J3603" s="17">
        <f>IF(Gastos[[#This Row],[Divisa]]="$", I3603*1, IF(Gastos[[#This Row],[Divisa]]="U$D", I3603*$N$1, IF(Gastos[[#This Row],[Divisa]]="EUR", I3603*$N$2, 0)))</f>
        <v>402500</v>
      </c>
      <c r="K3603" s="54">
        <f>Gastos[[#This Row],[Importe AR$]]/$N$1</f>
        <v>258.0128205128205</v>
      </c>
      <c r="M3603" s="69"/>
      <c r="N3603" s="43" t="str">
        <f>IF(Gastos[[#This Row],[Fecha_Cheque]]&gt;0,WEEKNUM(Gastos[[#This Row],[Fecha_Cheque]]),MID(Gastos[[#This Row],[Semana]],6,2))</f>
        <v>14</v>
      </c>
      <c r="O3603" t="s">
        <v>1638</v>
      </c>
      <c r="P3603" t="s">
        <v>27</v>
      </c>
    </row>
    <row r="3604" spans="1:16" hidden="1" x14ac:dyDescent="0.25">
      <c r="A3604" s="3" t="s">
        <v>52</v>
      </c>
      <c r="B3604" t="s">
        <v>2064</v>
      </c>
      <c r="C3604" t="s">
        <v>2065</v>
      </c>
      <c r="D3604" t="s">
        <v>26</v>
      </c>
      <c r="E3604" t="s">
        <v>31</v>
      </c>
      <c r="F3604">
        <v>2</v>
      </c>
      <c r="G3604" s="3" t="s">
        <v>4</v>
      </c>
      <c r="H3604" s="46" t="s">
        <v>15</v>
      </c>
      <c r="I3604" s="19">
        <v>393006.33</v>
      </c>
      <c r="J3604" s="17">
        <f>IF(Gastos[[#This Row],[Divisa]]="$", I3604*1, IF(Gastos[[#This Row],[Divisa]]="U$D", I3604*$N$1, IF(Gastos[[#This Row],[Divisa]]="EUR", I3604*$N$2, 0)))</f>
        <v>393006.33</v>
      </c>
      <c r="K3604" s="55">
        <f>Gastos[[#This Row],[Importe AR$]]/$N$1</f>
        <v>251.92713461538463</v>
      </c>
      <c r="M3604" s="69"/>
      <c r="N3604" s="43" t="str">
        <f>IF(Gastos[[#This Row],[Fecha_Cheque]]&gt;0,WEEKNUM(Gastos[[#This Row],[Fecha_Cheque]]),MID(Gastos[[#This Row],[Semana]],6,2))</f>
        <v>12</v>
      </c>
      <c r="P3604" t="s">
        <v>27</v>
      </c>
    </row>
    <row r="3605" spans="1:16" hidden="1" x14ac:dyDescent="0.25">
      <c r="A3605" s="3" t="s">
        <v>147</v>
      </c>
      <c r="B3605" t="s">
        <v>2064</v>
      </c>
      <c r="C3605" t="s">
        <v>422</v>
      </c>
      <c r="D3605" t="s">
        <v>26</v>
      </c>
      <c r="E3605" t="s">
        <v>31</v>
      </c>
      <c r="F3605">
        <v>2</v>
      </c>
      <c r="G3605" s="3" t="s">
        <v>4</v>
      </c>
      <c r="H3605" s="46" t="s">
        <v>15</v>
      </c>
      <c r="I3605" s="17">
        <v>400000</v>
      </c>
      <c r="J3605" s="17">
        <f>IF(Gastos[[#This Row],[Divisa]]="$", I3605*1, IF(Gastos[[#This Row],[Divisa]]="U$D", I3605*$N$1, IF(Gastos[[#This Row],[Divisa]]="EUR", I3605*$N$2, 0)))</f>
        <v>400000</v>
      </c>
      <c r="K3605" s="54">
        <f>Gastos[[#This Row],[Importe AR$]]/$N$1</f>
        <v>256.41025641025641</v>
      </c>
      <c r="M3605" s="69"/>
      <c r="N3605" s="43" t="str">
        <f>IF(Gastos[[#This Row],[Fecha_Cheque]]&gt;0,WEEKNUM(Gastos[[#This Row],[Fecha_Cheque]]),MID(Gastos[[#This Row],[Semana]],6,2))</f>
        <v>17</v>
      </c>
      <c r="P3605" t="s">
        <v>27</v>
      </c>
    </row>
    <row r="3606" spans="1:16" hidden="1" x14ac:dyDescent="0.25">
      <c r="A3606" s="3" t="s">
        <v>23</v>
      </c>
      <c r="B3606" t="s">
        <v>2064</v>
      </c>
      <c r="C3606" t="s">
        <v>693</v>
      </c>
      <c r="D3606" t="s">
        <v>26</v>
      </c>
      <c r="E3606" t="s">
        <v>91</v>
      </c>
      <c r="F3606">
        <v>2</v>
      </c>
      <c r="G3606" s="3" t="s">
        <v>4</v>
      </c>
      <c r="H3606" s="46" t="s">
        <v>15</v>
      </c>
      <c r="I3606" s="17">
        <v>415405.74</v>
      </c>
      <c r="J3606" s="17">
        <f>IF(Gastos[[#This Row],[Divisa]]="$", I3606*1, IF(Gastos[[#This Row],[Divisa]]="U$D", I3606*$N$1, IF(Gastos[[#This Row],[Divisa]]="EUR", I3606*$N$2, 0)))</f>
        <v>415405.74</v>
      </c>
      <c r="K3606" s="54">
        <f>Gastos[[#This Row],[Importe AR$]]/$N$1</f>
        <v>266.28573076923078</v>
      </c>
      <c r="M3606" s="69"/>
      <c r="N3606" s="43" t="str">
        <f>IF(Gastos[[#This Row],[Fecha_Cheque]]&gt;0,WEEKNUM(Gastos[[#This Row],[Fecha_Cheque]]),MID(Gastos[[#This Row],[Semana]],6,2))</f>
        <v>22</v>
      </c>
      <c r="P3606" t="s">
        <v>27</v>
      </c>
    </row>
    <row r="3607" spans="1:16" hidden="1" x14ac:dyDescent="0.25">
      <c r="A3607" s="3" t="s">
        <v>290</v>
      </c>
      <c r="B3607" t="s">
        <v>2066</v>
      </c>
      <c r="C3607" t="s">
        <v>2067</v>
      </c>
      <c r="D3607" t="s">
        <v>61</v>
      </c>
      <c r="E3607" t="s">
        <v>62</v>
      </c>
      <c r="F3607">
        <v>1</v>
      </c>
      <c r="G3607" s="3" t="s">
        <v>32</v>
      </c>
      <c r="H3607" s="46" t="s">
        <v>15</v>
      </c>
      <c r="I3607" s="17">
        <v>272250</v>
      </c>
      <c r="J3607" s="17">
        <f>IF(Gastos[[#This Row],[Divisa]]="$", I3607*1, IF(Gastos[[#This Row],[Divisa]]="U$D", I3607*$N$1, IF(Gastos[[#This Row],[Divisa]]="EUR", I3607*$N$2, 0)))</f>
        <v>272250</v>
      </c>
      <c r="K3607" s="54">
        <f>Gastos[[#This Row],[Importe AR$]]/$N$1</f>
        <v>174.51923076923077</v>
      </c>
      <c r="L3607" t="s">
        <v>983</v>
      </c>
      <c r="M3607" s="69">
        <v>45831</v>
      </c>
      <c r="N3607" s="43">
        <f>IF(Gastos[[#This Row],[Fecha_Cheque]]&gt;0,WEEKNUM(Gastos[[#This Row],[Fecha_Cheque]]),MID(Gastos[[#This Row],[Semana]],6,2))</f>
        <v>26</v>
      </c>
      <c r="P3607" t="s">
        <v>27</v>
      </c>
    </row>
    <row r="3608" spans="1:16" hidden="1" x14ac:dyDescent="0.25">
      <c r="A3608" s="3" t="s">
        <v>53</v>
      </c>
      <c r="B3608" t="s">
        <v>2066</v>
      </c>
      <c r="C3608" t="s">
        <v>2068</v>
      </c>
      <c r="D3608" t="s">
        <v>26</v>
      </c>
      <c r="E3608" t="s">
        <v>31</v>
      </c>
      <c r="F3608">
        <v>1</v>
      </c>
      <c r="G3608" s="3" t="s">
        <v>32</v>
      </c>
      <c r="H3608" s="46" t="s">
        <v>15</v>
      </c>
      <c r="I3608" s="17">
        <v>536000</v>
      </c>
      <c r="J3608" s="17">
        <f>IF(Gastos[[#This Row],[Divisa]]="$", I3608*1, IF(Gastos[[#This Row],[Divisa]]="U$D", I3608*$N$1, IF(Gastos[[#This Row],[Divisa]]="EUR", I3608*$N$2, 0)))</f>
        <v>536000</v>
      </c>
      <c r="K3608" s="54">
        <f>Gastos[[#This Row],[Importe AR$]]/$N$1</f>
        <v>343.58974358974359</v>
      </c>
      <c r="M3608" s="69">
        <v>45894</v>
      </c>
      <c r="N3608" s="43">
        <f>IF(Gastos[[#This Row],[Fecha_Cheque]]&gt;0,WEEKNUM(Gastos[[#This Row],[Fecha_Cheque]]),MID(Gastos[[#This Row],[Semana]],6,2))</f>
        <v>35</v>
      </c>
      <c r="O3608" t="s">
        <v>2069</v>
      </c>
      <c r="P3608" t="s">
        <v>27</v>
      </c>
    </row>
    <row r="3609" spans="1:16" hidden="1" x14ac:dyDescent="0.25">
      <c r="A3609" s="3" t="s">
        <v>210</v>
      </c>
      <c r="B3609" t="s">
        <v>2066</v>
      </c>
      <c r="C3609" t="s">
        <v>2068</v>
      </c>
      <c r="D3609" t="s">
        <v>26</v>
      </c>
      <c r="E3609" t="s">
        <v>31</v>
      </c>
      <c r="F3609">
        <v>1</v>
      </c>
      <c r="G3609" s="3" t="s">
        <v>5</v>
      </c>
      <c r="H3609" s="46" t="s">
        <v>15</v>
      </c>
      <c r="I3609" s="17">
        <v>198037.61</v>
      </c>
      <c r="J3609" s="17">
        <f>IF(Gastos[[#This Row],[Divisa]]="$", I3609*1, IF(Gastos[[#This Row],[Divisa]]="U$D", I3609*$N$1, IF(Gastos[[#This Row],[Divisa]]="EUR", I3609*$N$2, 0)))</f>
        <v>198037.61</v>
      </c>
      <c r="K3609" s="54">
        <f>Gastos[[#This Row],[Importe AR$]]/$N$1</f>
        <v>126.94718589743589</v>
      </c>
      <c r="M3609" s="69">
        <v>45899</v>
      </c>
      <c r="N3609" s="43">
        <f>IF(Gastos[[#This Row],[Fecha_Cheque]]&gt;0,WEEKNUM(Gastos[[#This Row],[Fecha_Cheque]]),MID(Gastos[[#This Row],[Semana]],6,2))</f>
        <v>35</v>
      </c>
      <c r="O3609" t="s">
        <v>2070</v>
      </c>
      <c r="P3609" t="s">
        <v>27</v>
      </c>
    </row>
    <row r="3610" spans="1:16" hidden="1" x14ac:dyDescent="0.25">
      <c r="A3610" s="3" t="s">
        <v>210</v>
      </c>
      <c r="B3610" t="s">
        <v>2066</v>
      </c>
      <c r="C3610" t="s">
        <v>484</v>
      </c>
      <c r="D3610" t="s">
        <v>26</v>
      </c>
      <c r="E3610" t="s">
        <v>31</v>
      </c>
      <c r="F3610">
        <v>1</v>
      </c>
      <c r="G3610" s="3" t="s">
        <v>5</v>
      </c>
      <c r="H3610" s="46" t="s">
        <v>15</v>
      </c>
      <c r="I3610" s="17">
        <v>200000</v>
      </c>
      <c r="J3610" s="17">
        <f>IF(Gastos[[#This Row],[Divisa]]="$", I3610*1, IF(Gastos[[#This Row],[Divisa]]="U$D", I3610*$N$1, IF(Gastos[[#This Row],[Divisa]]="EUR", I3610*$N$2, 0)))</f>
        <v>200000</v>
      </c>
      <c r="K3610" s="54">
        <f>Gastos[[#This Row],[Importe AR$]]/$N$1</f>
        <v>128.2051282051282</v>
      </c>
      <c r="M3610" s="69"/>
      <c r="N3610" s="43" t="str">
        <f>IF(Gastos[[#This Row],[Fecha_Cheque]]&gt;0,WEEKNUM(Gastos[[#This Row],[Fecha_Cheque]]),MID(Gastos[[#This Row],[Semana]],6,2))</f>
        <v>37</v>
      </c>
      <c r="O3610" t="s">
        <v>2071</v>
      </c>
      <c r="P3610" t="s">
        <v>27</v>
      </c>
    </row>
    <row r="3611" spans="1:16" hidden="1" x14ac:dyDescent="0.25">
      <c r="A3611" s="3" t="s">
        <v>152</v>
      </c>
      <c r="B3611" t="s">
        <v>2066</v>
      </c>
      <c r="C3611" t="s">
        <v>2068</v>
      </c>
      <c r="D3611" t="s">
        <v>26</v>
      </c>
      <c r="E3611" t="s">
        <v>62</v>
      </c>
      <c r="F3611">
        <v>1</v>
      </c>
      <c r="G3611" s="3" t="s">
        <v>32</v>
      </c>
      <c r="H3611" s="46" t="s">
        <v>15</v>
      </c>
      <c r="I3611" s="17">
        <v>500000</v>
      </c>
      <c r="J3611" s="17">
        <f>IF(Gastos[[#This Row],[Divisa]]="$", I3611*1, IF(Gastos[[#This Row],[Divisa]]="U$D", I3611*$N$1, IF(Gastos[[#This Row],[Divisa]]="EUR", I3611*$N$2, 0)))</f>
        <v>500000</v>
      </c>
      <c r="K3611" s="54">
        <f>Gastos[[#This Row],[Importe AR$]]/$N$1</f>
        <v>320.5128205128205</v>
      </c>
      <c r="M3611" s="69">
        <v>46045</v>
      </c>
      <c r="N3611" s="43">
        <f>IF(Gastos[[#This Row],[Fecha_Cheque]]&gt;0,WEEKNUM(Gastos[[#This Row],[Fecha_Cheque]]),MID(Gastos[[#This Row],[Semana]],6,2))</f>
        <v>4</v>
      </c>
      <c r="O3611" t="s">
        <v>2072</v>
      </c>
      <c r="P3611" t="s">
        <v>27</v>
      </c>
    </row>
    <row r="3612" spans="1:16" hidden="1" x14ac:dyDescent="0.25">
      <c r="A3612" s="3" t="s">
        <v>152</v>
      </c>
      <c r="B3612" t="s">
        <v>2066</v>
      </c>
      <c r="C3612" t="s">
        <v>2068</v>
      </c>
      <c r="D3612" t="s">
        <v>26</v>
      </c>
      <c r="E3612" t="s">
        <v>62</v>
      </c>
      <c r="F3612">
        <v>1</v>
      </c>
      <c r="G3612" s="3" t="s">
        <v>32</v>
      </c>
      <c r="H3612" s="46" t="s">
        <v>15</v>
      </c>
      <c r="I3612" s="17">
        <v>500000</v>
      </c>
      <c r="J3612" s="17">
        <f>IF(Gastos[[#This Row],[Divisa]]="$", I3612*1, IF(Gastos[[#This Row],[Divisa]]="U$D", I3612*$N$1, IF(Gastos[[#This Row],[Divisa]]="EUR", I3612*$N$2, 0)))</f>
        <v>500000</v>
      </c>
      <c r="K3612" s="54">
        <f>Gastos[[#This Row],[Importe AR$]]/$N$1</f>
        <v>320.5128205128205</v>
      </c>
      <c r="M3612" s="69">
        <v>46076</v>
      </c>
      <c r="N3612" s="43">
        <f>IF(Gastos[[#This Row],[Fecha_Cheque]]&gt;0,WEEKNUM(Gastos[[#This Row],[Fecha_Cheque]]),MID(Gastos[[#This Row],[Semana]],6,2))</f>
        <v>9</v>
      </c>
      <c r="O3612" t="s">
        <v>2072</v>
      </c>
      <c r="P3612" t="s">
        <v>27</v>
      </c>
    </row>
    <row r="3613" spans="1:16" hidden="1" x14ac:dyDescent="0.25">
      <c r="A3613" s="3" t="s">
        <v>152</v>
      </c>
      <c r="B3613" t="s">
        <v>2066</v>
      </c>
      <c r="C3613" t="s">
        <v>2068</v>
      </c>
      <c r="D3613" t="s">
        <v>26</v>
      </c>
      <c r="E3613" t="s">
        <v>62</v>
      </c>
      <c r="F3613">
        <v>1</v>
      </c>
      <c r="G3613" s="3" t="s">
        <v>4</v>
      </c>
      <c r="H3613" s="46" t="s">
        <v>15</v>
      </c>
      <c r="I3613" s="17">
        <v>48543.4</v>
      </c>
      <c r="J3613" s="17">
        <f>IF(Gastos[[#This Row],[Divisa]]="$", I3613*1, IF(Gastos[[#This Row],[Divisa]]="U$D", I3613*$N$1, IF(Gastos[[#This Row],[Divisa]]="EUR", I3613*$N$2, 0)))</f>
        <v>48543.4</v>
      </c>
      <c r="K3613" s="54">
        <f>Gastos[[#This Row],[Importe AR$]]/$N$1</f>
        <v>31.117564102564103</v>
      </c>
      <c r="M3613" s="69"/>
      <c r="N3613" s="43" t="str">
        <f>IF(Gastos[[#This Row],[Fecha_Cheque]]&gt;0,WEEKNUM(Gastos[[#This Row],[Fecha_Cheque]]),MID(Gastos[[#This Row],[Semana]],6,2))</f>
        <v>04</v>
      </c>
      <c r="O3613" t="s">
        <v>2072</v>
      </c>
      <c r="P3613" t="s">
        <v>27</v>
      </c>
    </row>
    <row r="3614" spans="1:16" hidden="1" x14ac:dyDescent="0.25">
      <c r="A3614" s="3" t="s">
        <v>128</v>
      </c>
      <c r="B3614" t="s">
        <v>2073</v>
      </c>
      <c r="C3614" t="s">
        <v>2062</v>
      </c>
      <c r="D3614" t="s">
        <v>26</v>
      </c>
      <c r="E3614" t="s">
        <v>91</v>
      </c>
      <c r="F3614">
        <v>1</v>
      </c>
      <c r="G3614" s="3" t="s">
        <v>5</v>
      </c>
      <c r="H3614" s="46" t="s">
        <v>15</v>
      </c>
      <c r="I3614" s="17">
        <v>1914000</v>
      </c>
      <c r="J3614" s="17">
        <f>IF(Gastos[[#This Row],[Divisa]]="$", I3614*1, IF(Gastos[[#This Row],[Divisa]]="U$D", I3614*$N$1, IF(Gastos[[#This Row],[Divisa]]="EUR", I3614*$N$2, 0)))</f>
        <v>1914000</v>
      </c>
      <c r="K3614" s="54">
        <f>Gastos[[#This Row],[Importe AR$]]/$N$1</f>
        <v>1226.9230769230769</v>
      </c>
      <c r="M3614" s="69"/>
      <c r="N3614" s="43" t="str">
        <f>IF(Gastos[[#This Row],[Fecha_Cheque]]&gt;0,WEEKNUM(Gastos[[#This Row],[Fecha_Cheque]]),MID(Gastos[[#This Row],[Semana]],6,2))</f>
        <v>43</v>
      </c>
      <c r="O3614" t="s">
        <v>2074</v>
      </c>
      <c r="P3614" t="s">
        <v>27</v>
      </c>
    </row>
    <row r="3615" spans="1:16" hidden="1" x14ac:dyDescent="0.25">
      <c r="A3615" s="3" t="s">
        <v>378</v>
      </c>
      <c r="B3615" t="s">
        <v>2073</v>
      </c>
      <c r="C3615" t="s">
        <v>422</v>
      </c>
      <c r="D3615" t="s">
        <v>26</v>
      </c>
      <c r="E3615" t="s">
        <v>91</v>
      </c>
      <c r="F3615">
        <v>1</v>
      </c>
      <c r="G3615" s="3" t="s">
        <v>5</v>
      </c>
      <c r="H3615" s="46" t="s">
        <v>15</v>
      </c>
      <c r="I3615" s="17">
        <v>198400</v>
      </c>
      <c r="J3615" s="17">
        <f>IF(Gastos[[#This Row],[Divisa]]="$", I3615*1, IF(Gastos[[#This Row],[Divisa]]="U$D", I3615*$N$1, IF(Gastos[[#This Row],[Divisa]]="EUR", I3615*$N$2, 0)))</f>
        <v>198400</v>
      </c>
      <c r="K3615" s="54">
        <f>Gastos[[#This Row],[Importe AR$]]/$N$1</f>
        <v>127.17948717948718</v>
      </c>
      <c r="M3615" s="69"/>
      <c r="N3615" s="43" t="str">
        <f>IF(Gastos[[#This Row],[Fecha_Cheque]]&gt;0,WEEKNUM(Gastos[[#This Row],[Fecha_Cheque]]),MID(Gastos[[#This Row],[Semana]],6,2))</f>
        <v>03</v>
      </c>
      <c r="O3615" t="s">
        <v>2075</v>
      </c>
      <c r="P3615" t="s">
        <v>27</v>
      </c>
    </row>
    <row r="3616" spans="1:16" hidden="1" x14ac:dyDescent="0.25">
      <c r="A3616" s="3" t="s">
        <v>2763</v>
      </c>
      <c r="B3616" t="s">
        <v>3389</v>
      </c>
      <c r="C3616" t="s">
        <v>2838</v>
      </c>
      <c r="D3616" t="s">
        <v>26</v>
      </c>
      <c r="E3616" t="s">
        <v>91</v>
      </c>
      <c r="F3616">
        <v>1</v>
      </c>
      <c r="G3616" s="3" t="s">
        <v>5</v>
      </c>
      <c r="H3616" s="44" t="s">
        <v>15</v>
      </c>
      <c r="I3616" s="17">
        <v>463500</v>
      </c>
      <c r="J3616" s="17">
        <f>IF(Gastos[[#This Row],[Divisa]]="$", I3616*1, IF(Gastos[[#This Row],[Divisa]]="U$D", I3616*$N$1, IF(Gastos[[#This Row],[Divisa]]="EUR", I3616*$N$2, 0)))</f>
        <v>463500</v>
      </c>
      <c r="K3616" s="54">
        <f>Gastos[[#This Row],[Importe AR$]]/$N$1</f>
        <v>297.11538461538464</v>
      </c>
      <c r="M3616" s="69"/>
      <c r="N3616" s="43" t="str">
        <f>IF(Gastos[[#This Row],[Fecha_Cheque]]&gt;0,WEEKNUM(Gastos[[#This Row],[Fecha_Cheque]]),MID(Gastos[[#This Row],[Semana]],6,2))</f>
        <v>23</v>
      </c>
      <c r="O3616" t="s">
        <v>3390</v>
      </c>
      <c r="P3616" t="s">
        <v>27</v>
      </c>
    </row>
    <row r="3617" spans="1:16" hidden="1" x14ac:dyDescent="0.25">
      <c r="A3617" s="3" t="s">
        <v>2740</v>
      </c>
      <c r="B3617" t="s">
        <v>3051</v>
      </c>
      <c r="C3617" t="s">
        <v>3052</v>
      </c>
      <c r="D3617" t="s">
        <v>26</v>
      </c>
      <c r="E3617" t="s">
        <v>42</v>
      </c>
      <c r="F3617">
        <v>2</v>
      </c>
      <c r="G3617" s="3" t="s">
        <v>4</v>
      </c>
      <c r="H3617" s="44" t="s">
        <v>2</v>
      </c>
      <c r="I3617" s="17">
        <v>7000</v>
      </c>
      <c r="J3617" s="17">
        <f>IF(Gastos[[#This Row],[Divisa]]="$", I3617*1, IF(Gastos[[#This Row],[Divisa]]="U$D", I3617*$N$1, IF(Gastos[[#This Row],[Divisa]]="EUR", I3617*$N$2, 0)))</f>
        <v>10920000</v>
      </c>
      <c r="K3617" s="54">
        <f>Gastos[[#This Row],[Importe AR$]]/$N$1</f>
        <v>7000</v>
      </c>
      <c r="L3617" t="s">
        <v>3053</v>
      </c>
      <c r="M3617" s="69"/>
      <c r="N3617" s="43" t="str">
        <f>IF(Gastos[[#This Row],[Fecha_Cheque]]&gt;0,WEEKNUM(Gastos[[#This Row],[Fecha_Cheque]]),MID(Gastos[[#This Row],[Semana]],6,2))</f>
        <v>16</v>
      </c>
      <c r="O3617" t="s">
        <v>3054</v>
      </c>
      <c r="P3617" t="s">
        <v>27</v>
      </c>
    </row>
    <row r="3618" spans="1:16" hidden="1" x14ac:dyDescent="0.25">
      <c r="A3618" s="3" t="s">
        <v>2740</v>
      </c>
      <c r="B3618" t="s">
        <v>3051</v>
      </c>
      <c r="C3618" t="s">
        <v>3084</v>
      </c>
      <c r="D3618" t="s">
        <v>26</v>
      </c>
      <c r="E3618" t="s">
        <v>42</v>
      </c>
      <c r="F3618">
        <v>2</v>
      </c>
      <c r="G3618" s="3" t="s">
        <v>4</v>
      </c>
      <c r="H3618" s="44" t="s">
        <v>15</v>
      </c>
      <c r="I3618" s="17">
        <v>4500000</v>
      </c>
      <c r="J3618" s="17">
        <f>IF(Gastos[[#This Row],[Divisa]]="$", I3618*1, IF(Gastos[[#This Row],[Divisa]]="U$D", I3618*$N$1, IF(Gastos[[#This Row],[Divisa]]="EUR", I3618*$N$2, 0)))</f>
        <v>4500000</v>
      </c>
      <c r="K3618" s="54">
        <f>Gastos[[#This Row],[Importe AR$]]/$N$1</f>
        <v>2884.6153846153848</v>
      </c>
      <c r="M3618" s="69"/>
      <c r="N3618" s="43" t="str">
        <f>IF(Gastos[[#This Row],[Fecha_Cheque]]&gt;0,WEEKNUM(Gastos[[#This Row],[Fecha_Cheque]]),MID(Gastos[[#This Row],[Semana]],6,2))</f>
        <v>16</v>
      </c>
      <c r="O3618" t="s">
        <v>3085</v>
      </c>
      <c r="P3618" t="s">
        <v>27</v>
      </c>
    </row>
    <row r="3619" spans="1:16" hidden="1" x14ac:dyDescent="0.25">
      <c r="A3619" s="3" t="s">
        <v>2731</v>
      </c>
      <c r="B3619" t="s">
        <v>3051</v>
      </c>
      <c r="C3619" t="s">
        <v>3084</v>
      </c>
      <c r="D3619" t="s">
        <v>26</v>
      </c>
      <c r="E3619" t="s">
        <v>42</v>
      </c>
      <c r="F3619">
        <v>2</v>
      </c>
      <c r="G3619" s="3" t="s">
        <v>4</v>
      </c>
      <c r="H3619" s="44" t="s">
        <v>2</v>
      </c>
      <c r="I3619" s="17">
        <v>7000</v>
      </c>
      <c r="J3619" s="17">
        <f>IF(Gastos[[#This Row],[Divisa]]="$", I3619*1, IF(Gastos[[#This Row],[Divisa]]="U$D", I3619*$N$1, IF(Gastos[[#This Row],[Divisa]]="EUR", I3619*$N$2, 0)))</f>
        <v>10920000</v>
      </c>
      <c r="K3619" s="54">
        <f>Gastos[[#This Row],[Importe AR$]]/$N$1</f>
        <v>7000</v>
      </c>
      <c r="M3619" s="69"/>
      <c r="N3619" s="43" t="str">
        <f>IF(Gastos[[#This Row],[Fecha_Cheque]]&gt;0,WEEKNUM(Gastos[[#This Row],[Fecha_Cheque]]),MID(Gastos[[#This Row],[Semana]],6,2))</f>
        <v>17</v>
      </c>
      <c r="O3619" t="s">
        <v>3115</v>
      </c>
      <c r="P3619" t="s">
        <v>27</v>
      </c>
    </row>
    <row r="3620" spans="1:16" hidden="1" x14ac:dyDescent="0.25">
      <c r="A3620" s="3" t="s">
        <v>2751</v>
      </c>
      <c r="B3620" t="s">
        <v>3051</v>
      </c>
      <c r="C3620" t="s">
        <v>3084</v>
      </c>
      <c r="D3620" t="s">
        <v>26</v>
      </c>
      <c r="E3620" t="s">
        <v>42</v>
      </c>
      <c r="F3620">
        <v>2</v>
      </c>
      <c r="G3620" s="3" t="s">
        <v>4</v>
      </c>
      <c r="H3620" s="44" t="s">
        <v>2</v>
      </c>
      <c r="I3620" s="17">
        <v>3000</v>
      </c>
      <c r="J3620" s="17">
        <f>IF(Gastos[[#This Row],[Divisa]]="$", I3620*1, IF(Gastos[[#This Row],[Divisa]]="U$D", I3620*$N$1, IF(Gastos[[#This Row],[Divisa]]="EUR", I3620*$N$2, 0)))</f>
        <v>4680000</v>
      </c>
      <c r="K3620" s="54">
        <f>Gastos[[#This Row],[Importe AR$]]/$N$1</f>
        <v>3000</v>
      </c>
      <c r="M3620" s="69"/>
      <c r="N3620" s="43" t="str">
        <f>IF(Gastos[[#This Row],[Fecha_Cheque]]&gt;0,WEEKNUM(Gastos[[#This Row],[Fecha_Cheque]]),MID(Gastos[[#This Row],[Semana]],6,2))</f>
        <v>18</v>
      </c>
      <c r="O3620" t="s">
        <v>3147</v>
      </c>
      <c r="P3620" t="s">
        <v>27</v>
      </c>
    </row>
    <row r="3621" spans="1:16" hidden="1" x14ac:dyDescent="0.25">
      <c r="A3621" s="3" t="s">
        <v>2804</v>
      </c>
      <c r="B3621" t="s">
        <v>3051</v>
      </c>
      <c r="C3621" t="s">
        <v>3084</v>
      </c>
      <c r="D3621" t="s">
        <v>26</v>
      </c>
      <c r="E3621" t="s">
        <v>42</v>
      </c>
      <c r="F3621">
        <v>2</v>
      </c>
      <c r="G3621" s="3" t="s">
        <v>4</v>
      </c>
      <c r="H3621" s="44" t="s">
        <v>15</v>
      </c>
      <c r="I3621" s="17">
        <v>198730</v>
      </c>
      <c r="J3621" s="17">
        <f>IF(Gastos[[#This Row],[Divisa]]="$", I3621*1, IF(Gastos[[#This Row],[Divisa]]="U$D", I3621*$N$1, IF(Gastos[[#This Row],[Divisa]]="EUR", I3621*$N$2, 0)))</f>
        <v>198730</v>
      </c>
      <c r="K3621" s="54">
        <f>Gastos[[#This Row],[Importe AR$]]/$N$1</f>
        <v>127.39102564102564</v>
      </c>
      <c r="M3621" s="69">
        <v>46191</v>
      </c>
      <c r="N3621" s="43">
        <f>IF(Gastos[[#This Row],[Fecha_Cheque]]&gt;0,WEEKNUM(Gastos[[#This Row],[Fecha_Cheque]]),MID(Gastos[[#This Row],[Semana]],6,2))</f>
        <v>25</v>
      </c>
      <c r="O3621" t="s">
        <v>3184</v>
      </c>
      <c r="P3621" t="s">
        <v>27</v>
      </c>
    </row>
    <row r="3622" spans="1:16" hidden="1" x14ac:dyDescent="0.25">
      <c r="A3622" s="3" t="s">
        <v>2804</v>
      </c>
      <c r="B3622" t="s">
        <v>3051</v>
      </c>
      <c r="C3622" t="s">
        <v>3084</v>
      </c>
      <c r="D3622" t="s">
        <v>26</v>
      </c>
      <c r="E3622" t="s">
        <v>42</v>
      </c>
      <c r="F3622">
        <v>2</v>
      </c>
      <c r="G3622" s="3" t="s">
        <v>4</v>
      </c>
      <c r="H3622" s="44" t="s">
        <v>15</v>
      </c>
      <c r="I3622" s="17">
        <v>272825</v>
      </c>
      <c r="J3622" s="17">
        <f>IF(Gastos[[#This Row],[Divisa]]="$", I3622*1, IF(Gastos[[#This Row],[Divisa]]="U$D", I3622*$N$1, IF(Gastos[[#This Row],[Divisa]]="EUR", I3622*$N$2, 0)))</f>
        <v>272825</v>
      </c>
      <c r="K3622" s="54">
        <f>Gastos[[#This Row],[Importe AR$]]/$N$1</f>
        <v>174.88782051282053</v>
      </c>
      <c r="M3622" s="69">
        <v>46193</v>
      </c>
      <c r="N3622" s="43">
        <f>IF(Gastos[[#This Row],[Fecha_Cheque]]&gt;0,WEEKNUM(Gastos[[#This Row],[Fecha_Cheque]]),MID(Gastos[[#This Row],[Semana]],6,2))</f>
        <v>25</v>
      </c>
      <c r="O3622" t="s">
        <v>3184</v>
      </c>
      <c r="P3622" t="s">
        <v>27</v>
      </c>
    </row>
    <row r="3623" spans="1:16" hidden="1" x14ac:dyDescent="0.25">
      <c r="A3623" s="3" t="s">
        <v>2804</v>
      </c>
      <c r="B3623" t="s">
        <v>3051</v>
      </c>
      <c r="C3623" t="s">
        <v>3084</v>
      </c>
      <c r="D3623" t="s">
        <v>26</v>
      </c>
      <c r="E3623" t="s">
        <v>42</v>
      </c>
      <c r="F3623">
        <v>2</v>
      </c>
      <c r="G3623" s="3" t="s">
        <v>4</v>
      </c>
      <c r="H3623" s="44" t="s">
        <v>15</v>
      </c>
      <c r="I3623" s="17">
        <v>800000</v>
      </c>
      <c r="J3623" s="17">
        <f>IF(Gastos[[#This Row],[Divisa]]="$", I3623*1, IF(Gastos[[#This Row],[Divisa]]="U$D", I3623*$N$1, IF(Gastos[[#This Row],[Divisa]]="EUR", I3623*$N$2, 0)))</f>
        <v>800000</v>
      </c>
      <c r="K3623" s="54">
        <f>Gastos[[#This Row],[Importe AR$]]/$N$1</f>
        <v>512.82051282051282</v>
      </c>
      <c r="M3623" s="69">
        <v>46187</v>
      </c>
      <c r="N3623" s="43">
        <f>IF(Gastos[[#This Row],[Fecha_Cheque]]&gt;0,WEEKNUM(Gastos[[#This Row],[Fecha_Cheque]]),MID(Gastos[[#This Row],[Semana]],6,2))</f>
        <v>25</v>
      </c>
      <c r="O3623" t="s">
        <v>3184</v>
      </c>
      <c r="P3623" t="s">
        <v>27</v>
      </c>
    </row>
    <row r="3624" spans="1:16" hidden="1" x14ac:dyDescent="0.25">
      <c r="A3624" s="3" t="s">
        <v>2804</v>
      </c>
      <c r="B3624" t="s">
        <v>3051</v>
      </c>
      <c r="C3624" t="s">
        <v>3084</v>
      </c>
      <c r="D3624" t="s">
        <v>26</v>
      </c>
      <c r="E3624" t="s">
        <v>42</v>
      </c>
      <c r="F3624">
        <v>2</v>
      </c>
      <c r="G3624" s="3" t="s">
        <v>4</v>
      </c>
      <c r="H3624" s="44" t="s">
        <v>15</v>
      </c>
      <c r="I3624" s="17">
        <v>800000</v>
      </c>
      <c r="J3624" s="17">
        <f>IF(Gastos[[#This Row],[Divisa]]="$", I3624*1, IF(Gastos[[#This Row],[Divisa]]="U$D", I3624*$N$1, IF(Gastos[[#This Row],[Divisa]]="EUR", I3624*$N$2, 0)))</f>
        <v>800000</v>
      </c>
      <c r="K3624" s="54">
        <f>Gastos[[#This Row],[Importe AR$]]/$N$1</f>
        <v>512.82051282051282</v>
      </c>
      <c r="M3624" s="69">
        <v>46180</v>
      </c>
      <c r="N3624" s="43">
        <f>IF(Gastos[[#This Row],[Fecha_Cheque]]&gt;0,WEEKNUM(Gastos[[#This Row],[Fecha_Cheque]]),MID(Gastos[[#This Row],[Semana]],6,2))</f>
        <v>24</v>
      </c>
      <c r="O3624" t="s">
        <v>3184</v>
      </c>
      <c r="P3624" t="s">
        <v>27</v>
      </c>
    </row>
    <row r="3625" spans="1:16" hidden="1" x14ac:dyDescent="0.25">
      <c r="A3625" s="3" t="s">
        <v>2792</v>
      </c>
      <c r="B3625" t="s">
        <v>3051</v>
      </c>
      <c r="C3625" t="s">
        <v>2667</v>
      </c>
      <c r="D3625" t="s">
        <v>26</v>
      </c>
      <c r="E3625" t="s">
        <v>132</v>
      </c>
      <c r="F3625">
        <v>2</v>
      </c>
      <c r="G3625" s="3" t="s">
        <v>32</v>
      </c>
      <c r="H3625" s="44" t="s">
        <v>15</v>
      </c>
      <c r="I3625" s="17">
        <v>1214000</v>
      </c>
      <c r="J3625" s="17">
        <f>IF(Gastos[[#This Row],[Divisa]]="$", I3625*1, IF(Gastos[[#This Row],[Divisa]]="U$D", I3625*$N$1, IF(Gastos[[#This Row],[Divisa]]="EUR", I3625*$N$2, 0)))</f>
        <v>1214000</v>
      </c>
      <c r="K3625" s="54">
        <f>Gastos[[#This Row],[Importe AR$]]/$N$1</f>
        <v>778.20512820512818</v>
      </c>
      <c r="M3625" s="69">
        <v>46177</v>
      </c>
      <c r="N3625" s="43">
        <f>IF(Gastos[[#This Row],[Fecha_Cheque]]&gt;0,WEEKNUM(Gastos[[#This Row],[Fecha_Cheque]]),MID(Gastos[[#This Row],[Semana]],6,2))</f>
        <v>23</v>
      </c>
      <c r="O3625" t="s">
        <v>3255</v>
      </c>
      <c r="P3625" t="s">
        <v>27</v>
      </c>
    </row>
    <row r="3626" spans="1:16" hidden="1" x14ac:dyDescent="0.25">
      <c r="A3626" s="3" t="s">
        <v>2792</v>
      </c>
      <c r="B3626" t="s">
        <v>3051</v>
      </c>
      <c r="C3626" t="s">
        <v>2667</v>
      </c>
      <c r="D3626" t="s">
        <v>26</v>
      </c>
      <c r="E3626" t="s">
        <v>132</v>
      </c>
      <c r="F3626">
        <v>2</v>
      </c>
      <c r="G3626" s="3" t="s">
        <v>32</v>
      </c>
      <c r="H3626" s="44" t="s">
        <v>15</v>
      </c>
      <c r="I3626" s="17">
        <v>1250000</v>
      </c>
      <c r="J3626" s="17">
        <f>IF(Gastos[[#This Row],[Divisa]]="$", I3626*1, IF(Gastos[[#This Row],[Divisa]]="U$D", I3626*$N$1, IF(Gastos[[#This Row],[Divisa]]="EUR", I3626*$N$2, 0)))</f>
        <v>1250000</v>
      </c>
      <c r="K3626" s="54">
        <f>Gastos[[#This Row],[Importe AR$]]/$N$1</f>
        <v>801.28205128205127</v>
      </c>
      <c r="M3626" s="69">
        <v>46196</v>
      </c>
      <c r="N3626" s="43">
        <f>IF(Gastos[[#This Row],[Fecha_Cheque]]&gt;0,WEEKNUM(Gastos[[#This Row],[Fecha_Cheque]]),MID(Gastos[[#This Row],[Semana]],6,2))</f>
        <v>26</v>
      </c>
      <c r="O3626" t="s">
        <v>3270</v>
      </c>
      <c r="P3626" t="s">
        <v>27</v>
      </c>
    </row>
    <row r="3627" spans="1:16" hidden="1" x14ac:dyDescent="0.25">
      <c r="A3627" s="3" t="s">
        <v>2763</v>
      </c>
      <c r="B3627" t="s">
        <v>3051</v>
      </c>
      <c r="C3627" t="s">
        <v>3426</v>
      </c>
      <c r="D3627" t="s">
        <v>26</v>
      </c>
      <c r="E3627" t="s">
        <v>42</v>
      </c>
      <c r="F3627">
        <v>2</v>
      </c>
      <c r="G3627" s="3" t="s">
        <v>4</v>
      </c>
      <c r="H3627" s="44" t="s">
        <v>15</v>
      </c>
      <c r="I3627" s="17">
        <v>400000</v>
      </c>
      <c r="J3627" s="17">
        <f>IF(Gastos[[#This Row],[Divisa]]="$", I3627*1, IF(Gastos[[#This Row],[Divisa]]="U$D", I3627*$N$1, IF(Gastos[[#This Row],[Divisa]]="EUR", I3627*$N$2, 0)))</f>
        <v>400000</v>
      </c>
      <c r="K3627" s="54">
        <f>Gastos[[#This Row],[Importe AR$]]/$N$1</f>
        <v>256.41025641025641</v>
      </c>
      <c r="M3627" s="69"/>
      <c r="N3627" s="43" t="str">
        <f>IF(Gastos[[#This Row],[Fecha_Cheque]]&gt;0,WEEKNUM(Gastos[[#This Row],[Fecha_Cheque]]),MID(Gastos[[#This Row],[Semana]],6,2))</f>
        <v>23</v>
      </c>
      <c r="O3627" t="s">
        <v>3427</v>
      </c>
      <c r="P3627" t="s">
        <v>27</v>
      </c>
    </row>
    <row r="3628" spans="1:16" hidden="1" x14ac:dyDescent="0.25">
      <c r="A3628" s="3" t="s">
        <v>3439</v>
      </c>
      <c r="B3628" t="s">
        <v>3051</v>
      </c>
      <c r="C3628" t="s">
        <v>2667</v>
      </c>
      <c r="D3628" t="s">
        <v>26</v>
      </c>
      <c r="E3628" t="s">
        <v>42</v>
      </c>
      <c r="F3628">
        <v>2</v>
      </c>
      <c r="G3628" s="3" t="s">
        <v>4</v>
      </c>
      <c r="H3628" s="44" t="s">
        <v>15</v>
      </c>
      <c r="I3628" s="17">
        <v>900000</v>
      </c>
      <c r="J3628" s="17">
        <f>IF(Gastos[[#This Row],[Divisa]]="$", I3628*1, IF(Gastos[[#This Row],[Divisa]]="U$D", I3628*$N$1, IF(Gastos[[#This Row],[Divisa]]="EUR", I3628*$N$2, 0)))</f>
        <v>900000</v>
      </c>
      <c r="K3628" s="54">
        <f>Gastos[[#This Row],[Importe AR$]]/$N$1</f>
        <v>576.92307692307691</v>
      </c>
      <c r="M3628" s="69"/>
      <c r="N3628" s="43" t="str">
        <f>IF(Gastos[[#This Row],[Fecha_Cheque]]&gt;0,WEEKNUM(Gastos[[#This Row],[Fecha_Cheque]]),MID(Gastos[[#This Row],[Semana]],6,2))</f>
        <v>25</v>
      </c>
      <c r="O3628" t="s">
        <v>3553</v>
      </c>
      <c r="P3628" t="s">
        <v>27</v>
      </c>
    </row>
    <row r="3629" spans="1:16" hidden="1" x14ac:dyDescent="0.25">
      <c r="A3629" s="3" t="s">
        <v>3567</v>
      </c>
      <c r="B3629" t="s">
        <v>3051</v>
      </c>
      <c r="C3629" t="s">
        <v>2667</v>
      </c>
      <c r="D3629" t="s">
        <v>26</v>
      </c>
      <c r="E3629" t="s">
        <v>62</v>
      </c>
      <c r="F3629">
        <v>2</v>
      </c>
      <c r="G3629" s="3" t="s">
        <v>32</v>
      </c>
      <c r="H3629" s="44" t="s">
        <v>15</v>
      </c>
      <c r="I3629" s="17">
        <v>2000000</v>
      </c>
      <c r="J3629" s="17">
        <f>IF(Gastos[[#This Row],[Divisa]]="$", I3629*1, IF(Gastos[[#This Row],[Divisa]]="U$D", I3629*$N$1, IF(Gastos[[#This Row],[Divisa]]="EUR", I3629*$N$2, 0)))</f>
        <v>2000000</v>
      </c>
      <c r="K3629" s="54">
        <f>Gastos[[#This Row],[Importe AR$]]/$N$1</f>
        <v>1282.051282051282</v>
      </c>
      <c r="M3629" s="69">
        <v>46242</v>
      </c>
      <c r="N3629" s="43">
        <f>IF(Gastos[[#This Row],[Fecha_Cheque]]&gt;0,WEEKNUM(Gastos[[#This Row],[Fecha_Cheque]]),MID(Gastos[[#This Row],[Semana]],6,2))</f>
        <v>32</v>
      </c>
      <c r="O3629" t="s">
        <v>3606</v>
      </c>
      <c r="P3629" t="s">
        <v>27</v>
      </c>
    </row>
    <row r="3630" spans="1:16" hidden="1" x14ac:dyDescent="0.25">
      <c r="A3630" s="3" t="s">
        <v>3567</v>
      </c>
      <c r="B3630" t="s">
        <v>3051</v>
      </c>
      <c r="C3630" t="s">
        <v>2667</v>
      </c>
      <c r="D3630" t="s">
        <v>26</v>
      </c>
      <c r="E3630" t="s">
        <v>42</v>
      </c>
      <c r="F3630">
        <v>2</v>
      </c>
      <c r="G3630" s="3" t="s">
        <v>4</v>
      </c>
      <c r="H3630" s="44" t="s">
        <v>15</v>
      </c>
      <c r="I3630" s="17">
        <v>1000000</v>
      </c>
      <c r="J3630" s="17">
        <f>IF(Gastos[[#This Row],[Divisa]]="$", I3630*1, IF(Gastos[[#This Row],[Divisa]]="U$D", I3630*$N$1, IF(Gastos[[#This Row],[Divisa]]="EUR", I3630*$N$2, 0)))</f>
        <v>1000000</v>
      </c>
      <c r="K3630" s="54">
        <f>Gastos[[#This Row],[Importe AR$]]/$N$1</f>
        <v>641.02564102564099</v>
      </c>
      <c r="M3630" s="69"/>
      <c r="N3630" s="43" t="str">
        <f>IF(Gastos[[#This Row],[Fecha_Cheque]]&gt;0,WEEKNUM(Gastos[[#This Row],[Fecha_Cheque]]),MID(Gastos[[#This Row],[Semana]],6,2))</f>
        <v>26</v>
      </c>
      <c r="O3630" t="s">
        <v>3606</v>
      </c>
      <c r="P3630" t="s">
        <v>27</v>
      </c>
    </row>
    <row r="3631" spans="1:16" hidden="1" x14ac:dyDescent="0.25">
      <c r="A3631" s="3" t="s">
        <v>3617</v>
      </c>
      <c r="B3631" t="s">
        <v>3051</v>
      </c>
      <c r="C3631" t="s">
        <v>2667</v>
      </c>
      <c r="D3631" t="s">
        <v>26</v>
      </c>
      <c r="E3631" t="s">
        <v>132</v>
      </c>
      <c r="F3631">
        <v>2</v>
      </c>
      <c r="G3631" s="3" t="s">
        <v>32</v>
      </c>
      <c r="H3631" s="44" t="s">
        <v>15</v>
      </c>
      <c r="I3631" s="17">
        <v>3212624.89</v>
      </c>
      <c r="J3631" s="17">
        <f>IF(Gastos[[#This Row],[Divisa]]="$", I3631*1, IF(Gastos[[#This Row],[Divisa]]="U$D", I3631*$N$1, IF(Gastos[[#This Row],[Divisa]]="EUR", I3631*$N$2, 0)))</f>
        <v>3212624.89</v>
      </c>
      <c r="K3631" s="54">
        <f>Gastos[[#This Row],[Importe AR$]]/$N$1</f>
        <v>2059.3749294871795</v>
      </c>
      <c r="M3631" s="69"/>
      <c r="N3631" s="43" t="str">
        <f>IF(Gastos[[#This Row],[Fecha_Cheque]]&gt;0,WEEKNUM(Gastos[[#This Row],[Fecha_Cheque]]),MID(Gastos[[#This Row],[Semana]],6,2))</f>
        <v>27</v>
      </c>
      <c r="O3631" t="s">
        <v>3689</v>
      </c>
      <c r="P3631" t="s">
        <v>27</v>
      </c>
    </row>
    <row r="3632" spans="1:16" hidden="1" x14ac:dyDescent="0.25">
      <c r="A3632" s="3" t="s">
        <v>3693</v>
      </c>
      <c r="B3632" t="s">
        <v>3051</v>
      </c>
      <c r="C3632" t="s">
        <v>2667</v>
      </c>
      <c r="D3632" t="s">
        <v>26</v>
      </c>
      <c r="E3632" t="s">
        <v>132</v>
      </c>
      <c r="F3632">
        <v>2</v>
      </c>
      <c r="G3632" s="3" t="s">
        <v>32</v>
      </c>
      <c r="H3632" s="44" t="s">
        <v>15</v>
      </c>
      <c r="I3632" s="17">
        <v>2500000</v>
      </c>
      <c r="J3632" s="17">
        <f>IF(Gastos[[#This Row],[Divisa]]="$", I3632*1, IF(Gastos[[#This Row],[Divisa]]="U$D", I3632*$N$1, IF(Gastos[[#This Row],[Divisa]]="EUR", I3632*$N$2, 0)))</f>
        <v>2500000</v>
      </c>
      <c r="K3632" s="54">
        <f>Gastos[[#This Row],[Importe AR$]]/$N$1</f>
        <v>1602.5641025641025</v>
      </c>
      <c r="M3632" s="69">
        <v>46231</v>
      </c>
      <c r="N3632" s="43">
        <f>IF(Gastos[[#This Row],[Fecha_Cheque]]&gt;0,WEEKNUM(Gastos[[#This Row],[Fecha_Cheque]]),MID(Gastos[[#This Row],[Semana]],6,2))</f>
        <v>31</v>
      </c>
      <c r="O3632" t="s">
        <v>3702</v>
      </c>
      <c r="P3632" t="s">
        <v>27</v>
      </c>
    </row>
    <row r="3633" spans="1:16" hidden="1" x14ac:dyDescent="0.25">
      <c r="A3633" s="3" t="s">
        <v>3693</v>
      </c>
      <c r="B3633" t="s">
        <v>3051</v>
      </c>
      <c r="C3633" t="s">
        <v>2667</v>
      </c>
      <c r="D3633" t="s">
        <v>26</v>
      </c>
      <c r="E3633" t="s">
        <v>132</v>
      </c>
      <c r="F3633">
        <v>2</v>
      </c>
      <c r="G3633" s="3" t="s">
        <v>32</v>
      </c>
      <c r="H3633" s="44" t="s">
        <v>15</v>
      </c>
      <c r="I3633" s="17">
        <v>2726733</v>
      </c>
      <c r="J3633" s="17">
        <f>IF(Gastos[[#This Row],[Divisa]]="$", I3633*1, IF(Gastos[[#This Row],[Divisa]]="U$D", I3633*$N$1, IF(Gastos[[#This Row],[Divisa]]="EUR", I3633*$N$2, 0)))</f>
        <v>2726733</v>
      </c>
      <c r="K3633" s="54">
        <f>Gastos[[#This Row],[Importe AR$]]/$N$1</f>
        <v>1747.9057692307692</v>
      </c>
      <c r="M3633" s="69">
        <v>46265</v>
      </c>
      <c r="N3633" s="43">
        <f>IF(Gastos[[#This Row],[Fecha_Cheque]]&gt;0,WEEKNUM(Gastos[[#This Row],[Fecha_Cheque]]),MID(Gastos[[#This Row],[Semana]],6,2))</f>
        <v>36</v>
      </c>
      <c r="O3633" t="s">
        <v>3702</v>
      </c>
      <c r="P3633" t="s">
        <v>27</v>
      </c>
    </row>
    <row r="3634" spans="1:16" hidden="1" x14ac:dyDescent="0.25">
      <c r="A3634" s="3" t="s">
        <v>3754</v>
      </c>
      <c r="B3634" t="s">
        <v>3051</v>
      </c>
      <c r="C3634" t="s">
        <v>2667</v>
      </c>
      <c r="D3634" t="s">
        <v>26</v>
      </c>
      <c r="E3634" t="s">
        <v>132</v>
      </c>
      <c r="F3634">
        <v>2</v>
      </c>
      <c r="G3634" s="3" t="s">
        <v>32</v>
      </c>
      <c r="H3634" s="44" t="s">
        <v>15</v>
      </c>
      <c r="I3634" s="17">
        <v>335749</v>
      </c>
      <c r="J3634" s="17">
        <f>IF(Gastos[[#This Row],[Divisa]]="$", I3634*1, IF(Gastos[[#This Row],[Divisa]]="U$D", I3634*$N$1, IF(Gastos[[#This Row],[Divisa]]="EUR", I3634*$N$2, 0)))</f>
        <v>335749</v>
      </c>
      <c r="K3634" s="54">
        <f>Gastos[[#This Row],[Importe AR$]]/$N$1</f>
        <v>215.22371794871796</v>
      </c>
      <c r="M3634" s="69">
        <v>46198</v>
      </c>
      <c r="N3634" s="43">
        <f>IF(Gastos[[#This Row],[Fecha_Cheque]]&gt;0,WEEKNUM(Gastos[[#This Row],[Fecha_Cheque]]),MID(Gastos[[#This Row],[Semana]],6,2))</f>
        <v>26</v>
      </c>
      <c r="O3634" t="s">
        <v>3777</v>
      </c>
      <c r="P3634" t="s">
        <v>27</v>
      </c>
    </row>
    <row r="3635" spans="1:16" hidden="1" x14ac:dyDescent="0.25">
      <c r="A3635" s="3" t="s">
        <v>3754</v>
      </c>
      <c r="B3635" t="s">
        <v>3051</v>
      </c>
      <c r="C3635" t="s">
        <v>2667</v>
      </c>
      <c r="D3635" t="s">
        <v>26</v>
      </c>
      <c r="E3635" t="s">
        <v>132</v>
      </c>
      <c r="F3635">
        <v>2</v>
      </c>
      <c r="G3635" s="3" t="s">
        <v>32</v>
      </c>
      <c r="H3635" s="44" t="s">
        <v>15</v>
      </c>
      <c r="I3635" s="17">
        <v>1000000</v>
      </c>
      <c r="J3635" s="17">
        <f>IF(Gastos[[#This Row],[Divisa]]="$", I3635*1, IF(Gastos[[#This Row],[Divisa]]="U$D", I3635*$N$1, IF(Gastos[[#This Row],[Divisa]]="EUR", I3635*$N$2, 0)))</f>
        <v>1000000</v>
      </c>
      <c r="K3635" s="54">
        <f>Gastos[[#This Row],[Importe AR$]]/$N$1</f>
        <v>641.02564102564099</v>
      </c>
      <c r="M3635" s="69">
        <v>46244</v>
      </c>
      <c r="N3635" s="43">
        <f>IF(Gastos[[#This Row],[Fecha_Cheque]]&gt;0,WEEKNUM(Gastos[[#This Row],[Fecha_Cheque]]),MID(Gastos[[#This Row],[Semana]],6,2))</f>
        <v>33</v>
      </c>
      <c r="O3635" t="s">
        <v>3777</v>
      </c>
      <c r="P3635" t="s">
        <v>27</v>
      </c>
    </row>
    <row r="3636" spans="1:16" hidden="1" x14ac:dyDescent="0.25">
      <c r="A3636" s="3" t="s">
        <v>3754</v>
      </c>
      <c r="B3636" t="s">
        <v>3051</v>
      </c>
      <c r="C3636" t="s">
        <v>2667</v>
      </c>
      <c r="D3636" t="s">
        <v>26</v>
      </c>
      <c r="E3636" t="s">
        <v>132</v>
      </c>
      <c r="F3636">
        <v>2</v>
      </c>
      <c r="G3636" s="3" t="s">
        <v>32</v>
      </c>
      <c r="H3636" s="44" t="s">
        <v>15</v>
      </c>
      <c r="I3636" s="17">
        <v>550000</v>
      </c>
      <c r="J3636" s="17">
        <f>IF(Gastos[[#This Row],[Divisa]]="$", I3636*1, IF(Gastos[[#This Row],[Divisa]]="U$D", I3636*$N$1, IF(Gastos[[#This Row],[Divisa]]="EUR", I3636*$N$2, 0)))</f>
        <v>550000</v>
      </c>
      <c r="K3636" s="54">
        <f>Gastos[[#This Row],[Importe AR$]]/$N$1</f>
        <v>352.56410256410254</v>
      </c>
      <c r="M3636" s="69">
        <v>46193</v>
      </c>
      <c r="N3636" s="43">
        <f>IF(Gastos[[#This Row],[Fecha_Cheque]]&gt;0,WEEKNUM(Gastos[[#This Row],[Fecha_Cheque]]),MID(Gastos[[#This Row],[Semana]],6,2))</f>
        <v>25</v>
      </c>
      <c r="O3636" t="s">
        <v>3777</v>
      </c>
      <c r="P3636" t="s">
        <v>27</v>
      </c>
    </row>
    <row r="3637" spans="1:16" hidden="1" x14ac:dyDescent="0.25">
      <c r="A3637" s="3" t="s">
        <v>3754</v>
      </c>
      <c r="B3637" t="s">
        <v>3051</v>
      </c>
      <c r="C3637" t="s">
        <v>2667</v>
      </c>
      <c r="D3637" t="s">
        <v>26</v>
      </c>
      <c r="E3637" t="s">
        <v>42</v>
      </c>
      <c r="F3637">
        <v>2</v>
      </c>
      <c r="G3637" s="3" t="s">
        <v>4</v>
      </c>
      <c r="H3637" s="44" t="s">
        <v>2</v>
      </c>
      <c r="I3637" s="17">
        <v>800</v>
      </c>
      <c r="J3637" s="17">
        <f>IF(Gastos[[#This Row],[Divisa]]="$", I3637*1, IF(Gastos[[#This Row],[Divisa]]="U$D", I3637*$N$1, IF(Gastos[[#This Row],[Divisa]]="EUR", I3637*$N$2, 0)))</f>
        <v>1248000</v>
      </c>
      <c r="K3637" s="54">
        <f>Gastos[[#This Row],[Importe AR$]]/$N$1</f>
        <v>800</v>
      </c>
      <c r="M3637" s="69"/>
      <c r="N3637" s="43" t="str">
        <f>IF(Gastos[[#This Row],[Fecha_Cheque]]&gt;0,WEEKNUM(Gastos[[#This Row],[Fecha_Cheque]]),MID(Gastos[[#This Row],[Semana]],6,2))</f>
        <v>29</v>
      </c>
      <c r="O3637" t="s">
        <v>3809</v>
      </c>
      <c r="P3637" t="s">
        <v>27</v>
      </c>
    </row>
    <row r="3638" spans="1:16" hidden="1" x14ac:dyDescent="0.25">
      <c r="A3638" s="3" t="s">
        <v>3817</v>
      </c>
      <c r="B3638" t="s">
        <v>3051</v>
      </c>
      <c r="C3638" t="s">
        <v>2667</v>
      </c>
      <c r="D3638" t="s">
        <v>26</v>
      </c>
      <c r="E3638" t="s">
        <v>42</v>
      </c>
      <c r="F3638">
        <v>2</v>
      </c>
      <c r="G3638" s="3" t="s">
        <v>4</v>
      </c>
      <c r="H3638" s="44" t="s">
        <v>15</v>
      </c>
      <c r="I3638" s="17">
        <v>500000</v>
      </c>
      <c r="J3638" s="17">
        <f>IF(Gastos[[#This Row],[Divisa]]="$", I3638*1, IF(Gastos[[#This Row],[Divisa]]="U$D", I3638*$N$1, IF(Gastos[[#This Row],[Divisa]]="EUR", I3638*$N$2, 0)))</f>
        <v>500000</v>
      </c>
      <c r="K3638" s="54">
        <f>Gastos[[#This Row],[Importe AR$]]/$N$1</f>
        <v>320.5128205128205</v>
      </c>
      <c r="M3638" s="69"/>
      <c r="N3638" s="43" t="str">
        <f>IF(Gastos[[#This Row],[Fecha_Cheque]]&gt;0,WEEKNUM(Gastos[[#This Row],[Fecha_Cheque]]),MID(Gastos[[#This Row],[Semana]],6,2))</f>
        <v>30</v>
      </c>
      <c r="O3638" t="s">
        <v>3874</v>
      </c>
      <c r="P3638" t="s">
        <v>27</v>
      </c>
    </row>
    <row r="3639" spans="1:16" hidden="1" x14ac:dyDescent="0.25">
      <c r="A3639" s="3" t="s">
        <v>3882</v>
      </c>
      <c r="B3639" t="s">
        <v>3051</v>
      </c>
      <c r="C3639" t="s">
        <v>2667</v>
      </c>
      <c r="D3639" t="s">
        <v>26</v>
      </c>
      <c r="E3639" t="s">
        <v>3928</v>
      </c>
      <c r="F3639">
        <v>2</v>
      </c>
      <c r="G3639" s="3" t="s">
        <v>4</v>
      </c>
      <c r="H3639" s="44" t="s">
        <v>15</v>
      </c>
      <c r="I3639" s="17">
        <v>500000</v>
      </c>
      <c r="J3639" s="17">
        <f>IF(Gastos[[#This Row],[Divisa]]="$", I3639*1, IF(Gastos[[#This Row],[Divisa]]="U$D", I3639*$N$1, IF(Gastos[[#This Row],[Divisa]]="EUR", I3639*$N$2, 0)))</f>
        <v>500000</v>
      </c>
      <c r="K3639" s="54">
        <f>Gastos[[#This Row],[Importe AR$]]/$N$1</f>
        <v>320.5128205128205</v>
      </c>
      <c r="M3639" s="69"/>
      <c r="N3639" s="43" t="str">
        <f>IF(Gastos[[#This Row],[Fecha_Cheque]]&gt;0,WEEKNUM(Gastos[[#This Row],[Fecha_Cheque]]),MID(Gastos[[#This Row],[Semana]],6,2))</f>
        <v>31</v>
      </c>
      <c r="O3639" t="s">
        <v>3958</v>
      </c>
      <c r="P3639" t="s">
        <v>27</v>
      </c>
    </row>
    <row r="3640" spans="1:16" hidden="1" x14ac:dyDescent="0.25">
      <c r="A3640" s="3" t="s">
        <v>3963</v>
      </c>
      <c r="B3640" t="s">
        <v>3051</v>
      </c>
      <c r="C3640" t="s">
        <v>2667</v>
      </c>
      <c r="D3640" t="s">
        <v>26</v>
      </c>
      <c r="E3640" t="s">
        <v>3928</v>
      </c>
      <c r="F3640">
        <v>2</v>
      </c>
      <c r="G3640" s="3" t="s">
        <v>32</v>
      </c>
      <c r="H3640" s="44" t="s">
        <v>15</v>
      </c>
      <c r="I3640" s="17">
        <v>650000</v>
      </c>
      <c r="J3640" s="17">
        <f>IF(Gastos[[#This Row],[Divisa]]="$", I3640*1, IF(Gastos[[#This Row],[Divisa]]="U$D", I3640*$N$1, IF(Gastos[[#This Row],[Divisa]]="EUR", I3640*$N$2, 0)))</f>
        <v>650000</v>
      </c>
      <c r="K3640" s="54">
        <f>Gastos[[#This Row],[Importe AR$]]/$N$1</f>
        <v>416.66666666666669</v>
      </c>
      <c r="M3640" s="69">
        <v>46248</v>
      </c>
      <c r="N3640" s="43">
        <f>IF(Gastos[[#This Row],[Fecha_Cheque]]&gt;0,WEEKNUM(Gastos[[#This Row],[Fecha_Cheque]]),MID(Gastos[[#This Row],[Semana]],6,2))</f>
        <v>33</v>
      </c>
      <c r="O3640" t="s">
        <v>3997</v>
      </c>
      <c r="P3640" t="s">
        <v>27</v>
      </c>
    </row>
    <row r="3641" spans="1:16" hidden="1" x14ac:dyDescent="0.25">
      <c r="A3641" s="3" t="s">
        <v>3963</v>
      </c>
      <c r="B3641" t="s">
        <v>3051</v>
      </c>
      <c r="C3641" t="s">
        <v>2667</v>
      </c>
      <c r="D3641" t="s">
        <v>26</v>
      </c>
      <c r="E3641" t="s">
        <v>3928</v>
      </c>
      <c r="F3641">
        <v>2</v>
      </c>
      <c r="G3641" s="3" t="s">
        <v>32</v>
      </c>
      <c r="H3641" s="44" t="s">
        <v>15</v>
      </c>
      <c r="I3641" s="17">
        <v>1000000</v>
      </c>
      <c r="J3641" s="17">
        <f>IF(Gastos[[#This Row],[Divisa]]="$", I3641*1, IF(Gastos[[#This Row],[Divisa]]="U$D", I3641*$N$1, IF(Gastos[[#This Row],[Divisa]]="EUR", I3641*$N$2, 0)))</f>
        <v>1000000</v>
      </c>
      <c r="K3641" s="54">
        <f>Gastos[[#This Row],[Importe AR$]]/$N$1</f>
        <v>641.02564102564099</v>
      </c>
      <c r="M3641" s="69">
        <v>46264</v>
      </c>
      <c r="N3641" s="43">
        <f>IF(Gastos[[#This Row],[Fecha_Cheque]]&gt;0,WEEKNUM(Gastos[[#This Row],[Fecha_Cheque]]),MID(Gastos[[#This Row],[Semana]],6,2))</f>
        <v>36</v>
      </c>
      <c r="O3641" t="s">
        <v>3997</v>
      </c>
      <c r="P3641" t="s">
        <v>27</v>
      </c>
    </row>
    <row r="3642" spans="1:16" hidden="1" x14ac:dyDescent="0.25">
      <c r="A3642" s="3" t="s">
        <v>3963</v>
      </c>
      <c r="B3642" t="s">
        <v>3051</v>
      </c>
      <c r="C3642" t="s">
        <v>2667</v>
      </c>
      <c r="D3642" t="s">
        <v>26</v>
      </c>
      <c r="E3642" t="s">
        <v>3928</v>
      </c>
      <c r="F3642">
        <v>2</v>
      </c>
      <c r="G3642" s="3" t="s">
        <v>32</v>
      </c>
      <c r="H3642" s="44" t="s">
        <v>15</v>
      </c>
      <c r="I3642" s="17">
        <v>1500000</v>
      </c>
      <c r="J3642" s="17">
        <f>IF(Gastos[[#This Row],[Divisa]]="$", I3642*1, IF(Gastos[[#This Row],[Divisa]]="U$D", I3642*$N$1, IF(Gastos[[#This Row],[Divisa]]="EUR", I3642*$N$2, 0)))</f>
        <v>1500000</v>
      </c>
      <c r="K3642" s="54">
        <f>Gastos[[#This Row],[Importe AR$]]/$N$1</f>
        <v>961.53846153846155</v>
      </c>
      <c r="M3642" s="69">
        <v>46240</v>
      </c>
      <c r="N3642" s="43">
        <f>IF(Gastos[[#This Row],[Fecha_Cheque]]&gt;0,WEEKNUM(Gastos[[#This Row],[Fecha_Cheque]]),MID(Gastos[[#This Row],[Semana]],6,2))</f>
        <v>32</v>
      </c>
      <c r="O3642" t="s">
        <v>3997</v>
      </c>
      <c r="P3642" t="s">
        <v>27</v>
      </c>
    </row>
    <row r="3643" spans="1:16" hidden="1" x14ac:dyDescent="0.25">
      <c r="A3643" s="3" t="s">
        <v>4005</v>
      </c>
      <c r="B3643" t="s">
        <v>3051</v>
      </c>
      <c r="C3643" t="s">
        <v>2667</v>
      </c>
      <c r="D3643" t="s">
        <v>26</v>
      </c>
      <c r="E3643" t="s">
        <v>3928</v>
      </c>
      <c r="F3643">
        <v>2</v>
      </c>
      <c r="G3643" s="3" t="s">
        <v>32</v>
      </c>
      <c r="H3643" s="44" t="s">
        <v>15</v>
      </c>
      <c r="I3643" s="17">
        <v>850000</v>
      </c>
      <c r="J3643" s="17">
        <f>IF(Gastos[[#This Row],[Divisa]]="$", I3643*1, IF(Gastos[[#This Row],[Divisa]]="U$D", I3643*$N$1, IF(Gastos[[#This Row],[Divisa]]="EUR", I3643*$N$2, 0)))</f>
        <v>850000</v>
      </c>
      <c r="K3643" s="54">
        <f>Gastos[[#This Row],[Importe AR$]]/$N$1</f>
        <v>544.87179487179492</v>
      </c>
      <c r="M3643" s="69">
        <v>46265</v>
      </c>
      <c r="N3643" s="43">
        <f>IF(Gastos[[#This Row],[Fecha_Cheque]]&gt;0,WEEKNUM(Gastos[[#This Row],[Fecha_Cheque]]),MID(Gastos[[#This Row],[Semana]],6,2))</f>
        <v>36</v>
      </c>
      <c r="O3643" t="s">
        <v>4033</v>
      </c>
      <c r="P3643" t="s">
        <v>27</v>
      </c>
    </row>
    <row r="3644" spans="1:16" hidden="1" x14ac:dyDescent="0.25">
      <c r="A3644" s="3" t="s">
        <v>4005</v>
      </c>
      <c r="B3644" t="s">
        <v>3051</v>
      </c>
      <c r="C3644" t="s">
        <v>2667</v>
      </c>
      <c r="D3644" t="s">
        <v>26</v>
      </c>
      <c r="E3644" t="s">
        <v>3928</v>
      </c>
      <c r="F3644">
        <v>2</v>
      </c>
      <c r="G3644" s="3" t="s">
        <v>32</v>
      </c>
      <c r="H3644" s="44" t="s">
        <v>15</v>
      </c>
      <c r="I3644" s="17">
        <v>2193800</v>
      </c>
      <c r="J3644" s="17">
        <f>IF(Gastos[[#This Row],[Divisa]]="$", I3644*1, IF(Gastos[[#This Row],[Divisa]]="U$D", I3644*$N$1, IF(Gastos[[#This Row],[Divisa]]="EUR", I3644*$N$2, 0)))</f>
        <v>2193800</v>
      </c>
      <c r="K3644" s="54">
        <f>Gastos[[#This Row],[Importe AR$]]/$N$1</f>
        <v>1406.2820512820513</v>
      </c>
      <c r="M3644" s="69">
        <v>46277</v>
      </c>
      <c r="N3644" s="43">
        <f>IF(Gastos[[#This Row],[Fecha_Cheque]]&gt;0,WEEKNUM(Gastos[[#This Row],[Fecha_Cheque]]),MID(Gastos[[#This Row],[Semana]],6,2))</f>
        <v>37</v>
      </c>
      <c r="O3644" t="s">
        <v>4033</v>
      </c>
      <c r="P3644" t="s">
        <v>27</v>
      </c>
    </row>
    <row r="3645" spans="1:16" hidden="1" x14ac:dyDescent="0.25">
      <c r="A3645" s="3" t="s">
        <v>4119</v>
      </c>
      <c r="B3645" t="s">
        <v>3051</v>
      </c>
      <c r="C3645" t="s">
        <v>2667</v>
      </c>
      <c r="D3645" t="s">
        <v>26</v>
      </c>
      <c r="E3645" t="s">
        <v>3928</v>
      </c>
      <c r="F3645">
        <v>2</v>
      </c>
      <c r="G3645" s="3" t="s">
        <v>32</v>
      </c>
      <c r="H3645" s="44" t="s">
        <v>15</v>
      </c>
      <c r="I3645" s="17">
        <v>1000000</v>
      </c>
      <c r="J3645" s="17">
        <f>IF(Gastos[[#This Row],[Divisa]]="$", I3645*1, IF(Gastos[[#This Row],[Divisa]]="U$D", I3645*$N$1, IF(Gastos[[#This Row],[Divisa]]="EUR", I3645*$N$2, 0)))</f>
        <v>1000000</v>
      </c>
      <c r="K3645" s="54">
        <f>Gastos[[#This Row],[Importe AR$]]/$N$1</f>
        <v>641.02564102564099</v>
      </c>
      <c r="M3645" s="69">
        <v>46277</v>
      </c>
      <c r="N3645" s="43">
        <f>IF(Gastos[[#This Row],[Fecha_Cheque]]&gt;0,WEEKNUM(Gastos[[#This Row],[Fecha_Cheque]]),MID(Gastos[[#This Row],[Semana]],6,2))</f>
        <v>37</v>
      </c>
      <c r="O3645" t="s">
        <v>4155</v>
      </c>
      <c r="P3645" t="s">
        <v>27</v>
      </c>
    </row>
    <row r="3646" spans="1:16" hidden="1" x14ac:dyDescent="0.25">
      <c r="A3646" s="3" t="s">
        <v>4119</v>
      </c>
      <c r="B3646" t="s">
        <v>3051</v>
      </c>
      <c r="C3646" t="s">
        <v>2667</v>
      </c>
      <c r="D3646" t="s">
        <v>26</v>
      </c>
      <c r="E3646" t="s">
        <v>3928</v>
      </c>
      <c r="F3646">
        <v>2</v>
      </c>
      <c r="G3646" s="3" t="s">
        <v>32</v>
      </c>
      <c r="H3646" s="44" t="s">
        <v>15</v>
      </c>
      <c r="I3646" s="17">
        <v>700000</v>
      </c>
      <c r="J3646" s="17">
        <f>IF(Gastos[[#This Row],[Divisa]]="$", I3646*1, IF(Gastos[[#This Row],[Divisa]]="U$D", I3646*$N$1, IF(Gastos[[#This Row],[Divisa]]="EUR", I3646*$N$2, 0)))</f>
        <v>700000</v>
      </c>
      <c r="K3646" s="54">
        <f>Gastos[[#This Row],[Importe AR$]]/$N$1</f>
        <v>448.71794871794873</v>
      </c>
      <c r="M3646" s="69">
        <v>46291</v>
      </c>
      <c r="N3646" s="43">
        <f>IF(Gastos[[#This Row],[Fecha_Cheque]]&gt;0,WEEKNUM(Gastos[[#This Row],[Fecha_Cheque]]),MID(Gastos[[#This Row],[Semana]],6,2))</f>
        <v>39</v>
      </c>
      <c r="O3646" t="s">
        <v>4155</v>
      </c>
      <c r="P3646" t="s">
        <v>27</v>
      </c>
    </row>
    <row r="3647" spans="1:16" hidden="1" x14ac:dyDescent="0.25">
      <c r="A3647" s="3" t="s">
        <v>4119</v>
      </c>
      <c r="B3647" t="s">
        <v>3051</v>
      </c>
      <c r="C3647" t="s">
        <v>2667</v>
      </c>
      <c r="D3647" t="s">
        <v>26</v>
      </c>
      <c r="E3647" t="s">
        <v>3928</v>
      </c>
      <c r="F3647">
        <v>2</v>
      </c>
      <c r="G3647" s="3" t="s">
        <v>32</v>
      </c>
      <c r="H3647" s="44" t="s">
        <v>15</v>
      </c>
      <c r="I3647" s="17">
        <v>401666</v>
      </c>
      <c r="J3647" s="17">
        <f>IF(Gastos[[#This Row],[Divisa]]="$", I3647*1, IF(Gastos[[#This Row],[Divisa]]="U$D", I3647*$N$1, IF(Gastos[[#This Row],[Divisa]]="EUR", I3647*$N$2, 0)))</f>
        <v>401666</v>
      </c>
      <c r="K3647" s="54">
        <f>Gastos[[#This Row],[Importe AR$]]/$N$1</f>
        <v>257.4782051282051</v>
      </c>
      <c r="M3647" s="69">
        <v>46275</v>
      </c>
      <c r="N3647" s="43">
        <f>IF(Gastos[[#This Row],[Fecha_Cheque]]&gt;0,WEEKNUM(Gastos[[#This Row],[Fecha_Cheque]]),MID(Gastos[[#This Row],[Semana]],6,2))</f>
        <v>37</v>
      </c>
      <c r="O3647" t="s">
        <v>4155</v>
      </c>
      <c r="P3647" t="s">
        <v>27</v>
      </c>
    </row>
    <row r="3648" spans="1:16" hidden="1" x14ac:dyDescent="0.25">
      <c r="A3648" s="3" t="s">
        <v>4119</v>
      </c>
      <c r="B3648" t="s">
        <v>3051</v>
      </c>
      <c r="C3648" t="s">
        <v>2667</v>
      </c>
      <c r="D3648" t="s">
        <v>26</v>
      </c>
      <c r="E3648" t="s">
        <v>42</v>
      </c>
      <c r="F3648">
        <v>2</v>
      </c>
      <c r="G3648" s="3" t="s">
        <v>4</v>
      </c>
      <c r="H3648" s="44" t="s">
        <v>15</v>
      </c>
      <c r="I3648" s="17">
        <v>800000</v>
      </c>
      <c r="J3648" s="17">
        <f>IF(Gastos[[#This Row],[Divisa]]="$", I3648*1, IF(Gastos[[#This Row],[Divisa]]="U$D", I3648*$N$1, IF(Gastos[[#This Row],[Divisa]]="EUR", I3648*$N$2, 0)))</f>
        <v>800000</v>
      </c>
      <c r="K3648" s="54">
        <f>Gastos[[#This Row],[Importe AR$]]/$N$1</f>
        <v>512.82051282051282</v>
      </c>
      <c r="M3648" s="69"/>
      <c r="N3648" s="43" t="str">
        <f>IF(Gastos[[#This Row],[Fecha_Cheque]]&gt;0,WEEKNUM(Gastos[[#This Row],[Fecha_Cheque]]),MID(Gastos[[#This Row],[Semana]],6,2))</f>
        <v>35</v>
      </c>
      <c r="O3648" t="s">
        <v>4155</v>
      </c>
      <c r="P3648" t="s">
        <v>27</v>
      </c>
    </row>
    <row r="3649" spans="1:16" hidden="1" x14ac:dyDescent="0.25">
      <c r="A3649" s="3" t="s">
        <v>4157</v>
      </c>
      <c r="B3649" t="s">
        <v>3051</v>
      </c>
      <c r="C3649" t="s">
        <v>2667</v>
      </c>
      <c r="D3649" t="s">
        <v>26</v>
      </c>
      <c r="E3649" t="s">
        <v>42</v>
      </c>
      <c r="F3649">
        <v>2</v>
      </c>
      <c r="G3649" s="3" t="s">
        <v>4</v>
      </c>
      <c r="H3649" s="44" t="s">
        <v>15</v>
      </c>
      <c r="I3649" s="17">
        <v>500000</v>
      </c>
      <c r="J3649" s="17">
        <f>IF(Gastos[[#This Row],[Divisa]]="$", I3649*1, IF(Gastos[[#This Row],[Divisa]]="U$D", I3649*$N$1, IF(Gastos[[#This Row],[Divisa]]="EUR", I3649*$N$2, 0)))</f>
        <v>500000</v>
      </c>
      <c r="K3649" s="54">
        <f>Gastos[[#This Row],[Importe AR$]]/$N$1</f>
        <v>320.5128205128205</v>
      </c>
      <c r="M3649" s="69"/>
      <c r="N3649" s="43" t="str">
        <f>IF(Gastos[[#This Row],[Fecha_Cheque]]&gt;0,WEEKNUM(Gastos[[#This Row],[Fecha_Cheque]]),MID(Gastos[[#This Row],[Semana]],6,2))</f>
        <v>36</v>
      </c>
      <c r="O3649" t="s">
        <v>4209</v>
      </c>
      <c r="P3649" t="s">
        <v>27</v>
      </c>
    </row>
    <row r="3650" spans="1:16" hidden="1" x14ac:dyDescent="0.25">
      <c r="A3650" s="3" t="s">
        <v>4157</v>
      </c>
      <c r="B3650" t="s">
        <v>3051</v>
      </c>
      <c r="C3650" t="s">
        <v>2667</v>
      </c>
      <c r="D3650" t="s">
        <v>26</v>
      </c>
      <c r="E3650" t="s">
        <v>42</v>
      </c>
      <c r="F3650">
        <v>2</v>
      </c>
      <c r="G3650" s="3" t="s">
        <v>4</v>
      </c>
      <c r="H3650" s="44" t="s">
        <v>15</v>
      </c>
      <c r="I3650" s="17">
        <v>340000</v>
      </c>
      <c r="J3650" s="17">
        <f>IF(Gastos[[#This Row],[Divisa]]="$", I3650*1, IF(Gastos[[#This Row],[Divisa]]="U$D", I3650*$N$1, IF(Gastos[[#This Row],[Divisa]]="EUR", I3650*$N$2, 0)))</f>
        <v>340000</v>
      </c>
      <c r="K3650" s="54">
        <f>Gastos[[#This Row],[Importe AR$]]/$N$1</f>
        <v>217.94871794871796</v>
      </c>
      <c r="M3650" s="69">
        <v>46293</v>
      </c>
      <c r="N3650" s="43">
        <f>IF(Gastos[[#This Row],[Fecha_Cheque]]&gt;0,WEEKNUM(Gastos[[#This Row],[Fecha_Cheque]]),MID(Gastos[[#This Row],[Semana]],6,2))</f>
        <v>40</v>
      </c>
      <c r="O3650" t="s">
        <v>4209</v>
      </c>
      <c r="P3650" t="s">
        <v>27</v>
      </c>
    </row>
    <row r="3651" spans="1:16" hidden="1" x14ac:dyDescent="0.25">
      <c r="A3651" s="3" t="s">
        <v>4157</v>
      </c>
      <c r="B3651" t="s">
        <v>3051</v>
      </c>
      <c r="C3651" t="s">
        <v>2667</v>
      </c>
      <c r="D3651" t="s">
        <v>26</v>
      </c>
      <c r="E3651" t="s">
        <v>42</v>
      </c>
      <c r="F3651">
        <v>2</v>
      </c>
      <c r="G3651" s="3" t="s">
        <v>4</v>
      </c>
      <c r="H3651" s="44" t="s">
        <v>15</v>
      </c>
      <c r="I3651" s="17">
        <v>900000</v>
      </c>
      <c r="J3651" s="17">
        <f>IF(Gastos[[#This Row],[Divisa]]="$", I3651*1, IF(Gastos[[#This Row],[Divisa]]="U$D", I3651*$N$1, IF(Gastos[[#This Row],[Divisa]]="EUR", I3651*$N$2, 0)))</f>
        <v>900000</v>
      </c>
      <c r="K3651" s="54">
        <f>Gastos[[#This Row],[Importe AR$]]/$N$1</f>
        <v>576.92307692307691</v>
      </c>
      <c r="M3651" s="69">
        <v>46310</v>
      </c>
      <c r="N3651" s="43">
        <f>IF(Gastos[[#This Row],[Fecha_Cheque]]&gt;0,WEEKNUM(Gastos[[#This Row],[Fecha_Cheque]]),MID(Gastos[[#This Row],[Semana]],6,2))</f>
        <v>42</v>
      </c>
      <c r="O3651" t="s">
        <v>4209</v>
      </c>
      <c r="P3651" t="s">
        <v>27</v>
      </c>
    </row>
    <row r="3652" spans="1:16" hidden="1" x14ac:dyDescent="0.25">
      <c r="A3652" s="3" t="s">
        <v>4211</v>
      </c>
      <c r="B3652" t="s">
        <v>3051</v>
      </c>
      <c r="C3652" t="s">
        <v>2667</v>
      </c>
      <c r="D3652" t="s">
        <v>26</v>
      </c>
      <c r="E3652" t="s">
        <v>3928</v>
      </c>
      <c r="F3652">
        <v>2</v>
      </c>
      <c r="G3652" s="3" t="s">
        <v>32</v>
      </c>
      <c r="H3652" s="44" t="s">
        <v>15</v>
      </c>
      <c r="I3652" s="17">
        <v>340000</v>
      </c>
      <c r="J3652" s="17">
        <f>IF(Gastos[[#This Row],[Divisa]]="$", I3652*1, IF(Gastos[[#This Row],[Divisa]]="U$D", I3652*$N$1, IF(Gastos[[#This Row],[Divisa]]="EUR", I3652*$N$2, 0)))</f>
        <v>340000</v>
      </c>
      <c r="K3652" s="54">
        <f>Gastos[[#This Row],[Importe AR$]]/$N$1</f>
        <v>217.94871794871796</v>
      </c>
      <c r="M3652" s="69">
        <v>46295</v>
      </c>
      <c r="N3652" s="43">
        <f>IF(Gastos[[#This Row],[Fecha_Cheque]]&gt;0,WEEKNUM(Gastos[[#This Row],[Fecha_Cheque]]),MID(Gastos[[#This Row],[Semana]],6,2))</f>
        <v>40</v>
      </c>
      <c r="O3652" s="26" t="s">
        <v>4299</v>
      </c>
      <c r="P3652" t="s">
        <v>27</v>
      </c>
    </row>
    <row r="3653" spans="1:16" hidden="1" x14ac:dyDescent="0.25">
      <c r="A3653" s="3" t="s">
        <v>4211</v>
      </c>
      <c r="B3653" t="s">
        <v>3051</v>
      </c>
      <c r="C3653" t="s">
        <v>2667</v>
      </c>
      <c r="D3653" t="s">
        <v>26</v>
      </c>
      <c r="E3653" t="s">
        <v>3928</v>
      </c>
      <c r="F3653">
        <v>2</v>
      </c>
      <c r="G3653" s="3" t="s">
        <v>32</v>
      </c>
      <c r="H3653" s="44" t="s">
        <v>15</v>
      </c>
      <c r="I3653" s="17">
        <v>416000</v>
      </c>
      <c r="J3653" s="17">
        <f>IF(Gastos[[#This Row],[Divisa]]="$", I3653*1, IF(Gastos[[#This Row],[Divisa]]="U$D", I3653*$N$1, IF(Gastos[[#This Row],[Divisa]]="EUR", I3653*$N$2, 0)))</f>
        <v>416000</v>
      </c>
      <c r="K3653" s="54">
        <f>Gastos[[#This Row],[Importe AR$]]/$N$1</f>
        <v>266.66666666666669</v>
      </c>
      <c r="M3653" s="69">
        <v>46303</v>
      </c>
      <c r="N3653" s="43">
        <f>IF(Gastos[[#This Row],[Fecha_Cheque]]&gt;0,WEEKNUM(Gastos[[#This Row],[Fecha_Cheque]]),MID(Gastos[[#This Row],[Semana]],6,2))</f>
        <v>41</v>
      </c>
      <c r="O3653" s="26" t="s">
        <v>4299</v>
      </c>
      <c r="P3653" t="s">
        <v>27</v>
      </c>
    </row>
    <row r="3654" spans="1:16" hidden="1" x14ac:dyDescent="0.25">
      <c r="A3654" s="3" t="s">
        <v>4211</v>
      </c>
      <c r="B3654" t="s">
        <v>3051</v>
      </c>
      <c r="C3654" t="s">
        <v>2667</v>
      </c>
      <c r="D3654" t="s">
        <v>26</v>
      </c>
      <c r="E3654" t="s">
        <v>3928</v>
      </c>
      <c r="F3654">
        <v>2</v>
      </c>
      <c r="G3654" s="3" t="s">
        <v>32</v>
      </c>
      <c r="H3654" s="44" t="s">
        <v>15</v>
      </c>
      <c r="I3654" s="17">
        <v>400000</v>
      </c>
      <c r="J3654" s="17">
        <f>IF(Gastos[[#This Row],[Divisa]]="$", I3654*1, IF(Gastos[[#This Row],[Divisa]]="U$D", I3654*$N$1, IF(Gastos[[#This Row],[Divisa]]="EUR", I3654*$N$2, 0)))</f>
        <v>400000</v>
      </c>
      <c r="K3654" s="54">
        <f>Gastos[[#This Row],[Importe AR$]]/$N$1</f>
        <v>256.41025641025641</v>
      </c>
      <c r="M3654" s="69">
        <v>46309</v>
      </c>
      <c r="N3654" s="43">
        <f>IF(Gastos[[#This Row],[Fecha_Cheque]]&gt;0,WEEKNUM(Gastos[[#This Row],[Fecha_Cheque]]),MID(Gastos[[#This Row],[Semana]],6,2))</f>
        <v>42</v>
      </c>
      <c r="O3654" s="26" t="s">
        <v>4299</v>
      </c>
      <c r="P3654" t="s">
        <v>27</v>
      </c>
    </row>
    <row r="3655" spans="1:16" hidden="1" x14ac:dyDescent="0.25">
      <c r="A3655" s="3" t="s">
        <v>4211</v>
      </c>
      <c r="B3655" t="s">
        <v>3051</v>
      </c>
      <c r="C3655" t="s">
        <v>2667</v>
      </c>
      <c r="D3655" t="s">
        <v>26</v>
      </c>
      <c r="E3655" t="s">
        <v>3928</v>
      </c>
      <c r="F3655">
        <v>2</v>
      </c>
      <c r="G3655" s="3" t="s">
        <v>32</v>
      </c>
      <c r="H3655" s="44" t="s">
        <v>15</v>
      </c>
      <c r="I3655" s="17">
        <v>222532</v>
      </c>
      <c r="J3655" s="17">
        <f>IF(Gastos[[#This Row],[Divisa]]="$", I3655*1, IF(Gastos[[#This Row],[Divisa]]="U$D", I3655*$N$1, IF(Gastos[[#This Row],[Divisa]]="EUR", I3655*$N$2, 0)))</f>
        <v>222532</v>
      </c>
      <c r="K3655" s="54">
        <f>Gastos[[#This Row],[Importe AR$]]/$N$1</f>
        <v>142.64871794871794</v>
      </c>
      <c r="M3655" s="69">
        <v>46290</v>
      </c>
      <c r="N3655" s="43">
        <f>IF(Gastos[[#This Row],[Fecha_Cheque]]&gt;0,WEEKNUM(Gastos[[#This Row],[Fecha_Cheque]]),MID(Gastos[[#This Row],[Semana]],6,2))</f>
        <v>39</v>
      </c>
      <c r="O3655" s="26" t="s">
        <v>4299</v>
      </c>
      <c r="P3655" t="s">
        <v>27</v>
      </c>
    </row>
    <row r="3656" spans="1:16" hidden="1" x14ac:dyDescent="0.25">
      <c r="A3656" s="3" t="s">
        <v>4211</v>
      </c>
      <c r="B3656" t="s">
        <v>3051</v>
      </c>
      <c r="C3656" t="s">
        <v>2667</v>
      </c>
      <c r="D3656" t="s">
        <v>26</v>
      </c>
      <c r="E3656" t="s">
        <v>42</v>
      </c>
      <c r="F3656">
        <v>2</v>
      </c>
      <c r="G3656" s="3" t="s">
        <v>4</v>
      </c>
      <c r="H3656" s="44" t="s">
        <v>15</v>
      </c>
      <c r="I3656" s="17">
        <v>800000</v>
      </c>
      <c r="J3656" s="17">
        <f>IF(Gastos[[#This Row],[Divisa]]="$", I3656*1, IF(Gastos[[#This Row],[Divisa]]="U$D", I3656*$N$1, IF(Gastos[[#This Row],[Divisa]]="EUR", I3656*$N$2, 0)))</f>
        <v>800000</v>
      </c>
      <c r="K3656" s="54">
        <f>Gastos[[#This Row],[Importe AR$]]/$N$1</f>
        <v>512.82051282051282</v>
      </c>
      <c r="M3656" s="69"/>
      <c r="N3656" s="43" t="str">
        <f>IF(Gastos[[#This Row],[Fecha_Cheque]]&gt;0,WEEKNUM(Gastos[[#This Row],[Fecha_Cheque]]),MID(Gastos[[#This Row],[Semana]],6,2))</f>
        <v>37</v>
      </c>
      <c r="O3656" s="26" t="s">
        <v>4299</v>
      </c>
      <c r="P3656" t="s">
        <v>27</v>
      </c>
    </row>
    <row r="3657" spans="1:16" hidden="1" x14ac:dyDescent="0.25">
      <c r="A3657" s="3" t="s">
        <v>4322</v>
      </c>
      <c r="B3657" t="s">
        <v>3051</v>
      </c>
      <c r="C3657" t="s">
        <v>2667</v>
      </c>
      <c r="D3657" t="s">
        <v>26</v>
      </c>
      <c r="E3657" t="s">
        <v>3928</v>
      </c>
      <c r="F3657">
        <v>2</v>
      </c>
      <c r="G3657" s="3" t="s">
        <v>4</v>
      </c>
      <c r="H3657" s="44" t="s">
        <v>15</v>
      </c>
      <c r="I3657" s="17">
        <v>9370210.1099999994</v>
      </c>
      <c r="J3657" s="17">
        <f>IF(Gastos[[#This Row],[Divisa]]="$", I3657*1, IF(Gastos[[#This Row],[Divisa]]="U$D", I3657*$N$1, IF(Gastos[[#This Row],[Divisa]]="EUR", I3657*$N$2, 0)))</f>
        <v>9370210.1099999994</v>
      </c>
      <c r="K3657" s="54">
        <f>Gastos[[#This Row],[Importe AR$]]/$N$1</f>
        <v>6006.5449423076916</v>
      </c>
      <c r="M3657" s="69">
        <v>46314</v>
      </c>
      <c r="N3657" s="43">
        <f>IF(Gastos[[#This Row],[Fecha_Cheque]]&gt;0,WEEKNUM(Gastos[[#This Row],[Fecha_Cheque]]),MID(Gastos[[#This Row],[Semana]],6,2))</f>
        <v>43</v>
      </c>
      <c r="O3657" t="s">
        <v>4361</v>
      </c>
      <c r="P3657" t="s">
        <v>27</v>
      </c>
    </row>
    <row r="3658" spans="1:16" hidden="1" x14ac:dyDescent="0.25">
      <c r="A3658" s="3" t="s">
        <v>4374</v>
      </c>
      <c r="B3658" t="s">
        <v>3051</v>
      </c>
      <c r="C3658" t="s">
        <v>2667</v>
      </c>
      <c r="D3658" t="s">
        <v>26</v>
      </c>
      <c r="E3658" t="s">
        <v>3928</v>
      </c>
      <c r="F3658">
        <v>2</v>
      </c>
      <c r="G3658" s="3" t="s">
        <v>4</v>
      </c>
      <c r="H3658" s="44" t="s">
        <v>15</v>
      </c>
      <c r="I3658" s="17">
        <v>700000</v>
      </c>
      <c r="J3658" s="17">
        <f>IF(Gastos[[#This Row],[Divisa]]="$", I3658*1, IF(Gastos[[#This Row],[Divisa]]="U$D", I3658*$N$1, IF(Gastos[[#This Row],[Divisa]]="EUR", I3658*$N$2, 0)))</f>
        <v>700000</v>
      </c>
      <c r="K3658" s="54">
        <f>Gastos[[#This Row],[Importe AR$]]/$N$1</f>
        <v>448.71794871794873</v>
      </c>
      <c r="M3658" s="69"/>
      <c r="N3658" s="43" t="str">
        <f>IF(Gastos[[#This Row],[Fecha_Cheque]]&gt;0,WEEKNUM(Gastos[[#This Row],[Fecha_Cheque]]),MID(Gastos[[#This Row],[Semana]],6,2))</f>
        <v>39</v>
      </c>
      <c r="O3658" t="s">
        <v>4398</v>
      </c>
      <c r="P3658" t="s">
        <v>27</v>
      </c>
    </row>
    <row r="3659" spans="1:16" hidden="1" x14ac:dyDescent="0.25">
      <c r="A3659" s="3" t="s">
        <v>4374</v>
      </c>
      <c r="B3659" t="s">
        <v>3051</v>
      </c>
      <c r="C3659" t="s">
        <v>2667</v>
      </c>
      <c r="D3659" t="s">
        <v>26</v>
      </c>
      <c r="E3659" t="s">
        <v>3928</v>
      </c>
      <c r="F3659">
        <v>2</v>
      </c>
      <c r="G3659" s="3" t="s">
        <v>32</v>
      </c>
      <c r="H3659" s="44" t="s">
        <v>15</v>
      </c>
      <c r="I3659" s="17">
        <v>10000000</v>
      </c>
      <c r="J3659" s="17">
        <f>IF(Gastos[[#This Row],[Divisa]]="$", I3659*1, IF(Gastos[[#This Row],[Divisa]]="U$D", I3659*$N$1, IF(Gastos[[#This Row],[Divisa]]="EUR", I3659*$N$2, 0)))</f>
        <v>10000000</v>
      </c>
      <c r="K3659" s="54">
        <f>Gastos[[#This Row],[Importe AR$]]/$N$1</f>
        <v>6410.2564102564102</v>
      </c>
      <c r="M3659" s="69">
        <v>46356</v>
      </c>
      <c r="N3659" s="43">
        <f>IF(Gastos[[#This Row],[Fecha_Cheque]]&gt;0,WEEKNUM(Gastos[[#This Row],[Fecha_Cheque]]),MID(Gastos[[#This Row],[Semana]],6,2))</f>
        <v>49</v>
      </c>
      <c r="O3659" t="s">
        <v>4398</v>
      </c>
      <c r="P3659" t="s">
        <v>27</v>
      </c>
    </row>
    <row r="3660" spans="1:16" hidden="1" x14ac:dyDescent="0.25">
      <c r="A3660" s="3" t="s">
        <v>4374</v>
      </c>
      <c r="B3660" t="s">
        <v>3051</v>
      </c>
      <c r="C3660" t="s">
        <v>2667</v>
      </c>
      <c r="D3660" t="s">
        <v>26</v>
      </c>
      <c r="E3660" t="s">
        <v>3928</v>
      </c>
      <c r="F3660">
        <v>1</v>
      </c>
      <c r="G3660" s="3" t="s">
        <v>4</v>
      </c>
      <c r="H3660" s="44" t="s">
        <v>15</v>
      </c>
      <c r="I3660" s="17">
        <v>1000000</v>
      </c>
      <c r="J3660" s="17">
        <f>IF(Gastos[[#This Row],[Divisa]]="$", I3660*1, IF(Gastos[[#This Row],[Divisa]]="U$D", I3660*$N$1, IF(Gastos[[#This Row],[Divisa]]="EUR", I3660*$N$2, 0)))</f>
        <v>1000000</v>
      </c>
      <c r="K3660" s="54">
        <f>Gastos[[#This Row],[Importe AR$]]/$N$1</f>
        <v>641.02564102564099</v>
      </c>
      <c r="M3660" s="69"/>
      <c r="N3660" s="43" t="str">
        <f>IF(Gastos[[#This Row],[Fecha_Cheque]]&gt;0,WEEKNUM(Gastos[[#This Row],[Fecha_Cheque]]),MID(Gastos[[#This Row],[Semana]],6,2))</f>
        <v>39</v>
      </c>
      <c r="O3660" t="s">
        <v>4399</v>
      </c>
      <c r="P3660" t="s">
        <v>27</v>
      </c>
    </row>
    <row r="3661" spans="1:16" hidden="1" x14ac:dyDescent="0.25">
      <c r="A3661" s="3" t="s">
        <v>4409</v>
      </c>
      <c r="B3661" t="s">
        <v>3051</v>
      </c>
      <c r="C3661" t="s">
        <v>2667</v>
      </c>
      <c r="D3661" t="s">
        <v>26</v>
      </c>
      <c r="E3661" t="s">
        <v>3928</v>
      </c>
      <c r="F3661">
        <v>2</v>
      </c>
      <c r="G3661" s="3" t="s">
        <v>4</v>
      </c>
      <c r="H3661" s="44" t="s">
        <v>15</v>
      </c>
      <c r="I3661" s="17">
        <v>1500000</v>
      </c>
      <c r="J3661" s="17">
        <f>IF(Gastos[[#This Row],[Divisa]]="$", I3661*1, IF(Gastos[[#This Row],[Divisa]]="U$D", I3661*$N$1, IF(Gastos[[#This Row],[Divisa]]="EUR", I3661*$N$2, 0)))</f>
        <v>1500000</v>
      </c>
      <c r="K3661" s="54">
        <f>Gastos[[#This Row],[Importe AR$]]/$N$1</f>
        <v>961.53846153846155</v>
      </c>
      <c r="L3661" t="s">
        <v>4428</v>
      </c>
      <c r="M3661" s="69"/>
      <c r="N3661" s="43" t="str">
        <f>IF(Gastos[[#This Row],[Fecha_Cheque]]&gt;0,WEEKNUM(Gastos[[#This Row],[Fecha_Cheque]]),MID(Gastos[[#This Row],[Semana]],6,2))</f>
        <v>40</v>
      </c>
      <c r="O3661" t="s">
        <v>4441</v>
      </c>
      <c r="P3661" t="s">
        <v>27</v>
      </c>
    </row>
    <row r="3662" spans="1:16" hidden="1" x14ac:dyDescent="0.25">
      <c r="A3662" s="3" t="s">
        <v>4447</v>
      </c>
      <c r="B3662" t="s">
        <v>3051</v>
      </c>
      <c r="C3662" t="s">
        <v>2667</v>
      </c>
      <c r="D3662" t="s">
        <v>26</v>
      </c>
      <c r="E3662" t="s">
        <v>42</v>
      </c>
      <c r="F3662">
        <v>2</v>
      </c>
      <c r="G3662" s="3" t="s">
        <v>4</v>
      </c>
      <c r="H3662" s="44" t="s">
        <v>15</v>
      </c>
      <c r="I3662" s="17">
        <v>1500000</v>
      </c>
      <c r="J3662" s="17">
        <f>IF(Gastos[[#This Row],[Divisa]]="$", I3662*1, IF(Gastos[[#This Row],[Divisa]]="U$D", I3662*$N$1, IF(Gastos[[#This Row],[Divisa]]="EUR", I3662*$N$2, 0)))</f>
        <v>1500000</v>
      </c>
      <c r="K3662" s="54">
        <f>Gastos[[#This Row],[Importe AR$]]/$N$1</f>
        <v>961.53846153846155</v>
      </c>
      <c r="L3662" t="s">
        <v>4512</v>
      </c>
      <c r="M3662" s="69"/>
      <c r="N3662" s="43" t="str">
        <f>IF(Gastos[[#This Row],[Fecha_Cheque]]&gt;0,WEEKNUM(Gastos[[#This Row],[Fecha_Cheque]]),MID(Gastos[[#This Row],[Semana]],6,2))</f>
        <v>41</v>
      </c>
      <c r="O3662" t="s">
        <v>4511</v>
      </c>
      <c r="P3662" t="s">
        <v>27</v>
      </c>
    </row>
    <row r="3663" spans="1:16" hidden="1" x14ac:dyDescent="0.25">
      <c r="A3663" s="3" t="s">
        <v>4447</v>
      </c>
      <c r="B3663" t="s">
        <v>3051</v>
      </c>
      <c r="C3663" t="s">
        <v>2667</v>
      </c>
      <c r="D3663" t="s">
        <v>26</v>
      </c>
      <c r="E3663" t="s">
        <v>3928</v>
      </c>
      <c r="F3663">
        <v>2</v>
      </c>
      <c r="G3663" s="3" t="s">
        <v>4</v>
      </c>
      <c r="H3663" s="44" t="s">
        <v>15</v>
      </c>
      <c r="I3663" s="17">
        <v>977000</v>
      </c>
      <c r="J3663" s="17">
        <f>IF(Gastos[[#This Row],[Divisa]]="$", I3663*1, IF(Gastos[[#This Row],[Divisa]]="U$D", I3663*$N$1, IF(Gastos[[#This Row],[Divisa]]="EUR", I3663*$N$2, 0)))</f>
        <v>977000</v>
      </c>
      <c r="K3663" s="54">
        <f>Gastos[[#This Row],[Importe AR$]]/$N$1</f>
        <v>626.28205128205127</v>
      </c>
      <c r="M3663" s="69">
        <v>46352</v>
      </c>
      <c r="N3663" s="43">
        <f>IF(Gastos[[#This Row],[Fecha_Cheque]]&gt;0,WEEKNUM(Gastos[[#This Row],[Fecha_Cheque]]),MID(Gastos[[#This Row],[Semana]],6,2))</f>
        <v>48</v>
      </c>
      <c r="O3663" t="s">
        <v>4511</v>
      </c>
      <c r="P3663" t="s">
        <v>27</v>
      </c>
    </row>
    <row r="3664" spans="1:16" hidden="1" x14ac:dyDescent="0.25">
      <c r="A3664" s="3" t="s">
        <v>4447</v>
      </c>
      <c r="B3664" t="s">
        <v>3051</v>
      </c>
      <c r="C3664" t="s">
        <v>2667</v>
      </c>
      <c r="D3664" t="s">
        <v>26</v>
      </c>
      <c r="E3664" t="s">
        <v>3928</v>
      </c>
      <c r="F3664">
        <v>2</v>
      </c>
      <c r="G3664" s="3" t="s">
        <v>4</v>
      </c>
      <c r="H3664" s="44" t="s">
        <v>15</v>
      </c>
      <c r="I3664" s="17">
        <v>287165</v>
      </c>
      <c r="J3664" s="17">
        <f>IF(Gastos[[#This Row],[Divisa]]="$", I3664*1, IF(Gastos[[#This Row],[Divisa]]="U$D", I3664*$N$1, IF(Gastos[[#This Row],[Divisa]]="EUR", I3664*$N$2, 0)))</f>
        <v>287165</v>
      </c>
      <c r="K3664" s="54">
        <f>Gastos[[#This Row],[Importe AR$]]/$N$1</f>
        <v>184.0801282051282</v>
      </c>
      <c r="M3664" s="69">
        <v>46347</v>
      </c>
      <c r="N3664" s="43">
        <f>IF(Gastos[[#This Row],[Fecha_Cheque]]&gt;0,WEEKNUM(Gastos[[#This Row],[Fecha_Cheque]]),MID(Gastos[[#This Row],[Semana]],6,2))</f>
        <v>47</v>
      </c>
      <c r="O3664" t="s">
        <v>4511</v>
      </c>
      <c r="P3664" t="s">
        <v>27</v>
      </c>
    </row>
    <row r="3665" spans="1:16" hidden="1" x14ac:dyDescent="0.25">
      <c r="A3665" s="3" t="s">
        <v>4447</v>
      </c>
      <c r="B3665" t="s">
        <v>3051</v>
      </c>
      <c r="C3665" t="s">
        <v>2667</v>
      </c>
      <c r="D3665" t="s">
        <v>26</v>
      </c>
      <c r="E3665" t="s">
        <v>3928</v>
      </c>
      <c r="F3665">
        <v>2</v>
      </c>
      <c r="G3665" s="3" t="s">
        <v>4</v>
      </c>
      <c r="H3665" s="44" t="s">
        <v>15</v>
      </c>
      <c r="I3665" s="17">
        <v>545000</v>
      </c>
      <c r="J3665" s="17">
        <f>IF(Gastos[[#This Row],[Divisa]]="$", I3665*1, IF(Gastos[[#This Row],[Divisa]]="U$D", I3665*$N$1, IF(Gastos[[#This Row],[Divisa]]="EUR", I3665*$N$2, 0)))</f>
        <v>545000</v>
      </c>
      <c r="K3665" s="54">
        <f>Gastos[[#This Row],[Importe AR$]]/$N$1</f>
        <v>349.35897435897436</v>
      </c>
      <c r="M3665" s="69">
        <v>46348</v>
      </c>
      <c r="N3665" s="43">
        <f>IF(Gastos[[#This Row],[Fecha_Cheque]]&gt;0,WEEKNUM(Gastos[[#This Row],[Fecha_Cheque]]),MID(Gastos[[#This Row],[Semana]],6,2))</f>
        <v>48</v>
      </c>
      <c r="O3665" t="s">
        <v>4511</v>
      </c>
      <c r="P3665" t="s">
        <v>27</v>
      </c>
    </row>
    <row r="3666" spans="1:16" hidden="1" x14ac:dyDescent="0.25">
      <c r="A3666" s="3" t="s">
        <v>4513</v>
      </c>
      <c r="B3666" t="s">
        <v>3051</v>
      </c>
      <c r="C3666" t="s">
        <v>2667</v>
      </c>
      <c r="D3666" t="s">
        <v>26</v>
      </c>
      <c r="E3666" t="s">
        <v>3928</v>
      </c>
      <c r="F3666">
        <v>2</v>
      </c>
      <c r="G3666" s="3" t="s">
        <v>4</v>
      </c>
      <c r="H3666" s="44" t="s">
        <v>15</v>
      </c>
      <c r="I3666" s="49">
        <v>500000</v>
      </c>
      <c r="J3666" s="17">
        <f>IF(Gastos[[#This Row],[Divisa]]="$", I3666*1, IF(Gastos[[#This Row],[Divisa]]="U$D", I3666*$N$1, IF(Gastos[[#This Row],[Divisa]]="EUR", I3666*$N$2, 0)))</f>
        <v>500000</v>
      </c>
      <c r="K3666" s="54">
        <f>Gastos[[#This Row],[Importe AR$]]/$N$1</f>
        <v>320.5128205128205</v>
      </c>
      <c r="M3666" s="69"/>
      <c r="N3666" s="43" t="str">
        <f>IF(Gastos[[#This Row],[Fecha_Cheque]]&gt;0,WEEKNUM(Gastos[[#This Row],[Fecha_Cheque]]),MID(Gastos[[#This Row],[Semana]],6,2))</f>
        <v>42</v>
      </c>
      <c r="O3666" t="s">
        <v>545</v>
      </c>
      <c r="P3666" t="s">
        <v>27</v>
      </c>
    </row>
    <row r="3667" spans="1:16" hidden="1" x14ac:dyDescent="0.25">
      <c r="A3667" s="3" t="s">
        <v>4513</v>
      </c>
      <c r="B3667" t="s">
        <v>3051</v>
      </c>
      <c r="C3667" t="s">
        <v>2667</v>
      </c>
      <c r="D3667" t="s">
        <v>26</v>
      </c>
      <c r="E3667" t="s">
        <v>3928</v>
      </c>
      <c r="F3667">
        <v>2</v>
      </c>
      <c r="G3667" s="3" t="s">
        <v>32</v>
      </c>
      <c r="H3667" s="44" t="s">
        <v>15</v>
      </c>
      <c r="I3667" s="17">
        <v>120000</v>
      </c>
      <c r="J3667" s="17">
        <f>IF(Gastos[[#This Row],[Divisa]]="$", I3667*1, IF(Gastos[[#This Row],[Divisa]]="U$D", I3667*$N$1, IF(Gastos[[#This Row],[Divisa]]="EUR", I3667*$N$2, 0)))</f>
        <v>120000</v>
      </c>
      <c r="K3667" s="54">
        <f>Gastos[[#This Row],[Importe AR$]]/$N$1</f>
        <v>76.92307692307692</v>
      </c>
      <c r="M3667" s="69">
        <v>46343</v>
      </c>
      <c r="N3667" s="43">
        <f>IF(Gastos[[#This Row],[Fecha_Cheque]]&gt;0,WEEKNUM(Gastos[[#This Row],[Fecha_Cheque]]),MID(Gastos[[#This Row],[Semana]],6,2))</f>
        <v>47</v>
      </c>
      <c r="O3667" t="s">
        <v>545</v>
      </c>
      <c r="P3667" t="s">
        <v>27</v>
      </c>
    </row>
    <row r="3668" spans="1:16" hidden="1" x14ac:dyDescent="0.25">
      <c r="A3668" s="3" t="s">
        <v>4513</v>
      </c>
      <c r="B3668" t="s">
        <v>3051</v>
      </c>
      <c r="C3668" t="s">
        <v>2667</v>
      </c>
      <c r="D3668" t="s">
        <v>26</v>
      </c>
      <c r="E3668" t="s">
        <v>3928</v>
      </c>
      <c r="F3668">
        <v>2</v>
      </c>
      <c r="G3668" s="3" t="s">
        <v>32</v>
      </c>
      <c r="H3668" s="44" t="s">
        <v>15</v>
      </c>
      <c r="I3668" s="17">
        <v>120000</v>
      </c>
      <c r="J3668" s="17">
        <f>IF(Gastos[[#This Row],[Divisa]]="$", I3668*1, IF(Gastos[[#This Row],[Divisa]]="U$D", I3668*$N$1, IF(Gastos[[#This Row],[Divisa]]="EUR", I3668*$N$2, 0)))</f>
        <v>120000</v>
      </c>
      <c r="K3668" s="54">
        <f>Gastos[[#This Row],[Importe AR$]]/$N$1</f>
        <v>76.92307692307692</v>
      </c>
      <c r="M3668" s="69">
        <v>46333</v>
      </c>
      <c r="N3668" s="43">
        <f>IF(Gastos[[#This Row],[Fecha_Cheque]]&gt;0,WEEKNUM(Gastos[[#This Row],[Fecha_Cheque]]),MID(Gastos[[#This Row],[Semana]],6,2))</f>
        <v>45</v>
      </c>
      <c r="O3668" t="s">
        <v>545</v>
      </c>
      <c r="P3668" t="s">
        <v>27</v>
      </c>
    </row>
    <row r="3669" spans="1:16" hidden="1" x14ac:dyDescent="0.25">
      <c r="A3669" s="3" t="s">
        <v>4513</v>
      </c>
      <c r="B3669" t="s">
        <v>3051</v>
      </c>
      <c r="C3669" t="s">
        <v>2667</v>
      </c>
      <c r="D3669" t="s">
        <v>26</v>
      </c>
      <c r="E3669" t="s">
        <v>3928</v>
      </c>
      <c r="F3669">
        <v>2</v>
      </c>
      <c r="G3669" s="3" t="s">
        <v>32</v>
      </c>
      <c r="H3669" s="44" t="s">
        <v>15</v>
      </c>
      <c r="I3669" s="17">
        <v>120000</v>
      </c>
      <c r="J3669" s="17">
        <f>IF(Gastos[[#This Row],[Divisa]]="$", I3669*1, IF(Gastos[[#This Row],[Divisa]]="U$D", I3669*$N$1, IF(Gastos[[#This Row],[Divisa]]="EUR", I3669*$N$2, 0)))</f>
        <v>120000</v>
      </c>
      <c r="K3669" s="54">
        <f>Gastos[[#This Row],[Importe AR$]]/$N$1</f>
        <v>76.92307692307692</v>
      </c>
      <c r="M3669" s="69">
        <v>46340</v>
      </c>
      <c r="N3669" s="43">
        <f>IF(Gastos[[#This Row],[Fecha_Cheque]]&gt;0,WEEKNUM(Gastos[[#This Row],[Fecha_Cheque]]),MID(Gastos[[#This Row],[Semana]],6,2))</f>
        <v>46</v>
      </c>
      <c r="O3669" t="s">
        <v>545</v>
      </c>
      <c r="P3669" t="s">
        <v>27</v>
      </c>
    </row>
    <row r="3670" spans="1:16" x14ac:dyDescent="0.25">
      <c r="A3670" s="3" t="s">
        <v>4655</v>
      </c>
      <c r="B3670" t="s">
        <v>1979</v>
      </c>
      <c r="C3670" t="s">
        <v>155</v>
      </c>
      <c r="D3670" t="s">
        <v>26</v>
      </c>
      <c r="E3670" t="s">
        <v>42</v>
      </c>
      <c r="F3670">
        <v>1</v>
      </c>
      <c r="G3670" s="3" t="s">
        <v>4</v>
      </c>
      <c r="H3670" s="44" t="s">
        <v>15</v>
      </c>
      <c r="I3670" s="49">
        <v>87009.8</v>
      </c>
      <c r="J3670" s="17">
        <f>IF(Gastos[[#This Row],[Divisa]]="$", I3670*1, IF(Gastos[[#This Row],[Divisa]]="U$D", I3670*$N$1, IF(Gastos[[#This Row],[Divisa]]="EUR", I3670*$N$2, 0)))</f>
        <v>87009.8</v>
      </c>
      <c r="K3670" s="54">
        <f>Gastos[[#This Row],[Importe AR$]]/$N$1</f>
        <v>55.775512820512823</v>
      </c>
      <c r="M3670" s="69"/>
      <c r="N3670" s="43" t="str">
        <f>IF(Gastos[[#This Row],[Fecha_Cheque]]&gt;0,WEEKNUM(Gastos[[#This Row],[Fecha_Cheque]]),MID(Gastos[[#This Row],[Semana]],6,2))</f>
        <v>44</v>
      </c>
      <c r="O3670" t="s">
        <v>4665</v>
      </c>
      <c r="P3670" t="s">
        <v>27</v>
      </c>
    </row>
    <row r="3671" spans="1:16" hidden="1" x14ac:dyDescent="0.25">
      <c r="A3671" s="3" t="s">
        <v>3754</v>
      </c>
      <c r="B3671" t="s">
        <v>3778</v>
      </c>
      <c r="C3671" t="s">
        <v>3779</v>
      </c>
      <c r="D3671" t="s">
        <v>26</v>
      </c>
      <c r="E3671" t="s">
        <v>31</v>
      </c>
      <c r="F3671">
        <v>2</v>
      </c>
      <c r="G3671" s="3" t="s">
        <v>32</v>
      </c>
      <c r="H3671" s="44" t="s">
        <v>15</v>
      </c>
      <c r="I3671" s="17">
        <v>600000</v>
      </c>
      <c r="J3671" s="17">
        <f>IF(Gastos[[#This Row],[Divisa]]="$", I3671*1, IF(Gastos[[#This Row],[Divisa]]="U$D", I3671*$N$1, IF(Gastos[[#This Row],[Divisa]]="EUR", I3671*$N$2, 0)))</f>
        <v>600000</v>
      </c>
      <c r="K3671" s="54">
        <f>Gastos[[#This Row],[Importe AR$]]/$N$1</f>
        <v>384.61538461538464</v>
      </c>
      <c r="M3671" s="69">
        <v>46230</v>
      </c>
      <c r="N3671" s="43">
        <f>IF(Gastos[[#This Row],[Fecha_Cheque]]&gt;0,WEEKNUM(Gastos[[#This Row],[Fecha_Cheque]]),MID(Gastos[[#This Row],[Semana]],6,2))</f>
        <v>31</v>
      </c>
      <c r="O3671" t="s">
        <v>3780</v>
      </c>
      <c r="P3671" t="s">
        <v>27</v>
      </c>
    </row>
    <row r="3672" spans="1:16" hidden="1" x14ac:dyDescent="0.25">
      <c r="A3672" s="3" t="s">
        <v>3754</v>
      </c>
      <c r="B3672" t="s">
        <v>3778</v>
      </c>
      <c r="C3672" t="s">
        <v>3779</v>
      </c>
      <c r="D3672" t="s">
        <v>26</v>
      </c>
      <c r="E3672" t="s">
        <v>42</v>
      </c>
      <c r="F3672">
        <v>2</v>
      </c>
      <c r="G3672" s="3" t="s">
        <v>4</v>
      </c>
      <c r="H3672" s="44" t="s">
        <v>15</v>
      </c>
      <c r="I3672" s="17">
        <v>60000</v>
      </c>
      <c r="J3672" s="17">
        <f>IF(Gastos[[#This Row],[Divisa]]="$", I3672*1, IF(Gastos[[#This Row],[Divisa]]="U$D", I3672*$N$1, IF(Gastos[[#This Row],[Divisa]]="EUR", I3672*$N$2, 0)))</f>
        <v>60000</v>
      </c>
      <c r="K3672" s="54">
        <f>Gastos[[#This Row],[Importe AR$]]/$N$1</f>
        <v>38.46153846153846</v>
      </c>
      <c r="M3672" s="69"/>
      <c r="N3672" s="43" t="str">
        <f>IF(Gastos[[#This Row],[Fecha_Cheque]]&gt;0,WEEKNUM(Gastos[[#This Row],[Fecha_Cheque]]),MID(Gastos[[#This Row],[Semana]],6,2))</f>
        <v>29</v>
      </c>
      <c r="O3672" t="s">
        <v>3780</v>
      </c>
      <c r="P3672" t="s">
        <v>27</v>
      </c>
    </row>
    <row r="3673" spans="1:16" hidden="1" x14ac:dyDescent="0.25">
      <c r="A3673" s="3" t="s">
        <v>44</v>
      </c>
      <c r="B3673" t="s">
        <v>2078</v>
      </c>
      <c r="C3673" t="s">
        <v>2079</v>
      </c>
      <c r="D3673" t="s">
        <v>26</v>
      </c>
      <c r="E3673" t="s">
        <v>31</v>
      </c>
      <c r="F3673">
        <v>1</v>
      </c>
      <c r="G3673" s="3" t="s">
        <v>32</v>
      </c>
      <c r="H3673" s="46" t="s">
        <v>15</v>
      </c>
      <c r="I3673" s="17">
        <v>170671.18</v>
      </c>
      <c r="J3673" s="17">
        <f>IF(Gastos[[#This Row],[Divisa]]="$", I3673*1, IF(Gastos[[#This Row],[Divisa]]="U$D", I3673*$N$1, IF(Gastos[[#This Row],[Divisa]]="EUR", I3673*$N$2, 0)))</f>
        <v>170671.18</v>
      </c>
      <c r="K3673" s="54">
        <f>Gastos[[#This Row],[Importe AR$]]/$N$1</f>
        <v>109.40460256410256</v>
      </c>
      <c r="M3673" s="69">
        <v>46038</v>
      </c>
      <c r="N3673" s="43">
        <f>IF(Gastos[[#This Row],[Fecha_Cheque]]&gt;0,WEEKNUM(Gastos[[#This Row],[Fecha_Cheque]]),MID(Gastos[[#This Row],[Semana]],6,2))</f>
        <v>3</v>
      </c>
      <c r="O3673" t="s">
        <v>2080</v>
      </c>
      <c r="P3673" t="s">
        <v>27</v>
      </c>
    </row>
    <row r="3674" spans="1:16" hidden="1" x14ac:dyDescent="0.25">
      <c r="A3674" s="3" t="s">
        <v>44</v>
      </c>
      <c r="B3674" t="s">
        <v>2078</v>
      </c>
      <c r="C3674" t="s">
        <v>2079</v>
      </c>
      <c r="D3674" t="s">
        <v>26</v>
      </c>
      <c r="E3674" t="s">
        <v>31</v>
      </c>
      <c r="F3674">
        <v>1</v>
      </c>
      <c r="G3674" s="3" t="s">
        <v>32</v>
      </c>
      <c r="H3674" s="46" t="s">
        <v>15</v>
      </c>
      <c r="I3674" s="17">
        <v>530539.55000000005</v>
      </c>
      <c r="J3674" s="17">
        <f>IF(Gastos[[#This Row],[Divisa]]="$", I3674*1, IF(Gastos[[#This Row],[Divisa]]="U$D", I3674*$N$1, IF(Gastos[[#This Row],[Divisa]]="EUR", I3674*$N$2, 0)))</f>
        <v>530539.55000000005</v>
      </c>
      <c r="K3674" s="54">
        <f>Gastos[[#This Row],[Importe AR$]]/$N$1</f>
        <v>340.08945512820515</v>
      </c>
      <c r="M3674" s="69">
        <v>46038</v>
      </c>
      <c r="N3674" s="43">
        <f>IF(Gastos[[#This Row],[Fecha_Cheque]]&gt;0,WEEKNUM(Gastos[[#This Row],[Fecha_Cheque]]),MID(Gastos[[#This Row],[Semana]],6,2))</f>
        <v>3</v>
      </c>
      <c r="O3674" t="s">
        <v>2080</v>
      </c>
      <c r="P3674" t="s">
        <v>27</v>
      </c>
    </row>
    <row r="3675" spans="1:16" hidden="1" x14ac:dyDescent="0.25">
      <c r="A3675" s="3" t="s">
        <v>44</v>
      </c>
      <c r="B3675" t="s">
        <v>2078</v>
      </c>
      <c r="C3675" t="s">
        <v>2079</v>
      </c>
      <c r="D3675" t="s">
        <v>26</v>
      </c>
      <c r="E3675" t="s">
        <v>42</v>
      </c>
      <c r="F3675">
        <v>1</v>
      </c>
      <c r="G3675" s="3" t="s">
        <v>4</v>
      </c>
      <c r="H3675" s="46" t="s">
        <v>15</v>
      </c>
      <c r="I3675" s="17">
        <v>45967.6</v>
      </c>
      <c r="J3675" s="17">
        <f>IF(Gastos[[#This Row],[Divisa]]="$", I3675*1, IF(Gastos[[#This Row],[Divisa]]="U$D", I3675*$N$1, IF(Gastos[[#This Row],[Divisa]]="EUR", I3675*$N$2, 0)))</f>
        <v>45967.6</v>
      </c>
      <c r="K3675" s="54">
        <f>Gastos[[#This Row],[Importe AR$]]/$N$1</f>
        <v>29.466410256410256</v>
      </c>
      <c r="M3675" s="69"/>
      <c r="N3675" s="43" t="str">
        <f>IF(Gastos[[#This Row],[Fecha_Cheque]]&gt;0,WEEKNUM(Gastos[[#This Row],[Fecha_Cheque]]),MID(Gastos[[#This Row],[Semana]],6,2))</f>
        <v>51</v>
      </c>
      <c r="O3675" t="s">
        <v>2080</v>
      </c>
      <c r="P3675" t="s">
        <v>27</v>
      </c>
    </row>
    <row r="3676" spans="1:16" hidden="1" x14ac:dyDescent="0.25">
      <c r="A3676" s="3" t="s">
        <v>538</v>
      </c>
      <c r="B3676" t="s">
        <v>2081</v>
      </c>
      <c r="C3676" t="s">
        <v>2082</v>
      </c>
      <c r="D3676" t="s">
        <v>26</v>
      </c>
      <c r="E3676" t="s">
        <v>31</v>
      </c>
      <c r="F3676">
        <v>1</v>
      </c>
      <c r="G3676" s="3" t="s">
        <v>5</v>
      </c>
      <c r="H3676" s="46" t="s">
        <v>15</v>
      </c>
      <c r="I3676" s="17">
        <v>750000</v>
      </c>
      <c r="J3676" s="17">
        <f>IF(Gastos[[#This Row],[Divisa]]="$", I3676*1, IF(Gastos[[#This Row],[Divisa]]="U$D", I3676*$N$1, IF(Gastos[[#This Row],[Divisa]]="EUR", I3676*$N$2, 0)))</f>
        <v>750000</v>
      </c>
      <c r="K3676" s="54">
        <f>Gastos[[#This Row],[Importe AR$]]/$N$1</f>
        <v>480.76923076923077</v>
      </c>
      <c r="M3676" s="69"/>
      <c r="N3676" s="43" t="str">
        <f>IF(Gastos[[#This Row],[Fecha_Cheque]]&gt;0,WEEKNUM(Gastos[[#This Row],[Fecha_Cheque]]),MID(Gastos[[#This Row],[Semana]],6,2))</f>
        <v>13</v>
      </c>
      <c r="P3676" t="s">
        <v>27</v>
      </c>
    </row>
    <row r="3677" spans="1:16" hidden="1" x14ac:dyDescent="0.25">
      <c r="A3677" s="3" t="s">
        <v>538</v>
      </c>
      <c r="B3677" t="s">
        <v>2081</v>
      </c>
      <c r="C3677" t="s">
        <v>2083</v>
      </c>
      <c r="D3677" t="s">
        <v>26</v>
      </c>
      <c r="E3677" t="s">
        <v>31</v>
      </c>
      <c r="F3677">
        <v>1</v>
      </c>
      <c r="G3677" s="3" t="s">
        <v>32</v>
      </c>
      <c r="H3677" s="46" t="s">
        <v>15</v>
      </c>
      <c r="I3677" s="17">
        <v>750000</v>
      </c>
      <c r="J3677" s="17">
        <f>IF(Gastos[[#This Row],[Divisa]]="$", I3677*1, IF(Gastos[[#This Row],[Divisa]]="U$D", I3677*$N$1, IF(Gastos[[#This Row],[Divisa]]="EUR", I3677*$N$2, 0)))</f>
        <v>750000</v>
      </c>
      <c r="K3677" s="54">
        <f>Gastos[[#This Row],[Importe AR$]]/$N$1</f>
        <v>480.76923076923077</v>
      </c>
      <c r="M3677" s="69"/>
      <c r="N3677" s="43" t="str">
        <f>IF(Gastos[[#This Row],[Fecha_Cheque]]&gt;0,WEEKNUM(Gastos[[#This Row],[Fecha_Cheque]]),MID(Gastos[[#This Row],[Semana]],6,2))</f>
        <v>13</v>
      </c>
      <c r="P3677" t="s">
        <v>27</v>
      </c>
    </row>
    <row r="3678" spans="1:16" hidden="1" x14ac:dyDescent="0.25">
      <c r="A3678" s="3" t="s">
        <v>114</v>
      </c>
      <c r="B3678" t="s">
        <v>2081</v>
      </c>
      <c r="C3678" t="s">
        <v>2084</v>
      </c>
      <c r="D3678" t="s">
        <v>26</v>
      </c>
      <c r="E3678" t="s">
        <v>31</v>
      </c>
      <c r="F3678">
        <v>1</v>
      </c>
      <c r="G3678" s="3" t="s">
        <v>32</v>
      </c>
      <c r="H3678" s="46" t="s">
        <v>15</v>
      </c>
      <c r="I3678" s="17">
        <v>1300000</v>
      </c>
      <c r="J3678" s="17">
        <f>IF(Gastos[[#This Row],[Divisa]]="$", I3678*1, IF(Gastos[[#This Row],[Divisa]]="U$D", I3678*$N$1, IF(Gastos[[#This Row],[Divisa]]="EUR", I3678*$N$2, 0)))</f>
        <v>1300000</v>
      </c>
      <c r="K3678" s="54">
        <f>Gastos[[#This Row],[Importe AR$]]/$N$1</f>
        <v>833.33333333333337</v>
      </c>
      <c r="L3678" t="s">
        <v>215</v>
      </c>
      <c r="M3678" s="69">
        <v>45895</v>
      </c>
      <c r="N3678" s="43">
        <f>IF(Gastos[[#This Row],[Fecha_Cheque]]&gt;0,WEEKNUM(Gastos[[#This Row],[Fecha_Cheque]]),MID(Gastos[[#This Row],[Semana]],6,2))</f>
        <v>35</v>
      </c>
      <c r="O3678" t="s">
        <v>2085</v>
      </c>
      <c r="P3678" t="s">
        <v>27</v>
      </c>
    </row>
    <row r="3679" spans="1:16" hidden="1" x14ac:dyDescent="0.25">
      <c r="A3679" s="3" t="s">
        <v>3882</v>
      </c>
      <c r="B3679" t="s">
        <v>3924</v>
      </c>
      <c r="C3679" t="s">
        <v>2667</v>
      </c>
      <c r="D3679" t="s">
        <v>26</v>
      </c>
      <c r="E3679" t="s">
        <v>3928</v>
      </c>
      <c r="F3679">
        <v>2</v>
      </c>
      <c r="G3679" s="3" t="s">
        <v>32</v>
      </c>
      <c r="H3679" s="44" t="s">
        <v>2</v>
      </c>
      <c r="I3679" s="17">
        <v>589</v>
      </c>
      <c r="J3679" s="17">
        <f>IF(Gastos[[#This Row],[Divisa]]="$", I3679*1, IF(Gastos[[#This Row],[Divisa]]="U$D", I3679*$N$1, IF(Gastos[[#This Row],[Divisa]]="EUR", I3679*$N$2, 0)))</f>
        <v>918840</v>
      </c>
      <c r="K3679" s="54">
        <f>Gastos[[#This Row],[Importe AR$]]/$N$1</f>
        <v>589</v>
      </c>
      <c r="M3679" s="69"/>
      <c r="N3679" s="43" t="str">
        <f>IF(Gastos[[#This Row],[Fecha_Cheque]]&gt;0,WEEKNUM(Gastos[[#This Row],[Fecha_Cheque]]),MID(Gastos[[#This Row],[Semana]],6,2))</f>
        <v>31</v>
      </c>
      <c r="O3679" t="s">
        <v>3957</v>
      </c>
      <c r="P3679" t="s">
        <v>27</v>
      </c>
    </row>
    <row r="3680" spans="1:16" hidden="1" x14ac:dyDescent="0.25">
      <c r="A3680" s="3" t="s">
        <v>3693</v>
      </c>
      <c r="B3680" t="s">
        <v>3703</v>
      </c>
      <c r="C3680" t="s">
        <v>2667</v>
      </c>
      <c r="D3680" t="s">
        <v>26</v>
      </c>
      <c r="E3680" t="s">
        <v>132</v>
      </c>
      <c r="F3680">
        <v>2</v>
      </c>
      <c r="G3680" s="3" t="s">
        <v>32</v>
      </c>
      <c r="H3680" s="44" t="s">
        <v>15</v>
      </c>
      <c r="I3680" s="17">
        <v>2726733</v>
      </c>
      <c r="J3680" s="17">
        <f>IF(Gastos[[#This Row],[Divisa]]="$", I3680*1, IF(Gastos[[#This Row],[Divisa]]="U$D", I3680*$N$1, IF(Gastos[[#This Row],[Divisa]]="EUR", I3680*$N$2, 0)))</f>
        <v>2726733</v>
      </c>
      <c r="K3680" s="54">
        <f>Gastos[[#This Row],[Importe AR$]]/$N$1</f>
        <v>1747.9057692307692</v>
      </c>
      <c r="M3680" s="69">
        <v>46267</v>
      </c>
      <c r="N3680" s="43">
        <f>IF(Gastos[[#This Row],[Fecha_Cheque]]&gt;0,WEEKNUM(Gastos[[#This Row],[Fecha_Cheque]]),MID(Gastos[[#This Row],[Semana]],6,2))</f>
        <v>36</v>
      </c>
      <c r="O3680" t="s">
        <v>3704</v>
      </c>
      <c r="P3680" t="s">
        <v>27</v>
      </c>
    </row>
    <row r="3681" spans="1:16" hidden="1" x14ac:dyDescent="0.25">
      <c r="A3681" s="3" t="s">
        <v>3693</v>
      </c>
      <c r="B3681" t="s">
        <v>3703</v>
      </c>
      <c r="C3681" t="s">
        <v>2667</v>
      </c>
      <c r="D3681" t="s">
        <v>26</v>
      </c>
      <c r="E3681" t="s">
        <v>132</v>
      </c>
      <c r="F3681">
        <v>2</v>
      </c>
      <c r="G3681" s="3" t="s">
        <v>32</v>
      </c>
      <c r="H3681" s="44" t="s">
        <v>15</v>
      </c>
      <c r="I3681" s="17">
        <v>2726733</v>
      </c>
      <c r="J3681" s="17">
        <f>IF(Gastos[[#This Row],[Divisa]]="$", I3681*1, IF(Gastos[[#This Row],[Divisa]]="U$D", I3681*$N$1, IF(Gastos[[#This Row],[Divisa]]="EUR", I3681*$N$2, 0)))</f>
        <v>2726733</v>
      </c>
      <c r="K3681" s="54">
        <f>Gastos[[#This Row],[Importe AR$]]/$N$1</f>
        <v>1747.9057692307692</v>
      </c>
      <c r="M3681" s="69">
        <v>46259</v>
      </c>
      <c r="N3681" s="43">
        <f>IF(Gastos[[#This Row],[Fecha_Cheque]]&gt;0,WEEKNUM(Gastos[[#This Row],[Fecha_Cheque]]),MID(Gastos[[#This Row],[Semana]],6,2))</f>
        <v>35</v>
      </c>
      <c r="O3681" t="s">
        <v>3704</v>
      </c>
      <c r="P3681" t="s">
        <v>27</v>
      </c>
    </row>
    <row r="3682" spans="1:16" hidden="1" x14ac:dyDescent="0.25">
      <c r="A3682" s="3" t="s">
        <v>3754</v>
      </c>
      <c r="B3682" t="s">
        <v>3703</v>
      </c>
      <c r="C3682" t="s">
        <v>2667</v>
      </c>
      <c r="D3682" t="s">
        <v>26</v>
      </c>
      <c r="E3682" t="s">
        <v>42</v>
      </c>
      <c r="F3682">
        <v>2</v>
      </c>
      <c r="G3682" s="3" t="s">
        <v>4</v>
      </c>
      <c r="H3682" s="44" t="s">
        <v>15</v>
      </c>
      <c r="I3682" s="17">
        <v>1000000</v>
      </c>
      <c r="J3682" s="17">
        <f>IF(Gastos[[#This Row],[Divisa]]="$", I3682*1, IF(Gastos[[#This Row],[Divisa]]="U$D", I3682*$N$1, IF(Gastos[[#This Row],[Divisa]]="EUR", I3682*$N$2, 0)))</f>
        <v>1000000</v>
      </c>
      <c r="K3682" s="54">
        <f>Gastos[[#This Row],[Importe AR$]]/$N$1</f>
        <v>641.02564102564099</v>
      </c>
      <c r="M3682" s="69"/>
      <c r="N3682" s="43" t="str">
        <f>IF(Gastos[[#This Row],[Fecha_Cheque]]&gt;0,WEEKNUM(Gastos[[#This Row],[Fecha_Cheque]]),MID(Gastos[[#This Row],[Semana]],6,2))</f>
        <v>29</v>
      </c>
      <c r="O3682" t="s">
        <v>3806</v>
      </c>
      <c r="P3682" t="s">
        <v>27</v>
      </c>
    </row>
    <row r="3683" spans="1:16" hidden="1" x14ac:dyDescent="0.25">
      <c r="A3683" s="3" t="s">
        <v>3754</v>
      </c>
      <c r="B3683" t="s">
        <v>3703</v>
      </c>
      <c r="C3683" t="s">
        <v>2667</v>
      </c>
      <c r="D3683" t="s">
        <v>26</v>
      </c>
      <c r="E3683" t="s">
        <v>132</v>
      </c>
      <c r="F3683">
        <v>2</v>
      </c>
      <c r="G3683" s="3" t="s">
        <v>4</v>
      </c>
      <c r="H3683" s="44" t="s">
        <v>15</v>
      </c>
      <c r="I3683" s="17">
        <v>1500000</v>
      </c>
      <c r="J3683" s="17">
        <f>IF(Gastos[[#This Row],[Divisa]]="$", I3683*1, IF(Gastos[[#This Row],[Divisa]]="U$D", I3683*$N$1, IF(Gastos[[#This Row],[Divisa]]="EUR", I3683*$N$2, 0)))</f>
        <v>1500000</v>
      </c>
      <c r="K3683" s="54">
        <f>Gastos[[#This Row],[Importe AR$]]/$N$1</f>
        <v>961.53846153846155</v>
      </c>
      <c r="M3683" s="69">
        <v>46239</v>
      </c>
      <c r="N3683" s="43">
        <f>IF(Gastos[[#This Row],[Fecha_Cheque]]&gt;0,WEEKNUM(Gastos[[#This Row],[Fecha_Cheque]]),MID(Gastos[[#This Row],[Semana]],6,2))</f>
        <v>32</v>
      </c>
      <c r="O3683" t="s">
        <v>3772</v>
      </c>
      <c r="P3683" t="s">
        <v>27</v>
      </c>
    </row>
    <row r="3684" spans="1:16" hidden="1" x14ac:dyDescent="0.25">
      <c r="A3684" s="3" t="s">
        <v>3754</v>
      </c>
      <c r="B3684" t="s">
        <v>3703</v>
      </c>
      <c r="C3684" t="s">
        <v>2667</v>
      </c>
      <c r="D3684" t="s">
        <v>26</v>
      </c>
      <c r="E3684" t="s">
        <v>132</v>
      </c>
      <c r="F3684">
        <v>2</v>
      </c>
      <c r="G3684" s="3" t="s">
        <v>4</v>
      </c>
      <c r="H3684" s="44" t="s">
        <v>15</v>
      </c>
      <c r="I3684" s="17">
        <v>2416500</v>
      </c>
      <c r="J3684" s="17">
        <f>IF(Gastos[[#This Row],[Divisa]]="$", I3684*1, IF(Gastos[[#This Row],[Divisa]]="U$D", I3684*$N$1, IF(Gastos[[#This Row],[Divisa]]="EUR", I3684*$N$2, 0)))</f>
        <v>2416500</v>
      </c>
      <c r="K3684" s="54">
        <f>Gastos[[#This Row],[Importe AR$]]/$N$1</f>
        <v>1549.0384615384614</v>
      </c>
      <c r="M3684" s="69">
        <v>46242</v>
      </c>
      <c r="N3684" s="43">
        <f>IF(Gastos[[#This Row],[Fecha_Cheque]]&gt;0,WEEKNUM(Gastos[[#This Row],[Fecha_Cheque]]),MID(Gastos[[#This Row],[Semana]],6,2))</f>
        <v>32</v>
      </c>
      <c r="O3684" t="s">
        <v>3772</v>
      </c>
      <c r="P3684" t="s">
        <v>27</v>
      </c>
    </row>
    <row r="3685" spans="1:16" hidden="1" x14ac:dyDescent="0.25">
      <c r="A3685" s="3" t="s">
        <v>3817</v>
      </c>
      <c r="B3685" t="s">
        <v>3703</v>
      </c>
      <c r="C3685" t="s">
        <v>2667</v>
      </c>
      <c r="D3685" t="s">
        <v>26</v>
      </c>
      <c r="E3685" t="s">
        <v>132</v>
      </c>
      <c r="F3685">
        <v>2</v>
      </c>
      <c r="G3685" s="3" t="s">
        <v>32</v>
      </c>
      <c r="H3685" s="44" t="s">
        <v>15</v>
      </c>
      <c r="I3685" s="17">
        <v>500000</v>
      </c>
      <c r="J3685" s="17">
        <f>IF(Gastos[[#This Row],[Divisa]]="$", I3685*1, IF(Gastos[[#This Row],[Divisa]]="U$D", I3685*$N$1, IF(Gastos[[#This Row],[Divisa]]="EUR", I3685*$N$2, 0)))</f>
        <v>500000</v>
      </c>
      <c r="K3685" s="54">
        <f>Gastos[[#This Row],[Importe AR$]]/$N$1</f>
        <v>320.5128205128205</v>
      </c>
      <c r="M3685" s="69"/>
      <c r="N3685" s="43" t="str">
        <f>IF(Gastos[[#This Row],[Fecha_Cheque]]&gt;0,WEEKNUM(Gastos[[#This Row],[Fecha_Cheque]]),MID(Gastos[[#This Row],[Semana]],6,2))</f>
        <v>30</v>
      </c>
      <c r="O3685" t="s">
        <v>3876</v>
      </c>
      <c r="P3685" t="s">
        <v>27</v>
      </c>
    </row>
    <row r="3686" spans="1:16" hidden="1" x14ac:dyDescent="0.25">
      <c r="A3686" s="3" t="s">
        <v>3882</v>
      </c>
      <c r="B3686" t="s">
        <v>3703</v>
      </c>
      <c r="C3686" t="s">
        <v>2667</v>
      </c>
      <c r="D3686" t="s">
        <v>26</v>
      </c>
      <c r="E3686" t="s">
        <v>3928</v>
      </c>
      <c r="F3686">
        <v>2</v>
      </c>
      <c r="G3686" s="3" t="s">
        <v>4</v>
      </c>
      <c r="H3686" s="44" t="s">
        <v>15</v>
      </c>
      <c r="I3686" s="17">
        <v>500000</v>
      </c>
      <c r="J3686" s="17">
        <f>IF(Gastos[[#This Row],[Divisa]]="$", I3686*1, IF(Gastos[[#This Row],[Divisa]]="U$D", I3686*$N$1, IF(Gastos[[#This Row],[Divisa]]="EUR", I3686*$N$2, 0)))</f>
        <v>500000</v>
      </c>
      <c r="K3686" s="54">
        <f>Gastos[[#This Row],[Importe AR$]]/$N$1</f>
        <v>320.5128205128205</v>
      </c>
      <c r="M3686" s="69"/>
      <c r="N3686" s="43" t="str">
        <f>IF(Gastos[[#This Row],[Fecha_Cheque]]&gt;0,WEEKNUM(Gastos[[#This Row],[Fecha_Cheque]]),MID(Gastos[[#This Row],[Semana]],6,2))</f>
        <v>31</v>
      </c>
      <c r="O3686" t="s">
        <v>3959</v>
      </c>
      <c r="P3686" t="s">
        <v>27</v>
      </c>
    </row>
    <row r="3687" spans="1:16" hidden="1" x14ac:dyDescent="0.25">
      <c r="A3687" s="3" t="s">
        <v>4322</v>
      </c>
      <c r="B3687" t="s">
        <v>3703</v>
      </c>
      <c r="C3687" t="s">
        <v>2667</v>
      </c>
      <c r="D3687" t="s">
        <v>26</v>
      </c>
      <c r="E3687" t="s">
        <v>3928</v>
      </c>
      <c r="F3687">
        <v>1</v>
      </c>
      <c r="G3687" s="3" t="s">
        <v>32</v>
      </c>
      <c r="H3687" s="44" t="s">
        <v>15</v>
      </c>
      <c r="I3687" s="17">
        <v>11311397</v>
      </c>
      <c r="J3687" s="17">
        <f>IF(Gastos[[#This Row],[Divisa]]="$", I3687*1, IF(Gastos[[#This Row],[Divisa]]="U$D", I3687*$N$1, IF(Gastos[[#This Row],[Divisa]]="EUR", I3687*$N$2, 0)))</f>
        <v>11311397</v>
      </c>
      <c r="K3687" s="54">
        <f>Gastos[[#This Row],[Importe AR$]]/$N$1</f>
        <v>7250.8955128205125</v>
      </c>
      <c r="M3687" s="69">
        <v>46299</v>
      </c>
      <c r="N3687" s="43">
        <f>IF(Gastos[[#This Row],[Fecha_Cheque]]&gt;0,WEEKNUM(Gastos[[#This Row],[Fecha_Cheque]]),MID(Gastos[[#This Row],[Semana]],6,2))</f>
        <v>41</v>
      </c>
      <c r="O3687" t="s">
        <v>4362</v>
      </c>
      <c r="P3687" t="s">
        <v>27</v>
      </c>
    </row>
    <row r="3688" spans="1:16" hidden="1" x14ac:dyDescent="0.25">
      <c r="A3688" s="3" t="s">
        <v>4322</v>
      </c>
      <c r="B3688" t="s">
        <v>3703</v>
      </c>
      <c r="C3688" t="s">
        <v>2667</v>
      </c>
      <c r="D3688" t="s">
        <v>26</v>
      </c>
      <c r="E3688" t="s">
        <v>3928</v>
      </c>
      <c r="F3688">
        <v>1</v>
      </c>
      <c r="G3688" s="3" t="s">
        <v>32</v>
      </c>
      <c r="H3688" s="44" t="s">
        <v>15</v>
      </c>
      <c r="I3688" s="17">
        <v>11311397</v>
      </c>
      <c r="J3688" s="17">
        <f>IF(Gastos[[#This Row],[Divisa]]="$", I3688*1, IF(Gastos[[#This Row],[Divisa]]="U$D", I3688*$N$1, IF(Gastos[[#This Row],[Divisa]]="EUR", I3688*$N$2, 0)))</f>
        <v>11311397</v>
      </c>
      <c r="K3688" s="54">
        <f>Gastos[[#This Row],[Importe AR$]]/$N$1</f>
        <v>7250.8955128205125</v>
      </c>
      <c r="M3688" s="69">
        <v>46304</v>
      </c>
      <c r="N3688" s="43">
        <f>IF(Gastos[[#This Row],[Fecha_Cheque]]&gt;0,WEEKNUM(Gastos[[#This Row],[Fecha_Cheque]]),MID(Gastos[[#This Row],[Semana]],6,2))</f>
        <v>41</v>
      </c>
      <c r="O3688" t="s">
        <v>4362</v>
      </c>
      <c r="P3688" t="s">
        <v>27</v>
      </c>
    </row>
    <row r="3689" spans="1:16" hidden="1" x14ac:dyDescent="0.25">
      <c r="A3689" s="3" t="s">
        <v>4322</v>
      </c>
      <c r="B3689" t="s">
        <v>3703</v>
      </c>
      <c r="C3689" t="s">
        <v>2667</v>
      </c>
      <c r="D3689" t="s">
        <v>26</v>
      </c>
      <c r="E3689" t="s">
        <v>3928</v>
      </c>
      <c r="F3689">
        <v>1</v>
      </c>
      <c r="G3689" s="3" t="s">
        <v>32</v>
      </c>
      <c r="H3689" s="44" t="s">
        <v>15</v>
      </c>
      <c r="I3689" s="17">
        <v>412447.44</v>
      </c>
      <c r="J3689" s="17">
        <f>IF(Gastos[[#This Row],[Divisa]]="$", I3689*1, IF(Gastos[[#This Row],[Divisa]]="U$D", I3689*$N$1, IF(Gastos[[#This Row],[Divisa]]="EUR", I3689*$N$2, 0)))</f>
        <v>412447.44</v>
      </c>
      <c r="K3689" s="54">
        <f>Gastos[[#This Row],[Importe AR$]]/$N$1</f>
        <v>264.38938461538464</v>
      </c>
      <c r="L3689" t="s">
        <v>340</v>
      </c>
      <c r="M3689" s="69"/>
      <c r="N3689" s="43" t="str">
        <f>IF(Gastos[[#This Row],[Fecha_Cheque]]&gt;0,WEEKNUM(Gastos[[#This Row],[Fecha_Cheque]]),MID(Gastos[[#This Row],[Semana]],6,2))</f>
        <v>38</v>
      </c>
      <c r="O3689" t="s">
        <v>4362</v>
      </c>
      <c r="P3689" t="s">
        <v>27</v>
      </c>
    </row>
    <row r="3690" spans="1:16" x14ac:dyDescent="0.25">
      <c r="A3690" s="3" t="s">
        <v>4655</v>
      </c>
      <c r="B3690" t="s">
        <v>1979</v>
      </c>
      <c r="C3690" t="s">
        <v>155</v>
      </c>
      <c r="D3690" t="s">
        <v>26</v>
      </c>
      <c r="E3690" t="s">
        <v>42</v>
      </c>
      <c r="F3690">
        <v>1</v>
      </c>
      <c r="G3690" s="3" t="s">
        <v>4</v>
      </c>
      <c r="H3690" s="44" t="s">
        <v>15</v>
      </c>
      <c r="I3690" s="17">
        <v>104999.95</v>
      </c>
      <c r="J3690" s="17">
        <f>IF(Gastos[[#This Row],[Divisa]]="$", I3690*1, IF(Gastos[[#This Row],[Divisa]]="U$D", I3690*$N$1, IF(Gastos[[#This Row],[Divisa]]="EUR", I3690*$N$2, 0)))</f>
        <v>104999.95</v>
      </c>
      <c r="K3690" s="54">
        <f>Gastos[[#This Row],[Importe AR$]]/$N$1</f>
        <v>67.307660256410259</v>
      </c>
      <c r="M3690" s="69"/>
      <c r="N3690" s="43" t="str">
        <f>IF(Gastos[[#This Row],[Fecha_Cheque]]&gt;0,WEEKNUM(Gastos[[#This Row],[Fecha_Cheque]]),MID(Gastos[[#This Row],[Semana]],6,2))</f>
        <v>44</v>
      </c>
      <c r="O3690" t="s">
        <v>4685</v>
      </c>
      <c r="P3690" t="s">
        <v>7</v>
      </c>
    </row>
    <row r="3691" spans="1:16" x14ac:dyDescent="0.25">
      <c r="A3691" s="3" t="s">
        <v>4655</v>
      </c>
      <c r="B3691" t="s">
        <v>2002</v>
      </c>
      <c r="C3691" t="s">
        <v>4341</v>
      </c>
      <c r="D3691" t="s">
        <v>26</v>
      </c>
      <c r="E3691" t="s">
        <v>62</v>
      </c>
      <c r="F3691">
        <v>1</v>
      </c>
      <c r="G3691" s="3" t="s">
        <v>32</v>
      </c>
      <c r="H3691" s="44" t="s">
        <v>15</v>
      </c>
      <c r="I3691" s="17">
        <v>0</v>
      </c>
      <c r="J3691" s="17">
        <f>IF(Gastos[[#This Row],[Divisa]]="$", I3691*1, IF(Gastos[[#This Row],[Divisa]]="U$D", I3691*$N$1, IF(Gastos[[#This Row],[Divisa]]="EUR", I3691*$N$2, 0)))</f>
        <v>0</v>
      </c>
      <c r="K3691" s="54">
        <f>Gastos[[#This Row],[Importe AR$]]/$N$1</f>
        <v>0</v>
      </c>
      <c r="M3691" s="69"/>
      <c r="N3691" s="43" t="str">
        <f>IF(Gastos[[#This Row],[Fecha_Cheque]]&gt;0,WEEKNUM(Gastos[[#This Row],[Fecha_Cheque]]),MID(Gastos[[#This Row],[Semana]],6,2))</f>
        <v>44</v>
      </c>
    </row>
    <row r="3692" spans="1:16" hidden="1" x14ac:dyDescent="0.25">
      <c r="A3692" s="3" t="s">
        <v>4569</v>
      </c>
      <c r="B3692" t="s">
        <v>3703</v>
      </c>
      <c r="C3692" t="s">
        <v>2667</v>
      </c>
      <c r="D3692" t="s">
        <v>26</v>
      </c>
      <c r="E3692" t="s">
        <v>3928</v>
      </c>
      <c r="F3692">
        <v>2</v>
      </c>
      <c r="G3692" s="3" t="s">
        <v>32</v>
      </c>
      <c r="H3692" s="44" t="s">
        <v>15</v>
      </c>
      <c r="I3692" s="17">
        <v>2628000</v>
      </c>
      <c r="J3692" s="17">
        <f>IF(Gastos[[#This Row],[Divisa]]="$", I3692*1, IF(Gastos[[#This Row],[Divisa]]="U$D", I3692*$N$1, IF(Gastos[[#This Row],[Divisa]]="EUR", I3692*$N$2, 0)))</f>
        <v>2628000</v>
      </c>
      <c r="K3692" s="54">
        <f>Gastos[[#This Row],[Importe AR$]]/$N$1</f>
        <v>1684.6153846153845</v>
      </c>
      <c r="M3692" s="69">
        <v>46332</v>
      </c>
      <c r="N3692" s="43">
        <f>IF(Gastos[[#This Row],[Fecha_Cheque]]&gt;0,WEEKNUM(Gastos[[#This Row],[Fecha_Cheque]]),MID(Gastos[[#This Row],[Semana]],6,2))</f>
        <v>45</v>
      </c>
      <c r="O3692" t="s">
        <v>4445</v>
      </c>
      <c r="P3692" t="s">
        <v>27</v>
      </c>
    </row>
    <row r="3693" spans="1:16" hidden="1" x14ac:dyDescent="0.25">
      <c r="A3693" s="3" t="s">
        <v>4569</v>
      </c>
      <c r="B3693" t="s">
        <v>3703</v>
      </c>
      <c r="C3693" t="s">
        <v>2667</v>
      </c>
      <c r="D3693" t="s">
        <v>26</v>
      </c>
      <c r="E3693" t="s">
        <v>3928</v>
      </c>
      <c r="F3693">
        <v>2</v>
      </c>
      <c r="G3693" s="3" t="s">
        <v>32</v>
      </c>
      <c r="H3693" s="44" t="s">
        <v>15</v>
      </c>
      <c r="I3693" s="17">
        <v>2628000</v>
      </c>
      <c r="J3693" s="17">
        <f>IF(Gastos[[#This Row],[Divisa]]="$", I3693*1, IF(Gastos[[#This Row],[Divisa]]="U$D", I3693*$N$1, IF(Gastos[[#This Row],[Divisa]]="EUR", I3693*$N$2, 0)))</f>
        <v>2628000</v>
      </c>
      <c r="K3693" s="54">
        <f>Gastos[[#This Row],[Importe AR$]]/$N$1</f>
        <v>1684.6153846153845</v>
      </c>
      <c r="M3693" s="69">
        <v>46335</v>
      </c>
      <c r="N3693" s="43">
        <f>IF(Gastos[[#This Row],[Fecha_Cheque]]&gt;0,WEEKNUM(Gastos[[#This Row],[Fecha_Cheque]]),MID(Gastos[[#This Row],[Semana]],6,2))</f>
        <v>46</v>
      </c>
      <c r="O3693" t="s">
        <v>4445</v>
      </c>
      <c r="P3693" t="s">
        <v>27</v>
      </c>
    </row>
    <row r="3694" spans="1:16" hidden="1" x14ac:dyDescent="0.25">
      <c r="A3694" s="3" t="s">
        <v>4569</v>
      </c>
      <c r="B3694" t="s">
        <v>3703</v>
      </c>
      <c r="C3694" t="s">
        <v>2667</v>
      </c>
      <c r="D3694" t="s">
        <v>26</v>
      </c>
      <c r="E3694" t="s">
        <v>3928</v>
      </c>
      <c r="F3694">
        <v>2</v>
      </c>
      <c r="G3694" s="3" t="s">
        <v>32</v>
      </c>
      <c r="H3694" s="44" t="s">
        <v>15</v>
      </c>
      <c r="I3694" s="17">
        <v>90651.22</v>
      </c>
      <c r="J3694" s="17">
        <f>IF(Gastos[[#This Row],[Divisa]]="$", I3694*1, IF(Gastos[[#This Row],[Divisa]]="U$D", I3694*$N$1, IF(Gastos[[#This Row],[Divisa]]="EUR", I3694*$N$2, 0)))</f>
        <v>90651.22</v>
      </c>
      <c r="K3694" s="54">
        <f>Gastos[[#This Row],[Importe AR$]]/$N$1</f>
        <v>58.109756410256409</v>
      </c>
      <c r="L3694" t="s">
        <v>340</v>
      </c>
      <c r="M3694" s="69"/>
      <c r="N3694" s="43" t="str">
        <f>IF(Gastos[[#This Row],[Fecha_Cheque]]&gt;0,WEEKNUM(Gastos[[#This Row],[Fecha_Cheque]]),MID(Gastos[[#This Row],[Semana]],6,2))</f>
        <v>43</v>
      </c>
      <c r="O3694" t="s">
        <v>4445</v>
      </c>
      <c r="P3694" t="s">
        <v>27</v>
      </c>
    </row>
    <row r="3695" spans="1:16" hidden="1" x14ac:dyDescent="0.25">
      <c r="A3695" s="3" t="s">
        <v>4569</v>
      </c>
      <c r="B3695" t="s">
        <v>3703</v>
      </c>
      <c r="C3695" t="s">
        <v>2667</v>
      </c>
      <c r="D3695" t="s">
        <v>26</v>
      </c>
      <c r="E3695" t="s">
        <v>3928</v>
      </c>
      <c r="F3695">
        <v>2</v>
      </c>
      <c r="G3695" s="3" t="s">
        <v>32</v>
      </c>
      <c r="H3695" s="44" t="s">
        <v>15</v>
      </c>
      <c r="I3695" s="17">
        <v>420000</v>
      </c>
      <c r="J3695" s="17">
        <f>IF(Gastos[[#This Row],[Divisa]]="$", I3695*1, IF(Gastos[[#This Row],[Divisa]]="U$D", I3695*$N$1, IF(Gastos[[#This Row],[Divisa]]="EUR", I3695*$N$2, 0)))</f>
        <v>420000</v>
      </c>
      <c r="K3695" s="54">
        <f>Gastos[[#This Row],[Importe AR$]]/$N$1</f>
        <v>269.23076923076923</v>
      </c>
      <c r="M3695" s="69">
        <v>46299</v>
      </c>
      <c r="N3695" s="43">
        <f>IF(Gastos[[#This Row],[Fecha_Cheque]]&gt;0,WEEKNUM(Gastos[[#This Row],[Fecha_Cheque]]),MID(Gastos[[#This Row],[Semana]],6,2))</f>
        <v>41</v>
      </c>
      <c r="O3695" t="s">
        <v>730</v>
      </c>
      <c r="P3695" t="s">
        <v>27</v>
      </c>
    </row>
    <row r="3696" spans="1:16" hidden="1" x14ac:dyDescent="0.25">
      <c r="A3696" s="3" t="s">
        <v>4569</v>
      </c>
      <c r="B3696" t="s">
        <v>3703</v>
      </c>
      <c r="C3696" t="s">
        <v>2667</v>
      </c>
      <c r="D3696" t="s">
        <v>26</v>
      </c>
      <c r="E3696" t="s">
        <v>3928</v>
      </c>
      <c r="F3696">
        <v>2</v>
      </c>
      <c r="G3696" s="3" t="s">
        <v>32</v>
      </c>
      <c r="H3696" s="44" t="s">
        <v>15</v>
      </c>
      <c r="I3696" s="17">
        <v>910000</v>
      </c>
      <c r="J3696" s="17">
        <f>IF(Gastos[[#This Row],[Divisa]]="$", I3696*1, IF(Gastos[[#This Row],[Divisa]]="U$D", I3696*$N$1, IF(Gastos[[#This Row],[Divisa]]="EUR", I3696*$N$2, 0)))</f>
        <v>910000</v>
      </c>
      <c r="K3696" s="54">
        <f>Gastos[[#This Row],[Importe AR$]]/$N$1</f>
        <v>583.33333333333337</v>
      </c>
      <c r="M3696" s="69">
        <v>46299</v>
      </c>
      <c r="N3696" s="43">
        <f>IF(Gastos[[#This Row],[Fecha_Cheque]]&gt;0,WEEKNUM(Gastos[[#This Row],[Fecha_Cheque]]),MID(Gastos[[#This Row],[Semana]],6,2))</f>
        <v>41</v>
      </c>
      <c r="O3696" t="s">
        <v>730</v>
      </c>
      <c r="P3696" t="s">
        <v>27</v>
      </c>
    </row>
    <row r="3697" spans="1:16" hidden="1" x14ac:dyDescent="0.25">
      <c r="A3697" s="3" t="s">
        <v>4569</v>
      </c>
      <c r="B3697" t="s">
        <v>3703</v>
      </c>
      <c r="C3697" t="s">
        <v>2667</v>
      </c>
      <c r="D3697" t="s">
        <v>26</v>
      </c>
      <c r="E3697" t="s">
        <v>3928</v>
      </c>
      <c r="F3697">
        <v>2</v>
      </c>
      <c r="G3697" s="3" t="s">
        <v>32</v>
      </c>
      <c r="H3697" s="44" t="s">
        <v>15</v>
      </c>
      <c r="I3697" s="17">
        <v>8743000</v>
      </c>
      <c r="J3697" s="17">
        <f>IF(Gastos[[#This Row],[Divisa]]="$", I3697*1, IF(Gastos[[#This Row],[Divisa]]="U$D", I3697*$N$1, IF(Gastos[[#This Row],[Divisa]]="EUR", I3697*$N$2, 0)))</f>
        <v>8743000</v>
      </c>
      <c r="K3697" s="54">
        <f>Gastos[[#This Row],[Importe AR$]]/$N$1</f>
        <v>5604.4871794871797</v>
      </c>
      <c r="M3697" s="69">
        <v>46338</v>
      </c>
      <c r="N3697" s="43">
        <f>IF(Gastos[[#This Row],[Fecha_Cheque]]&gt;0,WEEKNUM(Gastos[[#This Row],[Fecha_Cheque]]),MID(Gastos[[#This Row],[Semana]],6,2))</f>
        <v>46</v>
      </c>
      <c r="O3697" t="s">
        <v>4577</v>
      </c>
      <c r="P3697" t="s">
        <v>27</v>
      </c>
    </row>
    <row r="3698" spans="1:16" hidden="1" x14ac:dyDescent="0.25">
      <c r="A3698" s="3" t="s">
        <v>4569</v>
      </c>
      <c r="B3698" t="s">
        <v>3703</v>
      </c>
      <c r="C3698" t="s">
        <v>2667</v>
      </c>
      <c r="D3698" t="s">
        <v>26</v>
      </c>
      <c r="E3698" t="s">
        <v>3928</v>
      </c>
      <c r="F3698">
        <v>2</v>
      </c>
      <c r="G3698" s="3" t="s">
        <v>4</v>
      </c>
      <c r="H3698" s="44" t="s">
        <v>15</v>
      </c>
      <c r="I3698" s="17">
        <v>159885</v>
      </c>
      <c r="J3698" s="17">
        <f>IF(Gastos[[#This Row],[Divisa]]="$", I3698*1, IF(Gastos[[#This Row],[Divisa]]="U$D", I3698*$N$1, IF(Gastos[[#This Row],[Divisa]]="EUR", I3698*$N$2, 0)))</f>
        <v>159885</v>
      </c>
      <c r="K3698" s="54">
        <f>Gastos[[#This Row],[Importe AR$]]/$N$1</f>
        <v>102.49038461538461</v>
      </c>
      <c r="L3698" t="s">
        <v>340</v>
      </c>
      <c r="M3698" s="69"/>
      <c r="N3698" s="43" t="str">
        <f>IF(Gastos[[#This Row],[Fecha_Cheque]]&gt;0,WEEKNUM(Gastos[[#This Row],[Fecha_Cheque]]),MID(Gastos[[#This Row],[Semana]],6,2))</f>
        <v>43</v>
      </c>
      <c r="O3698" t="s">
        <v>4577</v>
      </c>
      <c r="P3698" t="s">
        <v>27</v>
      </c>
    </row>
    <row r="3699" spans="1:16" hidden="1" x14ac:dyDescent="0.25">
      <c r="A3699" s="3" t="s">
        <v>122</v>
      </c>
      <c r="B3699" t="s">
        <v>2086</v>
      </c>
      <c r="C3699" t="s">
        <v>2087</v>
      </c>
      <c r="D3699" t="s">
        <v>26</v>
      </c>
      <c r="E3699" t="s">
        <v>31</v>
      </c>
      <c r="F3699">
        <v>1</v>
      </c>
      <c r="G3699" s="3" t="s">
        <v>32</v>
      </c>
      <c r="H3699" s="46" t="s">
        <v>15</v>
      </c>
      <c r="I3699" s="17">
        <v>688500</v>
      </c>
      <c r="J3699" s="17">
        <f>IF(Gastos[[#This Row],[Divisa]]="$", I3699*1, IF(Gastos[[#This Row],[Divisa]]="U$D", I3699*$N$1, IF(Gastos[[#This Row],[Divisa]]="EUR", I3699*$N$2, 0)))</f>
        <v>688500</v>
      </c>
      <c r="K3699" s="54">
        <f>Gastos[[#This Row],[Importe AR$]]/$N$1</f>
        <v>441.34615384615387</v>
      </c>
      <c r="M3699" s="69">
        <v>45955</v>
      </c>
      <c r="N3699" s="43">
        <f>IF(Gastos[[#This Row],[Fecha_Cheque]]&gt;0,WEEKNUM(Gastos[[#This Row],[Fecha_Cheque]]),MID(Gastos[[#This Row],[Semana]],6,2))</f>
        <v>43</v>
      </c>
      <c r="O3699" t="s">
        <v>2088</v>
      </c>
      <c r="P3699" t="s">
        <v>27</v>
      </c>
    </row>
    <row r="3700" spans="1:16" hidden="1" x14ac:dyDescent="0.25">
      <c r="A3700" s="3" t="s">
        <v>122</v>
      </c>
      <c r="B3700" t="s">
        <v>2086</v>
      </c>
      <c r="C3700" t="s">
        <v>2087</v>
      </c>
      <c r="D3700" t="s">
        <v>26</v>
      </c>
      <c r="E3700" t="s">
        <v>31</v>
      </c>
      <c r="F3700">
        <v>1</v>
      </c>
      <c r="G3700" s="3" t="s">
        <v>32</v>
      </c>
      <c r="H3700" s="46" t="s">
        <v>15</v>
      </c>
      <c r="I3700" s="17">
        <v>190000</v>
      </c>
      <c r="J3700" s="17">
        <f>IF(Gastos[[#This Row],[Divisa]]="$", I3700*1, IF(Gastos[[#This Row],[Divisa]]="U$D", I3700*$N$1, IF(Gastos[[#This Row],[Divisa]]="EUR", I3700*$N$2, 0)))</f>
        <v>190000</v>
      </c>
      <c r="K3700" s="54">
        <f>Gastos[[#This Row],[Importe AR$]]/$N$1</f>
        <v>121.7948717948718</v>
      </c>
      <c r="M3700" s="69">
        <v>45955</v>
      </c>
      <c r="N3700" s="43">
        <f>IF(Gastos[[#This Row],[Fecha_Cheque]]&gt;0,WEEKNUM(Gastos[[#This Row],[Fecha_Cheque]]),MID(Gastos[[#This Row],[Semana]],6,2))</f>
        <v>43</v>
      </c>
      <c r="O3700" t="s">
        <v>2088</v>
      </c>
      <c r="P3700" t="s">
        <v>27</v>
      </c>
    </row>
    <row r="3701" spans="1:16" hidden="1" x14ac:dyDescent="0.25">
      <c r="A3701" s="3" t="s">
        <v>122</v>
      </c>
      <c r="B3701" t="s">
        <v>2086</v>
      </c>
      <c r="C3701" t="s">
        <v>2087</v>
      </c>
      <c r="D3701" t="s">
        <v>26</v>
      </c>
      <c r="E3701" t="s">
        <v>31</v>
      </c>
      <c r="F3701">
        <v>1</v>
      </c>
      <c r="G3701" s="3" t="s">
        <v>32</v>
      </c>
      <c r="H3701" s="46" t="s">
        <v>15</v>
      </c>
      <c r="I3701" s="17">
        <v>1512650</v>
      </c>
      <c r="J3701" s="17">
        <f>IF(Gastos[[#This Row],[Divisa]]="$", I3701*1, IF(Gastos[[#This Row],[Divisa]]="U$D", I3701*$N$1, IF(Gastos[[#This Row],[Divisa]]="EUR", I3701*$N$2, 0)))</f>
        <v>1512650</v>
      </c>
      <c r="K3701" s="54">
        <f>Gastos[[#This Row],[Importe AR$]]/$N$1</f>
        <v>969.64743589743591</v>
      </c>
      <c r="M3701" s="69">
        <v>45969</v>
      </c>
      <c r="N3701" s="43">
        <f>IF(Gastos[[#This Row],[Fecha_Cheque]]&gt;0,WEEKNUM(Gastos[[#This Row],[Fecha_Cheque]]),MID(Gastos[[#This Row],[Semana]],6,2))</f>
        <v>45</v>
      </c>
      <c r="O3701" t="s">
        <v>2088</v>
      </c>
      <c r="P3701" t="s">
        <v>27</v>
      </c>
    </row>
    <row r="3702" spans="1:16" hidden="1" x14ac:dyDescent="0.25">
      <c r="A3702" s="3" t="s">
        <v>122</v>
      </c>
      <c r="B3702" t="s">
        <v>2086</v>
      </c>
      <c r="C3702" t="s">
        <v>2087</v>
      </c>
      <c r="D3702" t="s">
        <v>26</v>
      </c>
      <c r="E3702" t="s">
        <v>31</v>
      </c>
      <c r="F3702">
        <v>1</v>
      </c>
      <c r="G3702" s="3" t="s">
        <v>32</v>
      </c>
      <c r="H3702" s="46" t="s">
        <v>15</v>
      </c>
      <c r="I3702" s="17">
        <v>2036000</v>
      </c>
      <c r="J3702" s="17">
        <f>IF(Gastos[[#This Row],[Divisa]]="$", I3702*1, IF(Gastos[[#This Row],[Divisa]]="U$D", I3702*$N$1, IF(Gastos[[#This Row],[Divisa]]="EUR", I3702*$N$2, 0)))</f>
        <v>2036000</v>
      </c>
      <c r="K3702" s="54">
        <f>Gastos[[#This Row],[Importe AR$]]/$N$1</f>
        <v>1305.1282051282051</v>
      </c>
      <c r="M3702" s="69">
        <v>45971</v>
      </c>
      <c r="N3702" s="43">
        <f>IF(Gastos[[#This Row],[Fecha_Cheque]]&gt;0,WEEKNUM(Gastos[[#This Row],[Fecha_Cheque]]),MID(Gastos[[#This Row],[Semana]],6,2))</f>
        <v>46</v>
      </c>
      <c r="O3702" t="s">
        <v>2088</v>
      </c>
      <c r="P3702" t="s">
        <v>27</v>
      </c>
    </row>
    <row r="3703" spans="1:16" hidden="1" x14ac:dyDescent="0.25">
      <c r="A3703" s="3" t="s">
        <v>122</v>
      </c>
      <c r="B3703" t="s">
        <v>2086</v>
      </c>
      <c r="C3703" t="s">
        <v>2087</v>
      </c>
      <c r="D3703" t="s">
        <v>26</v>
      </c>
      <c r="E3703" t="s">
        <v>31</v>
      </c>
      <c r="F3703">
        <v>1</v>
      </c>
      <c r="G3703" s="3" t="s">
        <v>32</v>
      </c>
      <c r="H3703" s="46" t="s">
        <v>15</v>
      </c>
      <c r="I3703" s="17">
        <v>2056691.6</v>
      </c>
      <c r="J3703" s="17">
        <f>IF(Gastos[[#This Row],[Divisa]]="$", I3703*1, IF(Gastos[[#This Row],[Divisa]]="U$D", I3703*$N$1, IF(Gastos[[#This Row],[Divisa]]="EUR", I3703*$N$2, 0)))</f>
        <v>2056691.6</v>
      </c>
      <c r="K3703" s="54">
        <f>Gastos[[#This Row],[Importe AR$]]/$N$1</f>
        <v>1318.3920512820514</v>
      </c>
      <c r="M3703" s="69">
        <v>45996</v>
      </c>
      <c r="N3703" s="43">
        <f>IF(Gastos[[#This Row],[Fecha_Cheque]]&gt;0,WEEKNUM(Gastos[[#This Row],[Fecha_Cheque]]),MID(Gastos[[#This Row],[Semana]],6,2))</f>
        <v>49</v>
      </c>
      <c r="O3703" t="s">
        <v>2088</v>
      </c>
      <c r="P3703" t="s">
        <v>27</v>
      </c>
    </row>
    <row r="3704" spans="1:16" hidden="1" x14ac:dyDescent="0.25">
      <c r="A3704" s="3" t="s">
        <v>56</v>
      </c>
      <c r="B3704" t="s">
        <v>2086</v>
      </c>
      <c r="C3704" t="s">
        <v>2087</v>
      </c>
      <c r="D3704" t="s">
        <v>26</v>
      </c>
      <c r="E3704" t="s">
        <v>31</v>
      </c>
      <c r="F3704">
        <v>1</v>
      </c>
      <c r="G3704" s="3" t="s">
        <v>32</v>
      </c>
      <c r="H3704" s="46" t="s">
        <v>15</v>
      </c>
      <c r="I3704" s="17">
        <v>979660</v>
      </c>
      <c r="J3704" s="17">
        <f>IF(Gastos[[#This Row],[Divisa]]="$", I3704*1, IF(Gastos[[#This Row],[Divisa]]="U$D", I3704*$N$1, IF(Gastos[[#This Row],[Divisa]]="EUR", I3704*$N$2, 0)))</f>
        <v>979660</v>
      </c>
      <c r="K3704" s="54">
        <f>Gastos[[#This Row],[Importe AR$]]/$N$1</f>
        <v>627.98717948717945</v>
      </c>
      <c r="M3704" s="69">
        <v>45971</v>
      </c>
      <c r="N3704" s="43">
        <f>IF(Gastos[[#This Row],[Fecha_Cheque]]&gt;0,WEEKNUM(Gastos[[#This Row],[Fecha_Cheque]]),MID(Gastos[[#This Row],[Semana]],6,2))</f>
        <v>46</v>
      </c>
      <c r="O3704" t="s">
        <v>2088</v>
      </c>
      <c r="P3704" t="s">
        <v>27</v>
      </c>
    </row>
    <row r="3705" spans="1:16" hidden="1" x14ac:dyDescent="0.25">
      <c r="A3705" s="3" t="s">
        <v>232</v>
      </c>
      <c r="B3705" t="s">
        <v>2086</v>
      </c>
      <c r="C3705" t="s">
        <v>2089</v>
      </c>
      <c r="D3705" t="s">
        <v>26</v>
      </c>
      <c r="E3705" t="s">
        <v>31</v>
      </c>
      <c r="F3705">
        <v>1</v>
      </c>
      <c r="G3705" s="3" t="s">
        <v>32</v>
      </c>
      <c r="H3705" s="46" t="s">
        <v>15</v>
      </c>
      <c r="I3705" s="17">
        <v>5084709.2</v>
      </c>
      <c r="J3705" s="17">
        <f>IF(Gastos[[#This Row],[Divisa]]="$", I3705*1, IF(Gastos[[#This Row],[Divisa]]="U$D", I3705*$N$1, IF(Gastos[[#This Row],[Divisa]]="EUR", I3705*$N$2, 0)))</f>
        <v>5084709.2</v>
      </c>
      <c r="K3705" s="54">
        <f>Gastos[[#This Row],[Importe AR$]]/$N$1</f>
        <v>3259.4289743589743</v>
      </c>
      <c r="M3705" s="69">
        <v>45989</v>
      </c>
      <c r="N3705" s="43">
        <f>IF(Gastos[[#This Row],[Fecha_Cheque]]&gt;0,WEEKNUM(Gastos[[#This Row],[Fecha_Cheque]]),MID(Gastos[[#This Row],[Semana]],6,2))</f>
        <v>48</v>
      </c>
      <c r="O3705" t="s">
        <v>2090</v>
      </c>
      <c r="P3705" t="s">
        <v>27</v>
      </c>
    </row>
    <row r="3706" spans="1:16" hidden="1" x14ac:dyDescent="0.25">
      <c r="A3706" s="3" t="s">
        <v>93</v>
      </c>
      <c r="B3706" t="s">
        <v>2086</v>
      </c>
      <c r="C3706" t="s">
        <v>2089</v>
      </c>
      <c r="D3706" t="s">
        <v>26</v>
      </c>
      <c r="E3706" t="s">
        <v>62</v>
      </c>
      <c r="F3706">
        <v>1</v>
      </c>
      <c r="G3706" s="3" t="s">
        <v>32</v>
      </c>
      <c r="H3706" s="46" t="s">
        <v>15</v>
      </c>
      <c r="I3706" s="17">
        <v>2366780</v>
      </c>
      <c r="J3706" s="17">
        <f>IF(Gastos[[#This Row],[Divisa]]="$", I3706*1, IF(Gastos[[#This Row],[Divisa]]="U$D", I3706*$N$1, IF(Gastos[[#This Row],[Divisa]]="EUR", I3706*$N$2, 0)))</f>
        <v>2366780</v>
      </c>
      <c r="K3706" s="54">
        <f>Gastos[[#This Row],[Importe AR$]]/$N$1</f>
        <v>1517.1666666666667</v>
      </c>
      <c r="M3706" s="69">
        <v>46013</v>
      </c>
      <c r="N3706" s="43">
        <f>IF(Gastos[[#This Row],[Fecha_Cheque]]&gt;0,WEEKNUM(Gastos[[#This Row],[Fecha_Cheque]]),MID(Gastos[[#This Row],[Semana]],6,2))</f>
        <v>52</v>
      </c>
      <c r="O3706" t="s">
        <v>2091</v>
      </c>
      <c r="P3706" t="s">
        <v>27</v>
      </c>
    </row>
    <row r="3707" spans="1:16" hidden="1" x14ac:dyDescent="0.25">
      <c r="A3707" s="3" t="s">
        <v>152</v>
      </c>
      <c r="B3707" t="s">
        <v>2086</v>
      </c>
      <c r="C3707" t="s">
        <v>2092</v>
      </c>
      <c r="D3707" t="s">
        <v>26</v>
      </c>
      <c r="E3707" t="s">
        <v>31</v>
      </c>
      <c r="F3707">
        <v>1</v>
      </c>
      <c r="G3707" s="3" t="s">
        <v>32</v>
      </c>
      <c r="H3707" s="46" t="s">
        <v>15</v>
      </c>
      <c r="I3707" s="17">
        <v>684105.46</v>
      </c>
      <c r="J3707" s="17">
        <f>IF(Gastos[[#This Row],[Divisa]]="$", I3707*1, IF(Gastos[[#This Row],[Divisa]]="U$D", I3707*$N$1, IF(Gastos[[#This Row],[Divisa]]="EUR", I3707*$N$2, 0)))</f>
        <v>684105.46</v>
      </c>
      <c r="K3707" s="54">
        <f>Gastos[[#This Row],[Importe AR$]]/$N$1</f>
        <v>438.52914102564102</v>
      </c>
      <c r="M3707" s="69"/>
      <c r="N3707" s="43" t="str">
        <f>IF(Gastos[[#This Row],[Fecha_Cheque]]&gt;0,WEEKNUM(Gastos[[#This Row],[Fecha_Cheque]]),MID(Gastos[[#This Row],[Semana]],6,2))</f>
        <v>04</v>
      </c>
      <c r="O3707" t="s">
        <v>2093</v>
      </c>
      <c r="P3707" t="s">
        <v>27</v>
      </c>
    </row>
    <row r="3708" spans="1:16" hidden="1" x14ac:dyDescent="0.25">
      <c r="A3708" s="3" t="s">
        <v>206</v>
      </c>
      <c r="B3708" t="s">
        <v>2086</v>
      </c>
      <c r="C3708" t="s">
        <v>2092</v>
      </c>
      <c r="D3708" t="s">
        <v>26</v>
      </c>
      <c r="E3708" t="s">
        <v>31</v>
      </c>
      <c r="F3708">
        <v>1</v>
      </c>
      <c r="G3708" s="3" t="s">
        <v>32</v>
      </c>
      <c r="H3708" s="46" t="s">
        <v>15</v>
      </c>
      <c r="I3708" s="17">
        <v>301636</v>
      </c>
      <c r="J3708" s="17">
        <f>IF(Gastos[[#This Row],[Divisa]]="$", I3708*1, IF(Gastos[[#This Row],[Divisa]]="U$D", I3708*$N$1, IF(Gastos[[#This Row],[Divisa]]="EUR", I3708*$N$2, 0)))</f>
        <v>301636</v>
      </c>
      <c r="K3708" s="54">
        <f>Gastos[[#This Row],[Importe AR$]]/$N$1</f>
        <v>193.35641025641024</v>
      </c>
      <c r="M3708" s="69">
        <v>46083</v>
      </c>
      <c r="N3708" s="43">
        <f>IF(Gastos[[#This Row],[Fecha_Cheque]]&gt;0,WEEKNUM(Gastos[[#This Row],[Fecha_Cheque]]),MID(Gastos[[#This Row],[Semana]],6,2))</f>
        <v>10</v>
      </c>
      <c r="O3708" t="s">
        <v>2094</v>
      </c>
      <c r="P3708" t="s">
        <v>27</v>
      </c>
    </row>
    <row r="3709" spans="1:16" hidden="1" x14ac:dyDescent="0.25">
      <c r="A3709" s="3" t="s">
        <v>206</v>
      </c>
      <c r="B3709" t="s">
        <v>2086</v>
      </c>
      <c r="C3709" t="s">
        <v>2092</v>
      </c>
      <c r="D3709" t="s">
        <v>26</v>
      </c>
      <c r="E3709" t="s">
        <v>31</v>
      </c>
      <c r="F3709">
        <v>1</v>
      </c>
      <c r="G3709" s="3" t="s">
        <v>32</v>
      </c>
      <c r="H3709" s="46" t="s">
        <v>15</v>
      </c>
      <c r="I3709" s="17">
        <v>600000</v>
      </c>
      <c r="J3709" s="17">
        <f>IF(Gastos[[#This Row],[Divisa]]="$", I3709*1, IF(Gastos[[#This Row],[Divisa]]="U$D", I3709*$N$1, IF(Gastos[[#This Row],[Divisa]]="EUR", I3709*$N$2, 0)))</f>
        <v>600000</v>
      </c>
      <c r="K3709" s="54">
        <f>Gastos[[#This Row],[Importe AR$]]/$N$1</f>
        <v>384.61538461538464</v>
      </c>
      <c r="M3709" s="69">
        <v>46083</v>
      </c>
      <c r="N3709" s="43">
        <f>IF(Gastos[[#This Row],[Fecha_Cheque]]&gt;0,WEEKNUM(Gastos[[#This Row],[Fecha_Cheque]]),MID(Gastos[[#This Row],[Semana]],6,2))</f>
        <v>10</v>
      </c>
      <c r="O3709" t="s">
        <v>2094</v>
      </c>
      <c r="P3709" t="s">
        <v>27</v>
      </c>
    </row>
    <row r="3710" spans="1:16" hidden="1" x14ac:dyDescent="0.25">
      <c r="A3710" s="3" t="s">
        <v>206</v>
      </c>
      <c r="B3710" t="s">
        <v>2086</v>
      </c>
      <c r="C3710" t="s">
        <v>2092</v>
      </c>
      <c r="D3710" t="s">
        <v>26</v>
      </c>
      <c r="E3710" t="s">
        <v>31</v>
      </c>
      <c r="F3710">
        <v>1</v>
      </c>
      <c r="G3710" s="3" t="s">
        <v>32</v>
      </c>
      <c r="H3710" s="46" t="s">
        <v>15</v>
      </c>
      <c r="I3710" s="17">
        <v>886244</v>
      </c>
      <c r="J3710" s="17">
        <f>IF(Gastos[[#This Row],[Divisa]]="$", I3710*1, IF(Gastos[[#This Row],[Divisa]]="U$D", I3710*$N$1, IF(Gastos[[#This Row],[Divisa]]="EUR", I3710*$N$2, 0)))</f>
        <v>886244</v>
      </c>
      <c r="K3710" s="54">
        <f>Gastos[[#This Row],[Importe AR$]]/$N$1</f>
        <v>568.10512820512815</v>
      </c>
      <c r="M3710" s="69">
        <v>46083</v>
      </c>
      <c r="N3710" s="43">
        <f>IF(Gastos[[#This Row],[Fecha_Cheque]]&gt;0,WEEKNUM(Gastos[[#This Row],[Fecha_Cheque]]),MID(Gastos[[#This Row],[Semana]],6,2))</f>
        <v>10</v>
      </c>
      <c r="O3710" t="s">
        <v>2094</v>
      </c>
      <c r="P3710" t="s">
        <v>27</v>
      </c>
    </row>
    <row r="3711" spans="1:16" hidden="1" x14ac:dyDescent="0.25">
      <c r="A3711" s="3" t="s">
        <v>619</v>
      </c>
      <c r="B3711" t="s">
        <v>2086</v>
      </c>
      <c r="C3711" t="s">
        <v>2092</v>
      </c>
      <c r="D3711" t="s">
        <v>26</v>
      </c>
      <c r="E3711" t="s">
        <v>62</v>
      </c>
      <c r="F3711">
        <v>1</v>
      </c>
      <c r="G3711" s="3" t="s">
        <v>5</v>
      </c>
      <c r="H3711" s="46" t="s">
        <v>15</v>
      </c>
      <c r="I3711" s="17">
        <v>4500119.53</v>
      </c>
      <c r="J3711" s="17">
        <f>IF(Gastos[[#This Row],[Divisa]]="$", I3711*1, IF(Gastos[[#This Row],[Divisa]]="U$D", I3711*$N$1, IF(Gastos[[#This Row],[Divisa]]="EUR", I3711*$N$2, 0)))</f>
        <v>4500119.53</v>
      </c>
      <c r="K3711" s="54">
        <f>Gastos[[#This Row],[Importe AR$]]/$N$1</f>
        <v>2884.6920064102565</v>
      </c>
      <c r="M3711" s="69"/>
      <c r="N3711" s="43" t="str">
        <f>IF(Gastos[[#This Row],[Fecha_Cheque]]&gt;0,WEEKNUM(Gastos[[#This Row],[Fecha_Cheque]]),MID(Gastos[[#This Row],[Semana]],6,2))</f>
        <v>10</v>
      </c>
      <c r="O3711" t="s">
        <v>2646</v>
      </c>
      <c r="P3711" t="s">
        <v>27</v>
      </c>
    </row>
    <row r="3712" spans="1:16" hidden="1" x14ac:dyDescent="0.25">
      <c r="A3712" s="3" t="s">
        <v>619</v>
      </c>
      <c r="B3712" t="s">
        <v>2086</v>
      </c>
      <c r="C3712" t="s">
        <v>2647</v>
      </c>
      <c r="D3712" t="s">
        <v>26</v>
      </c>
      <c r="E3712" t="s">
        <v>62</v>
      </c>
      <c r="F3712">
        <v>1</v>
      </c>
      <c r="G3712" s="3" t="s">
        <v>32</v>
      </c>
      <c r="H3712" s="46" t="s">
        <v>15</v>
      </c>
      <c r="I3712" s="17">
        <v>4500119.53</v>
      </c>
      <c r="J3712" s="17">
        <f>IF(Gastos[[#This Row],[Divisa]]="$", I3712*1, IF(Gastos[[#This Row],[Divisa]]="U$D", I3712*$N$1, IF(Gastos[[#This Row],[Divisa]]="EUR", I3712*$N$2, 0)))</f>
        <v>4500119.53</v>
      </c>
      <c r="K3712" s="54">
        <f>Gastos[[#This Row],[Importe AR$]]/$N$1</f>
        <v>2884.6920064102565</v>
      </c>
      <c r="M3712" s="69"/>
      <c r="N3712" s="43" t="str">
        <f>IF(Gastos[[#This Row],[Fecha_Cheque]]&gt;0,WEEKNUM(Gastos[[#This Row],[Fecha_Cheque]]),MID(Gastos[[#This Row],[Semana]],6,2))</f>
        <v>10</v>
      </c>
      <c r="O3712" t="s">
        <v>2648</v>
      </c>
      <c r="P3712" t="s">
        <v>27</v>
      </c>
    </row>
    <row r="3713" spans="1:16" hidden="1" x14ac:dyDescent="0.25">
      <c r="A3713" s="3" t="s">
        <v>416</v>
      </c>
      <c r="B3713" t="s">
        <v>2100</v>
      </c>
      <c r="C3713" t="s">
        <v>2101</v>
      </c>
      <c r="D3713" t="s">
        <v>26</v>
      </c>
      <c r="E3713" t="s">
        <v>31</v>
      </c>
      <c r="F3713">
        <v>1</v>
      </c>
      <c r="G3713" s="3" t="s">
        <v>5</v>
      </c>
      <c r="H3713" s="46" t="s">
        <v>15</v>
      </c>
      <c r="I3713" s="17">
        <v>145502.5</v>
      </c>
      <c r="J3713" s="17">
        <f>IF(Gastos[[#This Row],[Divisa]]="$", I3713*1, IF(Gastos[[#This Row],[Divisa]]="U$D", I3713*$N$1, IF(Gastos[[#This Row],[Divisa]]="EUR", I3713*$N$2, 0)))</f>
        <v>145502.5</v>
      </c>
      <c r="K3713" s="54">
        <f>Gastos[[#This Row],[Importe AR$]]/$N$1</f>
        <v>93.270833333333329</v>
      </c>
      <c r="M3713" s="69"/>
      <c r="N3713" s="43" t="str">
        <f>IF(Gastos[[#This Row],[Fecha_Cheque]]&gt;0,WEEKNUM(Gastos[[#This Row],[Fecha_Cheque]]),MID(Gastos[[#This Row],[Semana]],6,2))</f>
        <v>52</v>
      </c>
      <c r="O3713" t="s">
        <v>2102</v>
      </c>
      <c r="P3713" t="s">
        <v>27</v>
      </c>
    </row>
    <row r="3714" spans="1:16" hidden="1" x14ac:dyDescent="0.25">
      <c r="A3714" s="3" t="s">
        <v>1018</v>
      </c>
      <c r="B3714" t="s">
        <v>2103</v>
      </c>
      <c r="C3714" t="s">
        <v>2104</v>
      </c>
      <c r="D3714" t="s">
        <v>26</v>
      </c>
      <c r="E3714" t="s">
        <v>31</v>
      </c>
      <c r="F3714">
        <v>2</v>
      </c>
      <c r="G3714" s="3" t="s">
        <v>4</v>
      </c>
      <c r="H3714" s="46" t="s">
        <v>15</v>
      </c>
      <c r="I3714" s="19">
        <v>5000000</v>
      </c>
      <c r="J3714" s="17">
        <f>IF(Gastos[[#This Row],[Divisa]]="$", I3714*1, IF(Gastos[[#This Row],[Divisa]]="U$D", I3714*$N$1, IF(Gastos[[#This Row],[Divisa]]="EUR", I3714*$N$2, 0)))</f>
        <v>5000000</v>
      </c>
      <c r="K3714" s="55">
        <f>Gastos[[#This Row],[Importe AR$]]/$N$1</f>
        <v>3205.1282051282051</v>
      </c>
      <c r="M3714" s="69"/>
      <c r="N3714" s="43" t="str">
        <f>IF(Gastos[[#This Row],[Fecha_Cheque]]&gt;0,WEEKNUM(Gastos[[#This Row],[Fecha_Cheque]]),MID(Gastos[[#This Row],[Semana]],6,2))</f>
        <v>14</v>
      </c>
      <c r="P3714" t="s">
        <v>27</v>
      </c>
    </row>
    <row r="3715" spans="1:16" hidden="1" x14ac:dyDescent="0.25">
      <c r="A3715" s="3" t="s">
        <v>23</v>
      </c>
      <c r="B3715" t="s">
        <v>2103</v>
      </c>
      <c r="C3715" t="s">
        <v>1055</v>
      </c>
      <c r="D3715" t="s">
        <v>26</v>
      </c>
      <c r="E3715" t="s">
        <v>31</v>
      </c>
      <c r="F3715">
        <v>2</v>
      </c>
      <c r="G3715" s="3" t="s">
        <v>4</v>
      </c>
      <c r="H3715" s="46" t="s">
        <v>15</v>
      </c>
      <c r="I3715" s="17">
        <v>500000</v>
      </c>
      <c r="J3715" s="17">
        <f>IF(Gastos[[#This Row],[Divisa]]="$", I3715*1, IF(Gastos[[#This Row],[Divisa]]="U$D", I3715*$N$1, IF(Gastos[[#This Row],[Divisa]]="EUR", I3715*$N$2, 0)))</f>
        <v>500000</v>
      </c>
      <c r="K3715" s="54">
        <f>Gastos[[#This Row],[Importe AR$]]/$N$1</f>
        <v>320.5128205128205</v>
      </c>
      <c r="M3715" s="69"/>
      <c r="N3715" s="43" t="str">
        <f>IF(Gastos[[#This Row],[Fecha_Cheque]]&gt;0,WEEKNUM(Gastos[[#This Row],[Fecha_Cheque]]),MID(Gastos[[#This Row],[Semana]],6,2))</f>
        <v>22</v>
      </c>
      <c r="O3715" t="s">
        <v>2105</v>
      </c>
      <c r="P3715" t="s">
        <v>27</v>
      </c>
    </row>
    <row r="3716" spans="1:16" hidden="1" x14ac:dyDescent="0.25">
      <c r="A3716" s="3" t="s">
        <v>4569</v>
      </c>
      <c r="B3716" t="s">
        <v>4606</v>
      </c>
      <c r="C3716" t="s">
        <v>4607</v>
      </c>
      <c r="D3716" t="s">
        <v>26</v>
      </c>
      <c r="E3716" t="s">
        <v>31</v>
      </c>
      <c r="F3716">
        <v>1</v>
      </c>
      <c r="G3716" s="3" t="s">
        <v>5</v>
      </c>
      <c r="H3716" s="44" t="s">
        <v>15</v>
      </c>
      <c r="I3716" s="17">
        <v>9370210.1099999994</v>
      </c>
      <c r="J3716" s="17">
        <f>IF(Gastos[[#This Row],[Divisa]]="$", I3716*1, IF(Gastos[[#This Row],[Divisa]]="U$D", I3716*$N$1, IF(Gastos[[#This Row],[Divisa]]="EUR", I3716*$N$2, 0)))</f>
        <v>9370210.1099999994</v>
      </c>
      <c r="K3716" s="54">
        <f>Gastos[[#This Row],[Importe AR$]]/$N$1</f>
        <v>6006.5449423076916</v>
      </c>
      <c r="M3716" s="69"/>
      <c r="N3716" s="43" t="str">
        <f>IF(Gastos[[#This Row],[Fecha_Cheque]]&gt;0,WEEKNUM(Gastos[[#This Row],[Fecha_Cheque]]),MID(Gastos[[#This Row],[Semana]],6,2))</f>
        <v>43</v>
      </c>
      <c r="O3716" t="s">
        <v>4608</v>
      </c>
      <c r="P3716" t="s">
        <v>27</v>
      </c>
    </row>
    <row r="3717" spans="1:16" hidden="1" x14ac:dyDescent="0.25">
      <c r="A3717" s="3" t="s">
        <v>4569</v>
      </c>
      <c r="B3717" t="s">
        <v>4606</v>
      </c>
      <c r="C3717" t="s">
        <v>4610</v>
      </c>
      <c r="D3717" t="s">
        <v>26</v>
      </c>
      <c r="E3717" t="s">
        <v>31</v>
      </c>
      <c r="F3717">
        <v>1</v>
      </c>
      <c r="G3717" s="3" t="s">
        <v>5</v>
      </c>
      <c r="H3717" s="44" t="s">
        <v>15</v>
      </c>
      <c r="I3717" s="17">
        <v>146331.48000000001</v>
      </c>
      <c r="J3717" s="17">
        <f>IF(Gastos[[#This Row],[Divisa]]="$", I3717*1, IF(Gastos[[#This Row],[Divisa]]="U$D", I3717*$N$1, IF(Gastos[[#This Row],[Divisa]]="EUR", I3717*$N$2, 0)))</f>
        <v>146331.48000000001</v>
      </c>
      <c r="K3717" s="54">
        <f>Gastos[[#This Row],[Importe AR$]]/$N$1</f>
        <v>93.802230769230775</v>
      </c>
      <c r="M3717" s="69"/>
      <c r="N3717" s="43" t="str">
        <f>IF(Gastos[[#This Row],[Fecha_Cheque]]&gt;0,WEEKNUM(Gastos[[#This Row],[Fecha_Cheque]]),MID(Gastos[[#This Row],[Semana]],6,2))</f>
        <v>43</v>
      </c>
      <c r="O3717" t="s">
        <v>4650</v>
      </c>
      <c r="P3717" t="s">
        <v>27</v>
      </c>
    </row>
    <row r="3718" spans="1:16" hidden="1" x14ac:dyDescent="0.25">
      <c r="A3718" s="3" t="s">
        <v>188</v>
      </c>
      <c r="B3718" t="s">
        <v>2106</v>
      </c>
      <c r="C3718" t="s">
        <v>855</v>
      </c>
      <c r="D3718" t="s">
        <v>26</v>
      </c>
      <c r="E3718" t="s">
        <v>31</v>
      </c>
      <c r="F3718">
        <v>1</v>
      </c>
      <c r="G3718" s="3" t="s">
        <v>32</v>
      </c>
      <c r="H3718" s="46" t="s">
        <v>15</v>
      </c>
      <c r="I3718" s="17">
        <v>16902599.600000001</v>
      </c>
      <c r="J3718" s="17">
        <f>IF(Gastos[[#This Row],[Divisa]]="$", I3718*1, IF(Gastos[[#This Row],[Divisa]]="U$D", I3718*$N$1, IF(Gastos[[#This Row],[Divisa]]="EUR", I3718*$N$2, 0)))</f>
        <v>16902599.600000001</v>
      </c>
      <c r="K3718" s="54">
        <f>Gastos[[#This Row],[Importe AR$]]/$N$1</f>
        <v>10834.999743589744</v>
      </c>
      <c r="M3718" s="69"/>
      <c r="N3718" s="43" t="str">
        <f>IF(Gastos[[#This Row],[Fecha_Cheque]]&gt;0,WEEKNUM(Gastos[[#This Row],[Fecha_Cheque]]),MID(Gastos[[#This Row],[Semana]],6,2))</f>
        <v>19</v>
      </c>
      <c r="O3718" t="s">
        <v>27</v>
      </c>
      <c r="P3718" t="s">
        <v>27</v>
      </c>
    </row>
    <row r="3719" spans="1:16" hidden="1" x14ac:dyDescent="0.25">
      <c r="A3719" s="3" t="s">
        <v>719</v>
      </c>
      <c r="B3719" t="s">
        <v>2106</v>
      </c>
      <c r="C3719" t="s">
        <v>2107</v>
      </c>
      <c r="D3719" t="s">
        <v>26</v>
      </c>
      <c r="E3719" t="s">
        <v>31</v>
      </c>
      <c r="F3719">
        <v>1</v>
      </c>
      <c r="G3719" s="3" t="s">
        <v>32</v>
      </c>
      <c r="H3719" s="46" t="s">
        <v>15</v>
      </c>
      <c r="I3719" s="17">
        <v>122571.92</v>
      </c>
      <c r="J3719" s="17">
        <f>IF(Gastos[[#This Row],[Divisa]]="$", I3719*1, IF(Gastos[[#This Row],[Divisa]]="U$D", I3719*$N$1, IF(Gastos[[#This Row],[Divisa]]="EUR", I3719*$N$2, 0)))</f>
        <v>122571.92</v>
      </c>
      <c r="K3719" s="54">
        <f>Gastos[[#This Row],[Importe AR$]]/$N$1</f>
        <v>78.571743589743591</v>
      </c>
      <c r="L3719" t="s">
        <v>215</v>
      </c>
      <c r="M3719" s="69"/>
      <c r="N3719" s="43" t="str">
        <f>IF(Gastos[[#This Row],[Fecha_Cheque]]&gt;0,WEEKNUM(Gastos[[#This Row],[Fecha_Cheque]]),MID(Gastos[[#This Row],[Semana]],6,2))</f>
        <v>20</v>
      </c>
      <c r="O3719" t="s">
        <v>2108</v>
      </c>
      <c r="P3719" t="s">
        <v>27</v>
      </c>
    </row>
    <row r="3720" spans="1:16" hidden="1" x14ac:dyDescent="0.25">
      <c r="A3720" s="3" t="s">
        <v>253</v>
      </c>
      <c r="B3720" t="s">
        <v>2106</v>
      </c>
      <c r="C3720" t="s">
        <v>2109</v>
      </c>
      <c r="D3720" t="s">
        <v>26</v>
      </c>
      <c r="E3720" t="s">
        <v>31</v>
      </c>
      <c r="F3720">
        <v>1</v>
      </c>
      <c r="G3720" s="3" t="s">
        <v>32</v>
      </c>
      <c r="H3720" s="46" t="s">
        <v>15</v>
      </c>
      <c r="I3720" s="17">
        <v>347558.77</v>
      </c>
      <c r="J3720" s="17">
        <f>IF(Gastos[[#This Row],[Divisa]]="$", I3720*1, IF(Gastos[[#This Row],[Divisa]]="U$D", I3720*$N$1, IF(Gastos[[#This Row],[Divisa]]="EUR", I3720*$N$2, 0)))</f>
        <v>347558.77</v>
      </c>
      <c r="K3720" s="54">
        <f>Gastos[[#This Row],[Importe AR$]]/$N$1</f>
        <v>222.79408333333333</v>
      </c>
      <c r="L3720" t="s">
        <v>215</v>
      </c>
      <c r="M3720" s="69">
        <v>45848</v>
      </c>
      <c r="N3720" s="43">
        <f>IF(Gastos[[#This Row],[Fecha_Cheque]]&gt;0,WEEKNUM(Gastos[[#This Row],[Fecha_Cheque]]),MID(Gastos[[#This Row],[Semana]],6,2))</f>
        <v>28</v>
      </c>
      <c r="O3720" t="s">
        <v>2110</v>
      </c>
      <c r="P3720" t="s">
        <v>27</v>
      </c>
    </row>
    <row r="3721" spans="1:16" hidden="1" x14ac:dyDescent="0.25">
      <c r="A3721" s="3" t="s">
        <v>253</v>
      </c>
      <c r="B3721" t="s">
        <v>2106</v>
      </c>
      <c r="C3721" t="s">
        <v>2111</v>
      </c>
      <c r="D3721" t="s">
        <v>26</v>
      </c>
      <c r="E3721" t="s">
        <v>31</v>
      </c>
      <c r="F3721">
        <v>1</v>
      </c>
      <c r="G3721" s="3" t="s">
        <v>32</v>
      </c>
      <c r="H3721" s="46" t="s">
        <v>15</v>
      </c>
      <c r="I3721" s="17">
        <v>387802.79</v>
      </c>
      <c r="J3721" s="17">
        <f>IF(Gastos[[#This Row],[Divisa]]="$", I3721*1, IF(Gastos[[#This Row],[Divisa]]="U$D", I3721*$N$1, IF(Gastos[[#This Row],[Divisa]]="EUR", I3721*$N$2, 0)))</f>
        <v>387802.79</v>
      </c>
      <c r="K3721" s="54">
        <f>Gastos[[#This Row],[Importe AR$]]/$N$1</f>
        <v>248.59153205128203</v>
      </c>
      <c r="L3721" t="s">
        <v>215</v>
      </c>
      <c r="M3721" s="69">
        <v>45850</v>
      </c>
      <c r="N3721" s="43">
        <f>IF(Gastos[[#This Row],[Fecha_Cheque]]&gt;0,WEEKNUM(Gastos[[#This Row],[Fecha_Cheque]]),MID(Gastos[[#This Row],[Semana]],6,2))</f>
        <v>28</v>
      </c>
      <c r="O3721" t="s">
        <v>2112</v>
      </c>
      <c r="P3721" t="s">
        <v>27</v>
      </c>
    </row>
    <row r="3722" spans="1:16" hidden="1" x14ac:dyDescent="0.25">
      <c r="A3722" s="3" t="s">
        <v>105</v>
      </c>
      <c r="B3722" t="s">
        <v>2106</v>
      </c>
      <c r="C3722" t="s">
        <v>2113</v>
      </c>
      <c r="D3722" t="s">
        <v>26</v>
      </c>
      <c r="E3722" t="s">
        <v>31</v>
      </c>
      <c r="F3722">
        <v>1</v>
      </c>
      <c r="G3722" s="3" t="s">
        <v>2114</v>
      </c>
      <c r="H3722" s="46" t="s">
        <v>15</v>
      </c>
      <c r="I3722" s="17">
        <v>1817270.7</v>
      </c>
      <c r="J3722" s="17">
        <f>IF(Gastos[[#This Row],[Divisa]]="$", I3722*1, IF(Gastos[[#This Row],[Divisa]]="U$D", I3722*$N$1, IF(Gastos[[#This Row],[Divisa]]="EUR", I3722*$N$2, 0)))</f>
        <v>1817270.7</v>
      </c>
      <c r="K3722" s="54">
        <f>Gastos[[#This Row],[Importe AR$]]/$N$1</f>
        <v>1164.9171153846153</v>
      </c>
      <c r="L3722" t="s">
        <v>299</v>
      </c>
      <c r="M3722" s="69">
        <v>45908</v>
      </c>
      <c r="N3722" s="43">
        <f>IF(Gastos[[#This Row],[Fecha_Cheque]]&gt;0,WEEKNUM(Gastos[[#This Row],[Fecha_Cheque]]),MID(Gastos[[#This Row],[Semana]],6,2))</f>
        <v>37</v>
      </c>
      <c r="O3722" t="s">
        <v>2115</v>
      </c>
      <c r="P3722" t="s">
        <v>27</v>
      </c>
    </row>
    <row r="3723" spans="1:16" hidden="1" x14ac:dyDescent="0.25">
      <c r="A3723" s="3" t="s">
        <v>105</v>
      </c>
      <c r="B3723" t="s">
        <v>2106</v>
      </c>
      <c r="C3723" t="s">
        <v>2116</v>
      </c>
      <c r="D3723" t="s">
        <v>26</v>
      </c>
      <c r="E3723" t="s">
        <v>31</v>
      </c>
      <c r="F3723">
        <v>1</v>
      </c>
      <c r="G3723" s="3" t="s">
        <v>2114</v>
      </c>
      <c r="H3723" s="46" t="s">
        <v>15</v>
      </c>
      <c r="I3723" s="17">
        <v>96225.77</v>
      </c>
      <c r="J3723" s="17">
        <f>IF(Gastos[[#This Row],[Divisa]]="$", I3723*1, IF(Gastos[[#This Row],[Divisa]]="U$D", I3723*$N$1, IF(Gastos[[#This Row],[Divisa]]="EUR", I3723*$N$2, 0)))</f>
        <v>96225.77</v>
      </c>
      <c r="K3723" s="54">
        <f>Gastos[[#This Row],[Importe AR$]]/$N$1</f>
        <v>61.683185897435898</v>
      </c>
      <c r="L3723" t="s">
        <v>299</v>
      </c>
      <c r="M3723" s="69">
        <v>45915</v>
      </c>
      <c r="N3723" s="43">
        <f>IF(Gastos[[#This Row],[Fecha_Cheque]]&gt;0,WEEKNUM(Gastos[[#This Row],[Fecha_Cheque]]),MID(Gastos[[#This Row],[Semana]],6,2))</f>
        <v>38</v>
      </c>
      <c r="O3723" t="s">
        <v>2117</v>
      </c>
      <c r="P3723" t="s">
        <v>27</v>
      </c>
    </row>
    <row r="3724" spans="1:16" hidden="1" x14ac:dyDescent="0.25">
      <c r="A3724" s="3" t="s">
        <v>217</v>
      </c>
      <c r="B3724" t="s">
        <v>2106</v>
      </c>
      <c r="C3724" t="s">
        <v>2118</v>
      </c>
      <c r="D3724" t="s">
        <v>26</v>
      </c>
      <c r="E3724" t="s">
        <v>31</v>
      </c>
      <c r="F3724">
        <v>1</v>
      </c>
      <c r="G3724" s="3" t="s">
        <v>32</v>
      </c>
      <c r="H3724" s="46" t="s">
        <v>15</v>
      </c>
      <c r="I3724" s="17">
        <v>199814.95</v>
      </c>
      <c r="J3724" s="17">
        <f>IF(Gastos[[#This Row],[Divisa]]="$", I3724*1, IF(Gastos[[#This Row],[Divisa]]="U$D", I3724*$N$1, IF(Gastos[[#This Row],[Divisa]]="EUR", I3724*$N$2, 0)))</f>
        <v>199814.95</v>
      </c>
      <c r="K3724" s="54">
        <f>Gastos[[#This Row],[Importe AR$]]/$N$1</f>
        <v>128.08650641025642</v>
      </c>
      <c r="L3724" t="s">
        <v>215</v>
      </c>
      <c r="M3724" s="69">
        <v>45892</v>
      </c>
      <c r="N3724" s="43">
        <f>IF(Gastos[[#This Row],[Fecha_Cheque]]&gt;0,WEEKNUM(Gastos[[#This Row],[Fecha_Cheque]]),MID(Gastos[[#This Row],[Semana]],6,2))</f>
        <v>34</v>
      </c>
      <c r="O3724" t="s">
        <v>2119</v>
      </c>
      <c r="P3724" t="s">
        <v>27</v>
      </c>
    </row>
    <row r="3725" spans="1:16" hidden="1" x14ac:dyDescent="0.25">
      <c r="A3725" s="3" t="s">
        <v>210</v>
      </c>
      <c r="B3725" t="s">
        <v>2106</v>
      </c>
      <c r="C3725" t="s">
        <v>2120</v>
      </c>
      <c r="D3725" t="s">
        <v>26</v>
      </c>
      <c r="E3725" t="s">
        <v>31</v>
      </c>
      <c r="F3725">
        <v>1</v>
      </c>
      <c r="G3725" s="3" t="s">
        <v>32</v>
      </c>
      <c r="H3725" s="46" t="s">
        <v>15</v>
      </c>
      <c r="I3725" s="17">
        <v>1252759.68</v>
      </c>
      <c r="J3725" s="17">
        <f>IF(Gastos[[#This Row],[Divisa]]="$", I3725*1, IF(Gastos[[#This Row],[Divisa]]="U$D", I3725*$N$1, IF(Gastos[[#This Row],[Divisa]]="EUR", I3725*$N$2, 0)))</f>
        <v>1252759.68</v>
      </c>
      <c r="K3725" s="54">
        <f>Gastos[[#This Row],[Importe AR$]]/$N$1</f>
        <v>803.05107692307683</v>
      </c>
      <c r="M3725" s="69">
        <v>45941</v>
      </c>
      <c r="N3725" s="43">
        <f>IF(Gastos[[#This Row],[Fecha_Cheque]]&gt;0,WEEKNUM(Gastos[[#This Row],[Fecha_Cheque]]),MID(Gastos[[#This Row],[Semana]],6,2))</f>
        <v>41</v>
      </c>
      <c r="O3725" t="s">
        <v>2121</v>
      </c>
      <c r="P3725" t="s">
        <v>27</v>
      </c>
    </row>
    <row r="3726" spans="1:16" hidden="1" x14ac:dyDescent="0.25">
      <c r="A3726" s="3" t="s">
        <v>210</v>
      </c>
      <c r="B3726" t="s">
        <v>2106</v>
      </c>
      <c r="C3726" t="s">
        <v>2120</v>
      </c>
      <c r="D3726" t="s">
        <v>26</v>
      </c>
      <c r="E3726" t="s">
        <v>31</v>
      </c>
      <c r="F3726">
        <v>1</v>
      </c>
      <c r="G3726" s="3" t="s">
        <v>32</v>
      </c>
      <c r="H3726" s="46" t="s">
        <v>15</v>
      </c>
      <c r="I3726" s="17">
        <v>1252759.68</v>
      </c>
      <c r="J3726" s="17">
        <f>IF(Gastos[[#This Row],[Divisa]]="$", I3726*1, IF(Gastos[[#This Row],[Divisa]]="U$D", I3726*$N$1, IF(Gastos[[#This Row],[Divisa]]="EUR", I3726*$N$2, 0)))</f>
        <v>1252759.68</v>
      </c>
      <c r="K3726" s="54">
        <f>Gastos[[#This Row],[Importe AR$]]/$N$1</f>
        <v>803.05107692307683</v>
      </c>
      <c r="M3726" s="69">
        <v>45972</v>
      </c>
      <c r="N3726" s="43">
        <f>IF(Gastos[[#This Row],[Fecha_Cheque]]&gt;0,WEEKNUM(Gastos[[#This Row],[Fecha_Cheque]]),MID(Gastos[[#This Row],[Semana]],6,2))</f>
        <v>46</v>
      </c>
      <c r="O3726" t="s">
        <v>2121</v>
      </c>
      <c r="P3726" t="s">
        <v>27</v>
      </c>
    </row>
    <row r="3727" spans="1:16" hidden="1" x14ac:dyDescent="0.25">
      <c r="A3727" s="3" t="s">
        <v>72</v>
      </c>
      <c r="B3727" t="s">
        <v>2106</v>
      </c>
      <c r="C3727" t="s">
        <v>2122</v>
      </c>
      <c r="D3727" t="s">
        <v>26</v>
      </c>
      <c r="E3727" t="s">
        <v>31</v>
      </c>
      <c r="F3727">
        <v>1</v>
      </c>
      <c r="G3727" s="3" t="s">
        <v>32</v>
      </c>
      <c r="H3727" s="46" t="s">
        <v>15</v>
      </c>
      <c r="I3727" s="17">
        <v>1831795.48</v>
      </c>
      <c r="J3727" s="17">
        <f>IF(Gastos[[#This Row],[Divisa]]="$", I3727*1, IF(Gastos[[#This Row],[Divisa]]="U$D", I3727*$N$1, IF(Gastos[[#This Row],[Divisa]]="EUR", I3727*$N$2, 0)))</f>
        <v>1831795.48</v>
      </c>
      <c r="K3727" s="54">
        <f>Gastos[[#This Row],[Importe AR$]]/$N$1</f>
        <v>1174.2278717948718</v>
      </c>
      <c r="M3727" s="69">
        <v>46011</v>
      </c>
      <c r="N3727" s="43">
        <f>IF(Gastos[[#This Row],[Fecha_Cheque]]&gt;0,WEEKNUM(Gastos[[#This Row],[Fecha_Cheque]]),MID(Gastos[[#This Row],[Semana]],6,2))</f>
        <v>51</v>
      </c>
      <c r="O3727" t="s">
        <v>2123</v>
      </c>
      <c r="P3727" t="s">
        <v>27</v>
      </c>
    </row>
    <row r="3728" spans="1:16" hidden="1" x14ac:dyDescent="0.25">
      <c r="A3728" s="3" t="s">
        <v>332</v>
      </c>
      <c r="B3728" t="s">
        <v>2106</v>
      </c>
      <c r="C3728" t="s">
        <v>2724</v>
      </c>
      <c r="D3728" t="s">
        <v>26</v>
      </c>
      <c r="E3728" t="s">
        <v>31</v>
      </c>
      <c r="F3728">
        <v>1</v>
      </c>
      <c r="G3728" s="3" t="s">
        <v>32</v>
      </c>
      <c r="H3728" s="44" t="s">
        <v>15</v>
      </c>
      <c r="I3728" s="17">
        <v>445024.69</v>
      </c>
      <c r="J3728" s="17">
        <f>IF(Gastos[[#This Row],[Divisa]]="$", I3728*1, IF(Gastos[[#This Row],[Divisa]]="U$D", I3728*$N$1, IF(Gastos[[#This Row],[Divisa]]="EUR", I3728*$N$2, 0)))</f>
        <v>445024.69</v>
      </c>
      <c r="K3728" s="54">
        <f>Gastos[[#This Row],[Importe AR$]]/$N$1</f>
        <v>285.27223717948721</v>
      </c>
      <c r="M3728" s="69">
        <v>46132</v>
      </c>
      <c r="N3728" s="43">
        <f>IF(Gastos[[#This Row],[Fecha_Cheque]]&gt;0,WEEKNUM(Gastos[[#This Row],[Fecha_Cheque]]),MID(Gastos[[#This Row],[Semana]],6,2))</f>
        <v>17</v>
      </c>
      <c r="O3728" t="s">
        <v>2725</v>
      </c>
      <c r="P3728" t="s">
        <v>27</v>
      </c>
    </row>
    <row r="3729" spans="1:16" hidden="1" x14ac:dyDescent="0.25">
      <c r="A3729" s="3" t="s">
        <v>332</v>
      </c>
      <c r="B3729" t="s">
        <v>2106</v>
      </c>
      <c r="C3729" t="s">
        <v>2724</v>
      </c>
      <c r="D3729" t="s">
        <v>26</v>
      </c>
      <c r="E3729" t="s">
        <v>31</v>
      </c>
      <c r="F3729">
        <v>1</v>
      </c>
      <c r="G3729" s="3" t="s">
        <v>32</v>
      </c>
      <c r="H3729" s="44" t="s">
        <v>15</v>
      </c>
      <c r="I3729" s="17">
        <v>2924.11</v>
      </c>
      <c r="J3729" s="17">
        <f>IF(Gastos[[#This Row],[Divisa]]="$", I3729*1, IF(Gastos[[#This Row],[Divisa]]="U$D", I3729*$N$1, IF(Gastos[[#This Row],[Divisa]]="EUR", I3729*$N$2, 0)))</f>
        <v>2924.11</v>
      </c>
      <c r="K3729" s="54">
        <f>Gastos[[#This Row],[Importe AR$]]/$N$1</f>
        <v>1.8744294871794873</v>
      </c>
      <c r="M3729" s="69"/>
      <c r="N3729" s="43" t="str">
        <f>IF(Gastos[[#This Row],[Fecha_Cheque]]&gt;0,WEEKNUM(Gastos[[#This Row],[Fecha_Cheque]]),MID(Gastos[[#This Row],[Semana]],6,2))</f>
        <v>12</v>
      </c>
      <c r="O3729" t="s">
        <v>2725</v>
      </c>
      <c r="P3729" t="s">
        <v>27</v>
      </c>
    </row>
    <row r="3730" spans="1:16" hidden="1" x14ac:dyDescent="0.25">
      <c r="A3730" s="3" t="s">
        <v>2773</v>
      </c>
      <c r="B3730" t="s">
        <v>2106</v>
      </c>
      <c r="C3730" t="s">
        <v>3224</v>
      </c>
      <c r="D3730" t="s">
        <v>26</v>
      </c>
      <c r="E3730" t="s">
        <v>31</v>
      </c>
      <c r="F3730">
        <v>1</v>
      </c>
      <c r="G3730" s="3" t="s">
        <v>32</v>
      </c>
      <c r="H3730" s="44" t="s">
        <v>15</v>
      </c>
      <c r="I3730" s="17">
        <v>910515.62</v>
      </c>
      <c r="J3730" s="17">
        <f>IF(Gastos[[#This Row],[Divisa]]="$", I3730*1, IF(Gastos[[#This Row],[Divisa]]="U$D", I3730*$N$1, IF(Gastos[[#This Row],[Divisa]]="EUR", I3730*$N$2, 0)))</f>
        <v>910515.62</v>
      </c>
      <c r="K3730" s="54">
        <f>Gastos[[#This Row],[Importe AR$]]/$N$1</f>
        <v>583.66385897435896</v>
      </c>
      <c r="M3730" s="69">
        <v>46185</v>
      </c>
      <c r="N3730" s="43">
        <f>IF(Gastos[[#This Row],[Fecha_Cheque]]&gt;0,WEEKNUM(Gastos[[#This Row],[Fecha_Cheque]]),MID(Gastos[[#This Row],[Semana]],6,2))</f>
        <v>24</v>
      </c>
      <c r="O3730" t="s">
        <v>3225</v>
      </c>
      <c r="P3730" t="s">
        <v>27</v>
      </c>
    </row>
    <row r="3731" spans="1:16" hidden="1" x14ac:dyDescent="0.25">
      <c r="A3731" s="3" t="s">
        <v>2773</v>
      </c>
      <c r="B3731" t="s">
        <v>2106</v>
      </c>
      <c r="C3731" t="s">
        <v>3224</v>
      </c>
      <c r="D3731" t="s">
        <v>26</v>
      </c>
      <c r="E3731" t="s">
        <v>31</v>
      </c>
      <c r="F3731">
        <v>1</v>
      </c>
      <c r="G3731" s="3" t="s">
        <v>32</v>
      </c>
      <c r="H3731" s="44" t="s">
        <v>15</v>
      </c>
      <c r="I3731" s="17">
        <v>10747.49</v>
      </c>
      <c r="J3731" s="17">
        <f>IF(Gastos[[#This Row],[Divisa]]="$", I3731*1, IF(Gastos[[#This Row],[Divisa]]="U$D", I3731*$N$1, IF(Gastos[[#This Row],[Divisa]]="EUR", I3731*$N$2, 0)))</f>
        <v>10747.49</v>
      </c>
      <c r="K3731" s="54">
        <f>Gastos[[#This Row],[Importe AR$]]/$N$1</f>
        <v>6.8894166666666665</v>
      </c>
      <c r="L3731" t="s">
        <v>340</v>
      </c>
      <c r="M3731" s="69"/>
      <c r="N3731" s="43" t="str">
        <f>IF(Gastos[[#This Row],[Fecha_Cheque]]&gt;0,WEEKNUM(Gastos[[#This Row],[Fecha_Cheque]]),MID(Gastos[[#This Row],[Semana]],6,2))</f>
        <v>20</v>
      </c>
      <c r="O3731" t="s">
        <v>3225</v>
      </c>
      <c r="P3731" t="s">
        <v>27</v>
      </c>
    </row>
    <row r="3732" spans="1:16" hidden="1" x14ac:dyDescent="0.25">
      <c r="A3732" s="3" t="s">
        <v>2841</v>
      </c>
      <c r="B3732" t="s">
        <v>2106</v>
      </c>
      <c r="C3732" t="s">
        <v>3314</v>
      </c>
      <c r="D3732" t="s">
        <v>26</v>
      </c>
      <c r="E3732" t="s">
        <v>31</v>
      </c>
      <c r="F3732">
        <v>1</v>
      </c>
      <c r="G3732" s="3" t="s">
        <v>32</v>
      </c>
      <c r="H3732" s="44" t="s">
        <v>15</v>
      </c>
      <c r="I3732" s="17">
        <v>1437716.75</v>
      </c>
      <c r="J3732" s="17">
        <f>IF(Gastos[[#This Row],[Divisa]]="$", I3732*1, IF(Gastos[[#This Row],[Divisa]]="U$D", I3732*$N$1, IF(Gastos[[#This Row],[Divisa]]="EUR", I3732*$N$2, 0)))</f>
        <v>1437716.75</v>
      </c>
      <c r="K3732" s="54">
        <f>Gastos[[#This Row],[Importe AR$]]/$N$1</f>
        <v>921.61330128205134</v>
      </c>
      <c r="M3732" s="69">
        <v>46201</v>
      </c>
      <c r="N3732" s="43">
        <f>IF(Gastos[[#This Row],[Fecha_Cheque]]&gt;0,WEEKNUM(Gastos[[#This Row],[Fecha_Cheque]]),MID(Gastos[[#This Row],[Semana]],6,2))</f>
        <v>27</v>
      </c>
      <c r="O3732" t="s">
        <v>3315</v>
      </c>
      <c r="P3732" t="s">
        <v>27</v>
      </c>
    </row>
    <row r="3733" spans="1:16" hidden="1" x14ac:dyDescent="0.25">
      <c r="A3733" s="3" t="s">
        <v>2841</v>
      </c>
      <c r="B3733" t="s">
        <v>2106</v>
      </c>
      <c r="C3733" t="s">
        <v>3314</v>
      </c>
      <c r="D3733" t="s">
        <v>26</v>
      </c>
      <c r="E3733" t="s">
        <v>31</v>
      </c>
      <c r="F3733">
        <v>1</v>
      </c>
      <c r="G3733" s="3" t="s">
        <v>32</v>
      </c>
      <c r="H3733" s="44" t="s">
        <v>15</v>
      </c>
      <c r="I3733" s="17">
        <v>24165.7</v>
      </c>
      <c r="J3733" s="17">
        <f>IF(Gastos[[#This Row],[Divisa]]="$", I3733*1, IF(Gastos[[#This Row],[Divisa]]="U$D", I3733*$N$1, IF(Gastos[[#This Row],[Divisa]]="EUR", I3733*$N$2, 0)))</f>
        <v>24165.7</v>
      </c>
      <c r="K3733" s="54">
        <f>Gastos[[#This Row],[Importe AR$]]/$N$1</f>
        <v>15.490833333333335</v>
      </c>
      <c r="L3733" t="s">
        <v>340</v>
      </c>
      <c r="M3733" s="69"/>
      <c r="N3733" s="43" t="str">
        <f>IF(Gastos[[#This Row],[Fecha_Cheque]]&gt;0,WEEKNUM(Gastos[[#This Row],[Fecha_Cheque]]),MID(Gastos[[#This Row],[Semana]],6,2))</f>
        <v>22</v>
      </c>
      <c r="O3733" t="s">
        <v>3315</v>
      </c>
      <c r="P3733" t="s">
        <v>27</v>
      </c>
    </row>
    <row r="3734" spans="1:16" hidden="1" x14ac:dyDescent="0.25">
      <c r="A3734" s="3" t="s">
        <v>3617</v>
      </c>
      <c r="B3734" t="s">
        <v>2106</v>
      </c>
      <c r="C3734" t="s">
        <v>3644</v>
      </c>
      <c r="D3734" t="s">
        <v>26</v>
      </c>
      <c r="E3734" t="s">
        <v>31</v>
      </c>
      <c r="F3734">
        <v>1</v>
      </c>
      <c r="G3734" s="3" t="s">
        <v>5</v>
      </c>
      <c r="H3734" s="44" t="s">
        <v>15</v>
      </c>
      <c r="I3734" s="17">
        <v>1437716.75</v>
      </c>
      <c r="J3734" s="17">
        <f>IF(Gastos[[#This Row],[Divisa]]="$", I3734*1, IF(Gastos[[#This Row],[Divisa]]="U$D", I3734*$N$1, IF(Gastos[[#This Row],[Divisa]]="EUR", I3734*$N$2, 0)))</f>
        <v>1437716.75</v>
      </c>
      <c r="K3734" s="54">
        <f>Gastos[[#This Row],[Importe AR$]]/$N$1</f>
        <v>921.61330128205134</v>
      </c>
      <c r="M3734" s="69"/>
      <c r="N3734" s="43" t="str">
        <f>IF(Gastos[[#This Row],[Fecha_Cheque]]&gt;0,WEEKNUM(Gastos[[#This Row],[Fecha_Cheque]]),MID(Gastos[[#This Row],[Semana]],6,2))</f>
        <v>27</v>
      </c>
      <c r="O3734" t="s">
        <v>3665</v>
      </c>
      <c r="P3734" t="s">
        <v>27</v>
      </c>
    </row>
    <row r="3735" spans="1:16" hidden="1" x14ac:dyDescent="0.25">
      <c r="A3735" s="3" t="s">
        <v>53</v>
      </c>
      <c r="B3735" t="s">
        <v>2124</v>
      </c>
      <c r="C3735" t="s">
        <v>2125</v>
      </c>
      <c r="D3735" t="s">
        <v>26</v>
      </c>
      <c r="E3735" t="s">
        <v>31</v>
      </c>
      <c r="F3735">
        <v>1</v>
      </c>
      <c r="G3735" s="3" t="s">
        <v>5</v>
      </c>
      <c r="H3735" s="46" t="s">
        <v>15</v>
      </c>
      <c r="I3735" s="17">
        <v>169998</v>
      </c>
      <c r="J3735" s="17">
        <f>IF(Gastos[[#This Row],[Divisa]]="$", I3735*1, IF(Gastos[[#This Row],[Divisa]]="U$D", I3735*$N$1, IF(Gastos[[#This Row],[Divisa]]="EUR", I3735*$N$2, 0)))</f>
        <v>169998</v>
      </c>
      <c r="K3735" s="54">
        <f>Gastos[[#This Row],[Importe AR$]]/$N$1</f>
        <v>108.97307692307692</v>
      </c>
      <c r="M3735" s="69"/>
      <c r="N3735" s="43" t="str">
        <f>IF(Gastos[[#This Row],[Fecha_Cheque]]&gt;0,WEEKNUM(Gastos[[#This Row],[Fecha_Cheque]]),MID(Gastos[[#This Row],[Semana]],6,2))</f>
        <v>34</v>
      </c>
      <c r="O3735" t="s">
        <v>2126</v>
      </c>
      <c r="P3735" t="s">
        <v>27</v>
      </c>
    </row>
    <row r="3736" spans="1:16" hidden="1" x14ac:dyDescent="0.25">
      <c r="A3736" s="3" t="s">
        <v>290</v>
      </c>
      <c r="B3736" t="s">
        <v>2127</v>
      </c>
      <c r="C3736" t="s">
        <v>2128</v>
      </c>
      <c r="D3736" t="s">
        <v>26</v>
      </c>
      <c r="E3736" t="s">
        <v>31</v>
      </c>
      <c r="F3736">
        <v>1</v>
      </c>
      <c r="G3736" s="3" t="s">
        <v>5</v>
      </c>
      <c r="H3736" s="46" t="s">
        <v>15</v>
      </c>
      <c r="I3736" s="17">
        <v>558000</v>
      </c>
      <c r="J3736" s="17">
        <f>IF(Gastos[[#This Row],[Divisa]]="$", I3736*1, IF(Gastos[[#This Row],[Divisa]]="U$D", I3736*$N$1, IF(Gastos[[#This Row],[Divisa]]="EUR", I3736*$N$2, 0)))</f>
        <v>558000</v>
      </c>
      <c r="K3736" s="54">
        <f>Gastos[[#This Row],[Importe AR$]]/$N$1</f>
        <v>357.69230769230768</v>
      </c>
      <c r="M3736" s="69"/>
      <c r="N3736" s="43" t="str">
        <f>IF(Gastos[[#This Row],[Fecha_Cheque]]&gt;0,WEEKNUM(Gastos[[#This Row],[Fecha_Cheque]]),MID(Gastos[[#This Row],[Semana]],6,2))</f>
        <v>23</v>
      </c>
      <c r="P3736" t="s">
        <v>27</v>
      </c>
    </row>
    <row r="3737" spans="1:16" hidden="1" x14ac:dyDescent="0.25">
      <c r="A3737" s="3" t="s">
        <v>3439</v>
      </c>
      <c r="B3737" t="s">
        <v>2127</v>
      </c>
      <c r="C3737" t="s">
        <v>3509</v>
      </c>
      <c r="D3737" t="s">
        <v>26</v>
      </c>
      <c r="E3737" t="s">
        <v>31</v>
      </c>
      <c r="F3737">
        <v>1</v>
      </c>
      <c r="G3737" s="3" t="s">
        <v>32</v>
      </c>
      <c r="H3737" s="44" t="s">
        <v>15</v>
      </c>
      <c r="I3737" s="17">
        <v>80000</v>
      </c>
      <c r="J3737" s="17">
        <f>IF(Gastos[[#This Row],[Divisa]]="$", I3737*1, IF(Gastos[[#This Row],[Divisa]]="U$D", I3737*$N$1, IF(Gastos[[#This Row],[Divisa]]="EUR", I3737*$N$2, 0)))</f>
        <v>80000</v>
      </c>
      <c r="K3737" s="54">
        <f>Gastos[[#This Row],[Importe AR$]]/$N$1</f>
        <v>51.282051282051285</v>
      </c>
      <c r="M3737" s="69">
        <v>46201</v>
      </c>
      <c r="N3737" s="43">
        <f>IF(Gastos[[#This Row],[Fecha_Cheque]]&gt;0,WEEKNUM(Gastos[[#This Row],[Fecha_Cheque]]),MID(Gastos[[#This Row],[Semana]],6,2))</f>
        <v>27</v>
      </c>
      <c r="O3737" t="s">
        <v>3510</v>
      </c>
      <c r="P3737" t="s">
        <v>27</v>
      </c>
    </row>
    <row r="3738" spans="1:16" hidden="1" x14ac:dyDescent="0.25">
      <c r="A3738" s="3" t="s">
        <v>305</v>
      </c>
      <c r="B3738" t="s">
        <v>2129</v>
      </c>
      <c r="C3738" t="s">
        <v>2130</v>
      </c>
      <c r="D3738" t="s">
        <v>26</v>
      </c>
      <c r="E3738" t="s">
        <v>42</v>
      </c>
      <c r="F3738">
        <v>1</v>
      </c>
      <c r="G3738" s="3" t="s">
        <v>4</v>
      </c>
      <c r="H3738" s="46" t="s">
        <v>15</v>
      </c>
      <c r="I3738" s="17">
        <v>25896</v>
      </c>
      <c r="J3738" s="17">
        <f>IF(Gastos[[#This Row],[Divisa]]="$", I3738*1, IF(Gastos[[#This Row],[Divisa]]="U$D", I3738*$N$1, IF(Gastos[[#This Row],[Divisa]]="EUR", I3738*$N$2, 0)))</f>
        <v>25896</v>
      </c>
      <c r="K3738" s="54">
        <f>Gastos[[#This Row],[Importe AR$]]/$N$1</f>
        <v>16.600000000000001</v>
      </c>
      <c r="M3738" s="69"/>
      <c r="N3738" s="43" t="str">
        <f>IF(Gastos[[#This Row],[Fecha_Cheque]]&gt;0,WEEKNUM(Gastos[[#This Row],[Fecha_Cheque]]),MID(Gastos[[#This Row],[Semana]],6,2))</f>
        <v>31</v>
      </c>
      <c r="P3738" t="s">
        <v>27</v>
      </c>
    </row>
    <row r="3739" spans="1:16" hidden="1" x14ac:dyDescent="0.25">
      <c r="A3739" s="3" t="s">
        <v>89</v>
      </c>
      <c r="B3739" t="s">
        <v>2131</v>
      </c>
      <c r="C3739" t="s">
        <v>2132</v>
      </c>
      <c r="D3739" t="s">
        <v>26</v>
      </c>
      <c r="E3739" t="s">
        <v>31</v>
      </c>
      <c r="F3739">
        <v>1</v>
      </c>
      <c r="G3739" s="3" t="s">
        <v>5</v>
      </c>
      <c r="H3739" s="46" t="s">
        <v>15</v>
      </c>
      <c r="I3739" s="17">
        <v>417843.4</v>
      </c>
      <c r="J3739" s="17">
        <f>IF(Gastos[[#This Row],[Divisa]]="$", I3739*1, IF(Gastos[[#This Row],[Divisa]]="U$D", I3739*$N$1, IF(Gastos[[#This Row],[Divisa]]="EUR", I3739*$N$2, 0)))</f>
        <v>417843.4</v>
      </c>
      <c r="K3739" s="54">
        <f>Gastos[[#This Row],[Importe AR$]]/$N$1</f>
        <v>267.84833333333336</v>
      </c>
      <c r="M3739" s="69"/>
      <c r="N3739" s="43" t="str">
        <f>IF(Gastos[[#This Row],[Fecha_Cheque]]&gt;0,WEEKNUM(Gastos[[#This Row],[Fecha_Cheque]]),MID(Gastos[[#This Row],[Semana]],6,2))</f>
        <v>39</v>
      </c>
      <c r="O3739" t="s">
        <v>2133</v>
      </c>
      <c r="P3739" t="s">
        <v>27</v>
      </c>
    </row>
    <row r="3740" spans="1:16" hidden="1" x14ac:dyDescent="0.25">
      <c r="A3740" s="3" t="s">
        <v>117</v>
      </c>
      <c r="B3740" t="s">
        <v>2134</v>
      </c>
      <c r="C3740" t="s">
        <v>2135</v>
      </c>
      <c r="D3740" t="s">
        <v>26</v>
      </c>
      <c r="E3740" t="s">
        <v>31</v>
      </c>
      <c r="F3740">
        <v>1</v>
      </c>
      <c r="G3740" s="3" t="s">
        <v>32</v>
      </c>
      <c r="H3740" s="46" t="s">
        <v>15</v>
      </c>
      <c r="I3740" s="17">
        <v>548235.71</v>
      </c>
      <c r="J3740" s="17">
        <f>IF(Gastos[[#This Row],[Divisa]]="$", I3740*1, IF(Gastos[[#This Row],[Divisa]]="U$D", I3740*$N$1, IF(Gastos[[#This Row],[Divisa]]="EUR", I3740*$N$2, 0)))</f>
        <v>548235.71</v>
      </c>
      <c r="K3740" s="54">
        <f>Gastos[[#This Row],[Importe AR$]]/$N$1</f>
        <v>351.43314743589741</v>
      </c>
      <c r="M3740" s="69">
        <v>45926</v>
      </c>
      <c r="N3740" s="43">
        <f>IF(Gastos[[#This Row],[Fecha_Cheque]]&gt;0,WEEKNUM(Gastos[[#This Row],[Fecha_Cheque]]),MID(Gastos[[#This Row],[Semana]],6,2))</f>
        <v>39</v>
      </c>
      <c r="O3740" t="s">
        <v>2136</v>
      </c>
      <c r="P3740" t="s">
        <v>27</v>
      </c>
    </row>
    <row r="3741" spans="1:16" hidden="1" x14ac:dyDescent="0.25">
      <c r="A3741" s="3" t="s">
        <v>79</v>
      </c>
      <c r="B3741" t="s">
        <v>2134</v>
      </c>
      <c r="C3741" t="s">
        <v>2137</v>
      </c>
      <c r="D3741" t="s">
        <v>26</v>
      </c>
      <c r="E3741" t="s">
        <v>31</v>
      </c>
      <c r="F3741">
        <v>1</v>
      </c>
      <c r="G3741" s="3" t="s">
        <v>32</v>
      </c>
      <c r="H3741" s="46" t="s">
        <v>15</v>
      </c>
      <c r="I3741" s="17">
        <v>809947.77</v>
      </c>
      <c r="J3741" s="17">
        <f>IF(Gastos[[#This Row],[Divisa]]="$", I3741*1, IF(Gastos[[#This Row],[Divisa]]="U$D", I3741*$N$1, IF(Gastos[[#This Row],[Divisa]]="EUR", I3741*$N$2, 0)))</f>
        <v>809947.77</v>
      </c>
      <c r="K3741" s="54">
        <f>Gastos[[#This Row],[Importe AR$]]/$N$1</f>
        <v>519.19728846153851</v>
      </c>
      <c r="M3741" s="69">
        <v>46008</v>
      </c>
      <c r="N3741" s="43">
        <f>IF(Gastos[[#This Row],[Fecha_Cheque]]&gt;0,WEEKNUM(Gastos[[#This Row],[Fecha_Cheque]]),MID(Gastos[[#This Row],[Semana]],6,2))</f>
        <v>51</v>
      </c>
      <c r="O3741" t="s">
        <v>2138</v>
      </c>
      <c r="P3741" t="s">
        <v>27</v>
      </c>
    </row>
    <row r="3742" spans="1:16" hidden="1" x14ac:dyDescent="0.25">
      <c r="A3742" s="3" t="s">
        <v>397</v>
      </c>
      <c r="B3742" t="s">
        <v>2134</v>
      </c>
      <c r="C3742" t="s">
        <v>2707</v>
      </c>
      <c r="D3742" t="s">
        <v>26</v>
      </c>
      <c r="E3742" t="s">
        <v>31</v>
      </c>
      <c r="F3742">
        <v>1</v>
      </c>
      <c r="G3742" s="3" t="s">
        <v>32</v>
      </c>
      <c r="H3742" s="44" t="s">
        <v>15</v>
      </c>
      <c r="I3742" s="17">
        <v>169743.8</v>
      </c>
      <c r="J3742" s="17">
        <f>IF(Gastos[[#This Row],[Divisa]]="$", I3742*1, IF(Gastos[[#This Row],[Divisa]]="U$D", I3742*$N$1, IF(Gastos[[#This Row],[Divisa]]="EUR", I3742*$N$2, 0)))</f>
        <v>169743.8</v>
      </c>
      <c r="K3742" s="54">
        <f>Gastos[[#This Row],[Importe AR$]]/$N$1</f>
        <v>108.81012820512819</v>
      </c>
      <c r="M3742" s="69">
        <v>46124</v>
      </c>
      <c r="N3742" s="43">
        <f>IF(Gastos[[#This Row],[Fecha_Cheque]]&gt;0,WEEKNUM(Gastos[[#This Row],[Fecha_Cheque]]),MID(Gastos[[#This Row],[Semana]],6,2))</f>
        <v>16</v>
      </c>
      <c r="O3742" t="s">
        <v>2708</v>
      </c>
      <c r="P3742" t="s">
        <v>27</v>
      </c>
    </row>
    <row r="3743" spans="1:16" hidden="1" x14ac:dyDescent="0.25">
      <c r="A3743" s="3" t="s">
        <v>2740</v>
      </c>
      <c r="B3743" t="s">
        <v>2134</v>
      </c>
      <c r="C3743" t="s">
        <v>3043</v>
      </c>
      <c r="D3743" t="s">
        <v>26</v>
      </c>
      <c r="E3743" t="s">
        <v>31</v>
      </c>
      <c r="F3743">
        <v>1</v>
      </c>
      <c r="G3743" s="3" t="s">
        <v>32</v>
      </c>
      <c r="H3743" s="44" t="s">
        <v>15</v>
      </c>
      <c r="I3743" s="17">
        <v>213461.28</v>
      </c>
      <c r="J3743" s="17">
        <f>IF(Gastos[[#This Row],[Divisa]]="$", I3743*1, IF(Gastos[[#This Row],[Divisa]]="U$D", I3743*$N$1, IF(Gastos[[#This Row],[Divisa]]="EUR", I3743*$N$2, 0)))</f>
        <v>213461.28</v>
      </c>
      <c r="K3743" s="54">
        <f>Gastos[[#This Row],[Importe AR$]]/$N$1</f>
        <v>136.83415384615384</v>
      </c>
      <c r="M3743" s="69">
        <v>46155</v>
      </c>
      <c r="N3743" s="43">
        <f>IF(Gastos[[#This Row],[Fecha_Cheque]]&gt;0,WEEKNUM(Gastos[[#This Row],[Fecha_Cheque]]),MID(Gastos[[#This Row],[Semana]],6,2))</f>
        <v>20</v>
      </c>
      <c r="O3743" t="s">
        <v>3044</v>
      </c>
      <c r="P3743" t="s">
        <v>27</v>
      </c>
    </row>
    <row r="3744" spans="1:16" hidden="1" x14ac:dyDescent="0.25">
      <c r="A3744" s="3" t="s">
        <v>2763</v>
      </c>
      <c r="B3744" t="s">
        <v>2134</v>
      </c>
      <c r="C3744" t="s">
        <v>3391</v>
      </c>
      <c r="D3744" t="s">
        <v>26</v>
      </c>
      <c r="E3744" t="s">
        <v>31</v>
      </c>
      <c r="F3744">
        <v>1</v>
      </c>
      <c r="G3744" s="3" t="s">
        <v>32</v>
      </c>
      <c r="H3744" s="44" t="s">
        <v>15</v>
      </c>
      <c r="I3744" s="17">
        <v>1522410.96</v>
      </c>
      <c r="J3744" s="17">
        <f>IF(Gastos[[#This Row],[Divisa]]="$", I3744*1, IF(Gastos[[#This Row],[Divisa]]="U$D", I3744*$N$1, IF(Gastos[[#This Row],[Divisa]]="EUR", I3744*$N$2, 0)))</f>
        <v>1522410.96</v>
      </c>
      <c r="K3744" s="54">
        <f>Gastos[[#This Row],[Importe AR$]]/$N$1</f>
        <v>975.90446153846153</v>
      </c>
      <c r="M3744" s="69">
        <v>46205</v>
      </c>
      <c r="N3744" s="43">
        <f>IF(Gastos[[#This Row],[Fecha_Cheque]]&gt;0,WEEKNUM(Gastos[[#This Row],[Fecha_Cheque]]),MID(Gastos[[#This Row],[Semana]],6,2))</f>
        <v>27</v>
      </c>
      <c r="O3744" t="s">
        <v>3392</v>
      </c>
      <c r="P3744" t="s">
        <v>27</v>
      </c>
    </row>
    <row r="3745" spans="1:16" hidden="1" x14ac:dyDescent="0.25">
      <c r="A3745" s="3" t="s">
        <v>2763</v>
      </c>
      <c r="B3745" t="s">
        <v>2134</v>
      </c>
      <c r="C3745" t="s">
        <v>3391</v>
      </c>
      <c r="D3745" t="s">
        <v>26</v>
      </c>
      <c r="E3745" t="s">
        <v>31</v>
      </c>
      <c r="F3745">
        <v>1</v>
      </c>
      <c r="G3745" s="3" t="s">
        <v>32</v>
      </c>
      <c r="H3745" s="44" t="s">
        <v>15</v>
      </c>
      <c r="I3745" s="17">
        <v>21031.439999999999</v>
      </c>
      <c r="J3745" s="17">
        <f>IF(Gastos[[#This Row],[Divisa]]="$", I3745*1, IF(Gastos[[#This Row],[Divisa]]="U$D", I3745*$N$1, IF(Gastos[[#This Row],[Divisa]]="EUR", I3745*$N$2, 0)))</f>
        <v>21031.439999999999</v>
      </c>
      <c r="K3745" s="54">
        <f>Gastos[[#This Row],[Importe AR$]]/$N$1</f>
        <v>13.481692307692306</v>
      </c>
      <c r="L3745" t="s">
        <v>340</v>
      </c>
      <c r="M3745" s="69"/>
      <c r="N3745" s="43" t="str">
        <f>IF(Gastos[[#This Row],[Fecha_Cheque]]&gt;0,WEEKNUM(Gastos[[#This Row],[Fecha_Cheque]]),MID(Gastos[[#This Row],[Semana]],6,2))</f>
        <v>23</v>
      </c>
      <c r="O3745" t="s">
        <v>3392</v>
      </c>
      <c r="P3745" t="s">
        <v>27</v>
      </c>
    </row>
    <row r="3746" spans="1:16" hidden="1" x14ac:dyDescent="0.25">
      <c r="A3746" s="3" t="s">
        <v>50</v>
      </c>
      <c r="B3746" t="s">
        <v>2139</v>
      </c>
      <c r="C3746" t="s">
        <v>2140</v>
      </c>
      <c r="D3746" t="s">
        <v>26</v>
      </c>
      <c r="E3746" t="s">
        <v>31</v>
      </c>
      <c r="F3746">
        <v>1</v>
      </c>
      <c r="G3746" s="3" t="s">
        <v>5</v>
      </c>
      <c r="H3746" s="46" t="s">
        <v>15</v>
      </c>
      <c r="I3746" s="17">
        <v>185580.41</v>
      </c>
      <c r="J3746" s="17">
        <f>IF(Gastos[[#This Row],[Divisa]]="$", I3746*1, IF(Gastos[[#This Row],[Divisa]]="U$D", I3746*$N$1, IF(Gastos[[#This Row],[Divisa]]="EUR", I3746*$N$2, 0)))</f>
        <v>185580.41</v>
      </c>
      <c r="K3746" s="54">
        <f>Gastos[[#This Row],[Importe AR$]]/$N$1</f>
        <v>118.96180128205128</v>
      </c>
      <c r="M3746" s="69"/>
      <c r="N3746" s="43" t="str">
        <f>IF(Gastos[[#This Row],[Fecha_Cheque]]&gt;0,WEEKNUM(Gastos[[#This Row],[Fecha_Cheque]]),MID(Gastos[[#This Row],[Semana]],6,2))</f>
        <v>25</v>
      </c>
      <c r="O3746" t="s">
        <v>2141</v>
      </c>
      <c r="P3746" t="s">
        <v>27</v>
      </c>
    </row>
    <row r="3747" spans="1:16" hidden="1" x14ac:dyDescent="0.25">
      <c r="A3747" s="3" t="s">
        <v>397</v>
      </c>
      <c r="B3747" t="s">
        <v>2687</v>
      </c>
      <c r="C3747" t="s">
        <v>2688</v>
      </c>
      <c r="D3747" t="s">
        <v>61</v>
      </c>
      <c r="E3747" t="s">
        <v>62</v>
      </c>
      <c r="F3747">
        <v>1</v>
      </c>
      <c r="G3747" s="3" t="s">
        <v>32</v>
      </c>
      <c r="H3747" s="44" t="s">
        <v>15</v>
      </c>
      <c r="I3747" s="17">
        <v>301296</v>
      </c>
      <c r="J3747" s="17">
        <f>IF(Gastos[[#This Row],[Divisa]]="$", I3747*1, IF(Gastos[[#This Row],[Divisa]]="U$D", I3747*$N$1, IF(Gastos[[#This Row],[Divisa]]="EUR", I3747*$N$2, 0)))</f>
        <v>301296</v>
      </c>
      <c r="K3747" s="54">
        <f>Gastos[[#This Row],[Importe AR$]]/$N$1</f>
        <v>193.13846153846154</v>
      </c>
      <c r="M3747" s="69">
        <v>46121</v>
      </c>
      <c r="N3747" s="43">
        <f>IF(Gastos[[#This Row],[Fecha_Cheque]]&gt;0,WEEKNUM(Gastos[[#This Row],[Fecha_Cheque]]),MID(Gastos[[#This Row],[Semana]],6,2))</f>
        <v>15</v>
      </c>
      <c r="O3747" t="s">
        <v>2689</v>
      </c>
      <c r="P3747" t="s">
        <v>27</v>
      </c>
    </row>
    <row r="3748" spans="1:16" hidden="1" x14ac:dyDescent="0.25">
      <c r="A3748" s="3" t="s">
        <v>397</v>
      </c>
      <c r="B3748" t="s">
        <v>2687</v>
      </c>
      <c r="C3748" t="s">
        <v>2688</v>
      </c>
      <c r="D3748" t="s">
        <v>61</v>
      </c>
      <c r="E3748" t="s">
        <v>62</v>
      </c>
      <c r="F3748">
        <v>1</v>
      </c>
      <c r="G3748" s="3" t="s">
        <v>32</v>
      </c>
      <c r="H3748" s="44" t="s">
        <v>15</v>
      </c>
      <c r="I3748" s="17">
        <v>301296</v>
      </c>
      <c r="J3748" s="17">
        <f>IF(Gastos[[#This Row],[Divisa]]="$", I3748*1, IF(Gastos[[#This Row],[Divisa]]="U$D", I3748*$N$1, IF(Gastos[[#This Row],[Divisa]]="EUR", I3748*$N$2, 0)))</f>
        <v>301296</v>
      </c>
      <c r="K3748" s="54">
        <f>Gastos[[#This Row],[Importe AR$]]/$N$1</f>
        <v>193.13846153846154</v>
      </c>
      <c r="M3748" s="69">
        <v>46126</v>
      </c>
      <c r="N3748" s="43">
        <f>IF(Gastos[[#This Row],[Fecha_Cheque]]&gt;0,WEEKNUM(Gastos[[#This Row],[Fecha_Cheque]]),MID(Gastos[[#This Row],[Semana]],6,2))</f>
        <v>16</v>
      </c>
      <c r="O3748" t="s">
        <v>2689</v>
      </c>
      <c r="P3748" t="s">
        <v>27</v>
      </c>
    </row>
    <row r="3749" spans="1:16" hidden="1" x14ac:dyDescent="0.25">
      <c r="A3749" s="3" t="s">
        <v>2731</v>
      </c>
      <c r="B3749" t="s">
        <v>2687</v>
      </c>
      <c r="C3749" t="s">
        <v>2688</v>
      </c>
      <c r="D3749" t="s">
        <v>61</v>
      </c>
      <c r="E3749" t="s">
        <v>62</v>
      </c>
      <c r="F3749">
        <v>1</v>
      </c>
      <c r="G3749" s="3" t="s">
        <v>32</v>
      </c>
      <c r="H3749" s="46" t="s">
        <v>15</v>
      </c>
      <c r="I3749" s="17">
        <v>3547.72</v>
      </c>
      <c r="J3749" s="17">
        <f>IF(Gastos[[#This Row],[Divisa]]="$", I3749*1, IF(Gastos[[#This Row],[Divisa]]="U$D", I3749*$N$1, IF(Gastos[[#This Row],[Divisa]]="EUR", I3749*$N$2, 0)))</f>
        <v>3547.72</v>
      </c>
      <c r="K3749" s="54">
        <f>Gastos[[#This Row],[Importe AR$]]/$N$1</f>
        <v>2.2741794871794871</v>
      </c>
      <c r="L3749" t="s">
        <v>340</v>
      </c>
      <c r="M3749" s="69"/>
      <c r="N3749" s="43" t="str">
        <f>IF(Gastos[[#This Row],[Fecha_Cheque]]&gt;0,WEEKNUM(Gastos[[#This Row],[Fecha_Cheque]]),MID(Gastos[[#This Row],[Semana]],6,2))</f>
        <v>17</v>
      </c>
      <c r="O3749" t="s">
        <v>3121</v>
      </c>
      <c r="P3749" t="s">
        <v>27</v>
      </c>
    </row>
    <row r="3750" spans="1:16" hidden="1" x14ac:dyDescent="0.25">
      <c r="A3750" s="3" t="s">
        <v>2731</v>
      </c>
      <c r="B3750" t="s">
        <v>2687</v>
      </c>
      <c r="C3750" t="s">
        <v>2688</v>
      </c>
      <c r="D3750" t="s">
        <v>61</v>
      </c>
      <c r="E3750" t="s">
        <v>62</v>
      </c>
      <c r="F3750">
        <v>1</v>
      </c>
      <c r="G3750" s="3" t="s">
        <v>32</v>
      </c>
      <c r="H3750" s="46" t="s">
        <v>15</v>
      </c>
      <c r="I3750" s="17">
        <v>1190922.75</v>
      </c>
      <c r="J3750" s="17">
        <f>IF(Gastos[[#This Row],[Divisa]]="$", I3750*1, IF(Gastos[[#This Row],[Divisa]]="U$D", I3750*$N$1, IF(Gastos[[#This Row],[Divisa]]="EUR", I3750*$N$2, 0)))</f>
        <v>1190922.75</v>
      </c>
      <c r="K3750" s="54">
        <f>Gastos[[#This Row],[Importe AR$]]/$N$1</f>
        <v>763.41201923076926</v>
      </c>
      <c r="M3750" s="69">
        <v>46128</v>
      </c>
      <c r="N3750" s="43">
        <f>IF(Gastos[[#This Row],[Fecha_Cheque]]&gt;0,WEEKNUM(Gastos[[#This Row],[Fecha_Cheque]]),MID(Gastos[[#This Row],[Semana]],6,2))</f>
        <v>16</v>
      </c>
      <c r="O3750" t="s">
        <v>3121</v>
      </c>
      <c r="P3750" t="s">
        <v>27</v>
      </c>
    </row>
    <row r="3751" spans="1:16" hidden="1" x14ac:dyDescent="0.25">
      <c r="A3751" s="3" t="s">
        <v>2731</v>
      </c>
      <c r="B3751" t="s">
        <v>2687</v>
      </c>
      <c r="C3751" t="s">
        <v>2688</v>
      </c>
      <c r="D3751" t="s">
        <v>61</v>
      </c>
      <c r="E3751" t="s">
        <v>62</v>
      </c>
      <c r="F3751">
        <v>1</v>
      </c>
      <c r="G3751" s="3" t="s">
        <v>32</v>
      </c>
      <c r="H3751" s="46" t="s">
        <v>15</v>
      </c>
      <c r="I3751" s="17">
        <v>1190922.75</v>
      </c>
      <c r="J3751" s="17">
        <f>IF(Gastos[[#This Row],[Divisa]]="$", I3751*1, IF(Gastos[[#This Row],[Divisa]]="U$D", I3751*$N$1, IF(Gastos[[#This Row],[Divisa]]="EUR", I3751*$N$2, 0)))</f>
        <v>1190922.75</v>
      </c>
      <c r="K3751" s="54">
        <f>Gastos[[#This Row],[Importe AR$]]/$N$1</f>
        <v>763.41201923076926</v>
      </c>
      <c r="M3751" s="69">
        <v>46128</v>
      </c>
      <c r="N3751" s="43">
        <f>IF(Gastos[[#This Row],[Fecha_Cheque]]&gt;0,WEEKNUM(Gastos[[#This Row],[Fecha_Cheque]]),MID(Gastos[[#This Row],[Semana]],6,2))</f>
        <v>16</v>
      </c>
      <c r="O3751" t="s">
        <v>3121</v>
      </c>
      <c r="P3751" t="s">
        <v>27</v>
      </c>
    </row>
    <row r="3752" spans="1:16" hidden="1" x14ac:dyDescent="0.25">
      <c r="A3752" s="3" t="s">
        <v>50</v>
      </c>
      <c r="B3752" t="s">
        <v>2142</v>
      </c>
      <c r="C3752" t="s">
        <v>2041</v>
      </c>
      <c r="D3752" t="s">
        <v>61</v>
      </c>
      <c r="E3752" t="s">
        <v>31</v>
      </c>
      <c r="F3752">
        <v>1</v>
      </c>
      <c r="G3752" s="3" t="s">
        <v>32</v>
      </c>
      <c r="H3752" s="46" t="s">
        <v>15</v>
      </c>
      <c r="I3752" s="17">
        <v>2282108.4</v>
      </c>
      <c r="J3752" s="17">
        <f>IF(Gastos[[#This Row],[Divisa]]="$", I3752*1, IF(Gastos[[#This Row],[Divisa]]="U$D", I3752*$N$1, IF(Gastos[[#This Row],[Divisa]]="EUR", I3752*$N$2, 0)))</f>
        <v>2282108.4</v>
      </c>
      <c r="K3752" s="54">
        <f>Gastos[[#This Row],[Importe AR$]]/$N$1</f>
        <v>1462.8899999999999</v>
      </c>
      <c r="L3752" t="s">
        <v>215</v>
      </c>
      <c r="M3752" s="69">
        <v>45857</v>
      </c>
      <c r="N3752" s="43">
        <f>IF(Gastos[[#This Row],[Fecha_Cheque]]&gt;0,WEEKNUM(Gastos[[#This Row],[Fecha_Cheque]]),MID(Gastos[[#This Row],[Semana]],6,2))</f>
        <v>29</v>
      </c>
      <c r="O3752" t="s">
        <v>2143</v>
      </c>
      <c r="P3752" t="s">
        <v>27</v>
      </c>
    </row>
    <row r="3753" spans="1:16" hidden="1" x14ac:dyDescent="0.25">
      <c r="A3753" s="3" t="s">
        <v>89</v>
      </c>
      <c r="B3753" t="s">
        <v>2144</v>
      </c>
      <c r="C3753" t="s">
        <v>2145</v>
      </c>
      <c r="D3753" t="s">
        <v>26</v>
      </c>
      <c r="E3753" t="s">
        <v>31</v>
      </c>
      <c r="F3753">
        <v>1</v>
      </c>
      <c r="G3753" s="3" t="s">
        <v>32</v>
      </c>
      <c r="H3753" s="46" t="s">
        <v>15</v>
      </c>
      <c r="I3753" s="17">
        <v>280345.07</v>
      </c>
      <c r="J3753" s="17">
        <f>IF(Gastos[[#This Row],[Divisa]]="$", I3753*1, IF(Gastos[[#This Row],[Divisa]]="U$D", I3753*$N$1, IF(Gastos[[#This Row],[Divisa]]="EUR", I3753*$N$2, 0)))</f>
        <v>280345.07</v>
      </c>
      <c r="K3753" s="54">
        <f>Gastos[[#This Row],[Importe AR$]]/$N$1</f>
        <v>179.70837820512821</v>
      </c>
      <c r="M3753" s="69">
        <v>45957</v>
      </c>
      <c r="N3753" s="43">
        <f>IF(Gastos[[#This Row],[Fecha_Cheque]]&gt;0,WEEKNUM(Gastos[[#This Row],[Fecha_Cheque]]),MID(Gastos[[#This Row],[Semana]],6,2))</f>
        <v>44</v>
      </c>
      <c r="O3753" t="s">
        <v>2146</v>
      </c>
      <c r="P3753" t="s">
        <v>27</v>
      </c>
    </row>
    <row r="3754" spans="1:16" hidden="1" x14ac:dyDescent="0.25">
      <c r="A3754" s="3" t="s">
        <v>89</v>
      </c>
      <c r="B3754" t="s">
        <v>2144</v>
      </c>
      <c r="C3754" t="s">
        <v>2145</v>
      </c>
      <c r="D3754" t="s">
        <v>26</v>
      </c>
      <c r="E3754" t="s">
        <v>31</v>
      </c>
      <c r="F3754">
        <v>1</v>
      </c>
      <c r="G3754" s="3" t="s">
        <v>32</v>
      </c>
      <c r="H3754" s="46" t="s">
        <v>15</v>
      </c>
      <c r="I3754" s="17">
        <v>336039.12</v>
      </c>
      <c r="J3754" s="17">
        <f>IF(Gastos[[#This Row],[Divisa]]="$", I3754*1, IF(Gastos[[#This Row],[Divisa]]="U$D", I3754*$N$1, IF(Gastos[[#This Row],[Divisa]]="EUR", I3754*$N$2, 0)))</f>
        <v>336039.12</v>
      </c>
      <c r="K3754" s="54">
        <f>Gastos[[#This Row],[Importe AR$]]/$N$1</f>
        <v>215.4096923076923</v>
      </c>
      <c r="M3754" s="69">
        <v>45960</v>
      </c>
      <c r="N3754" s="43">
        <f>IF(Gastos[[#This Row],[Fecha_Cheque]]&gt;0,WEEKNUM(Gastos[[#This Row],[Fecha_Cheque]]),MID(Gastos[[#This Row],[Semana]],6,2))</f>
        <v>44</v>
      </c>
      <c r="O3754" t="s">
        <v>2146</v>
      </c>
      <c r="P3754" t="s">
        <v>27</v>
      </c>
    </row>
    <row r="3755" spans="1:16" hidden="1" x14ac:dyDescent="0.25">
      <c r="A3755" s="3" t="s">
        <v>89</v>
      </c>
      <c r="B3755" t="s">
        <v>2144</v>
      </c>
      <c r="C3755" t="s">
        <v>2145</v>
      </c>
      <c r="D3755" t="s">
        <v>26</v>
      </c>
      <c r="E3755" t="s">
        <v>31</v>
      </c>
      <c r="F3755">
        <v>1</v>
      </c>
      <c r="G3755" s="3" t="s">
        <v>32</v>
      </c>
      <c r="H3755" s="46" t="s">
        <v>15</v>
      </c>
      <c r="I3755" s="17">
        <v>345087.25</v>
      </c>
      <c r="J3755" s="17">
        <f>IF(Gastos[[#This Row],[Divisa]]="$", I3755*1, IF(Gastos[[#This Row],[Divisa]]="U$D", I3755*$N$1, IF(Gastos[[#This Row],[Divisa]]="EUR", I3755*$N$2, 0)))</f>
        <v>345087.25</v>
      </c>
      <c r="K3755" s="54">
        <f>Gastos[[#This Row],[Importe AR$]]/$N$1</f>
        <v>221.20977564102563</v>
      </c>
      <c r="M3755" s="69">
        <v>45960</v>
      </c>
      <c r="N3755" s="43">
        <f>IF(Gastos[[#This Row],[Fecha_Cheque]]&gt;0,WEEKNUM(Gastos[[#This Row],[Fecha_Cheque]]),MID(Gastos[[#This Row],[Semana]],6,2))</f>
        <v>44</v>
      </c>
      <c r="O3755" t="s">
        <v>2146</v>
      </c>
      <c r="P3755" t="s">
        <v>27</v>
      </c>
    </row>
    <row r="3756" spans="1:16" hidden="1" x14ac:dyDescent="0.25">
      <c r="A3756" s="3" t="s">
        <v>89</v>
      </c>
      <c r="B3756" t="s">
        <v>2144</v>
      </c>
      <c r="C3756" t="s">
        <v>2145</v>
      </c>
      <c r="D3756" t="s">
        <v>26</v>
      </c>
      <c r="E3756" t="s">
        <v>31</v>
      </c>
      <c r="F3756">
        <v>1</v>
      </c>
      <c r="G3756" s="3" t="s">
        <v>5</v>
      </c>
      <c r="H3756" s="46" t="s">
        <v>15</v>
      </c>
      <c r="I3756" s="17">
        <v>13758.36</v>
      </c>
      <c r="J3756" s="17">
        <f>IF(Gastos[[#This Row],[Divisa]]="$", I3756*1, IF(Gastos[[#This Row],[Divisa]]="U$D", I3756*$N$1, IF(Gastos[[#This Row],[Divisa]]="EUR", I3756*$N$2, 0)))</f>
        <v>13758.36</v>
      </c>
      <c r="K3756" s="54">
        <f>Gastos[[#This Row],[Importe AR$]]/$N$1</f>
        <v>8.8194615384615389</v>
      </c>
      <c r="M3756" s="69"/>
      <c r="N3756" s="43" t="str">
        <f>IF(Gastos[[#This Row],[Fecha_Cheque]]&gt;0,WEEKNUM(Gastos[[#This Row],[Fecha_Cheque]]),MID(Gastos[[#This Row],[Semana]],6,2))</f>
        <v>39</v>
      </c>
      <c r="O3756" t="s">
        <v>2146</v>
      </c>
      <c r="P3756" t="s">
        <v>27</v>
      </c>
    </row>
    <row r="3757" spans="1:16" hidden="1" x14ac:dyDescent="0.25">
      <c r="A3757" s="3" t="s">
        <v>81</v>
      </c>
      <c r="B3757" t="s">
        <v>2144</v>
      </c>
      <c r="C3757" t="s">
        <v>2147</v>
      </c>
      <c r="D3757" t="s">
        <v>26</v>
      </c>
      <c r="E3757" t="s">
        <v>62</v>
      </c>
      <c r="F3757">
        <v>1</v>
      </c>
      <c r="G3757" s="3" t="s">
        <v>32</v>
      </c>
      <c r="H3757" s="46" t="s">
        <v>15</v>
      </c>
      <c r="I3757" s="17">
        <v>1950000</v>
      </c>
      <c r="J3757" s="17">
        <f>IF(Gastos[[#This Row],[Divisa]]="$", I3757*1, IF(Gastos[[#This Row],[Divisa]]="U$D", I3757*$N$1, IF(Gastos[[#This Row],[Divisa]]="EUR", I3757*$N$2, 0)))</f>
        <v>1950000</v>
      </c>
      <c r="K3757" s="54">
        <f>Gastos[[#This Row],[Importe AR$]]/$N$1</f>
        <v>1250</v>
      </c>
      <c r="M3757" s="69">
        <v>46017</v>
      </c>
      <c r="N3757" s="43">
        <f>IF(Gastos[[#This Row],[Fecha_Cheque]]&gt;0,WEEKNUM(Gastos[[#This Row],[Fecha_Cheque]]),MID(Gastos[[#This Row],[Semana]],6,2))</f>
        <v>52</v>
      </c>
      <c r="O3757" t="s">
        <v>2148</v>
      </c>
      <c r="P3757" t="s">
        <v>27</v>
      </c>
    </row>
    <row r="3758" spans="1:16" hidden="1" x14ac:dyDescent="0.25">
      <c r="A3758" s="3" t="s">
        <v>81</v>
      </c>
      <c r="B3758" t="s">
        <v>2144</v>
      </c>
      <c r="C3758" t="s">
        <v>2147</v>
      </c>
      <c r="D3758" t="s">
        <v>26</v>
      </c>
      <c r="E3758" t="s">
        <v>31</v>
      </c>
      <c r="F3758">
        <v>1</v>
      </c>
      <c r="G3758" s="3" t="s">
        <v>32</v>
      </c>
      <c r="H3758" s="46" t="s">
        <v>15</v>
      </c>
      <c r="I3758" s="17">
        <v>695946.8</v>
      </c>
      <c r="J3758" s="17">
        <f>IF(Gastos[[#This Row],[Divisa]]="$", I3758*1, IF(Gastos[[#This Row],[Divisa]]="U$D", I3758*$N$1, IF(Gastos[[#This Row],[Divisa]]="EUR", I3758*$N$2, 0)))</f>
        <v>695946.8</v>
      </c>
      <c r="K3758" s="54">
        <f>Gastos[[#This Row],[Importe AR$]]/$N$1</f>
        <v>446.11974358974362</v>
      </c>
      <c r="M3758" s="69">
        <v>46026</v>
      </c>
      <c r="N3758" s="43">
        <f>IF(Gastos[[#This Row],[Fecha_Cheque]]&gt;0,WEEKNUM(Gastos[[#This Row],[Fecha_Cheque]]),MID(Gastos[[#This Row],[Semana]],6,2))</f>
        <v>2</v>
      </c>
      <c r="O3758" t="s">
        <v>2148</v>
      </c>
      <c r="P3758" t="s">
        <v>27</v>
      </c>
    </row>
    <row r="3759" spans="1:16" hidden="1" x14ac:dyDescent="0.25">
      <c r="A3759" s="3" t="s">
        <v>378</v>
      </c>
      <c r="B3759" t="s">
        <v>2144</v>
      </c>
      <c r="C3759" t="s">
        <v>2149</v>
      </c>
      <c r="D3759" t="s">
        <v>26</v>
      </c>
      <c r="E3759" t="s">
        <v>62</v>
      </c>
      <c r="F3759">
        <v>1</v>
      </c>
      <c r="G3759" s="3" t="s">
        <v>32</v>
      </c>
      <c r="H3759" s="46" t="s">
        <v>15</v>
      </c>
      <c r="I3759" s="17">
        <v>621518.80000000005</v>
      </c>
      <c r="J3759" s="17">
        <f>IF(Gastos[[#This Row],[Divisa]]="$", I3759*1, IF(Gastos[[#This Row],[Divisa]]="U$D", I3759*$N$1, IF(Gastos[[#This Row],[Divisa]]="EUR", I3759*$N$2, 0)))</f>
        <v>621518.80000000005</v>
      </c>
      <c r="K3759" s="54">
        <f>Gastos[[#This Row],[Importe AR$]]/$N$1</f>
        <v>398.4094871794872</v>
      </c>
      <c r="M3759" s="69">
        <v>46066</v>
      </c>
      <c r="N3759" s="43">
        <f>IF(Gastos[[#This Row],[Fecha_Cheque]]&gt;0,WEEKNUM(Gastos[[#This Row],[Fecha_Cheque]]),MID(Gastos[[#This Row],[Semana]],6,2))</f>
        <v>7</v>
      </c>
      <c r="O3759" t="s">
        <v>2150</v>
      </c>
      <c r="P3759" t="s">
        <v>27</v>
      </c>
    </row>
    <row r="3760" spans="1:16" hidden="1" x14ac:dyDescent="0.25">
      <c r="A3760" s="3" t="s">
        <v>2711</v>
      </c>
      <c r="B3760" t="s">
        <v>2144</v>
      </c>
      <c r="C3760" t="s">
        <v>1200</v>
      </c>
      <c r="D3760" t="s">
        <v>26</v>
      </c>
      <c r="E3760" t="s">
        <v>31</v>
      </c>
      <c r="F3760">
        <v>1</v>
      </c>
      <c r="G3760" s="3" t="s">
        <v>32</v>
      </c>
      <c r="H3760" s="44" t="s">
        <v>15</v>
      </c>
      <c r="I3760" s="17">
        <v>575282.4</v>
      </c>
      <c r="J3760" s="17">
        <f>IF(Gastos[[#This Row],[Divisa]]="$", I3760*1, IF(Gastos[[#This Row],[Divisa]]="U$D", I3760*$N$1, IF(Gastos[[#This Row],[Divisa]]="EUR", I3760*$N$2, 0)))</f>
        <v>575282.4</v>
      </c>
      <c r="K3760" s="54">
        <f>Gastos[[#This Row],[Importe AR$]]/$N$1</f>
        <v>368.77076923076925</v>
      </c>
      <c r="M3760" s="69">
        <v>46152</v>
      </c>
      <c r="N3760" s="43">
        <f>IF(Gastos[[#This Row],[Fecha_Cheque]]&gt;0,WEEKNUM(Gastos[[#This Row],[Fecha_Cheque]]),MID(Gastos[[#This Row],[Semana]],6,2))</f>
        <v>20</v>
      </c>
      <c r="O3760" t="s">
        <v>2959</v>
      </c>
      <c r="P3760" t="s">
        <v>27</v>
      </c>
    </row>
    <row r="3761" spans="1:16" hidden="1" x14ac:dyDescent="0.25">
      <c r="A3761" s="3" t="s">
        <v>2711</v>
      </c>
      <c r="B3761" t="s">
        <v>2144</v>
      </c>
      <c r="C3761" t="s">
        <v>1200</v>
      </c>
      <c r="D3761" t="s">
        <v>26</v>
      </c>
      <c r="E3761" t="s">
        <v>31</v>
      </c>
      <c r="F3761">
        <v>1</v>
      </c>
      <c r="G3761" s="3" t="s">
        <v>32</v>
      </c>
      <c r="H3761" s="44" t="s">
        <v>15</v>
      </c>
      <c r="I3761" s="17">
        <v>5028.8</v>
      </c>
      <c r="J3761" s="17">
        <f>IF(Gastos[[#This Row],[Divisa]]="$", I3761*1, IF(Gastos[[#This Row],[Divisa]]="U$D", I3761*$N$1, IF(Gastos[[#This Row],[Divisa]]="EUR", I3761*$N$2, 0)))</f>
        <v>5028.8</v>
      </c>
      <c r="K3761" s="54">
        <f>Gastos[[#This Row],[Importe AR$]]/$N$1</f>
        <v>3.2235897435897436</v>
      </c>
      <c r="L3761" t="s">
        <v>340</v>
      </c>
      <c r="M3761" s="69"/>
      <c r="N3761" s="43" t="str">
        <f>IF(Gastos[[#This Row],[Fecha_Cheque]]&gt;0,WEEKNUM(Gastos[[#This Row],[Fecha_Cheque]]),MID(Gastos[[#This Row],[Semana]],6,2))</f>
        <v>15</v>
      </c>
      <c r="O3761" t="s">
        <v>2959</v>
      </c>
      <c r="P3761" t="s">
        <v>27</v>
      </c>
    </row>
    <row r="3762" spans="1:16" hidden="1" x14ac:dyDescent="0.25">
      <c r="A3762" s="3" t="s">
        <v>2773</v>
      </c>
      <c r="B3762" t="s">
        <v>2144</v>
      </c>
      <c r="C3762" t="s">
        <v>3226</v>
      </c>
      <c r="D3762" t="s">
        <v>26</v>
      </c>
      <c r="E3762" t="s">
        <v>31</v>
      </c>
      <c r="F3762">
        <v>1</v>
      </c>
      <c r="G3762" s="3" t="s">
        <v>32</v>
      </c>
      <c r="H3762" s="44" t="s">
        <v>15</v>
      </c>
      <c r="I3762" s="17">
        <v>2581425</v>
      </c>
      <c r="J3762" s="17">
        <f>IF(Gastos[[#This Row],[Divisa]]="$", I3762*1, IF(Gastos[[#This Row],[Divisa]]="U$D", I3762*$N$1, IF(Gastos[[#This Row],[Divisa]]="EUR", I3762*$N$2, 0)))</f>
        <v>2581425</v>
      </c>
      <c r="K3762" s="54">
        <f>Gastos[[#This Row],[Importe AR$]]/$N$1</f>
        <v>1654.7596153846155</v>
      </c>
      <c r="M3762" s="69"/>
      <c r="N3762" s="43" t="str">
        <f>IF(Gastos[[#This Row],[Fecha_Cheque]]&gt;0,WEEKNUM(Gastos[[#This Row],[Fecha_Cheque]]),MID(Gastos[[#This Row],[Semana]],6,2))</f>
        <v>20</v>
      </c>
      <c r="O3762" t="s">
        <v>3227</v>
      </c>
      <c r="P3762" t="s">
        <v>27</v>
      </c>
    </row>
    <row r="3763" spans="1:16" hidden="1" x14ac:dyDescent="0.25">
      <c r="A3763" s="3" t="s">
        <v>2773</v>
      </c>
      <c r="B3763" t="s">
        <v>2144</v>
      </c>
      <c r="C3763" t="s">
        <v>3226</v>
      </c>
      <c r="D3763" t="s">
        <v>26</v>
      </c>
      <c r="E3763" t="s">
        <v>31</v>
      </c>
      <c r="F3763">
        <v>1</v>
      </c>
      <c r="G3763" s="3" t="s">
        <v>32</v>
      </c>
      <c r="H3763" s="44" t="s">
        <v>15</v>
      </c>
      <c r="I3763" s="17">
        <v>38830</v>
      </c>
      <c r="J3763" s="17">
        <f>IF(Gastos[[#This Row],[Divisa]]="$", I3763*1, IF(Gastos[[#This Row],[Divisa]]="U$D", I3763*$N$1, IF(Gastos[[#This Row],[Divisa]]="EUR", I3763*$N$2, 0)))</f>
        <v>38830</v>
      </c>
      <c r="K3763" s="54">
        <f>Gastos[[#This Row],[Importe AR$]]/$N$1</f>
        <v>24.891025641025642</v>
      </c>
      <c r="L3763" t="s">
        <v>340</v>
      </c>
      <c r="M3763" s="69"/>
      <c r="N3763" s="43" t="str">
        <f>IF(Gastos[[#This Row],[Fecha_Cheque]]&gt;0,WEEKNUM(Gastos[[#This Row],[Fecha_Cheque]]),MID(Gastos[[#This Row],[Semana]],6,2))</f>
        <v>20</v>
      </c>
      <c r="O3763" t="s">
        <v>3227</v>
      </c>
      <c r="P3763" t="s">
        <v>27</v>
      </c>
    </row>
    <row r="3764" spans="1:16" hidden="1" x14ac:dyDescent="0.25">
      <c r="A3764" s="3" t="s">
        <v>2763</v>
      </c>
      <c r="B3764" t="s">
        <v>2144</v>
      </c>
      <c r="C3764" t="s">
        <v>3393</v>
      </c>
      <c r="D3764" t="s">
        <v>26</v>
      </c>
      <c r="E3764" t="s">
        <v>31</v>
      </c>
      <c r="F3764">
        <v>1</v>
      </c>
      <c r="G3764" s="3" t="s">
        <v>32</v>
      </c>
      <c r="H3764" s="44" t="s">
        <v>15</v>
      </c>
      <c r="I3764" s="17">
        <v>242242</v>
      </c>
      <c r="J3764" s="17">
        <f>IF(Gastos[[#This Row],[Divisa]]="$", I3764*1, IF(Gastos[[#This Row],[Divisa]]="U$D", I3764*$N$1, IF(Gastos[[#This Row],[Divisa]]="EUR", I3764*$N$2, 0)))</f>
        <v>242242</v>
      </c>
      <c r="K3764" s="54">
        <f>Gastos[[#This Row],[Importe AR$]]/$N$1</f>
        <v>155.28333333333333</v>
      </c>
      <c r="M3764" s="69">
        <v>46208</v>
      </c>
      <c r="N3764" s="43">
        <f>IF(Gastos[[#This Row],[Fecha_Cheque]]&gt;0,WEEKNUM(Gastos[[#This Row],[Fecha_Cheque]]),MID(Gastos[[#This Row],[Semana]],6,2))</f>
        <v>28</v>
      </c>
      <c r="O3764" t="s">
        <v>3394</v>
      </c>
      <c r="P3764" t="s">
        <v>27</v>
      </c>
    </row>
    <row r="3765" spans="1:16" hidden="1" x14ac:dyDescent="0.25">
      <c r="A3765" s="3" t="s">
        <v>4211</v>
      </c>
      <c r="B3765" t="s">
        <v>2144</v>
      </c>
      <c r="C3765" t="s">
        <v>3583</v>
      </c>
      <c r="D3765" t="s">
        <v>26</v>
      </c>
      <c r="E3765" t="s">
        <v>62</v>
      </c>
      <c r="F3765">
        <v>1</v>
      </c>
      <c r="G3765" s="3" t="s">
        <v>32</v>
      </c>
      <c r="H3765" s="44" t="s">
        <v>15</v>
      </c>
      <c r="I3765" s="17">
        <v>1376529.35</v>
      </c>
      <c r="J3765" s="17">
        <f>IF(Gastos[[#This Row],[Divisa]]="$", I3765*1, IF(Gastos[[#This Row],[Divisa]]="U$D", I3765*$N$1, IF(Gastos[[#This Row],[Divisa]]="EUR", I3765*$N$2, 0)))</f>
        <v>1376529.35</v>
      </c>
      <c r="K3765" s="54">
        <f>Gastos[[#This Row],[Importe AR$]]/$N$1</f>
        <v>882.390608974359</v>
      </c>
      <c r="M3765" s="69">
        <v>46313</v>
      </c>
      <c r="N3765" s="43">
        <f>IF(Gastos[[#This Row],[Fecha_Cheque]]&gt;0,WEEKNUM(Gastos[[#This Row],[Fecha_Cheque]]),MID(Gastos[[#This Row],[Semana]],6,2))</f>
        <v>43</v>
      </c>
      <c r="O3765" t="s">
        <v>4196</v>
      </c>
      <c r="P3765" t="s">
        <v>27</v>
      </c>
    </row>
    <row r="3766" spans="1:16" hidden="1" x14ac:dyDescent="0.25">
      <c r="A3766" s="3" t="s">
        <v>4211</v>
      </c>
      <c r="B3766" t="s">
        <v>2144</v>
      </c>
      <c r="C3766" t="s">
        <v>3583</v>
      </c>
      <c r="D3766" t="s">
        <v>26</v>
      </c>
      <c r="E3766" t="s">
        <v>62</v>
      </c>
      <c r="F3766">
        <v>1</v>
      </c>
      <c r="G3766" s="3" t="s">
        <v>32</v>
      </c>
      <c r="H3766" s="44" t="s">
        <v>15</v>
      </c>
      <c r="I3766" s="17">
        <v>1376529.35</v>
      </c>
      <c r="J3766" s="17">
        <f>IF(Gastos[[#This Row],[Divisa]]="$", I3766*1, IF(Gastos[[#This Row],[Divisa]]="U$D", I3766*$N$1, IF(Gastos[[#This Row],[Divisa]]="EUR", I3766*$N$2, 0)))</f>
        <v>1376529.35</v>
      </c>
      <c r="K3766" s="54">
        <f>Gastos[[#This Row],[Importe AR$]]/$N$1</f>
        <v>882.390608974359</v>
      </c>
      <c r="M3766" s="69">
        <v>46297</v>
      </c>
      <c r="N3766" s="43">
        <f>IF(Gastos[[#This Row],[Fecha_Cheque]]&gt;0,WEEKNUM(Gastos[[#This Row],[Fecha_Cheque]]),MID(Gastos[[#This Row],[Semana]],6,2))</f>
        <v>40</v>
      </c>
      <c r="O3766" t="s">
        <v>4196</v>
      </c>
      <c r="P3766" t="s">
        <v>27</v>
      </c>
    </row>
    <row r="3767" spans="1:16" hidden="1" x14ac:dyDescent="0.25">
      <c r="A3767" s="3" t="s">
        <v>4211</v>
      </c>
      <c r="B3767" t="s">
        <v>2144</v>
      </c>
      <c r="C3767" t="s">
        <v>3583</v>
      </c>
      <c r="D3767" t="s">
        <v>26</v>
      </c>
      <c r="E3767" t="s">
        <v>62</v>
      </c>
      <c r="F3767">
        <v>1</v>
      </c>
      <c r="G3767" s="3" t="s">
        <v>32</v>
      </c>
      <c r="H3767" s="44" t="s">
        <v>15</v>
      </c>
      <c r="I3767" s="17">
        <v>41714.6</v>
      </c>
      <c r="J3767" s="17">
        <f>IF(Gastos[[#This Row],[Divisa]]="$", I3767*1, IF(Gastos[[#This Row],[Divisa]]="U$D", I3767*$N$1, IF(Gastos[[#This Row],[Divisa]]="EUR", I3767*$N$2, 0)))</f>
        <v>41714.6</v>
      </c>
      <c r="K3767" s="54">
        <f>Gastos[[#This Row],[Importe AR$]]/$N$1</f>
        <v>26.740128205128205</v>
      </c>
      <c r="L3767" t="s">
        <v>340</v>
      </c>
      <c r="M3767" s="69"/>
      <c r="N3767" s="43" t="str">
        <f>IF(Gastos[[#This Row],[Fecha_Cheque]]&gt;0,WEEKNUM(Gastos[[#This Row],[Fecha_Cheque]]),MID(Gastos[[#This Row],[Semana]],6,2))</f>
        <v>37</v>
      </c>
      <c r="O3767" t="s">
        <v>4196</v>
      </c>
      <c r="P3767" t="s">
        <v>27</v>
      </c>
    </row>
    <row r="3768" spans="1:16" hidden="1" x14ac:dyDescent="0.25">
      <c r="A3768" s="3" t="s">
        <v>4409</v>
      </c>
      <c r="B3768" t="s">
        <v>4416</v>
      </c>
      <c r="C3768" t="s">
        <v>4417</v>
      </c>
      <c r="D3768" t="s">
        <v>26</v>
      </c>
      <c r="E3768" t="s">
        <v>31</v>
      </c>
      <c r="F3768">
        <v>1</v>
      </c>
      <c r="G3768" s="3" t="s">
        <v>32</v>
      </c>
      <c r="H3768" s="44" t="s">
        <v>15</v>
      </c>
      <c r="I3768" s="17">
        <v>400000</v>
      </c>
      <c r="J3768" s="17">
        <f>IF(Gastos[[#This Row],[Divisa]]="$", I3768*1, IF(Gastos[[#This Row],[Divisa]]="U$D", I3768*$N$1, IF(Gastos[[#This Row],[Divisa]]="EUR", I3768*$N$2, 0)))</f>
        <v>400000</v>
      </c>
      <c r="K3768" s="54">
        <f>Gastos[[#This Row],[Importe AR$]]/$N$1</f>
        <v>256.41025641025641</v>
      </c>
      <c r="M3768" s="69">
        <v>46318</v>
      </c>
      <c r="N3768" s="43">
        <f>IF(Gastos[[#This Row],[Fecha_Cheque]]&gt;0,WEEKNUM(Gastos[[#This Row],[Fecha_Cheque]]),MID(Gastos[[#This Row],[Semana]],6,2))</f>
        <v>43</v>
      </c>
      <c r="O3768" t="s">
        <v>4418</v>
      </c>
      <c r="P3768" t="s">
        <v>27</v>
      </c>
    </row>
    <row r="3769" spans="1:16" hidden="1" x14ac:dyDescent="0.25">
      <c r="A3769" s="3" t="s">
        <v>4409</v>
      </c>
      <c r="B3769" t="s">
        <v>4416</v>
      </c>
      <c r="C3769" t="s">
        <v>4417</v>
      </c>
      <c r="D3769" t="s">
        <v>26</v>
      </c>
      <c r="E3769" t="s">
        <v>31</v>
      </c>
      <c r="F3769">
        <v>1</v>
      </c>
      <c r="G3769" s="3" t="s">
        <v>32</v>
      </c>
      <c r="H3769" s="44" t="s">
        <v>15</v>
      </c>
      <c r="I3769" s="17">
        <v>241886</v>
      </c>
      <c r="J3769" s="17">
        <f>IF(Gastos[[#This Row],[Divisa]]="$", I3769*1, IF(Gastos[[#This Row],[Divisa]]="U$D", I3769*$N$1, IF(Gastos[[#This Row],[Divisa]]="EUR", I3769*$N$2, 0)))</f>
        <v>241886</v>
      </c>
      <c r="K3769" s="54">
        <f>Gastos[[#This Row],[Importe AR$]]/$N$1</f>
        <v>155.0551282051282</v>
      </c>
      <c r="M3769" s="69">
        <v>46313</v>
      </c>
      <c r="N3769" s="43">
        <f>IF(Gastos[[#This Row],[Fecha_Cheque]]&gt;0,WEEKNUM(Gastos[[#This Row],[Fecha_Cheque]]),MID(Gastos[[#This Row],[Semana]],6,2))</f>
        <v>43</v>
      </c>
      <c r="O3769" t="s">
        <v>4418</v>
      </c>
      <c r="P3769" t="s">
        <v>27</v>
      </c>
    </row>
    <row r="3770" spans="1:16" hidden="1" x14ac:dyDescent="0.25">
      <c r="A3770" s="3" t="s">
        <v>4409</v>
      </c>
      <c r="B3770" t="s">
        <v>4416</v>
      </c>
      <c r="C3770" t="s">
        <v>4417</v>
      </c>
      <c r="D3770" t="s">
        <v>26</v>
      </c>
      <c r="E3770" t="s">
        <v>31</v>
      </c>
      <c r="F3770">
        <v>1</v>
      </c>
      <c r="G3770" s="3" t="s">
        <v>32</v>
      </c>
      <c r="H3770" s="44" t="s">
        <v>15</v>
      </c>
      <c r="I3770" s="17">
        <v>10788</v>
      </c>
      <c r="J3770" s="17">
        <f>IF(Gastos[[#This Row],[Divisa]]="$", I3770*1, IF(Gastos[[#This Row],[Divisa]]="U$D", I3770*$N$1, IF(Gastos[[#This Row],[Divisa]]="EUR", I3770*$N$2, 0)))</f>
        <v>10788</v>
      </c>
      <c r="K3770" s="54">
        <f>Gastos[[#This Row],[Importe AR$]]/$N$1</f>
        <v>6.9153846153846157</v>
      </c>
      <c r="L3770" t="s">
        <v>340</v>
      </c>
      <c r="M3770" s="69"/>
      <c r="N3770" s="43" t="str">
        <f>IF(Gastos[[#This Row],[Fecha_Cheque]]&gt;0,WEEKNUM(Gastos[[#This Row],[Fecha_Cheque]]),MID(Gastos[[#This Row],[Semana]],6,2))</f>
        <v>40</v>
      </c>
      <c r="O3770" t="s">
        <v>4418</v>
      </c>
      <c r="P3770" t="s">
        <v>27</v>
      </c>
    </row>
    <row r="3771" spans="1:16" hidden="1" x14ac:dyDescent="0.25">
      <c r="A3771" s="3" t="s">
        <v>34</v>
      </c>
      <c r="B3771" t="s">
        <v>2151</v>
      </c>
      <c r="C3771" t="s">
        <v>2152</v>
      </c>
      <c r="D3771" t="s">
        <v>26</v>
      </c>
      <c r="E3771" t="s">
        <v>31</v>
      </c>
      <c r="F3771">
        <v>2</v>
      </c>
      <c r="G3771" s="3" t="s">
        <v>4</v>
      </c>
      <c r="H3771" s="46" t="s">
        <v>15</v>
      </c>
      <c r="I3771" s="17">
        <v>250000</v>
      </c>
      <c r="J3771" s="17">
        <f>IF(Gastos[[#This Row],[Divisa]]="$", I3771*1, IF(Gastos[[#This Row],[Divisa]]="U$D", I3771*$N$1, IF(Gastos[[#This Row],[Divisa]]="EUR", I3771*$N$2, 0)))</f>
        <v>250000</v>
      </c>
      <c r="K3771" s="54">
        <f>Gastos[[#This Row],[Importe AR$]]/$N$1</f>
        <v>160.25641025641025</v>
      </c>
      <c r="M3771" s="69"/>
      <c r="N3771" s="43" t="str">
        <f>IF(Gastos[[#This Row],[Fecha_Cheque]]&gt;0,WEEKNUM(Gastos[[#This Row],[Fecha_Cheque]]),MID(Gastos[[#This Row],[Semana]],6,2))</f>
        <v>32</v>
      </c>
      <c r="P3771" t="s">
        <v>27</v>
      </c>
    </row>
    <row r="3772" spans="1:16" hidden="1" x14ac:dyDescent="0.25">
      <c r="A3772" s="3" t="s">
        <v>2726</v>
      </c>
      <c r="B3772" t="s">
        <v>2151</v>
      </c>
      <c r="C3772" t="s">
        <v>3455</v>
      </c>
      <c r="D3772" t="s">
        <v>26</v>
      </c>
      <c r="E3772" t="s">
        <v>42</v>
      </c>
      <c r="F3772">
        <v>2</v>
      </c>
      <c r="G3772" s="3" t="s">
        <v>4</v>
      </c>
      <c r="H3772" s="44" t="s">
        <v>15</v>
      </c>
      <c r="I3772" s="17">
        <v>250000</v>
      </c>
      <c r="J3772" s="17">
        <f>IF(Gastos[[#This Row],[Divisa]]="$", I3772*1, IF(Gastos[[#This Row],[Divisa]]="U$D", I3772*$N$1, IF(Gastos[[#This Row],[Divisa]]="EUR", I3772*$N$2, 0)))</f>
        <v>250000</v>
      </c>
      <c r="K3772" s="54">
        <f>Gastos[[#This Row],[Importe AR$]]/$N$1</f>
        <v>160.25641025641025</v>
      </c>
      <c r="M3772" s="69"/>
      <c r="N3772" s="43" t="str">
        <f>IF(Gastos[[#This Row],[Fecha_Cheque]]&gt;0,WEEKNUM(Gastos[[#This Row],[Fecha_Cheque]]),MID(Gastos[[#This Row],[Semana]],6,2))</f>
        <v>24</v>
      </c>
      <c r="O3772" t="s">
        <v>3456</v>
      </c>
      <c r="P3772" t="s">
        <v>27</v>
      </c>
    </row>
    <row r="3773" spans="1:16" hidden="1" x14ac:dyDescent="0.25">
      <c r="A3773" s="3" t="s">
        <v>4119</v>
      </c>
      <c r="B3773" t="s">
        <v>2151</v>
      </c>
      <c r="C3773" t="s">
        <v>4107</v>
      </c>
      <c r="D3773" t="s">
        <v>26</v>
      </c>
      <c r="E3773" t="s">
        <v>42</v>
      </c>
      <c r="F3773">
        <v>2</v>
      </c>
      <c r="G3773" s="3" t="s">
        <v>4</v>
      </c>
      <c r="H3773" s="44" t="s">
        <v>15</v>
      </c>
      <c r="I3773" s="17">
        <v>200000</v>
      </c>
      <c r="J3773" s="17">
        <f>IF(Gastos[[#This Row],[Divisa]]="$", I3773*1, IF(Gastos[[#This Row],[Divisa]]="U$D", I3773*$N$1, IF(Gastos[[#This Row],[Divisa]]="EUR", I3773*$N$2, 0)))</f>
        <v>200000</v>
      </c>
      <c r="K3773" s="54">
        <f>Gastos[[#This Row],[Importe AR$]]/$N$1</f>
        <v>128.2051282051282</v>
      </c>
      <c r="M3773" s="69"/>
      <c r="N3773" s="43" t="str">
        <f>IF(Gastos[[#This Row],[Fecha_Cheque]]&gt;0,WEEKNUM(Gastos[[#This Row],[Fecha_Cheque]]),MID(Gastos[[#This Row],[Semana]],6,2))</f>
        <v>35</v>
      </c>
      <c r="O3773" t="s">
        <v>4156</v>
      </c>
      <c r="P3773" t="s">
        <v>27</v>
      </c>
    </row>
    <row r="3774" spans="1:16" hidden="1" x14ac:dyDescent="0.25">
      <c r="A3774" s="3" t="s">
        <v>4157</v>
      </c>
      <c r="B3774" t="s">
        <v>2151</v>
      </c>
      <c r="C3774" t="s">
        <v>4107</v>
      </c>
      <c r="D3774" t="s">
        <v>26</v>
      </c>
      <c r="E3774" t="s">
        <v>42</v>
      </c>
      <c r="F3774">
        <v>2</v>
      </c>
      <c r="G3774" s="3" t="s">
        <v>4</v>
      </c>
      <c r="H3774" s="44" t="s">
        <v>15</v>
      </c>
      <c r="I3774" s="17">
        <v>350000</v>
      </c>
      <c r="J3774" s="17">
        <f>IF(Gastos[[#This Row],[Divisa]]="$", I3774*1, IF(Gastos[[#This Row],[Divisa]]="U$D", I3774*$N$1, IF(Gastos[[#This Row],[Divisa]]="EUR", I3774*$N$2, 0)))</f>
        <v>350000</v>
      </c>
      <c r="K3774" s="54">
        <f>Gastos[[#This Row],[Importe AR$]]/$N$1</f>
        <v>224.35897435897436</v>
      </c>
      <c r="M3774" s="69"/>
      <c r="N3774" s="43" t="str">
        <f>IF(Gastos[[#This Row],[Fecha_Cheque]]&gt;0,WEEKNUM(Gastos[[#This Row],[Fecha_Cheque]]),MID(Gastos[[#This Row],[Semana]],6,2))</f>
        <v>36</v>
      </c>
      <c r="O3774" t="s">
        <v>4251</v>
      </c>
      <c r="P3774" t="s">
        <v>27</v>
      </c>
    </row>
    <row r="3775" spans="1:16" hidden="1" x14ac:dyDescent="0.25">
      <c r="A3775" s="3" t="s">
        <v>117</v>
      </c>
      <c r="B3775" t="s">
        <v>2153</v>
      </c>
      <c r="C3775" t="s">
        <v>155</v>
      </c>
      <c r="D3775" t="s">
        <v>26</v>
      </c>
      <c r="E3775" t="s">
        <v>42</v>
      </c>
      <c r="F3775">
        <v>1</v>
      </c>
      <c r="G3775" s="3" t="s">
        <v>4</v>
      </c>
      <c r="H3775" s="46" t="s">
        <v>15</v>
      </c>
      <c r="I3775" s="17">
        <v>20000</v>
      </c>
      <c r="J3775" s="17">
        <f>IF(Gastos[[#This Row],[Divisa]]="$", I3775*1, IF(Gastos[[#This Row],[Divisa]]="U$D", I3775*$N$1, IF(Gastos[[#This Row],[Divisa]]="EUR", I3775*$N$2, 0)))</f>
        <v>20000</v>
      </c>
      <c r="K3775" s="54">
        <f>Gastos[[#This Row],[Importe AR$]]/$N$1</f>
        <v>12.820512820512821</v>
      </c>
      <c r="M3775" s="69"/>
      <c r="N3775" s="43" t="str">
        <f>IF(Gastos[[#This Row],[Fecha_Cheque]]&gt;0,WEEKNUM(Gastos[[#This Row],[Fecha_Cheque]]),MID(Gastos[[#This Row],[Semana]],6,2))</f>
        <v>35</v>
      </c>
      <c r="O3775" t="s">
        <v>901</v>
      </c>
      <c r="P3775" t="s">
        <v>27</v>
      </c>
    </row>
    <row r="3776" spans="1:16" hidden="1" x14ac:dyDescent="0.25">
      <c r="A3776" s="3" t="s">
        <v>117</v>
      </c>
      <c r="B3776" t="s">
        <v>2153</v>
      </c>
      <c r="C3776" t="s">
        <v>155</v>
      </c>
      <c r="D3776" t="s">
        <v>26</v>
      </c>
      <c r="E3776" t="s">
        <v>42</v>
      </c>
      <c r="F3776">
        <v>1</v>
      </c>
      <c r="G3776" s="3" t="s">
        <v>4</v>
      </c>
      <c r="H3776" s="46" t="s">
        <v>15</v>
      </c>
      <c r="I3776" s="17">
        <v>20000</v>
      </c>
      <c r="J3776" s="17">
        <f>IF(Gastos[[#This Row],[Divisa]]="$", I3776*1, IF(Gastos[[#This Row],[Divisa]]="U$D", I3776*$N$1, IF(Gastos[[#This Row],[Divisa]]="EUR", I3776*$N$2, 0)))</f>
        <v>20000</v>
      </c>
      <c r="K3776" s="54">
        <f>Gastos[[#This Row],[Importe AR$]]/$N$1</f>
        <v>12.820512820512821</v>
      </c>
      <c r="M3776" s="69"/>
      <c r="N3776" s="43" t="str">
        <f>IF(Gastos[[#This Row],[Fecha_Cheque]]&gt;0,WEEKNUM(Gastos[[#This Row],[Fecha_Cheque]]),MID(Gastos[[#This Row],[Semana]],6,2))</f>
        <v>35</v>
      </c>
      <c r="O3776" t="s">
        <v>901</v>
      </c>
      <c r="P3776" t="s">
        <v>27</v>
      </c>
    </row>
    <row r="3777" spans="1:16" hidden="1" x14ac:dyDescent="0.25">
      <c r="A3777" s="3" t="s">
        <v>310</v>
      </c>
      <c r="B3777" t="s">
        <v>2153</v>
      </c>
      <c r="C3777" t="s">
        <v>155</v>
      </c>
      <c r="D3777" t="s">
        <v>26</v>
      </c>
      <c r="E3777" t="s">
        <v>42</v>
      </c>
      <c r="F3777">
        <v>1</v>
      </c>
      <c r="G3777" s="3" t="s">
        <v>4</v>
      </c>
      <c r="H3777" s="46" t="s">
        <v>15</v>
      </c>
      <c r="I3777" s="17">
        <v>40000</v>
      </c>
      <c r="J3777" s="17">
        <f>IF(Gastos[[#This Row],[Divisa]]="$", I3777*1, IF(Gastos[[#This Row],[Divisa]]="U$D", I3777*$N$1, IF(Gastos[[#This Row],[Divisa]]="EUR", I3777*$N$2, 0)))</f>
        <v>40000</v>
      </c>
      <c r="K3777" s="54">
        <f>Gastos[[#This Row],[Importe AR$]]/$N$1</f>
        <v>25.641025641025642</v>
      </c>
      <c r="M3777" s="69"/>
      <c r="N3777" s="43" t="str">
        <f>IF(Gastos[[#This Row],[Fecha_Cheque]]&gt;0,WEEKNUM(Gastos[[#This Row],[Fecha_Cheque]]),MID(Gastos[[#This Row],[Semana]],6,2))</f>
        <v>36</v>
      </c>
      <c r="O3777" t="s">
        <v>2154</v>
      </c>
      <c r="P3777" t="s">
        <v>27</v>
      </c>
    </row>
    <row r="3778" spans="1:16" hidden="1" x14ac:dyDescent="0.25">
      <c r="A3778" s="3" t="s">
        <v>128</v>
      </c>
      <c r="B3778" t="s">
        <v>2153</v>
      </c>
      <c r="C3778" t="s">
        <v>155</v>
      </c>
      <c r="D3778" t="s">
        <v>26</v>
      </c>
      <c r="E3778" t="s">
        <v>42</v>
      </c>
      <c r="F3778">
        <v>1</v>
      </c>
      <c r="G3778" s="3" t="s">
        <v>4</v>
      </c>
      <c r="H3778" s="46" t="s">
        <v>15</v>
      </c>
      <c r="I3778" s="17">
        <v>127000</v>
      </c>
      <c r="J3778" s="17">
        <f>IF(Gastos[[#This Row],[Divisa]]="$", I3778*1, IF(Gastos[[#This Row],[Divisa]]="U$D", I3778*$N$1, IF(Gastos[[#This Row],[Divisa]]="EUR", I3778*$N$2, 0)))</f>
        <v>127000</v>
      </c>
      <c r="K3778" s="54">
        <f>Gastos[[#This Row],[Importe AR$]]/$N$1</f>
        <v>81.410256410256409</v>
      </c>
      <c r="M3778" s="69"/>
      <c r="N3778" s="43" t="str">
        <f>IF(Gastos[[#This Row],[Fecha_Cheque]]&gt;0,WEEKNUM(Gastos[[#This Row],[Fecha_Cheque]]),MID(Gastos[[#This Row],[Semana]],6,2))</f>
        <v>43</v>
      </c>
      <c r="O3778" t="s">
        <v>2155</v>
      </c>
      <c r="P3778" t="s">
        <v>27</v>
      </c>
    </row>
    <row r="3779" spans="1:16" hidden="1" x14ac:dyDescent="0.25">
      <c r="A3779" s="3" t="s">
        <v>232</v>
      </c>
      <c r="B3779" t="s">
        <v>2153</v>
      </c>
      <c r="C3779" t="s">
        <v>155</v>
      </c>
      <c r="D3779" t="s">
        <v>26</v>
      </c>
      <c r="E3779" t="s">
        <v>42</v>
      </c>
      <c r="F3779">
        <v>1</v>
      </c>
      <c r="G3779" s="3" t="s">
        <v>4</v>
      </c>
      <c r="H3779" s="46" t="s">
        <v>15</v>
      </c>
      <c r="I3779" s="17">
        <v>113004</v>
      </c>
      <c r="J3779" s="17">
        <f>IF(Gastos[[#This Row],[Divisa]]="$", I3779*1, IF(Gastos[[#This Row],[Divisa]]="U$D", I3779*$N$1, IF(Gastos[[#This Row],[Divisa]]="EUR", I3779*$N$2, 0)))</f>
        <v>113004</v>
      </c>
      <c r="K3779" s="54">
        <f>Gastos[[#This Row],[Importe AR$]]/$N$1</f>
        <v>72.438461538461539</v>
      </c>
      <c r="M3779" s="69"/>
      <c r="N3779" s="43" t="str">
        <f>IF(Gastos[[#This Row],[Fecha_Cheque]]&gt;0,WEEKNUM(Gastos[[#This Row],[Fecha_Cheque]]),MID(Gastos[[#This Row],[Semana]],6,2))</f>
        <v>44</v>
      </c>
      <c r="O3779" t="s">
        <v>2156</v>
      </c>
      <c r="P3779" t="s">
        <v>27</v>
      </c>
    </row>
    <row r="3780" spans="1:16" hidden="1" x14ac:dyDescent="0.25">
      <c r="A3780" s="3" t="s">
        <v>79</v>
      </c>
      <c r="B3780" t="s">
        <v>2153</v>
      </c>
      <c r="C3780" t="s">
        <v>155</v>
      </c>
      <c r="D3780" t="s">
        <v>26</v>
      </c>
      <c r="E3780" t="s">
        <v>42</v>
      </c>
      <c r="F3780">
        <v>1</v>
      </c>
      <c r="G3780" s="3" t="s">
        <v>4</v>
      </c>
      <c r="H3780" s="46" t="s">
        <v>15</v>
      </c>
      <c r="I3780" s="17">
        <v>130000</v>
      </c>
      <c r="J3780" s="17">
        <f>IF(Gastos[[#This Row],[Divisa]]="$", I3780*1, IF(Gastos[[#This Row],[Divisa]]="U$D", I3780*$N$1, IF(Gastos[[#This Row],[Divisa]]="EUR", I3780*$N$2, 0)))</f>
        <v>130000</v>
      </c>
      <c r="K3780" s="54">
        <f>Gastos[[#This Row],[Importe AR$]]/$N$1</f>
        <v>83.333333333333329</v>
      </c>
      <c r="M3780" s="69"/>
      <c r="N3780" s="43" t="str">
        <f>IF(Gastos[[#This Row],[Fecha_Cheque]]&gt;0,WEEKNUM(Gastos[[#This Row],[Fecha_Cheque]]),MID(Gastos[[#This Row],[Semana]],6,2))</f>
        <v>47</v>
      </c>
      <c r="O3780" t="s">
        <v>2157</v>
      </c>
      <c r="P3780" t="s">
        <v>27</v>
      </c>
    </row>
    <row r="3781" spans="1:16" hidden="1" x14ac:dyDescent="0.25">
      <c r="A3781" s="3" t="s">
        <v>81</v>
      </c>
      <c r="B3781" t="s">
        <v>2153</v>
      </c>
      <c r="C3781" t="s">
        <v>155</v>
      </c>
      <c r="D3781" t="s">
        <v>26</v>
      </c>
      <c r="E3781" t="s">
        <v>42</v>
      </c>
      <c r="F3781">
        <v>1</v>
      </c>
      <c r="G3781" s="3" t="s">
        <v>4</v>
      </c>
      <c r="H3781" s="46" t="s">
        <v>15</v>
      </c>
      <c r="I3781" s="17">
        <v>51000</v>
      </c>
      <c r="J3781" s="17">
        <f>IF(Gastos[[#This Row],[Divisa]]="$", I3781*1, IF(Gastos[[#This Row],[Divisa]]="U$D", I3781*$N$1, IF(Gastos[[#This Row],[Divisa]]="EUR", I3781*$N$2, 0)))</f>
        <v>51000</v>
      </c>
      <c r="K3781" s="54">
        <f>Gastos[[#This Row],[Importe AR$]]/$N$1</f>
        <v>32.692307692307693</v>
      </c>
      <c r="M3781" s="69"/>
      <c r="N3781" s="43" t="str">
        <f>IF(Gastos[[#This Row],[Fecha_Cheque]]&gt;0,WEEKNUM(Gastos[[#This Row],[Fecha_Cheque]]),MID(Gastos[[#This Row],[Semana]],6,2))</f>
        <v>49</v>
      </c>
      <c r="O3781" t="s">
        <v>2158</v>
      </c>
      <c r="P3781" t="s">
        <v>27</v>
      </c>
    </row>
    <row r="3782" spans="1:16" hidden="1" x14ac:dyDescent="0.25">
      <c r="A3782" s="3" t="s">
        <v>93</v>
      </c>
      <c r="B3782" t="s">
        <v>2153</v>
      </c>
      <c r="C3782" t="s">
        <v>155</v>
      </c>
      <c r="D3782" t="s">
        <v>26</v>
      </c>
      <c r="E3782" t="s">
        <v>42</v>
      </c>
      <c r="F3782">
        <v>1</v>
      </c>
      <c r="G3782" s="3" t="s">
        <v>4</v>
      </c>
      <c r="H3782" s="46" t="s">
        <v>15</v>
      </c>
      <c r="I3782" s="17">
        <v>143007</v>
      </c>
      <c r="J3782" s="17">
        <f>IF(Gastos[[#This Row],[Divisa]]="$", I3782*1, IF(Gastos[[#This Row],[Divisa]]="U$D", I3782*$N$1, IF(Gastos[[#This Row],[Divisa]]="EUR", I3782*$N$2, 0)))</f>
        <v>143007</v>
      </c>
      <c r="K3782" s="54">
        <f>Gastos[[#This Row],[Importe AR$]]/$N$1</f>
        <v>91.671153846153842</v>
      </c>
      <c r="M3782" s="69"/>
      <c r="N3782" s="43" t="str">
        <f>IF(Gastos[[#This Row],[Fecha_Cheque]]&gt;0,WEEKNUM(Gastos[[#This Row],[Fecha_Cheque]]),MID(Gastos[[#This Row],[Semana]],6,2))</f>
        <v>50</v>
      </c>
      <c r="O3782" t="s">
        <v>2159</v>
      </c>
      <c r="P3782" t="s">
        <v>27</v>
      </c>
    </row>
    <row r="3783" spans="1:16" hidden="1" x14ac:dyDescent="0.25">
      <c r="A3783" s="3" t="s">
        <v>68</v>
      </c>
      <c r="B3783" t="s">
        <v>2153</v>
      </c>
      <c r="C3783" t="s">
        <v>155</v>
      </c>
      <c r="D3783" t="s">
        <v>26</v>
      </c>
      <c r="E3783" t="s">
        <v>42</v>
      </c>
      <c r="F3783">
        <v>1</v>
      </c>
      <c r="G3783" s="3" t="s">
        <v>4</v>
      </c>
      <c r="H3783" s="46" t="s">
        <v>15</v>
      </c>
      <c r="I3783" s="17">
        <v>158000</v>
      </c>
      <c r="J3783" s="17">
        <f>IF(Gastos[[#This Row],[Divisa]]="$", I3783*1, IF(Gastos[[#This Row],[Divisa]]="U$D", I3783*$N$1, IF(Gastos[[#This Row],[Divisa]]="EUR", I3783*$N$2, 0)))</f>
        <v>158000</v>
      </c>
      <c r="K3783" s="54">
        <f>Gastos[[#This Row],[Importe AR$]]/$N$1</f>
        <v>101.28205128205128</v>
      </c>
      <c r="M3783" s="69"/>
      <c r="N3783" s="43" t="str">
        <f>IF(Gastos[[#This Row],[Fecha_Cheque]]&gt;0,WEEKNUM(Gastos[[#This Row],[Fecha_Cheque]]),MID(Gastos[[#This Row],[Semana]],6,2))</f>
        <v>05</v>
      </c>
      <c r="O3783" t="s">
        <v>2160</v>
      </c>
      <c r="P3783" t="s">
        <v>27</v>
      </c>
    </row>
    <row r="3784" spans="1:16" hidden="1" x14ac:dyDescent="0.25">
      <c r="A3784" s="3" t="s">
        <v>206</v>
      </c>
      <c r="B3784" t="s">
        <v>2153</v>
      </c>
      <c r="C3784" t="s">
        <v>155</v>
      </c>
      <c r="D3784" t="s">
        <v>26</v>
      </c>
      <c r="E3784" t="s">
        <v>42</v>
      </c>
      <c r="F3784">
        <v>1</v>
      </c>
      <c r="G3784" s="3" t="s">
        <v>4</v>
      </c>
      <c r="H3784" s="46" t="s">
        <v>15</v>
      </c>
      <c r="I3784" s="17">
        <v>160031.92000000001</v>
      </c>
      <c r="J3784" s="17">
        <f>IF(Gastos[[#This Row],[Divisa]]="$", I3784*1, IF(Gastos[[#This Row],[Divisa]]="U$D", I3784*$N$1, IF(Gastos[[#This Row],[Divisa]]="EUR", I3784*$N$2, 0)))</f>
        <v>160031.92000000001</v>
      </c>
      <c r="K3784" s="54">
        <f>Gastos[[#This Row],[Importe AR$]]/$N$1</f>
        <v>102.58456410256412</v>
      </c>
      <c r="M3784" s="69"/>
      <c r="N3784" s="43" t="str">
        <f>IF(Gastos[[#This Row],[Fecha_Cheque]]&gt;0,WEEKNUM(Gastos[[#This Row],[Fecha_Cheque]]),MID(Gastos[[#This Row],[Semana]],6,2))</f>
        <v>06</v>
      </c>
      <c r="O3784" t="s">
        <v>2161</v>
      </c>
      <c r="P3784" t="s">
        <v>27</v>
      </c>
    </row>
    <row r="3785" spans="1:16" hidden="1" x14ac:dyDescent="0.25">
      <c r="A3785" s="3" t="s">
        <v>139</v>
      </c>
      <c r="B3785" t="s">
        <v>2153</v>
      </c>
      <c r="C3785" t="s">
        <v>1748</v>
      </c>
      <c r="D3785" t="s">
        <v>26</v>
      </c>
      <c r="E3785" t="s">
        <v>42</v>
      </c>
      <c r="F3785">
        <v>1</v>
      </c>
      <c r="G3785" s="3" t="s">
        <v>4</v>
      </c>
      <c r="H3785" s="46" t="s">
        <v>15</v>
      </c>
      <c r="I3785" s="17">
        <v>159003</v>
      </c>
      <c r="J3785" s="17">
        <f>IF(Gastos[[#This Row],[Divisa]]="$", I3785*1, IF(Gastos[[#This Row],[Divisa]]="U$D", I3785*$N$1, IF(Gastos[[#This Row],[Divisa]]="EUR", I3785*$N$2, 0)))</f>
        <v>159003</v>
      </c>
      <c r="K3785" s="54">
        <f>Gastos[[#This Row],[Importe AR$]]/$N$1</f>
        <v>101.925</v>
      </c>
      <c r="M3785" s="69"/>
      <c r="N3785" s="43" t="str">
        <f>IF(Gastos[[#This Row],[Fecha_Cheque]]&gt;0,WEEKNUM(Gastos[[#This Row],[Fecha_Cheque]]),MID(Gastos[[#This Row],[Semana]],6,2))</f>
        <v>08</v>
      </c>
      <c r="O3785" t="s">
        <v>2162</v>
      </c>
      <c r="P3785" t="s">
        <v>27</v>
      </c>
    </row>
    <row r="3786" spans="1:16" hidden="1" x14ac:dyDescent="0.25">
      <c r="A3786" s="3" t="s">
        <v>619</v>
      </c>
      <c r="B3786" t="s">
        <v>2153</v>
      </c>
      <c r="C3786" t="s">
        <v>155</v>
      </c>
      <c r="D3786" t="s">
        <v>26</v>
      </c>
      <c r="E3786" t="s">
        <v>42</v>
      </c>
      <c r="F3786">
        <v>1</v>
      </c>
      <c r="G3786" s="3" t="s">
        <v>4</v>
      </c>
      <c r="H3786" s="46" t="s">
        <v>15</v>
      </c>
      <c r="I3786" s="17">
        <v>4500119.54</v>
      </c>
      <c r="J3786" s="17">
        <f>IF(Gastos[[#This Row],[Divisa]]="$", I3786*1, IF(Gastos[[#This Row],[Divisa]]="U$D", I3786*$N$1, IF(Gastos[[#This Row],[Divisa]]="EUR", I3786*$N$2, 0)))</f>
        <v>4500119.54</v>
      </c>
      <c r="K3786" s="54">
        <f>Gastos[[#This Row],[Importe AR$]]/$N$1</f>
        <v>2884.6920128205129</v>
      </c>
      <c r="M3786" s="69"/>
      <c r="N3786" s="43" t="str">
        <f>IF(Gastos[[#This Row],[Fecha_Cheque]]&gt;0,WEEKNUM(Gastos[[#This Row],[Fecha_Cheque]]),MID(Gastos[[#This Row],[Semana]],6,2))</f>
        <v>10</v>
      </c>
      <c r="O3786" t="s">
        <v>2649</v>
      </c>
      <c r="P3786" t="s">
        <v>27</v>
      </c>
    </row>
    <row r="3787" spans="1:16" hidden="1" x14ac:dyDescent="0.25">
      <c r="A3787" s="3" t="s">
        <v>828</v>
      </c>
      <c r="B3787" t="s">
        <v>2153</v>
      </c>
      <c r="C3787" t="s">
        <v>155</v>
      </c>
      <c r="D3787" t="s">
        <v>26</v>
      </c>
      <c r="E3787" t="s">
        <v>42</v>
      </c>
      <c r="F3787">
        <v>1</v>
      </c>
      <c r="G3787" s="3" t="s">
        <v>4</v>
      </c>
      <c r="H3787" s="44" t="s">
        <v>15</v>
      </c>
      <c r="I3787" s="17">
        <v>180009.64</v>
      </c>
      <c r="J3787" s="17">
        <f>IF(Gastos[[#This Row],[Divisa]]="$", I3787*1, IF(Gastos[[#This Row],[Divisa]]="U$D", I3787*$N$1, IF(Gastos[[#This Row],[Divisa]]="EUR", I3787*$N$2, 0)))</f>
        <v>180009.64</v>
      </c>
      <c r="K3787" s="54">
        <f>Gastos[[#This Row],[Importe AR$]]/$N$1</f>
        <v>115.39079487179488</v>
      </c>
      <c r="M3787" s="69"/>
      <c r="N3787" s="43" t="str">
        <f>IF(Gastos[[#This Row],[Fecha_Cheque]]&gt;0,WEEKNUM(Gastos[[#This Row],[Fecha_Cheque]]),MID(Gastos[[#This Row],[Semana]],6,2))</f>
        <v>13</v>
      </c>
      <c r="O3787" t="s">
        <v>2762</v>
      </c>
      <c r="P3787" t="s">
        <v>27</v>
      </c>
    </row>
    <row r="3788" spans="1:16" hidden="1" x14ac:dyDescent="0.25">
      <c r="A3788" s="3" t="s">
        <v>2740</v>
      </c>
      <c r="B3788" t="s">
        <v>2153</v>
      </c>
      <c r="C3788" t="s">
        <v>155</v>
      </c>
      <c r="D3788" t="s">
        <v>26</v>
      </c>
      <c r="E3788" t="s">
        <v>42</v>
      </c>
      <c r="F3788">
        <v>1</v>
      </c>
      <c r="G3788" s="3" t="s">
        <v>4</v>
      </c>
      <c r="H3788" s="44" t="s">
        <v>15</v>
      </c>
      <c r="I3788" s="17">
        <v>195022.91</v>
      </c>
      <c r="J3788" s="17">
        <f>IF(Gastos[[#This Row],[Divisa]]="$", I3788*1, IF(Gastos[[#This Row],[Divisa]]="U$D", I3788*$N$1, IF(Gastos[[#This Row],[Divisa]]="EUR", I3788*$N$2, 0)))</f>
        <v>195022.91</v>
      </c>
      <c r="K3788" s="54">
        <f>Gastos[[#This Row],[Importe AR$]]/$N$1</f>
        <v>125.0146858974359</v>
      </c>
      <c r="M3788" s="69"/>
      <c r="N3788" s="43" t="str">
        <f>IF(Gastos[[#This Row],[Fecha_Cheque]]&gt;0,WEEKNUM(Gastos[[#This Row],[Fecha_Cheque]]),MID(Gastos[[#This Row],[Semana]],6,2))</f>
        <v>16</v>
      </c>
      <c r="O3788" t="s">
        <v>3096</v>
      </c>
      <c r="P3788" t="s">
        <v>27</v>
      </c>
    </row>
    <row r="3789" spans="1:16" hidden="1" x14ac:dyDescent="0.25">
      <c r="A3789" s="3" t="s">
        <v>2773</v>
      </c>
      <c r="B3789" t="s">
        <v>2153</v>
      </c>
      <c r="C3789" t="s">
        <v>155</v>
      </c>
      <c r="D3789" t="s">
        <v>26</v>
      </c>
      <c r="E3789" t="s">
        <v>42</v>
      </c>
      <c r="F3789">
        <v>1</v>
      </c>
      <c r="G3789" s="3" t="s">
        <v>4</v>
      </c>
      <c r="H3789" s="44" t="s">
        <v>15</v>
      </c>
      <c r="I3789" s="17">
        <v>39999.1</v>
      </c>
      <c r="J3789" s="17">
        <f>IF(Gastos[[#This Row],[Divisa]]="$", I3789*1, IF(Gastos[[#This Row],[Divisa]]="U$D", I3789*$N$1, IF(Gastos[[#This Row],[Divisa]]="EUR", I3789*$N$2, 0)))</f>
        <v>39999.1</v>
      </c>
      <c r="K3789" s="54">
        <f>Gastos[[#This Row],[Importe AR$]]/$N$1</f>
        <v>25.640448717948718</v>
      </c>
      <c r="M3789" s="69"/>
      <c r="N3789" s="43" t="str">
        <f>IF(Gastos[[#This Row],[Fecha_Cheque]]&gt;0,WEEKNUM(Gastos[[#This Row],[Fecha_Cheque]]),MID(Gastos[[#This Row],[Semana]],6,2))</f>
        <v>20</v>
      </c>
      <c r="O3789" t="s">
        <v>3229</v>
      </c>
      <c r="P3789" t="s">
        <v>27</v>
      </c>
    </row>
    <row r="3790" spans="1:16" hidden="1" x14ac:dyDescent="0.25">
      <c r="A3790" s="3" t="s">
        <v>2773</v>
      </c>
      <c r="B3790" t="s">
        <v>2153</v>
      </c>
      <c r="C3790" t="s">
        <v>155</v>
      </c>
      <c r="D3790" t="s">
        <v>26</v>
      </c>
      <c r="E3790" t="s">
        <v>42</v>
      </c>
      <c r="F3790">
        <v>1</v>
      </c>
      <c r="G3790" s="3" t="s">
        <v>4</v>
      </c>
      <c r="H3790" s="44" t="s">
        <v>15</v>
      </c>
      <c r="I3790" s="17">
        <v>30006.95</v>
      </c>
      <c r="J3790" s="17">
        <f>IF(Gastos[[#This Row],[Divisa]]="$", I3790*1, IF(Gastos[[#This Row],[Divisa]]="U$D", I3790*$N$1, IF(Gastos[[#This Row],[Divisa]]="EUR", I3790*$N$2, 0)))</f>
        <v>30006.95</v>
      </c>
      <c r="K3790" s="54">
        <f>Gastos[[#This Row],[Importe AR$]]/$N$1</f>
        <v>19.23522435897436</v>
      </c>
      <c r="M3790" s="69"/>
      <c r="N3790" s="43" t="str">
        <f>IF(Gastos[[#This Row],[Fecha_Cheque]]&gt;0,WEEKNUM(Gastos[[#This Row],[Fecha_Cheque]]),MID(Gastos[[#This Row],[Semana]],6,2))</f>
        <v>20</v>
      </c>
      <c r="O3790" t="s">
        <v>3230</v>
      </c>
      <c r="P3790" t="s">
        <v>27</v>
      </c>
    </row>
    <row r="3791" spans="1:16" hidden="1" x14ac:dyDescent="0.25">
      <c r="A3791" s="3" t="s">
        <v>2763</v>
      </c>
      <c r="B3791" t="s">
        <v>2153</v>
      </c>
      <c r="C3791" t="s">
        <v>155</v>
      </c>
      <c r="D3791" t="s">
        <v>26</v>
      </c>
      <c r="E3791" t="s">
        <v>42</v>
      </c>
      <c r="F3791">
        <v>1</v>
      </c>
      <c r="G3791" s="3" t="s">
        <v>4</v>
      </c>
      <c r="H3791" s="44" t="s">
        <v>15</v>
      </c>
      <c r="I3791" s="17">
        <v>198007</v>
      </c>
      <c r="J3791" s="17">
        <f>IF(Gastos[[#This Row],[Divisa]]="$", I3791*1, IF(Gastos[[#This Row],[Divisa]]="U$D", I3791*$N$1, IF(Gastos[[#This Row],[Divisa]]="EUR", I3791*$N$2, 0)))</f>
        <v>198007</v>
      </c>
      <c r="K3791" s="54">
        <f>Gastos[[#This Row],[Importe AR$]]/$N$1</f>
        <v>126.92756410256411</v>
      </c>
      <c r="M3791" s="69"/>
      <c r="N3791" s="43" t="str">
        <f>IF(Gastos[[#This Row],[Fecha_Cheque]]&gt;0,WEEKNUM(Gastos[[#This Row],[Fecha_Cheque]]),MID(Gastos[[#This Row],[Semana]],6,2))</f>
        <v>23</v>
      </c>
      <c r="O3791" t="s">
        <v>3395</v>
      </c>
      <c r="P3791" t="s">
        <v>27</v>
      </c>
    </row>
    <row r="3792" spans="1:16" hidden="1" x14ac:dyDescent="0.25">
      <c r="A3792" s="3" t="s">
        <v>2763</v>
      </c>
      <c r="B3792" t="s">
        <v>2153</v>
      </c>
      <c r="C3792" t="s">
        <v>3396</v>
      </c>
      <c r="D3792" t="s">
        <v>26</v>
      </c>
      <c r="E3792" t="s">
        <v>42</v>
      </c>
      <c r="F3792">
        <v>1</v>
      </c>
      <c r="G3792" s="3" t="s">
        <v>4</v>
      </c>
      <c r="H3792" s="44" t="s">
        <v>15</v>
      </c>
      <c r="I3792" s="17">
        <v>379982</v>
      </c>
      <c r="J3792" s="17">
        <f>IF(Gastos[[#This Row],[Divisa]]="$", I3792*1, IF(Gastos[[#This Row],[Divisa]]="U$D", I3792*$N$1, IF(Gastos[[#This Row],[Divisa]]="EUR", I3792*$N$2, 0)))</f>
        <v>379982</v>
      </c>
      <c r="K3792" s="54">
        <f>Gastos[[#This Row],[Importe AR$]]/$N$1</f>
        <v>243.57820512820513</v>
      </c>
      <c r="M3792" s="69"/>
      <c r="N3792" s="43" t="str">
        <f>IF(Gastos[[#This Row],[Fecha_Cheque]]&gt;0,WEEKNUM(Gastos[[#This Row],[Fecha_Cheque]]),MID(Gastos[[#This Row],[Semana]],6,2))</f>
        <v>23</v>
      </c>
      <c r="O3792" t="s">
        <v>3397</v>
      </c>
      <c r="P3792" t="s">
        <v>27</v>
      </c>
    </row>
    <row r="3793" spans="1:16" hidden="1" x14ac:dyDescent="0.25">
      <c r="A3793" s="3" t="s">
        <v>3567</v>
      </c>
      <c r="B3793" t="s">
        <v>2153</v>
      </c>
      <c r="C3793" t="s">
        <v>155</v>
      </c>
      <c r="D3793" t="s">
        <v>26</v>
      </c>
      <c r="E3793" t="s">
        <v>42</v>
      </c>
      <c r="F3793">
        <v>1</v>
      </c>
      <c r="G3793" s="3" t="s">
        <v>4</v>
      </c>
      <c r="H3793" s="44" t="s">
        <v>15</v>
      </c>
      <c r="I3793" s="17">
        <v>50000</v>
      </c>
      <c r="J3793" s="17">
        <f>IF(Gastos[[#This Row],[Divisa]]="$", I3793*1, IF(Gastos[[#This Row],[Divisa]]="U$D", I3793*$N$1, IF(Gastos[[#This Row],[Divisa]]="EUR", I3793*$N$2, 0)))</f>
        <v>50000</v>
      </c>
      <c r="K3793" s="54">
        <f>Gastos[[#This Row],[Importe AR$]]/$N$1</f>
        <v>32.051282051282051</v>
      </c>
      <c r="M3793" s="69"/>
      <c r="N3793" s="43" t="str">
        <f>IF(Gastos[[#This Row],[Fecha_Cheque]]&gt;0,WEEKNUM(Gastos[[#This Row],[Fecha_Cheque]]),MID(Gastos[[#This Row],[Semana]],6,2))</f>
        <v>26</v>
      </c>
      <c r="O3793" t="s">
        <v>3601</v>
      </c>
      <c r="P3793" t="s">
        <v>27</v>
      </c>
    </row>
    <row r="3794" spans="1:16" hidden="1" x14ac:dyDescent="0.25">
      <c r="A3794" s="3" t="s">
        <v>3693</v>
      </c>
      <c r="B3794" t="s">
        <v>2153</v>
      </c>
      <c r="C3794" t="s">
        <v>155</v>
      </c>
      <c r="D3794" t="s">
        <v>26</v>
      </c>
      <c r="E3794" t="s">
        <v>42</v>
      </c>
      <c r="F3794">
        <v>1</v>
      </c>
      <c r="G3794" s="3" t="s">
        <v>4</v>
      </c>
      <c r="H3794" s="44" t="s">
        <v>15</v>
      </c>
      <c r="I3794" s="17">
        <v>50000</v>
      </c>
      <c r="J3794" s="17">
        <f>IF(Gastos[[#This Row],[Divisa]]="$", I3794*1, IF(Gastos[[#This Row],[Divisa]]="U$D", I3794*$N$1, IF(Gastos[[#This Row],[Divisa]]="EUR", I3794*$N$2, 0)))</f>
        <v>50000</v>
      </c>
      <c r="K3794" s="54">
        <f>Gastos[[#This Row],[Importe AR$]]/$N$1</f>
        <v>32.051282051282051</v>
      </c>
      <c r="M3794" s="69"/>
      <c r="N3794" s="43" t="str">
        <f>IF(Gastos[[#This Row],[Fecha_Cheque]]&gt;0,WEEKNUM(Gastos[[#This Row],[Fecha_Cheque]]),MID(Gastos[[#This Row],[Semana]],6,2))</f>
        <v>28</v>
      </c>
      <c r="O3794" t="s">
        <v>3699</v>
      </c>
      <c r="P3794" t="s">
        <v>27</v>
      </c>
    </row>
    <row r="3795" spans="1:16" hidden="1" x14ac:dyDescent="0.25">
      <c r="A3795" s="3" t="s">
        <v>3693</v>
      </c>
      <c r="B3795" t="s">
        <v>2153</v>
      </c>
      <c r="C3795" t="s">
        <v>155</v>
      </c>
      <c r="D3795" t="s">
        <v>26</v>
      </c>
      <c r="E3795" t="s">
        <v>42</v>
      </c>
      <c r="F3795">
        <v>1</v>
      </c>
      <c r="G3795" s="3" t="s">
        <v>4</v>
      </c>
      <c r="H3795" s="44" t="s">
        <v>15</v>
      </c>
      <c r="I3795" s="17">
        <v>80000</v>
      </c>
      <c r="J3795" s="17">
        <f>IF(Gastos[[#This Row],[Divisa]]="$", I3795*1, IF(Gastos[[#This Row],[Divisa]]="U$D", I3795*$N$1, IF(Gastos[[#This Row],[Divisa]]="EUR", I3795*$N$2, 0)))</f>
        <v>80000</v>
      </c>
      <c r="K3795" s="54">
        <f>Gastos[[#This Row],[Importe AR$]]/$N$1</f>
        <v>51.282051282051285</v>
      </c>
      <c r="M3795" s="69"/>
      <c r="N3795" s="43" t="str">
        <f>IF(Gastos[[#This Row],[Fecha_Cheque]]&gt;0,WEEKNUM(Gastos[[#This Row],[Fecha_Cheque]]),MID(Gastos[[#This Row],[Semana]],6,2))</f>
        <v>28</v>
      </c>
      <c r="O3795" t="s">
        <v>3717</v>
      </c>
      <c r="P3795" t="s">
        <v>27</v>
      </c>
    </row>
    <row r="3796" spans="1:16" hidden="1" x14ac:dyDescent="0.25">
      <c r="A3796" s="3" t="s">
        <v>3754</v>
      </c>
      <c r="B3796" t="s">
        <v>2153</v>
      </c>
      <c r="C3796" t="s">
        <v>155</v>
      </c>
      <c r="D3796" t="s">
        <v>26</v>
      </c>
      <c r="E3796" t="s">
        <v>42</v>
      </c>
      <c r="F3796">
        <v>1</v>
      </c>
      <c r="G3796" s="3" t="s">
        <v>4</v>
      </c>
      <c r="H3796" s="44" t="s">
        <v>15</v>
      </c>
      <c r="I3796" s="17">
        <v>161000.06</v>
      </c>
      <c r="J3796" s="17">
        <f>IF(Gastos[[#This Row],[Divisa]]="$", I3796*1, IF(Gastos[[#This Row],[Divisa]]="U$D", I3796*$N$1, IF(Gastos[[#This Row],[Divisa]]="EUR", I3796*$N$2, 0)))</f>
        <v>161000.06</v>
      </c>
      <c r="K3796" s="54">
        <f>Gastos[[#This Row],[Importe AR$]]/$N$1</f>
        <v>103.20516666666667</v>
      </c>
      <c r="M3796" s="69"/>
      <c r="N3796" s="43" t="str">
        <f>IF(Gastos[[#This Row],[Fecha_Cheque]]&gt;0,WEEKNUM(Gastos[[#This Row],[Fecha_Cheque]]),MID(Gastos[[#This Row],[Semana]],6,2))</f>
        <v>29</v>
      </c>
      <c r="O3796" t="s">
        <v>3786</v>
      </c>
      <c r="P3796" t="s">
        <v>27</v>
      </c>
    </row>
    <row r="3797" spans="1:16" hidden="1" x14ac:dyDescent="0.25">
      <c r="A3797" s="3" t="s">
        <v>3963</v>
      </c>
      <c r="B3797" t="s">
        <v>2153</v>
      </c>
      <c r="C3797" t="s">
        <v>155</v>
      </c>
      <c r="D3797" t="s">
        <v>26</v>
      </c>
      <c r="E3797" t="s">
        <v>42</v>
      </c>
      <c r="F3797">
        <v>1</v>
      </c>
      <c r="G3797" s="3" t="s">
        <v>4</v>
      </c>
      <c r="H3797" s="44" t="s">
        <v>15</v>
      </c>
      <c r="I3797" s="17">
        <v>50005</v>
      </c>
      <c r="J3797" s="17">
        <f>IF(Gastos[[#This Row],[Divisa]]="$", I3797*1, IF(Gastos[[#This Row],[Divisa]]="U$D", I3797*$N$1, IF(Gastos[[#This Row],[Divisa]]="EUR", I3797*$N$2, 0)))</f>
        <v>50005</v>
      </c>
      <c r="K3797" s="54">
        <f>Gastos[[#This Row],[Importe AR$]]/$N$1</f>
        <v>32.054487179487182</v>
      </c>
      <c r="M3797" s="69"/>
      <c r="N3797" s="43" t="str">
        <f>IF(Gastos[[#This Row],[Fecha_Cheque]]&gt;0,WEEKNUM(Gastos[[#This Row],[Fecha_Cheque]]),MID(Gastos[[#This Row],[Semana]],6,2))</f>
        <v>32</v>
      </c>
      <c r="O3797" t="s">
        <v>3987</v>
      </c>
      <c r="P3797" t="s">
        <v>27</v>
      </c>
    </row>
    <row r="3798" spans="1:16" hidden="1" x14ac:dyDescent="0.25">
      <c r="A3798" s="3" t="s">
        <v>4119</v>
      </c>
      <c r="B3798" t="s">
        <v>2153</v>
      </c>
      <c r="C3798" t="s">
        <v>155</v>
      </c>
      <c r="D3798" t="s">
        <v>26</v>
      </c>
      <c r="E3798" t="s">
        <v>42</v>
      </c>
      <c r="F3798">
        <v>1</v>
      </c>
      <c r="G3798" s="3" t="s">
        <v>4</v>
      </c>
      <c r="H3798" s="44" t="s">
        <v>15</v>
      </c>
      <c r="I3798" s="17">
        <v>100000</v>
      </c>
      <c r="J3798" s="17">
        <f>IF(Gastos[[#This Row],[Divisa]]="$", I3798*1, IF(Gastos[[#This Row],[Divisa]]="U$D", I3798*$N$1, IF(Gastos[[#This Row],[Divisa]]="EUR", I3798*$N$2, 0)))</f>
        <v>100000</v>
      </c>
      <c r="K3798" s="54">
        <f>Gastos[[#This Row],[Importe AR$]]/$N$1</f>
        <v>64.102564102564102</v>
      </c>
      <c r="M3798" s="69"/>
      <c r="N3798" s="43" t="str">
        <f>IF(Gastos[[#This Row],[Fecha_Cheque]]&gt;0,WEEKNUM(Gastos[[#This Row],[Fecha_Cheque]]),MID(Gastos[[#This Row],[Semana]],6,2))</f>
        <v>35</v>
      </c>
      <c r="O3798" t="s">
        <v>4150</v>
      </c>
      <c r="P3798" t="s">
        <v>27</v>
      </c>
    </row>
    <row r="3799" spans="1:16" hidden="1" x14ac:dyDescent="0.25">
      <c r="A3799" s="3" t="s">
        <v>4157</v>
      </c>
      <c r="B3799" t="s">
        <v>2153</v>
      </c>
      <c r="C3799" t="s">
        <v>155</v>
      </c>
      <c r="D3799" t="s">
        <v>26</v>
      </c>
      <c r="E3799" t="s">
        <v>42</v>
      </c>
      <c r="F3799">
        <v>1</v>
      </c>
      <c r="G3799" s="3" t="s">
        <v>4</v>
      </c>
      <c r="H3799" s="44" t="s">
        <v>15</v>
      </c>
      <c r="I3799" s="17">
        <v>50005</v>
      </c>
      <c r="J3799" s="17">
        <f>IF(Gastos[[#This Row],[Divisa]]="$", I3799*1, IF(Gastos[[#This Row],[Divisa]]="U$D", I3799*$N$1, IF(Gastos[[#This Row],[Divisa]]="EUR", I3799*$N$2, 0)))</f>
        <v>50005</v>
      </c>
      <c r="K3799" s="54">
        <f>Gastos[[#This Row],[Importe AR$]]/$N$1</f>
        <v>32.054487179487182</v>
      </c>
      <c r="M3799" s="69"/>
      <c r="N3799" s="43" t="str">
        <f>IF(Gastos[[#This Row],[Fecha_Cheque]]&gt;0,WEEKNUM(Gastos[[#This Row],[Fecha_Cheque]]),MID(Gastos[[#This Row],[Semana]],6,2))</f>
        <v>36</v>
      </c>
      <c r="O3799" t="s">
        <v>4200</v>
      </c>
      <c r="P3799" t="s">
        <v>27</v>
      </c>
    </row>
    <row r="3800" spans="1:16" hidden="1" x14ac:dyDescent="0.25">
      <c r="A3800" s="3" t="s">
        <v>4211</v>
      </c>
      <c r="B3800" t="s">
        <v>2153</v>
      </c>
      <c r="C3800" t="s">
        <v>155</v>
      </c>
      <c r="D3800" t="s">
        <v>26</v>
      </c>
      <c r="E3800" t="s">
        <v>42</v>
      </c>
      <c r="F3800">
        <v>1</v>
      </c>
      <c r="G3800" s="3" t="s">
        <v>4</v>
      </c>
      <c r="H3800" s="44" t="s">
        <v>15</v>
      </c>
      <c r="I3800" s="17">
        <v>50005</v>
      </c>
      <c r="J3800" s="17">
        <f>IF(Gastos[[#This Row],[Divisa]]="$", I3800*1, IF(Gastos[[#This Row],[Divisa]]="U$D", I3800*$N$1, IF(Gastos[[#This Row],[Divisa]]="EUR", I3800*$N$2, 0)))</f>
        <v>50005</v>
      </c>
      <c r="K3800" s="54">
        <f>Gastos[[#This Row],[Importe AR$]]/$N$1</f>
        <v>32.054487179487182</v>
      </c>
      <c r="M3800" s="69"/>
      <c r="N3800" s="43" t="str">
        <f>IF(Gastos[[#This Row],[Fecha_Cheque]]&gt;0,WEEKNUM(Gastos[[#This Row],[Fecha_Cheque]]),MID(Gastos[[#This Row],[Semana]],6,2))</f>
        <v>37</v>
      </c>
      <c r="O3800" t="s">
        <v>4297</v>
      </c>
      <c r="P3800" t="s">
        <v>27</v>
      </c>
    </row>
    <row r="3801" spans="1:16" x14ac:dyDescent="0.25">
      <c r="A3801" s="3" t="s">
        <v>4655</v>
      </c>
      <c r="B3801" t="s">
        <v>2019</v>
      </c>
      <c r="C3801" t="s">
        <v>4595</v>
      </c>
      <c r="D3801" t="s">
        <v>26</v>
      </c>
      <c r="E3801" t="s">
        <v>31</v>
      </c>
      <c r="F3801">
        <v>1</v>
      </c>
      <c r="G3801" s="3" t="s">
        <v>32</v>
      </c>
      <c r="H3801" s="44" t="s">
        <v>15</v>
      </c>
      <c r="I3801" s="17">
        <f>13880666.25-9514710.75</f>
        <v>4365955.5</v>
      </c>
      <c r="J3801" s="17">
        <f>IF(Gastos[[#This Row],[Divisa]]="$", I3801*1, IF(Gastos[[#This Row],[Divisa]]="U$D", I3801*$N$1, IF(Gastos[[#This Row],[Divisa]]="EUR", I3801*$N$2, 0)))</f>
        <v>4365955.5</v>
      </c>
      <c r="K3801" s="54">
        <f>Gastos[[#This Row],[Importe AR$]]/$N$1</f>
        <v>2798.689423076923</v>
      </c>
      <c r="M3801" s="69"/>
      <c r="N3801" s="43" t="str">
        <f>IF(Gastos[[#This Row],[Fecha_Cheque]]&gt;0,WEEKNUM(Gastos[[#This Row],[Fecha_Cheque]]),MID(Gastos[[#This Row],[Semana]],6,2))</f>
        <v>44</v>
      </c>
      <c r="P3801" t="s">
        <v>7</v>
      </c>
    </row>
    <row r="3802" spans="1:16" x14ac:dyDescent="0.25">
      <c r="A3802" s="3" t="s">
        <v>4655</v>
      </c>
      <c r="B3802" t="s">
        <v>2019</v>
      </c>
      <c r="C3802" t="s">
        <v>4595</v>
      </c>
      <c r="D3802" t="s">
        <v>26</v>
      </c>
      <c r="E3802" t="s">
        <v>31</v>
      </c>
      <c r="F3802">
        <v>1</v>
      </c>
      <c r="G3802" s="3" t="s">
        <v>32</v>
      </c>
      <c r="H3802" s="44" t="s">
        <v>15</v>
      </c>
      <c r="I3802" s="17">
        <v>5000000</v>
      </c>
      <c r="J3802" s="17">
        <f>IF(Gastos[[#This Row],[Divisa]]="$", I3802*1, IF(Gastos[[#This Row],[Divisa]]="U$D", I3802*$N$1, IF(Gastos[[#This Row],[Divisa]]="EUR", I3802*$N$2, 0)))</f>
        <v>5000000</v>
      </c>
      <c r="K3802" s="54">
        <f>Gastos[[#This Row],[Importe AR$]]/$N$1</f>
        <v>3205.1282051282051</v>
      </c>
      <c r="M3802" s="69">
        <v>46341</v>
      </c>
      <c r="N3802" s="43">
        <f>IF(Gastos[[#This Row],[Fecha_Cheque]]&gt;0,WEEKNUM(Gastos[[#This Row],[Fecha_Cheque]]),MID(Gastos[[#This Row],[Semana]],6,2))</f>
        <v>47</v>
      </c>
      <c r="O3802" t="s">
        <v>4673</v>
      </c>
      <c r="P3802" t="s">
        <v>27</v>
      </c>
    </row>
    <row r="3803" spans="1:16" hidden="1" x14ac:dyDescent="0.25">
      <c r="A3803" s="3" t="s">
        <v>4569</v>
      </c>
      <c r="B3803" t="s">
        <v>2153</v>
      </c>
      <c r="C3803" t="s">
        <v>155</v>
      </c>
      <c r="D3803" t="s">
        <v>26</v>
      </c>
      <c r="E3803" t="s">
        <v>42</v>
      </c>
      <c r="F3803">
        <v>1</v>
      </c>
      <c r="G3803" s="3" t="s">
        <v>4</v>
      </c>
      <c r="H3803" s="44" t="s">
        <v>15</v>
      </c>
      <c r="I3803" s="17">
        <v>50014</v>
      </c>
      <c r="J3803" s="17">
        <f>IF(Gastos[[#This Row],[Divisa]]="$", I3803*1, IF(Gastos[[#This Row],[Divisa]]="U$D", I3803*$N$1, IF(Gastos[[#This Row],[Divisa]]="EUR", I3803*$N$2, 0)))</f>
        <v>50014</v>
      </c>
      <c r="K3803" s="54">
        <f>Gastos[[#This Row],[Importe AR$]]/$N$1</f>
        <v>32.060256410256407</v>
      </c>
      <c r="M3803" s="69"/>
      <c r="N3803" s="43" t="str">
        <f>IF(Gastos[[#This Row],[Fecha_Cheque]]&gt;0,WEEKNUM(Gastos[[#This Row],[Fecha_Cheque]]),MID(Gastos[[#This Row],[Semana]],6,2))</f>
        <v>43</v>
      </c>
      <c r="O3803" t="s">
        <v>4571</v>
      </c>
      <c r="P3803" t="s">
        <v>27</v>
      </c>
    </row>
    <row r="3804" spans="1:16" hidden="1" x14ac:dyDescent="0.25">
      <c r="A3804" s="3" t="s">
        <v>99</v>
      </c>
      <c r="B3804" t="s">
        <v>2163</v>
      </c>
      <c r="C3804" t="s">
        <v>155</v>
      </c>
      <c r="D3804" t="s">
        <v>26</v>
      </c>
      <c r="E3804" t="s">
        <v>42</v>
      </c>
      <c r="F3804">
        <v>1</v>
      </c>
      <c r="G3804" s="3" t="s">
        <v>4</v>
      </c>
      <c r="H3804" s="46" t="s">
        <v>15</v>
      </c>
      <c r="I3804" s="17">
        <v>100025.38</v>
      </c>
      <c r="J3804" s="17">
        <f>IF(Gastos[[#This Row],[Divisa]]="$", I3804*1, IF(Gastos[[#This Row],[Divisa]]="U$D", I3804*$N$1, IF(Gastos[[#This Row],[Divisa]]="EUR", I3804*$N$2, 0)))</f>
        <v>100025.38</v>
      </c>
      <c r="K3804" s="54">
        <f>Gastos[[#This Row],[Importe AR$]]/$N$1</f>
        <v>64.118833333333342</v>
      </c>
      <c r="M3804" s="69"/>
      <c r="N3804" s="43" t="str">
        <f>IF(Gastos[[#This Row],[Fecha_Cheque]]&gt;0,WEEKNUM(Gastos[[#This Row],[Fecha_Cheque]]),MID(Gastos[[#This Row],[Semana]],6,2))</f>
        <v>28</v>
      </c>
      <c r="O3804" t="s">
        <v>2164</v>
      </c>
      <c r="P3804" t="s">
        <v>27</v>
      </c>
    </row>
    <row r="3805" spans="1:16" hidden="1" x14ac:dyDescent="0.25">
      <c r="A3805" s="3" t="s">
        <v>114</v>
      </c>
      <c r="B3805" t="s">
        <v>2163</v>
      </c>
      <c r="C3805" t="s">
        <v>155</v>
      </c>
      <c r="D3805" t="s">
        <v>26</v>
      </c>
      <c r="E3805" t="s">
        <v>42</v>
      </c>
      <c r="F3805">
        <v>1</v>
      </c>
      <c r="G3805" s="3" t="s">
        <v>4</v>
      </c>
      <c r="H3805" s="46" t="s">
        <v>15</v>
      </c>
      <c r="I3805" s="17">
        <v>103007</v>
      </c>
      <c r="J3805" s="17">
        <f>IF(Gastos[[#This Row],[Divisa]]="$", I3805*1, IF(Gastos[[#This Row],[Divisa]]="U$D", I3805*$N$1, IF(Gastos[[#This Row],[Divisa]]="EUR", I3805*$N$2, 0)))</f>
        <v>103007</v>
      </c>
      <c r="K3805" s="54">
        <f>Gastos[[#This Row],[Importe AR$]]/$N$1</f>
        <v>66.030128205128207</v>
      </c>
      <c r="M3805" s="69"/>
      <c r="N3805" s="43" t="str">
        <f>IF(Gastos[[#This Row],[Fecha_Cheque]]&gt;0,WEEKNUM(Gastos[[#This Row],[Fecha_Cheque]]),MID(Gastos[[#This Row],[Semana]],6,2))</f>
        <v>29</v>
      </c>
      <c r="O3805" t="s">
        <v>2165</v>
      </c>
      <c r="P3805" t="s">
        <v>27</v>
      </c>
    </row>
    <row r="3806" spans="1:16" hidden="1" x14ac:dyDescent="0.25">
      <c r="A3806" s="3" t="s">
        <v>34</v>
      </c>
      <c r="B3806" t="s">
        <v>2163</v>
      </c>
      <c r="C3806" t="s">
        <v>155</v>
      </c>
      <c r="D3806" t="s">
        <v>26</v>
      </c>
      <c r="E3806" t="s">
        <v>42</v>
      </c>
      <c r="F3806">
        <v>1</v>
      </c>
      <c r="G3806" s="3" t="s">
        <v>4</v>
      </c>
      <c r="H3806" s="46" t="s">
        <v>15</v>
      </c>
      <c r="I3806" s="17">
        <v>102953.01</v>
      </c>
      <c r="J3806" s="17">
        <f>IF(Gastos[[#This Row],[Divisa]]="$", I3806*1, IF(Gastos[[#This Row],[Divisa]]="U$D", I3806*$N$1, IF(Gastos[[#This Row],[Divisa]]="EUR", I3806*$N$2, 0)))</f>
        <v>102953.01</v>
      </c>
      <c r="K3806" s="54">
        <f>Gastos[[#This Row],[Importe AR$]]/$N$1</f>
        <v>65.995519230769233</v>
      </c>
      <c r="M3806" s="69"/>
      <c r="N3806" s="43" t="str">
        <f>IF(Gastos[[#This Row],[Fecha_Cheque]]&gt;0,WEEKNUM(Gastos[[#This Row],[Fecha_Cheque]]),MID(Gastos[[#This Row],[Semana]],6,2))</f>
        <v>32</v>
      </c>
      <c r="P3806" t="s">
        <v>27</v>
      </c>
    </row>
    <row r="3807" spans="1:16" hidden="1" x14ac:dyDescent="0.25">
      <c r="A3807" s="3" t="s">
        <v>139</v>
      </c>
      <c r="B3807" t="s">
        <v>2166</v>
      </c>
      <c r="C3807" t="s">
        <v>2167</v>
      </c>
      <c r="D3807" t="s">
        <v>26</v>
      </c>
      <c r="E3807" t="s">
        <v>31</v>
      </c>
      <c r="F3807">
        <v>1</v>
      </c>
      <c r="G3807" s="3" t="s">
        <v>5</v>
      </c>
      <c r="H3807" s="46" t="s">
        <v>15</v>
      </c>
      <c r="I3807" s="17">
        <v>40000</v>
      </c>
      <c r="J3807" s="17">
        <f>IF(Gastos[[#This Row],[Divisa]]="$", I3807*1, IF(Gastos[[#This Row],[Divisa]]="U$D", I3807*$N$1, IF(Gastos[[#This Row],[Divisa]]="EUR", I3807*$N$2, 0)))</f>
        <v>40000</v>
      </c>
      <c r="K3807" s="54">
        <f>Gastos[[#This Row],[Importe AR$]]/$N$1</f>
        <v>25.641025641025642</v>
      </c>
      <c r="M3807" s="69"/>
      <c r="N3807" s="43" t="str">
        <f>IF(Gastos[[#This Row],[Fecha_Cheque]]&gt;0,WEEKNUM(Gastos[[#This Row],[Fecha_Cheque]]),MID(Gastos[[#This Row],[Semana]],6,2))</f>
        <v>08</v>
      </c>
      <c r="O3807" t="s">
        <v>2168</v>
      </c>
      <c r="P3807" t="s">
        <v>27</v>
      </c>
    </row>
    <row r="3808" spans="1:16" hidden="1" x14ac:dyDescent="0.25">
      <c r="A3808" s="3" t="s">
        <v>206</v>
      </c>
      <c r="B3808" t="s">
        <v>2169</v>
      </c>
      <c r="D3808" t="s">
        <v>26</v>
      </c>
      <c r="E3808" t="s">
        <v>31</v>
      </c>
      <c r="F3808">
        <v>1</v>
      </c>
      <c r="G3808" s="3" t="s">
        <v>5</v>
      </c>
      <c r="H3808" s="46" t="s">
        <v>15</v>
      </c>
      <c r="I3808" s="17">
        <v>2119693.33</v>
      </c>
      <c r="J3808" s="17">
        <f>IF(Gastos[[#This Row],[Divisa]]="$", I3808*1, IF(Gastos[[#This Row],[Divisa]]="U$D", I3808*$N$1, IF(Gastos[[#This Row],[Divisa]]="EUR", I3808*$N$2, 0)))</f>
        <v>2119693.33</v>
      </c>
      <c r="K3808" s="54">
        <f>Gastos[[#This Row],[Importe AR$]]/$N$1</f>
        <v>1358.7777756410258</v>
      </c>
      <c r="M3808" s="69"/>
      <c r="N3808" s="43" t="str">
        <f>IF(Gastos[[#This Row],[Fecha_Cheque]]&gt;0,WEEKNUM(Gastos[[#This Row],[Fecha_Cheque]]),MID(Gastos[[#This Row],[Semana]],6,2))</f>
        <v>06</v>
      </c>
      <c r="O3808" t="s">
        <v>2170</v>
      </c>
      <c r="P3808" t="s">
        <v>27</v>
      </c>
    </row>
    <row r="3809" spans="1:16" hidden="1" x14ac:dyDescent="0.25">
      <c r="A3809" s="3" t="s">
        <v>206</v>
      </c>
      <c r="B3809" t="s">
        <v>2169</v>
      </c>
      <c r="D3809" t="s">
        <v>26</v>
      </c>
      <c r="E3809" t="s">
        <v>31</v>
      </c>
      <c r="F3809">
        <v>1</v>
      </c>
      <c r="G3809" s="3" t="s">
        <v>32</v>
      </c>
      <c r="H3809" s="46" t="s">
        <v>15</v>
      </c>
      <c r="I3809" s="17">
        <v>2119693.33</v>
      </c>
      <c r="J3809" s="17">
        <f>IF(Gastos[[#This Row],[Divisa]]="$", I3809*1, IF(Gastos[[#This Row],[Divisa]]="U$D", I3809*$N$1, IF(Gastos[[#This Row],[Divisa]]="EUR", I3809*$N$2, 0)))</f>
        <v>2119693.33</v>
      </c>
      <c r="K3809" s="54">
        <f>Gastos[[#This Row],[Importe AR$]]/$N$1</f>
        <v>1358.7777756410258</v>
      </c>
      <c r="M3809" s="69">
        <v>46083</v>
      </c>
      <c r="N3809" s="43">
        <f>IF(Gastos[[#This Row],[Fecha_Cheque]]&gt;0,WEEKNUM(Gastos[[#This Row],[Fecha_Cheque]]),MID(Gastos[[#This Row],[Semana]],6,2))</f>
        <v>10</v>
      </c>
      <c r="O3809" t="s">
        <v>2170</v>
      </c>
      <c r="P3809" t="s">
        <v>27</v>
      </c>
    </row>
    <row r="3810" spans="1:16" hidden="1" x14ac:dyDescent="0.25">
      <c r="A3810" s="3" t="s">
        <v>206</v>
      </c>
      <c r="B3810" t="s">
        <v>2169</v>
      </c>
      <c r="D3810" t="s">
        <v>26</v>
      </c>
      <c r="E3810" t="s">
        <v>31</v>
      </c>
      <c r="F3810">
        <v>1</v>
      </c>
      <c r="G3810" s="3" t="s">
        <v>32</v>
      </c>
      <c r="H3810" s="46" t="s">
        <v>15</v>
      </c>
      <c r="I3810" s="17">
        <v>2119693.34</v>
      </c>
      <c r="J3810" s="17">
        <f>IF(Gastos[[#This Row],[Divisa]]="$", I3810*1, IF(Gastos[[#This Row],[Divisa]]="U$D", I3810*$N$1, IF(Gastos[[#This Row],[Divisa]]="EUR", I3810*$N$2, 0)))</f>
        <v>2119693.34</v>
      </c>
      <c r="K3810" s="54">
        <f>Gastos[[#This Row],[Importe AR$]]/$N$1</f>
        <v>1358.777782051282</v>
      </c>
      <c r="M3810" s="69">
        <v>46114</v>
      </c>
      <c r="N3810" s="43">
        <f>IF(Gastos[[#This Row],[Fecha_Cheque]]&gt;0,WEEKNUM(Gastos[[#This Row],[Fecha_Cheque]]),MID(Gastos[[#This Row],[Semana]],6,2))</f>
        <v>14</v>
      </c>
      <c r="O3810" t="s">
        <v>2170</v>
      </c>
      <c r="P3810" t="s">
        <v>27</v>
      </c>
    </row>
    <row r="3811" spans="1:16" hidden="1" x14ac:dyDescent="0.25">
      <c r="A3811" s="3" t="s">
        <v>2841</v>
      </c>
      <c r="B3811" t="s">
        <v>3321</v>
      </c>
      <c r="C3811" t="s">
        <v>3322</v>
      </c>
      <c r="D3811" t="s">
        <v>26</v>
      </c>
      <c r="E3811" t="s">
        <v>31</v>
      </c>
      <c r="F3811">
        <v>1</v>
      </c>
      <c r="G3811" s="3" t="s">
        <v>5</v>
      </c>
      <c r="H3811" s="44" t="s">
        <v>15</v>
      </c>
      <c r="I3811" s="17">
        <v>50000</v>
      </c>
      <c r="J3811" s="17">
        <f>IF(Gastos[[#This Row],[Divisa]]="$", I3811*1, IF(Gastos[[#This Row],[Divisa]]="U$D", I3811*$N$1, IF(Gastos[[#This Row],[Divisa]]="EUR", I3811*$N$2, 0)))</f>
        <v>50000</v>
      </c>
      <c r="K3811" s="54">
        <f>Gastos[[#This Row],[Importe AR$]]/$N$1</f>
        <v>32.051282051282051</v>
      </c>
      <c r="M3811" s="69"/>
      <c r="N3811" s="43" t="str">
        <f>IF(Gastos[[#This Row],[Fecha_Cheque]]&gt;0,WEEKNUM(Gastos[[#This Row],[Fecha_Cheque]]),MID(Gastos[[#This Row],[Semana]],6,2))</f>
        <v>22</v>
      </c>
      <c r="O3811" t="s">
        <v>3323</v>
      </c>
      <c r="P3811" t="s">
        <v>27</v>
      </c>
    </row>
    <row r="3812" spans="1:16" hidden="1" x14ac:dyDescent="0.25">
      <c r="A3812" s="3" t="s">
        <v>290</v>
      </c>
      <c r="B3812" t="s">
        <v>2171</v>
      </c>
      <c r="C3812" t="s">
        <v>2172</v>
      </c>
      <c r="D3812" t="s">
        <v>97</v>
      </c>
      <c r="E3812" t="s">
        <v>62</v>
      </c>
      <c r="F3812">
        <v>1</v>
      </c>
      <c r="G3812" s="3" t="s">
        <v>32</v>
      </c>
      <c r="H3812" s="46" t="s">
        <v>15</v>
      </c>
      <c r="I3812" s="17">
        <v>5308355</v>
      </c>
      <c r="J3812" s="17">
        <f>IF(Gastos[[#This Row],[Divisa]]="$", I3812*1, IF(Gastos[[#This Row],[Divisa]]="U$D", I3812*$N$1, IF(Gastos[[#This Row],[Divisa]]="EUR", I3812*$N$2, 0)))</f>
        <v>5308355</v>
      </c>
      <c r="K3812" s="54">
        <f>Gastos[[#This Row],[Importe AR$]]/$N$1</f>
        <v>3402.7916666666665</v>
      </c>
      <c r="L3812" t="s">
        <v>2173</v>
      </c>
      <c r="M3812" s="69"/>
      <c r="N3812" s="43" t="str">
        <f>IF(Gastos[[#This Row],[Fecha_Cheque]]&gt;0,WEEKNUM(Gastos[[#This Row],[Fecha_Cheque]]),MID(Gastos[[#This Row],[Semana]],6,2))</f>
        <v>23</v>
      </c>
      <c r="O3812" s="8" t="s">
        <v>2174</v>
      </c>
      <c r="P3812" t="s">
        <v>27</v>
      </c>
    </row>
    <row r="3813" spans="1:16" hidden="1" x14ac:dyDescent="0.25">
      <c r="A3813" s="3" t="s">
        <v>85</v>
      </c>
      <c r="B3813" t="s">
        <v>2171</v>
      </c>
      <c r="C3813" t="s">
        <v>2175</v>
      </c>
      <c r="D3813" t="s">
        <v>97</v>
      </c>
      <c r="E3813" t="s">
        <v>31</v>
      </c>
      <c r="F3813">
        <v>1</v>
      </c>
      <c r="G3813" s="3" t="s">
        <v>32</v>
      </c>
      <c r="H3813" s="46" t="s">
        <v>15</v>
      </c>
      <c r="I3813" s="17">
        <f>34495778.08/2</f>
        <v>17247889.039999999</v>
      </c>
      <c r="J3813" s="17">
        <f>IF(Gastos[[#This Row],[Divisa]]="$", I3813*1, IF(Gastos[[#This Row],[Divisa]]="U$D", I3813*$N$1, IF(Gastos[[#This Row],[Divisa]]="EUR", I3813*$N$2, 0)))</f>
        <v>17247889.039999999</v>
      </c>
      <c r="K3813" s="54">
        <f>Gastos[[#This Row],[Importe AR$]]/$N$1</f>
        <v>11056.339128205127</v>
      </c>
      <c r="L3813" t="s">
        <v>215</v>
      </c>
      <c r="M3813" s="69">
        <v>45863</v>
      </c>
      <c r="N3813" s="43">
        <f>IF(Gastos[[#This Row],[Fecha_Cheque]]&gt;0,WEEKNUM(Gastos[[#This Row],[Fecha_Cheque]]),MID(Gastos[[#This Row],[Semana]],6,2))</f>
        <v>30</v>
      </c>
      <c r="O3813" s="8" t="s">
        <v>2176</v>
      </c>
      <c r="P3813" t="s">
        <v>27</v>
      </c>
    </row>
    <row r="3814" spans="1:16" hidden="1" x14ac:dyDescent="0.25">
      <c r="A3814" s="3" t="s">
        <v>85</v>
      </c>
      <c r="B3814" t="s">
        <v>2171</v>
      </c>
      <c r="C3814" t="s">
        <v>2175</v>
      </c>
      <c r="D3814" t="s">
        <v>97</v>
      </c>
      <c r="E3814" t="s">
        <v>31</v>
      </c>
      <c r="F3814">
        <v>1</v>
      </c>
      <c r="G3814" s="3" t="s">
        <v>32</v>
      </c>
      <c r="H3814" s="46" t="s">
        <v>15</v>
      </c>
      <c r="I3814" s="17">
        <f>34495778.08/2</f>
        <v>17247889.039999999</v>
      </c>
      <c r="J3814" s="17">
        <f>IF(Gastos[[#This Row],[Divisa]]="$", I3814*1, IF(Gastos[[#This Row],[Divisa]]="U$D", I3814*$N$1, IF(Gastos[[#This Row],[Divisa]]="EUR", I3814*$N$2, 0)))</f>
        <v>17247889.039999999</v>
      </c>
      <c r="K3814" s="54">
        <f>Gastos[[#This Row],[Importe AR$]]/$N$1</f>
        <v>11056.339128205127</v>
      </c>
      <c r="L3814" t="s">
        <v>1199</v>
      </c>
      <c r="M3814" s="69">
        <v>45894</v>
      </c>
      <c r="N3814" s="43">
        <f>IF(Gastos[[#This Row],[Fecha_Cheque]]&gt;0,WEEKNUM(Gastos[[#This Row],[Fecha_Cheque]]),MID(Gastos[[#This Row],[Semana]],6,2))</f>
        <v>35</v>
      </c>
      <c r="O3814" s="8" t="s">
        <v>2176</v>
      </c>
      <c r="P3814" t="s">
        <v>27</v>
      </c>
    </row>
    <row r="3815" spans="1:16" hidden="1" x14ac:dyDescent="0.25">
      <c r="A3815" s="3" t="s">
        <v>34</v>
      </c>
      <c r="B3815" t="s">
        <v>2171</v>
      </c>
      <c r="C3815" t="s">
        <v>2177</v>
      </c>
      <c r="D3815" t="s">
        <v>26</v>
      </c>
      <c r="E3815" t="s">
        <v>31</v>
      </c>
      <c r="F3815">
        <v>1</v>
      </c>
      <c r="G3815" s="3" t="s">
        <v>32</v>
      </c>
      <c r="H3815" s="46" t="s">
        <v>15</v>
      </c>
      <c r="I3815" s="17">
        <v>307623.40000000002</v>
      </c>
      <c r="J3815" s="17">
        <f>IF(Gastos[[#This Row],[Divisa]]="$", I3815*1, IF(Gastos[[#This Row],[Divisa]]="U$D", I3815*$N$1, IF(Gastos[[#This Row],[Divisa]]="EUR", I3815*$N$2, 0)))</f>
        <v>307623.40000000002</v>
      </c>
      <c r="K3815" s="54">
        <f>Gastos[[#This Row],[Importe AR$]]/$N$1</f>
        <v>197.1944871794872</v>
      </c>
      <c r="L3815" t="s">
        <v>215</v>
      </c>
      <c r="M3815" s="69">
        <v>45869</v>
      </c>
      <c r="N3815" s="43">
        <f>IF(Gastos[[#This Row],[Fecha_Cheque]]&gt;0,WEEKNUM(Gastos[[#This Row],[Fecha_Cheque]]),MID(Gastos[[#This Row],[Semana]],6,2))</f>
        <v>31</v>
      </c>
      <c r="P3815" t="s">
        <v>27</v>
      </c>
    </row>
    <row r="3816" spans="1:16" hidden="1" x14ac:dyDescent="0.25">
      <c r="A3816" s="3" t="s">
        <v>34</v>
      </c>
      <c r="B3816" t="s">
        <v>2171</v>
      </c>
      <c r="C3816" t="s">
        <v>2177</v>
      </c>
      <c r="D3816" t="s">
        <v>26</v>
      </c>
      <c r="E3816" t="s">
        <v>31</v>
      </c>
      <c r="F3816">
        <v>1</v>
      </c>
      <c r="G3816" s="3" t="s">
        <v>32</v>
      </c>
      <c r="H3816" s="46" t="s">
        <v>15</v>
      </c>
      <c r="I3816" s="17">
        <v>406441</v>
      </c>
      <c r="J3816" s="17">
        <f>IF(Gastos[[#This Row],[Divisa]]="$", I3816*1, IF(Gastos[[#This Row],[Divisa]]="U$D", I3816*$N$1, IF(Gastos[[#This Row],[Divisa]]="EUR", I3816*$N$2, 0)))</f>
        <v>406441</v>
      </c>
      <c r="K3816" s="54">
        <f>Gastos[[#This Row],[Importe AR$]]/$N$1</f>
        <v>260.53910256410256</v>
      </c>
      <c r="L3816" t="s">
        <v>215</v>
      </c>
      <c r="M3816" s="69">
        <v>45866</v>
      </c>
      <c r="N3816" s="43">
        <f>IF(Gastos[[#This Row],[Fecha_Cheque]]&gt;0,WEEKNUM(Gastos[[#This Row],[Fecha_Cheque]]),MID(Gastos[[#This Row],[Semana]],6,2))</f>
        <v>31</v>
      </c>
      <c r="P3816" t="s">
        <v>27</v>
      </c>
    </row>
    <row r="3817" spans="1:16" hidden="1" x14ac:dyDescent="0.25">
      <c r="A3817" s="3" t="s">
        <v>34</v>
      </c>
      <c r="B3817" t="s">
        <v>2171</v>
      </c>
      <c r="C3817" t="s">
        <v>2177</v>
      </c>
      <c r="D3817" t="s">
        <v>26</v>
      </c>
      <c r="E3817" t="s">
        <v>31</v>
      </c>
      <c r="F3817">
        <v>1</v>
      </c>
      <c r="G3817" s="3" t="s">
        <v>32</v>
      </c>
      <c r="H3817" s="46" t="s">
        <v>15</v>
      </c>
      <c r="I3817" s="17">
        <v>600000</v>
      </c>
      <c r="J3817" s="17">
        <f>IF(Gastos[[#This Row],[Divisa]]="$", I3817*1, IF(Gastos[[#This Row],[Divisa]]="U$D", I3817*$N$1, IF(Gastos[[#This Row],[Divisa]]="EUR", I3817*$N$2, 0)))</f>
        <v>600000</v>
      </c>
      <c r="K3817" s="54">
        <f>Gastos[[#This Row],[Importe AR$]]/$N$1</f>
        <v>384.61538461538464</v>
      </c>
      <c r="L3817" t="s">
        <v>215</v>
      </c>
      <c r="M3817" s="69">
        <v>45891</v>
      </c>
      <c r="N3817" s="43">
        <f>IF(Gastos[[#This Row],[Fecha_Cheque]]&gt;0,WEEKNUM(Gastos[[#This Row],[Fecha_Cheque]]),MID(Gastos[[#This Row],[Semana]],6,2))</f>
        <v>34</v>
      </c>
      <c r="P3817" t="s">
        <v>27</v>
      </c>
    </row>
    <row r="3818" spans="1:16" hidden="1" x14ac:dyDescent="0.25">
      <c r="A3818" s="3" t="s">
        <v>34</v>
      </c>
      <c r="B3818" t="s">
        <v>2171</v>
      </c>
      <c r="C3818" t="s">
        <v>2177</v>
      </c>
      <c r="D3818" t="s">
        <v>26</v>
      </c>
      <c r="E3818" t="s">
        <v>31</v>
      </c>
      <c r="F3818">
        <v>1</v>
      </c>
      <c r="G3818" s="3" t="s">
        <v>32</v>
      </c>
      <c r="H3818" s="46" t="s">
        <v>15</v>
      </c>
      <c r="I3818" s="17">
        <v>650000</v>
      </c>
      <c r="J3818" s="17">
        <f>IF(Gastos[[#This Row],[Divisa]]="$", I3818*1, IF(Gastos[[#This Row],[Divisa]]="U$D", I3818*$N$1, IF(Gastos[[#This Row],[Divisa]]="EUR", I3818*$N$2, 0)))</f>
        <v>650000</v>
      </c>
      <c r="K3818" s="54">
        <f>Gastos[[#This Row],[Importe AR$]]/$N$1</f>
        <v>416.66666666666669</v>
      </c>
      <c r="L3818" t="s">
        <v>215</v>
      </c>
      <c r="M3818" s="69">
        <v>45884</v>
      </c>
      <c r="N3818" s="43">
        <f>IF(Gastos[[#This Row],[Fecha_Cheque]]&gt;0,WEEKNUM(Gastos[[#This Row],[Fecha_Cheque]]),MID(Gastos[[#This Row],[Semana]],6,2))</f>
        <v>33</v>
      </c>
      <c r="O3818" t="s">
        <v>123</v>
      </c>
      <c r="P3818" t="s">
        <v>27</v>
      </c>
    </row>
    <row r="3819" spans="1:16" hidden="1" x14ac:dyDescent="0.25">
      <c r="A3819" s="3" t="s">
        <v>34</v>
      </c>
      <c r="B3819" t="s">
        <v>2171</v>
      </c>
      <c r="C3819" t="s">
        <v>2177</v>
      </c>
      <c r="D3819" t="s">
        <v>26</v>
      </c>
      <c r="E3819" t="s">
        <v>31</v>
      </c>
      <c r="F3819">
        <v>1</v>
      </c>
      <c r="G3819" s="3" t="s">
        <v>32</v>
      </c>
      <c r="H3819" s="46" t="s">
        <v>15</v>
      </c>
      <c r="I3819" s="17">
        <v>700000</v>
      </c>
      <c r="J3819" s="17">
        <f>IF(Gastos[[#This Row],[Divisa]]="$", I3819*1, IF(Gastos[[#This Row],[Divisa]]="U$D", I3819*$N$1, IF(Gastos[[#This Row],[Divisa]]="EUR", I3819*$N$2, 0)))</f>
        <v>700000</v>
      </c>
      <c r="K3819" s="54">
        <f>Gastos[[#This Row],[Importe AR$]]/$N$1</f>
        <v>448.71794871794873</v>
      </c>
      <c r="L3819" t="s">
        <v>215</v>
      </c>
      <c r="M3819" s="69">
        <v>45863</v>
      </c>
      <c r="N3819" s="43">
        <f>IF(Gastos[[#This Row],[Fecha_Cheque]]&gt;0,WEEKNUM(Gastos[[#This Row],[Fecha_Cheque]]),MID(Gastos[[#This Row],[Semana]],6,2))</f>
        <v>30</v>
      </c>
      <c r="O3819" t="s">
        <v>123</v>
      </c>
      <c r="P3819" t="s">
        <v>27</v>
      </c>
    </row>
    <row r="3820" spans="1:16" hidden="1" x14ac:dyDescent="0.25">
      <c r="A3820" s="3" t="s">
        <v>34</v>
      </c>
      <c r="B3820" t="s">
        <v>2171</v>
      </c>
      <c r="C3820" t="s">
        <v>2177</v>
      </c>
      <c r="D3820" t="s">
        <v>26</v>
      </c>
      <c r="E3820" t="s">
        <v>31</v>
      </c>
      <c r="F3820">
        <v>1</v>
      </c>
      <c r="G3820" s="3" t="s">
        <v>32</v>
      </c>
      <c r="H3820" s="46" t="s">
        <v>15</v>
      </c>
      <c r="I3820" s="17">
        <v>700000</v>
      </c>
      <c r="J3820" s="17">
        <f>IF(Gastos[[#This Row],[Divisa]]="$", I3820*1, IF(Gastos[[#This Row],[Divisa]]="U$D", I3820*$N$1, IF(Gastos[[#This Row],[Divisa]]="EUR", I3820*$N$2, 0)))</f>
        <v>700000</v>
      </c>
      <c r="K3820" s="54">
        <f>Gastos[[#This Row],[Importe AR$]]/$N$1</f>
        <v>448.71794871794873</v>
      </c>
      <c r="L3820" t="s">
        <v>215</v>
      </c>
      <c r="M3820" s="69">
        <v>45884</v>
      </c>
      <c r="N3820" s="43">
        <f>IF(Gastos[[#This Row],[Fecha_Cheque]]&gt;0,WEEKNUM(Gastos[[#This Row],[Fecha_Cheque]]),MID(Gastos[[#This Row],[Semana]],6,2))</f>
        <v>33</v>
      </c>
      <c r="O3820" t="s">
        <v>123</v>
      </c>
      <c r="P3820" t="s">
        <v>27</v>
      </c>
    </row>
    <row r="3821" spans="1:16" hidden="1" x14ac:dyDescent="0.25">
      <c r="A3821" s="3" t="s">
        <v>34</v>
      </c>
      <c r="B3821" t="s">
        <v>2171</v>
      </c>
      <c r="C3821" t="s">
        <v>2177</v>
      </c>
      <c r="D3821" t="s">
        <v>26</v>
      </c>
      <c r="E3821" t="s">
        <v>31</v>
      </c>
      <c r="F3821">
        <v>1</v>
      </c>
      <c r="G3821" s="3" t="s">
        <v>32</v>
      </c>
      <c r="H3821" s="46" t="s">
        <v>15</v>
      </c>
      <c r="I3821" s="17">
        <v>713817</v>
      </c>
      <c r="J3821" s="17">
        <f>IF(Gastos[[#This Row],[Divisa]]="$", I3821*1, IF(Gastos[[#This Row],[Divisa]]="U$D", I3821*$N$1, IF(Gastos[[#This Row],[Divisa]]="EUR", I3821*$N$2, 0)))</f>
        <v>713817</v>
      </c>
      <c r="K3821" s="54">
        <f>Gastos[[#This Row],[Importe AR$]]/$N$1</f>
        <v>457.57499999999999</v>
      </c>
      <c r="L3821" t="s">
        <v>215</v>
      </c>
      <c r="M3821" s="69">
        <v>45898</v>
      </c>
      <c r="N3821" s="43">
        <f>IF(Gastos[[#This Row],[Fecha_Cheque]]&gt;0,WEEKNUM(Gastos[[#This Row],[Fecha_Cheque]]),MID(Gastos[[#This Row],[Semana]],6,2))</f>
        <v>35</v>
      </c>
      <c r="O3821" t="s">
        <v>123</v>
      </c>
      <c r="P3821" t="s">
        <v>27</v>
      </c>
    </row>
    <row r="3822" spans="1:16" hidden="1" x14ac:dyDescent="0.25">
      <c r="A3822" s="3" t="s">
        <v>34</v>
      </c>
      <c r="B3822" t="s">
        <v>2171</v>
      </c>
      <c r="C3822" t="s">
        <v>2177</v>
      </c>
      <c r="D3822" t="s">
        <v>26</v>
      </c>
      <c r="E3822" t="s">
        <v>31</v>
      </c>
      <c r="F3822">
        <v>1</v>
      </c>
      <c r="G3822" s="3" t="s">
        <v>32</v>
      </c>
      <c r="H3822" s="46" t="s">
        <v>15</v>
      </c>
      <c r="I3822" s="17">
        <v>812500</v>
      </c>
      <c r="J3822" s="17">
        <f>IF(Gastos[[#This Row],[Divisa]]="$", I3822*1, IF(Gastos[[#This Row],[Divisa]]="U$D", I3822*$N$1, IF(Gastos[[#This Row],[Divisa]]="EUR", I3822*$N$2, 0)))</f>
        <v>812500</v>
      </c>
      <c r="K3822" s="54">
        <f>Gastos[[#This Row],[Importe AR$]]/$N$1</f>
        <v>520.83333333333337</v>
      </c>
      <c r="L3822" t="s">
        <v>215</v>
      </c>
      <c r="M3822" s="69">
        <v>45892</v>
      </c>
      <c r="N3822" s="43">
        <f>IF(Gastos[[#This Row],[Fecha_Cheque]]&gt;0,WEEKNUM(Gastos[[#This Row],[Fecha_Cheque]]),MID(Gastos[[#This Row],[Semana]],6,2))</f>
        <v>34</v>
      </c>
      <c r="O3822" t="s">
        <v>123</v>
      </c>
      <c r="P3822" t="s">
        <v>27</v>
      </c>
    </row>
    <row r="3823" spans="1:16" hidden="1" x14ac:dyDescent="0.25">
      <c r="A3823" s="3" t="s">
        <v>34</v>
      </c>
      <c r="B3823" t="s">
        <v>2171</v>
      </c>
      <c r="C3823" t="s">
        <v>2177</v>
      </c>
      <c r="D3823" t="s">
        <v>26</v>
      </c>
      <c r="E3823" t="s">
        <v>31</v>
      </c>
      <c r="F3823">
        <v>1</v>
      </c>
      <c r="G3823" s="3" t="s">
        <v>32</v>
      </c>
      <c r="H3823" s="46" t="s">
        <v>15</v>
      </c>
      <c r="I3823" s="17">
        <v>1000000</v>
      </c>
      <c r="J3823" s="17">
        <f>IF(Gastos[[#This Row],[Divisa]]="$", I3823*1, IF(Gastos[[#This Row],[Divisa]]="U$D", I3823*$N$1, IF(Gastos[[#This Row],[Divisa]]="EUR", I3823*$N$2, 0)))</f>
        <v>1000000</v>
      </c>
      <c r="K3823" s="54">
        <f>Gastos[[#This Row],[Importe AR$]]/$N$1</f>
        <v>641.02564102564099</v>
      </c>
      <c r="L3823" t="s">
        <v>215</v>
      </c>
      <c r="M3823" s="69">
        <v>45885</v>
      </c>
      <c r="N3823" s="43">
        <f>IF(Gastos[[#This Row],[Fecha_Cheque]]&gt;0,WEEKNUM(Gastos[[#This Row],[Fecha_Cheque]]),MID(Gastos[[#This Row],[Semana]],6,2))</f>
        <v>33</v>
      </c>
      <c r="P3823" t="s">
        <v>27</v>
      </c>
    </row>
    <row r="3824" spans="1:16" hidden="1" x14ac:dyDescent="0.25">
      <c r="A3824" s="3" t="s">
        <v>34</v>
      </c>
      <c r="B3824" t="s">
        <v>2171</v>
      </c>
      <c r="C3824" t="s">
        <v>2177</v>
      </c>
      <c r="D3824" t="s">
        <v>26</v>
      </c>
      <c r="E3824" t="s">
        <v>31</v>
      </c>
      <c r="F3824">
        <v>1</v>
      </c>
      <c r="G3824" s="3" t="s">
        <v>32</v>
      </c>
      <c r="H3824" s="46" t="s">
        <v>15</v>
      </c>
      <c r="I3824" s="17">
        <v>1293800</v>
      </c>
      <c r="J3824" s="17">
        <f>IF(Gastos[[#This Row],[Divisa]]="$", I3824*1, IF(Gastos[[#This Row],[Divisa]]="U$D", I3824*$N$1, IF(Gastos[[#This Row],[Divisa]]="EUR", I3824*$N$2, 0)))</f>
        <v>1293800</v>
      </c>
      <c r="K3824" s="54">
        <f>Gastos[[#This Row],[Importe AR$]]/$N$1</f>
        <v>829.35897435897436</v>
      </c>
      <c r="L3824" t="s">
        <v>215</v>
      </c>
      <c r="M3824" s="69">
        <v>45909</v>
      </c>
      <c r="N3824" s="43">
        <f>IF(Gastos[[#This Row],[Fecha_Cheque]]&gt;0,WEEKNUM(Gastos[[#This Row],[Fecha_Cheque]]),MID(Gastos[[#This Row],[Semana]],6,2))</f>
        <v>37</v>
      </c>
      <c r="O3824" t="s">
        <v>123</v>
      </c>
      <c r="P3824" t="s">
        <v>27</v>
      </c>
    </row>
    <row r="3825" spans="1:16" hidden="1" x14ac:dyDescent="0.25">
      <c r="A3825" s="3" t="s">
        <v>34</v>
      </c>
      <c r="B3825" t="s">
        <v>2171</v>
      </c>
      <c r="C3825" t="s">
        <v>2177</v>
      </c>
      <c r="D3825" t="s">
        <v>26</v>
      </c>
      <c r="E3825" t="s">
        <v>31</v>
      </c>
      <c r="F3825">
        <v>1</v>
      </c>
      <c r="G3825" s="3" t="s">
        <v>32</v>
      </c>
      <c r="H3825" s="46" t="s">
        <v>15</v>
      </c>
      <c r="I3825" s="17">
        <v>1386028</v>
      </c>
      <c r="J3825" s="17">
        <f>IF(Gastos[[#This Row],[Divisa]]="$", I3825*1, IF(Gastos[[#This Row],[Divisa]]="U$D", I3825*$N$1, IF(Gastos[[#This Row],[Divisa]]="EUR", I3825*$N$2, 0)))</f>
        <v>1386028</v>
      </c>
      <c r="K3825" s="54">
        <f>Gastos[[#This Row],[Importe AR$]]/$N$1</f>
        <v>888.47948717948714</v>
      </c>
      <c r="L3825" t="s">
        <v>215</v>
      </c>
      <c r="M3825" s="69">
        <v>45864</v>
      </c>
      <c r="N3825" s="43">
        <f>IF(Gastos[[#This Row],[Fecha_Cheque]]&gt;0,WEEKNUM(Gastos[[#This Row],[Fecha_Cheque]]),MID(Gastos[[#This Row],[Semana]],6,2))</f>
        <v>30</v>
      </c>
      <c r="O3825" t="s">
        <v>123</v>
      </c>
      <c r="P3825" t="s">
        <v>27</v>
      </c>
    </row>
    <row r="3826" spans="1:16" hidden="1" x14ac:dyDescent="0.25">
      <c r="A3826" s="3" t="s">
        <v>34</v>
      </c>
      <c r="B3826" t="s">
        <v>2171</v>
      </c>
      <c r="C3826" t="s">
        <v>2177</v>
      </c>
      <c r="D3826" t="s">
        <v>26</v>
      </c>
      <c r="E3826" t="s">
        <v>31</v>
      </c>
      <c r="F3826">
        <v>1</v>
      </c>
      <c r="G3826" s="3" t="s">
        <v>32</v>
      </c>
      <c r="H3826" s="46" t="s">
        <v>15</v>
      </c>
      <c r="I3826" s="17">
        <v>1500000</v>
      </c>
      <c r="J3826" s="17">
        <f>IF(Gastos[[#This Row],[Divisa]]="$", I3826*1, IF(Gastos[[#This Row],[Divisa]]="U$D", I3826*$N$1, IF(Gastos[[#This Row],[Divisa]]="EUR", I3826*$N$2, 0)))</f>
        <v>1500000</v>
      </c>
      <c r="K3826" s="54">
        <f>Gastos[[#This Row],[Importe AR$]]/$N$1</f>
        <v>961.53846153846155</v>
      </c>
      <c r="L3826" t="s">
        <v>215</v>
      </c>
      <c r="M3826" s="69">
        <v>45888</v>
      </c>
      <c r="N3826" s="43">
        <f>IF(Gastos[[#This Row],[Fecha_Cheque]]&gt;0,WEEKNUM(Gastos[[#This Row],[Fecha_Cheque]]),MID(Gastos[[#This Row],[Semana]],6,2))</f>
        <v>34</v>
      </c>
      <c r="P3826" t="s">
        <v>27</v>
      </c>
    </row>
    <row r="3827" spans="1:16" hidden="1" x14ac:dyDescent="0.25">
      <c r="A3827" s="3" t="s">
        <v>34</v>
      </c>
      <c r="B3827" t="s">
        <v>2171</v>
      </c>
      <c r="C3827" t="s">
        <v>2177</v>
      </c>
      <c r="D3827" t="s">
        <v>26</v>
      </c>
      <c r="E3827" t="s">
        <v>31</v>
      </c>
      <c r="F3827">
        <v>1</v>
      </c>
      <c r="G3827" s="3" t="s">
        <v>32</v>
      </c>
      <c r="H3827" s="46" t="s">
        <v>15</v>
      </c>
      <c r="I3827" s="17">
        <v>1539339.7</v>
      </c>
      <c r="J3827" s="17">
        <f>IF(Gastos[[#This Row],[Divisa]]="$", I3827*1, IF(Gastos[[#This Row],[Divisa]]="U$D", I3827*$N$1, IF(Gastos[[#This Row],[Divisa]]="EUR", I3827*$N$2, 0)))</f>
        <v>1539339.7</v>
      </c>
      <c r="K3827" s="54">
        <f>Gastos[[#This Row],[Importe AR$]]/$N$1</f>
        <v>986.7562179487179</v>
      </c>
      <c r="L3827" t="s">
        <v>215</v>
      </c>
      <c r="M3827" s="69">
        <v>45885</v>
      </c>
      <c r="N3827" s="43">
        <f>IF(Gastos[[#This Row],[Fecha_Cheque]]&gt;0,WEEKNUM(Gastos[[#This Row],[Fecha_Cheque]]),MID(Gastos[[#This Row],[Semana]],6,2))</f>
        <v>33</v>
      </c>
      <c r="O3827" t="s">
        <v>123</v>
      </c>
      <c r="P3827" t="s">
        <v>27</v>
      </c>
    </row>
    <row r="3828" spans="1:16" hidden="1" x14ac:dyDescent="0.25">
      <c r="A3828" s="3" t="s">
        <v>34</v>
      </c>
      <c r="B3828" t="s">
        <v>2171</v>
      </c>
      <c r="C3828" t="s">
        <v>2177</v>
      </c>
      <c r="D3828" t="s">
        <v>26</v>
      </c>
      <c r="E3828" t="s">
        <v>31</v>
      </c>
      <c r="F3828">
        <v>1</v>
      </c>
      <c r="G3828" s="3" t="s">
        <v>32</v>
      </c>
      <c r="H3828" s="46" t="s">
        <v>15</v>
      </c>
      <c r="I3828" s="17">
        <v>1600000</v>
      </c>
      <c r="J3828" s="17">
        <f>IF(Gastos[[#This Row],[Divisa]]="$", I3828*1, IF(Gastos[[#This Row],[Divisa]]="U$D", I3828*$N$1, IF(Gastos[[#This Row],[Divisa]]="EUR", I3828*$N$2, 0)))</f>
        <v>1600000</v>
      </c>
      <c r="K3828" s="54">
        <f>Gastos[[#This Row],[Importe AR$]]/$N$1</f>
        <v>1025.6410256410256</v>
      </c>
      <c r="L3828" t="s">
        <v>215</v>
      </c>
      <c r="M3828" s="69">
        <v>45889</v>
      </c>
      <c r="N3828" s="43">
        <f>IF(Gastos[[#This Row],[Fecha_Cheque]]&gt;0,WEEKNUM(Gastos[[#This Row],[Fecha_Cheque]]),MID(Gastos[[#This Row],[Semana]],6,2))</f>
        <v>34</v>
      </c>
      <c r="O3828" t="s">
        <v>123</v>
      </c>
      <c r="P3828" t="s">
        <v>27</v>
      </c>
    </row>
    <row r="3829" spans="1:16" hidden="1" x14ac:dyDescent="0.25">
      <c r="A3829" s="3" t="s">
        <v>34</v>
      </c>
      <c r="B3829" t="s">
        <v>2171</v>
      </c>
      <c r="C3829" t="s">
        <v>2177</v>
      </c>
      <c r="D3829" t="s">
        <v>26</v>
      </c>
      <c r="E3829" t="s">
        <v>31</v>
      </c>
      <c r="F3829">
        <v>1</v>
      </c>
      <c r="G3829" s="3" t="s">
        <v>32</v>
      </c>
      <c r="H3829" s="46" t="s">
        <v>15</v>
      </c>
      <c r="I3829" s="17">
        <v>1650000</v>
      </c>
      <c r="J3829" s="17">
        <f>IF(Gastos[[#This Row],[Divisa]]="$", I3829*1, IF(Gastos[[#This Row],[Divisa]]="U$D", I3829*$N$1, IF(Gastos[[#This Row],[Divisa]]="EUR", I3829*$N$2, 0)))</f>
        <v>1650000</v>
      </c>
      <c r="K3829" s="54">
        <f>Gastos[[#This Row],[Importe AR$]]/$N$1</f>
        <v>1057.6923076923076</v>
      </c>
      <c r="L3829" t="s">
        <v>215</v>
      </c>
      <c r="M3829" s="69">
        <v>45918</v>
      </c>
      <c r="N3829" s="43">
        <f>IF(Gastos[[#This Row],[Fecha_Cheque]]&gt;0,WEEKNUM(Gastos[[#This Row],[Fecha_Cheque]]),MID(Gastos[[#This Row],[Semana]],6,2))</f>
        <v>38</v>
      </c>
      <c r="O3829" t="s">
        <v>123</v>
      </c>
      <c r="P3829" t="s">
        <v>27</v>
      </c>
    </row>
    <row r="3830" spans="1:16" hidden="1" x14ac:dyDescent="0.25">
      <c r="A3830" s="3" t="s">
        <v>34</v>
      </c>
      <c r="B3830" t="s">
        <v>2171</v>
      </c>
      <c r="C3830" t="s">
        <v>2177</v>
      </c>
      <c r="D3830" t="s">
        <v>26</v>
      </c>
      <c r="E3830" t="s">
        <v>31</v>
      </c>
      <c r="F3830">
        <v>1</v>
      </c>
      <c r="G3830" s="3" t="s">
        <v>32</v>
      </c>
      <c r="H3830" s="46" t="s">
        <v>15</v>
      </c>
      <c r="I3830" s="17">
        <v>2600000</v>
      </c>
      <c r="J3830" s="17">
        <f>IF(Gastos[[#This Row],[Divisa]]="$", I3830*1, IF(Gastos[[#This Row],[Divisa]]="U$D", I3830*$N$1, IF(Gastos[[#This Row],[Divisa]]="EUR", I3830*$N$2, 0)))</f>
        <v>2600000</v>
      </c>
      <c r="K3830" s="54">
        <f>Gastos[[#This Row],[Importe AR$]]/$N$1</f>
        <v>1666.6666666666667</v>
      </c>
      <c r="L3830" t="s">
        <v>215</v>
      </c>
      <c r="M3830" s="69">
        <v>45869</v>
      </c>
      <c r="N3830" s="43">
        <f>IF(Gastos[[#This Row],[Fecha_Cheque]]&gt;0,WEEKNUM(Gastos[[#This Row],[Fecha_Cheque]]),MID(Gastos[[#This Row],[Semana]],6,2))</f>
        <v>31</v>
      </c>
      <c r="O3830" t="s">
        <v>123</v>
      </c>
      <c r="P3830" t="s">
        <v>27</v>
      </c>
    </row>
    <row r="3831" spans="1:16" hidden="1" x14ac:dyDescent="0.25">
      <c r="A3831" s="3" t="s">
        <v>34</v>
      </c>
      <c r="B3831" t="s">
        <v>2171</v>
      </c>
      <c r="C3831" t="s">
        <v>2177</v>
      </c>
      <c r="D3831" t="s">
        <v>26</v>
      </c>
      <c r="E3831" t="s">
        <v>31</v>
      </c>
      <c r="F3831">
        <v>1</v>
      </c>
      <c r="G3831" s="3" t="s">
        <v>32</v>
      </c>
      <c r="H3831" s="46" t="s">
        <v>15</v>
      </c>
      <c r="I3831" s="17">
        <v>3000000</v>
      </c>
      <c r="J3831" s="17">
        <f>IF(Gastos[[#This Row],[Divisa]]="$", I3831*1, IF(Gastos[[#This Row],[Divisa]]="U$D", I3831*$N$1, IF(Gastos[[#This Row],[Divisa]]="EUR", I3831*$N$2, 0)))</f>
        <v>3000000</v>
      </c>
      <c r="K3831" s="54">
        <f>Gastos[[#This Row],[Importe AR$]]/$N$1</f>
        <v>1923.0769230769231</v>
      </c>
      <c r="L3831" t="s">
        <v>215</v>
      </c>
      <c r="M3831" s="69">
        <v>45908</v>
      </c>
      <c r="N3831" s="43">
        <f>IF(Gastos[[#This Row],[Fecha_Cheque]]&gt;0,WEEKNUM(Gastos[[#This Row],[Fecha_Cheque]]),MID(Gastos[[#This Row],[Semana]],6,2))</f>
        <v>37</v>
      </c>
      <c r="P3831" t="s">
        <v>27</v>
      </c>
    </row>
    <row r="3832" spans="1:16" hidden="1" x14ac:dyDescent="0.25">
      <c r="A3832" s="3" t="s">
        <v>117</v>
      </c>
      <c r="B3832" t="s">
        <v>2171</v>
      </c>
      <c r="C3832" t="s">
        <v>2177</v>
      </c>
      <c r="D3832" t="s">
        <v>26</v>
      </c>
      <c r="E3832" t="s">
        <v>31</v>
      </c>
      <c r="F3832">
        <v>1</v>
      </c>
      <c r="G3832" s="3" t="s">
        <v>32</v>
      </c>
      <c r="H3832" s="46" t="s">
        <v>15</v>
      </c>
      <c r="I3832" s="17">
        <v>10213893.52</v>
      </c>
      <c r="J3832" s="17">
        <f>IF(Gastos[[#This Row],[Divisa]]="$", I3832*1, IF(Gastos[[#This Row],[Divisa]]="U$D", I3832*$N$1, IF(Gastos[[#This Row],[Divisa]]="EUR", I3832*$N$2, 0)))</f>
        <v>10213893.52</v>
      </c>
      <c r="K3832" s="54">
        <f>Gastos[[#This Row],[Importe AR$]]/$N$1</f>
        <v>6547.3676410256403</v>
      </c>
      <c r="L3832" t="s">
        <v>215</v>
      </c>
      <c r="M3832" s="69">
        <v>45925</v>
      </c>
      <c r="N3832" s="43">
        <f>IF(Gastos[[#This Row],[Fecha_Cheque]]&gt;0,WEEKNUM(Gastos[[#This Row],[Fecha_Cheque]]),MID(Gastos[[#This Row],[Semana]],6,2))</f>
        <v>39</v>
      </c>
      <c r="O3832" t="s">
        <v>2178</v>
      </c>
      <c r="P3832" t="s">
        <v>27</v>
      </c>
    </row>
    <row r="3833" spans="1:16" hidden="1" x14ac:dyDescent="0.25">
      <c r="A3833" s="3" t="s">
        <v>210</v>
      </c>
      <c r="B3833" t="s">
        <v>2171</v>
      </c>
      <c r="C3833" t="s">
        <v>2177</v>
      </c>
      <c r="D3833" t="s">
        <v>26</v>
      </c>
      <c r="E3833" t="s">
        <v>31</v>
      </c>
      <c r="F3833">
        <v>1</v>
      </c>
      <c r="G3833" s="3" t="s">
        <v>5</v>
      </c>
      <c r="H3833" s="46" t="s">
        <v>15</v>
      </c>
      <c r="I3833" s="17">
        <v>5000000</v>
      </c>
      <c r="J3833" s="17">
        <f>IF(Gastos[[#This Row],[Divisa]]="$", I3833*1, IF(Gastos[[#This Row],[Divisa]]="U$D", I3833*$N$1, IF(Gastos[[#This Row],[Divisa]]="EUR", I3833*$N$2, 0)))</f>
        <v>5000000</v>
      </c>
      <c r="K3833" s="54">
        <f>Gastos[[#This Row],[Importe AR$]]/$N$1</f>
        <v>3205.1282051282051</v>
      </c>
      <c r="M3833" s="69"/>
      <c r="N3833" s="43" t="str">
        <f>IF(Gastos[[#This Row],[Fecha_Cheque]]&gt;0,WEEKNUM(Gastos[[#This Row],[Fecha_Cheque]]),MID(Gastos[[#This Row],[Semana]],6,2))</f>
        <v>37</v>
      </c>
      <c r="O3833" t="s">
        <v>2179</v>
      </c>
      <c r="P3833" t="s">
        <v>27</v>
      </c>
    </row>
    <row r="3834" spans="1:16" hidden="1" x14ac:dyDescent="0.25">
      <c r="A3834" s="3" t="s">
        <v>89</v>
      </c>
      <c r="B3834" t="s">
        <v>2171</v>
      </c>
      <c r="C3834" t="s">
        <v>2177</v>
      </c>
      <c r="D3834" t="s">
        <v>26</v>
      </c>
      <c r="E3834" t="s">
        <v>31</v>
      </c>
      <c r="F3834">
        <v>1</v>
      </c>
      <c r="G3834" s="3" t="s">
        <v>5</v>
      </c>
      <c r="H3834" s="46" t="s">
        <v>15</v>
      </c>
      <c r="I3834" s="17">
        <v>3933884.3</v>
      </c>
      <c r="J3834" s="17">
        <f>IF(Gastos[[#This Row],[Divisa]]="$", I3834*1, IF(Gastos[[#This Row],[Divisa]]="U$D", I3834*$N$1, IF(Gastos[[#This Row],[Divisa]]="EUR", I3834*$N$2, 0)))</f>
        <v>3933884.3</v>
      </c>
      <c r="K3834" s="54">
        <f>Gastos[[#This Row],[Importe AR$]]/$N$1</f>
        <v>2521.7207051282048</v>
      </c>
      <c r="M3834" s="69"/>
      <c r="N3834" s="43" t="str">
        <f>IF(Gastos[[#This Row],[Fecha_Cheque]]&gt;0,WEEKNUM(Gastos[[#This Row],[Fecha_Cheque]]),MID(Gastos[[#This Row],[Semana]],6,2))</f>
        <v>39</v>
      </c>
      <c r="O3834" t="s">
        <v>2180</v>
      </c>
      <c r="P3834" t="s">
        <v>27</v>
      </c>
    </row>
    <row r="3835" spans="1:16" hidden="1" x14ac:dyDescent="0.25">
      <c r="A3835" s="3" t="s">
        <v>56</v>
      </c>
      <c r="B3835" t="s">
        <v>2171</v>
      </c>
      <c r="C3835" t="s">
        <v>2181</v>
      </c>
      <c r="D3835" t="s">
        <v>26</v>
      </c>
      <c r="E3835" t="s">
        <v>31</v>
      </c>
      <c r="F3835">
        <v>1</v>
      </c>
      <c r="G3835" s="3" t="s">
        <v>32</v>
      </c>
      <c r="H3835" s="46" t="s">
        <v>15</v>
      </c>
      <c r="I3835" s="17">
        <v>744600</v>
      </c>
      <c r="J3835" s="17">
        <f>IF(Gastos[[#This Row],[Divisa]]="$", I3835*1, IF(Gastos[[#This Row],[Divisa]]="U$D", I3835*$N$1, IF(Gastos[[#This Row],[Divisa]]="EUR", I3835*$N$2, 0)))</f>
        <v>744600</v>
      </c>
      <c r="K3835" s="54">
        <f>Gastos[[#This Row],[Importe AR$]]/$N$1</f>
        <v>477.30769230769232</v>
      </c>
      <c r="M3835" s="69">
        <v>45965</v>
      </c>
      <c r="N3835" s="43">
        <f>IF(Gastos[[#This Row],[Fecha_Cheque]]&gt;0,WEEKNUM(Gastos[[#This Row],[Fecha_Cheque]]),MID(Gastos[[#This Row],[Semana]],6,2))</f>
        <v>45</v>
      </c>
      <c r="O3835" t="s">
        <v>2182</v>
      </c>
      <c r="P3835" t="s">
        <v>27</v>
      </c>
    </row>
    <row r="3836" spans="1:16" hidden="1" x14ac:dyDescent="0.25">
      <c r="A3836" s="3" t="s">
        <v>56</v>
      </c>
      <c r="B3836" t="s">
        <v>2171</v>
      </c>
      <c r="C3836" t="s">
        <v>2181</v>
      </c>
      <c r="D3836" t="s">
        <v>26</v>
      </c>
      <c r="E3836" t="s">
        <v>31</v>
      </c>
      <c r="F3836">
        <v>1</v>
      </c>
      <c r="G3836" s="3" t="s">
        <v>32</v>
      </c>
      <c r="H3836" s="46" t="s">
        <v>15</v>
      </c>
      <c r="I3836" s="17">
        <v>744600</v>
      </c>
      <c r="J3836" s="17">
        <f>IF(Gastos[[#This Row],[Divisa]]="$", I3836*1, IF(Gastos[[#This Row],[Divisa]]="U$D", I3836*$N$1, IF(Gastos[[#This Row],[Divisa]]="EUR", I3836*$N$2, 0)))</f>
        <v>744600</v>
      </c>
      <c r="K3836" s="54">
        <f>Gastos[[#This Row],[Importe AR$]]/$N$1</f>
        <v>477.30769230769232</v>
      </c>
      <c r="M3836" s="69">
        <v>45968</v>
      </c>
      <c r="N3836" s="43">
        <f>IF(Gastos[[#This Row],[Fecha_Cheque]]&gt;0,WEEKNUM(Gastos[[#This Row],[Fecha_Cheque]]),MID(Gastos[[#This Row],[Semana]],6,2))</f>
        <v>45</v>
      </c>
      <c r="O3836" t="s">
        <v>2182</v>
      </c>
      <c r="P3836" t="s">
        <v>27</v>
      </c>
    </row>
    <row r="3837" spans="1:16" hidden="1" x14ac:dyDescent="0.25">
      <c r="A3837" s="3" t="s">
        <v>56</v>
      </c>
      <c r="B3837" t="s">
        <v>2171</v>
      </c>
      <c r="C3837" t="s">
        <v>2181</v>
      </c>
      <c r="D3837" t="s">
        <v>26</v>
      </c>
      <c r="E3837" t="s">
        <v>31</v>
      </c>
      <c r="F3837">
        <v>1</v>
      </c>
      <c r="G3837" s="3" t="s">
        <v>32</v>
      </c>
      <c r="H3837" s="46" t="s">
        <v>15</v>
      </c>
      <c r="I3837" s="17">
        <v>744600</v>
      </c>
      <c r="J3837" s="17">
        <f>IF(Gastos[[#This Row],[Divisa]]="$", I3837*1, IF(Gastos[[#This Row],[Divisa]]="U$D", I3837*$N$1, IF(Gastos[[#This Row],[Divisa]]="EUR", I3837*$N$2, 0)))</f>
        <v>744600</v>
      </c>
      <c r="K3837" s="54">
        <f>Gastos[[#This Row],[Importe AR$]]/$N$1</f>
        <v>477.30769230769232</v>
      </c>
      <c r="M3837" s="69">
        <v>45972</v>
      </c>
      <c r="N3837" s="43">
        <f>IF(Gastos[[#This Row],[Fecha_Cheque]]&gt;0,WEEKNUM(Gastos[[#This Row],[Fecha_Cheque]]),MID(Gastos[[#This Row],[Semana]],6,2))</f>
        <v>46</v>
      </c>
      <c r="O3837" t="s">
        <v>2182</v>
      </c>
      <c r="P3837" t="s">
        <v>27</v>
      </c>
    </row>
    <row r="3838" spans="1:16" hidden="1" x14ac:dyDescent="0.25">
      <c r="A3838" s="3" t="s">
        <v>56</v>
      </c>
      <c r="B3838" t="s">
        <v>2171</v>
      </c>
      <c r="C3838" t="s">
        <v>2181</v>
      </c>
      <c r="D3838" t="s">
        <v>26</v>
      </c>
      <c r="E3838" t="s">
        <v>31</v>
      </c>
      <c r="F3838">
        <v>1</v>
      </c>
      <c r="G3838" s="3" t="s">
        <v>32</v>
      </c>
      <c r="H3838" s="46" t="s">
        <v>15</v>
      </c>
      <c r="I3838" s="17">
        <v>744600</v>
      </c>
      <c r="J3838" s="17">
        <f>IF(Gastos[[#This Row],[Divisa]]="$", I3838*1, IF(Gastos[[#This Row],[Divisa]]="U$D", I3838*$N$1, IF(Gastos[[#This Row],[Divisa]]="EUR", I3838*$N$2, 0)))</f>
        <v>744600</v>
      </c>
      <c r="K3838" s="54">
        <f>Gastos[[#This Row],[Importe AR$]]/$N$1</f>
        <v>477.30769230769232</v>
      </c>
      <c r="M3838" s="69">
        <v>45975</v>
      </c>
      <c r="N3838" s="43">
        <f>IF(Gastos[[#This Row],[Fecha_Cheque]]&gt;0,WEEKNUM(Gastos[[#This Row],[Fecha_Cheque]]),MID(Gastos[[#This Row],[Semana]],6,2))</f>
        <v>46</v>
      </c>
      <c r="O3838" t="s">
        <v>2182</v>
      </c>
      <c r="P3838" t="s">
        <v>27</v>
      </c>
    </row>
    <row r="3839" spans="1:16" hidden="1" x14ac:dyDescent="0.25">
      <c r="A3839" s="3" t="s">
        <v>56</v>
      </c>
      <c r="B3839" t="s">
        <v>2171</v>
      </c>
      <c r="C3839" t="s">
        <v>2181</v>
      </c>
      <c r="D3839" t="s">
        <v>26</v>
      </c>
      <c r="E3839" t="s">
        <v>31</v>
      </c>
      <c r="F3839">
        <v>1</v>
      </c>
      <c r="G3839" s="3" t="s">
        <v>32</v>
      </c>
      <c r="H3839" s="46" t="s">
        <v>15</v>
      </c>
      <c r="I3839" s="17">
        <v>744600</v>
      </c>
      <c r="J3839" s="17">
        <f>IF(Gastos[[#This Row],[Divisa]]="$", I3839*1, IF(Gastos[[#This Row],[Divisa]]="U$D", I3839*$N$1, IF(Gastos[[#This Row],[Divisa]]="EUR", I3839*$N$2, 0)))</f>
        <v>744600</v>
      </c>
      <c r="K3839" s="54">
        <f>Gastos[[#This Row],[Importe AR$]]/$N$1</f>
        <v>477.30769230769232</v>
      </c>
      <c r="M3839" s="69">
        <v>45979</v>
      </c>
      <c r="N3839" s="43">
        <f>IF(Gastos[[#This Row],[Fecha_Cheque]]&gt;0,WEEKNUM(Gastos[[#This Row],[Fecha_Cheque]]),MID(Gastos[[#This Row],[Semana]],6,2))</f>
        <v>47</v>
      </c>
      <c r="O3839" t="s">
        <v>2182</v>
      </c>
      <c r="P3839" t="s">
        <v>27</v>
      </c>
    </row>
    <row r="3840" spans="1:16" hidden="1" x14ac:dyDescent="0.25">
      <c r="A3840" s="3" t="s">
        <v>56</v>
      </c>
      <c r="B3840" t="s">
        <v>2171</v>
      </c>
      <c r="C3840" t="s">
        <v>2181</v>
      </c>
      <c r="D3840" t="s">
        <v>26</v>
      </c>
      <c r="E3840" t="s">
        <v>31</v>
      </c>
      <c r="F3840">
        <v>1</v>
      </c>
      <c r="G3840" s="3" t="s">
        <v>32</v>
      </c>
      <c r="H3840" s="46" t="s">
        <v>15</v>
      </c>
      <c r="I3840" s="17">
        <v>744600</v>
      </c>
      <c r="J3840" s="17">
        <f>IF(Gastos[[#This Row],[Divisa]]="$", I3840*1, IF(Gastos[[#This Row],[Divisa]]="U$D", I3840*$N$1, IF(Gastos[[#This Row],[Divisa]]="EUR", I3840*$N$2, 0)))</f>
        <v>744600</v>
      </c>
      <c r="K3840" s="54">
        <f>Gastos[[#This Row],[Importe AR$]]/$N$1</f>
        <v>477.30769230769232</v>
      </c>
      <c r="M3840" s="69">
        <v>45982</v>
      </c>
      <c r="N3840" s="43">
        <f>IF(Gastos[[#This Row],[Fecha_Cheque]]&gt;0,WEEKNUM(Gastos[[#This Row],[Fecha_Cheque]]),MID(Gastos[[#This Row],[Semana]],6,2))</f>
        <v>47</v>
      </c>
      <c r="O3840" t="s">
        <v>2182</v>
      </c>
      <c r="P3840" t="s">
        <v>27</v>
      </c>
    </row>
    <row r="3841" spans="1:16" hidden="1" x14ac:dyDescent="0.25">
      <c r="A3841" s="3" t="s">
        <v>232</v>
      </c>
      <c r="B3841" t="s">
        <v>2171</v>
      </c>
      <c r="C3841" t="s">
        <v>2177</v>
      </c>
      <c r="D3841" t="s">
        <v>26</v>
      </c>
      <c r="E3841" t="s">
        <v>31</v>
      </c>
      <c r="F3841">
        <v>1</v>
      </c>
      <c r="G3841" s="3" t="s">
        <v>32</v>
      </c>
      <c r="H3841" s="46" t="s">
        <v>15</v>
      </c>
      <c r="I3841" s="17">
        <v>3756000</v>
      </c>
      <c r="J3841" s="17">
        <f>IF(Gastos[[#This Row],[Divisa]]="$", I3841*1, IF(Gastos[[#This Row],[Divisa]]="U$D", I3841*$N$1, IF(Gastos[[#This Row],[Divisa]]="EUR", I3841*$N$2, 0)))</f>
        <v>3756000</v>
      </c>
      <c r="K3841" s="54">
        <f>Gastos[[#This Row],[Importe AR$]]/$N$1</f>
        <v>2407.6923076923076</v>
      </c>
      <c r="M3841" s="69">
        <v>45996</v>
      </c>
      <c r="N3841" s="43">
        <f>IF(Gastos[[#This Row],[Fecha_Cheque]]&gt;0,WEEKNUM(Gastos[[#This Row],[Fecha_Cheque]]),MID(Gastos[[#This Row],[Semana]],6,2))</f>
        <v>49</v>
      </c>
      <c r="O3841" t="s">
        <v>2183</v>
      </c>
      <c r="P3841" t="s">
        <v>27</v>
      </c>
    </row>
    <row r="3842" spans="1:16" hidden="1" x14ac:dyDescent="0.25">
      <c r="A3842" s="3" t="s">
        <v>72</v>
      </c>
      <c r="B3842" t="s">
        <v>2171</v>
      </c>
      <c r="C3842" t="s">
        <v>2177</v>
      </c>
      <c r="D3842" t="s">
        <v>26</v>
      </c>
      <c r="E3842" t="s">
        <v>62</v>
      </c>
      <c r="F3842">
        <v>1</v>
      </c>
      <c r="G3842" s="3" t="s">
        <v>32</v>
      </c>
      <c r="H3842" s="46" t="s">
        <v>15</v>
      </c>
      <c r="I3842" s="17">
        <v>9191840.8399999999</v>
      </c>
      <c r="J3842" s="17">
        <f>IF(Gastos[[#This Row],[Divisa]]="$", I3842*1, IF(Gastos[[#This Row],[Divisa]]="U$D", I3842*$N$1, IF(Gastos[[#This Row],[Divisa]]="EUR", I3842*$N$2, 0)))</f>
        <v>9191840.8399999999</v>
      </c>
      <c r="K3842" s="54">
        <f>Gastos[[#This Row],[Importe AR$]]/$N$1</f>
        <v>5892.2056666666667</v>
      </c>
      <c r="M3842" s="69">
        <v>46003</v>
      </c>
      <c r="N3842" s="43">
        <f>IF(Gastos[[#This Row],[Fecha_Cheque]]&gt;0,WEEKNUM(Gastos[[#This Row],[Fecha_Cheque]]),MID(Gastos[[#This Row],[Semana]],6,2))</f>
        <v>50</v>
      </c>
      <c r="O3842" t="s">
        <v>2184</v>
      </c>
      <c r="P3842" t="s">
        <v>27</v>
      </c>
    </row>
    <row r="3843" spans="1:16" hidden="1" x14ac:dyDescent="0.25">
      <c r="A3843" s="3" t="s">
        <v>68</v>
      </c>
      <c r="B3843" t="s">
        <v>2171</v>
      </c>
      <c r="C3843" t="s">
        <v>2177</v>
      </c>
      <c r="D3843" t="s">
        <v>26</v>
      </c>
      <c r="E3843" t="s">
        <v>31</v>
      </c>
      <c r="F3843">
        <v>1</v>
      </c>
      <c r="G3843" s="3" t="s">
        <v>32</v>
      </c>
      <c r="H3843" s="46" t="s">
        <v>15</v>
      </c>
      <c r="I3843" s="17">
        <v>3548110.63</v>
      </c>
      <c r="J3843" s="17">
        <f>IF(Gastos[[#This Row],[Divisa]]="$", I3843*1, IF(Gastos[[#This Row],[Divisa]]="U$D", I3843*$N$1, IF(Gastos[[#This Row],[Divisa]]="EUR", I3843*$N$2, 0)))</f>
        <v>3548110.63</v>
      </c>
      <c r="K3843" s="54">
        <f>Gastos[[#This Row],[Importe AR$]]/$N$1</f>
        <v>2274.4298910256412</v>
      </c>
      <c r="M3843" s="69">
        <v>46093</v>
      </c>
      <c r="N3843" s="43">
        <f>IF(Gastos[[#This Row],[Fecha_Cheque]]&gt;0,WEEKNUM(Gastos[[#This Row],[Fecha_Cheque]]),MID(Gastos[[#This Row],[Semana]],6,2))</f>
        <v>11</v>
      </c>
      <c r="O3843" t="s">
        <v>2185</v>
      </c>
      <c r="P3843" t="s">
        <v>27</v>
      </c>
    </row>
    <row r="3844" spans="1:16" hidden="1" x14ac:dyDescent="0.25">
      <c r="A3844" s="3" t="s">
        <v>68</v>
      </c>
      <c r="B3844" t="s">
        <v>2171</v>
      </c>
      <c r="C3844" t="s">
        <v>2177</v>
      </c>
      <c r="D3844" t="s">
        <v>26</v>
      </c>
      <c r="E3844" t="s">
        <v>31</v>
      </c>
      <c r="F3844">
        <v>1</v>
      </c>
      <c r="G3844" s="3" t="s">
        <v>32</v>
      </c>
      <c r="H3844" s="46" t="s">
        <v>15</v>
      </c>
      <c r="I3844" s="17">
        <v>7569606.1900000004</v>
      </c>
      <c r="J3844" s="17">
        <f>IF(Gastos[[#This Row],[Divisa]]="$", I3844*1, IF(Gastos[[#This Row],[Divisa]]="U$D", I3844*$N$1, IF(Gastos[[#This Row],[Divisa]]="EUR", I3844*$N$2, 0)))</f>
        <v>7569606.1900000004</v>
      </c>
      <c r="K3844" s="54">
        <f>Gastos[[#This Row],[Importe AR$]]/$N$1</f>
        <v>4852.3116602564105</v>
      </c>
      <c r="M3844" s="69">
        <v>46080</v>
      </c>
      <c r="N3844" s="43">
        <f>IF(Gastos[[#This Row],[Fecha_Cheque]]&gt;0,WEEKNUM(Gastos[[#This Row],[Fecha_Cheque]]),MID(Gastos[[#This Row],[Semana]],6,2))</f>
        <v>9</v>
      </c>
      <c r="O3844" t="s">
        <v>2185</v>
      </c>
      <c r="P3844" t="s">
        <v>27</v>
      </c>
    </row>
    <row r="3845" spans="1:16" hidden="1" x14ac:dyDescent="0.25">
      <c r="A3845" s="3" t="s">
        <v>68</v>
      </c>
      <c r="B3845" t="s">
        <v>2171</v>
      </c>
      <c r="C3845" t="s">
        <v>2177</v>
      </c>
      <c r="D3845" t="s">
        <v>26</v>
      </c>
      <c r="E3845" t="s">
        <v>31</v>
      </c>
      <c r="F3845">
        <v>1</v>
      </c>
      <c r="G3845" s="3" t="s">
        <v>32</v>
      </c>
      <c r="H3845" s="46" t="s">
        <v>15</v>
      </c>
      <c r="I3845" s="17">
        <v>9136948.8300000001</v>
      </c>
      <c r="J3845" s="17">
        <f>IF(Gastos[[#This Row],[Divisa]]="$", I3845*1, IF(Gastos[[#This Row],[Divisa]]="U$D", I3845*$N$1, IF(Gastos[[#This Row],[Divisa]]="EUR", I3845*$N$2, 0)))</f>
        <v>9136948.8300000001</v>
      </c>
      <c r="K3845" s="54">
        <f>Gastos[[#This Row],[Importe AR$]]/$N$1</f>
        <v>5857.0184807692312</v>
      </c>
      <c r="M3845" s="69">
        <v>46081</v>
      </c>
      <c r="N3845" s="43">
        <f>IF(Gastos[[#This Row],[Fecha_Cheque]]&gt;0,WEEKNUM(Gastos[[#This Row],[Fecha_Cheque]]),MID(Gastos[[#This Row],[Semana]],6,2))</f>
        <v>9</v>
      </c>
      <c r="O3845" t="s">
        <v>2185</v>
      </c>
      <c r="P3845" t="s">
        <v>27</v>
      </c>
    </row>
    <row r="3846" spans="1:16" hidden="1" x14ac:dyDescent="0.25">
      <c r="A3846" s="3" t="s">
        <v>68</v>
      </c>
      <c r="B3846" t="s">
        <v>2171</v>
      </c>
      <c r="C3846" t="s">
        <v>2177</v>
      </c>
      <c r="D3846" t="s">
        <v>26</v>
      </c>
      <c r="E3846" t="s">
        <v>31</v>
      </c>
      <c r="F3846">
        <v>1</v>
      </c>
      <c r="G3846" s="3" t="s">
        <v>32</v>
      </c>
      <c r="H3846" s="46" t="s">
        <v>15</v>
      </c>
      <c r="I3846" s="17">
        <v>13066830.689999999</v>
      </c>
      <c r="J3846" s="17">
        <f>IF(Gastos[[#This Row],[Divisa]]="$", I3846*1, IF(Gastos[[#This Row],[Divisa]]="U$D", I3846*$N$1, IF(Gastos[[#This Row],[Divisa]]="EUR", I3846*$N$2, 0)))</f>
        <v>13066830.689999999</v>
      </c>
      <c r="K3846" s="54">
        <f>Gastos[[#This Row],[Importe AR$]]/$N$1</f>
        <v>8376.1735192307697</v>
      </c>
      <c r="M3846" s="69">
        <v>46080</v>
      </c>
      <c r="N3846" s="43">
        <f>IF(Gastos[[#This Row],[Fecha_Cheque]]&gt;0,WEEKNUM(Gastos[[#This Row],[Fecha_Cheque]]),MID(Gastos[[#This Row],[Semana]],6,2))</f>
        <v>9</v>
      </c>
      <c r="O3846" t="s">
        <v>2185</v>
      </c>
      <c r="P3846" t="s">
        <v>27</v>
      </c>
    </row>
    <row r="3847" spans="1:16" hidden="1" x14ac:dyDescent="0.25">
      <c r="A3847" s="3" t="s">
        <v>180</v>
      </c>
      <c r="B3847" t="s">
        <v>2171</v>
      </c>
      <c r="C3847" t="s">
        <v>2181</v>
      </c>
      <c r="D3847" t="s">
        <v>26</v>
      </c>
      <c r="E3847" t="s">
        <v>62</v>
      </c>
      <c r="F3847">
        <v>1</v>
      </c>
      <c r="G3847" s="3" t="s">
        <v>32</v>
      </c>
      <c r="H3847" s="46" t="s">
        <v>15</v>
      </c>
      <c r="I3847" s="17">
        <v>5000000</v>
      </c>
      <c r="J3847" s="17">
        <f>IF(Gastos[[#This Row],[Divisa]]="$", I3847*1, IF(Gastos[[#This Row],[Divisa]]="U$D", I3847*$N$1, IF(Gastos[[#This Row],[Divisa]]="EUR", I3847*$N$2, 0)))</f>
        <v>5000000</v>
      </c>
      <c r="K3847" s="54">
        <f>Gastos[[#This Row],[Importe AR$]]/$N$1</f>
        <v>3205.1282051282051</v>
      </c>
      <c r="M3847" s="69">
        <v>46125</v>
      </c>
      <c r="N3847" s="43">
        <f>IF(Gastos[[#This Row],[Fecha_Cheque]]&gt;0,WEEKNUM(Gastos[[#This Row],[Fecha_Cheque]]),MID(Gastos[[#This Row],[Semana]],6,2))</f>
        <v>16</v>
      </c>
      <c r="O3847" t="s">
        <v>2524</v>
      </c>
      <c r="P3847" t="s">
        <v>27</v>
      </c>
    </row>
    <row r="3848" spans="1:16" hidden="1" x14ac:dyDescent="0.25">
      <c r="A3848" s="3" t="s">
        <v>180</v>
      </c>
      <c r="B3848" t="s">
        <v>2171</v>
      </c>
      <c r="C3848" t="s">
        <v>2181</v>
      </c>
      <c r="D3848" t="s">
        <v>26</v>
      </c>
      <c r="E3848" t="s">
        <v>62</v>
      </c>
      <c r="F3848">
        <v>1</v>
      </c>
      <c r="G3848" s="3" t="s">
        <v>32</v>
      </c>
      <c r="H3848" s="46" t="s">
        <v>15</v>
      </c>
      <c r="I3848" s="17">
        <v>5000000</v>
      </c>
      <c r="J3848" s="17">
        <f>IF(Gastos[[#This Row],[Divisa]]="$", I3848*1, IF(Gastos[[#This Row],[Divisa]]="U$D", I3848*$N$1, IF(Gastos[[#This Row],[Divisa]]="EUR", I3848*$N$2, 0)))</f>
        <v>5000000</v>
      </c>
      <c r="K3848" s="54">
        <f>Gastos[[#This Row],[Importe AR$]]/$N$1</f>
        <v>3205.1282051282051</v>
      </c>
      <c r="M3848" s="69">
        <v>46118</v>
      </c>
      <c r="N3848" s="43">
        <f>IF(Gastos[[#This Row],[Fecha_Cheque]]&gt;0,WEEKNUM(Gastos[[#This Row],[Fecha_Cheque]]),MID(Gastos[[#This Row],[Semana]],6,2))</f>
        <v>15</v>
      </c>
      <c r="O3848" t="s">
        <v>2524</v>
      </c>
      <c r="P3848" t="s">
        <v>27</v>
      </c>
    </row>
    <row r="3849" spans="1:16" hidden="1" x14ac:dyDescent="0.25">
      <c r="A3849" s="3" t="s">
        <v>397</v>
      </c>
      <c r="B3849" t="s">
        <v>2171</v>
      </c>
      <c r="C3849" t="s">
        <v>2181</v>
      </c>
      <c r="D3849" t="s">
        <v>26</v>
      </c>
      <c r="E3849" t="s">
        <v>62</v>
      </c>
      <c r="F3849">
        <v>1</v>
      </c>
      <c r="G3849" s="3" t="s">
        <v>32</v>
      </c>
      <c r="H3849" s="44" t="s">
        <v>15</v>
      </c>
      <c r="I3849" s="17">
        <v>4783718.84</v>
      </c>
      <c r="J3849" s="17">
        <f>IF(Gastos[[#This Row],[Divisa]]="$", I3849*1, IF(Gastos[[#This Row],[Divisa]]="U$D", I3849*$N$1, IF(Gastos[[#This Row],[Divisa]]="EUR", I3849*$N$2, 0)))</f>
        <v>4783718.84</v>
      </c>
      <c r="K3849" s="54">
        <f>Gastos[[#This Row],[Importe AR$]]/$N$1</f>
        <v>3066.486435897436</v>
      </c>
      <c r="M3849" s="69">
        <v>46137</v>
      </c>
      <c r="N3849" s="43">
        <f>IF(Gastos[[#This Row],[Fecha_Cheque]]&gt;0,WEEKNUM(Gastos[[#This Row],[Fecha_Cheque]]),MID(Gastos[[#This Row],[Semana]],6,2))</f>
        <v>17</v>
      </c>
      <c r="O3849" t="s">
        <v>2691</v>
      </c>
      <c r="P3849" t="s">
        <v>27</v>
      </c>
    </row>
    <row r="3850" spans="1:16" hidden="1" x14ac:dyDescent="0.25">
      <c r="A3850" s="3" t="s">
        <v>397</v>
      </c>
      <c r="B3850" t="s">
        <v>2171</v>
      </c>
      <c r="C3850" t="s">
        <v>2181</v>
      </c>
      <c r="D3850" t="s">
        <v>26</v>
      </c>
      <c r="E3850" t="s">
        <v>62</v>
      </c>
      <c r="F3850">
        <v>1</v>
      </c>
      <c r="G3850" s="3" t="s">
        <v>32</v>
      </c>
      <c r="H3850" s="44" t="s">
        <v>15</v>
      </c>
      <c r="I3850" s="17">
        <v>73376.89</v>
      </c>
      <c r="J3850" s="17">
        <f>IF(Gastos[[#This Row],[Divisa]]="$", I3850*1, IF(Gastos[[#This Row],[Divisa]]="U$D", I3850*$N$1, IF(Gastos[[#This Row],[Divisa]]="EUR", I3850*$N$2, 0)))</f>
        <v>73376.89</v>
      </c>
      <c r="K3850" s="54">
        <f>Gastos[[#This Row],[Importe AR$]]/$N$1</f>
        <v>47.036467948717949</v>
      </c>
      <c r="M3850" s="69"/>
      <c r="N3850" s="43" t="str">
        <f>IF(Gastos[[#This Row],[Fecha_Cheque]]&gt;0,WEEKNUM(Gastos[[#This Row],[Fecha_Cheque]]),MID(Gastos[[#This Row],[Semana]],6,2))</f>
        <v>11</v>
      </c>
      <c r="O3850" t="s">
        <v>2691</v>
      </c>
      <c r="P3850" t="s">
        <v>27</v>
      </c>
    </row>
    <row r="3851" spans="1:16" hidden="1" x14ac:dyDescent="0.25">
      <c r="A3851" s="3" t="s">
        <v>2841</v>
      </c>
      <c r="B3851" t="s">
        <v>2171</v>
      </c>
      <c r="C3851" t="s">
        <v>2181</v>
      </c>
      <c r="D3851" t="s">
        <v>61</v>
      </c>
      <c r="E3851" t="s">
        <v>62</v>
      </c>
      <c r="F3851">
        <v>1</v>
      </c>
      <c r="G3851" s="3" t="s">
        <v>32</v>
      </c>
      <c r="H3851" s="46" t="s">
        <v>15</v>
      </c>
      <c r="I3851" s="17">
        <v>4777271</v>
      </c>
      <c r="J3851" s="17">
        <f>IF(Gastos[[#This Row],[Divisa]]="$", I3851*1, IF(Gastos[[#This Row],[Divisa]]="U$D", I3851*$N$1, IF(Gastos[[#This Row],[Divisa]]="EUR", I3851*$N$2, 0)))</f>
        <v>4777271</v>
      </c>
      <c r="K3851" s="54">
        <f>Gastos[[#This Row],[Importe AR$]]/$N$1</f>
        <v>3062.353205128205</v>
      </c>
      <c r="M3851" s="69">
        <v>46213</v>
      </c>
      <c r="N3851" s="43">
        <f>IF(Gastos[[#This Row],[Fecha_Cheque]]&gt;0,WEEKNUM(Gastos[[#This Row],[Fecha_Cheque]]),MID(Gastos[[#This Row],[Semana]],6,2))</f>
        <v>28</v>
      </c>
      <c r="O3851" t="s">
        <v>3324</v>
      </c>
      <c r="P3851" t="s">
        <v>27</v>
      </c>
    </row>
    <row r="3852" spans="1:16" hidden="1" x14ac:dyDescent="0.25">
      <c r="A3852" s="3" t="s">
        <v>2841</v>
      </c>
      <c r="B3852" t="s">
        <v>2171</v>
      </c>
      <c r="C3852" t="s">
        <v>2181</v>
      </c>
      <c r="D3852" t="s">
        <v>61</v>
      </c>
      <c r="E3852" t="s">
        <v>62</v>
      </c>
      <c r="F3852">
        <v>1</v>
      </c>
      <c r="G3852" s="3" t="s">
        <v>32</v>
      </c>
      <c r="H3852" s="46" t="s">
        <v>15</v>
      </c>
      <c r="I3852" s="17">
        <v>91065.42</v>
      </c>
      <c r="J3852" s="17">
        <f>IF(Gastos[[#This Row],[Divisa]]="$", I3852*1, IF(Gastos[[#This Row],[Divisa]]="U$D", I3852*$N$1, IF(Gastos[[#This Row],[Divisa]]="EUR", I3852*$N$2, 0)))</f>
        <v>91065.42</v>
      </c>
      <c r="K3852" s="54">
        <f>Gastos[[#This Row],[Importe AR$]]/$N$1</f>
        <v>58.375269230769227</v>
      </c>
      <c r="L3852" t="s">
        <v>340</v>
      </c>
      <c r="M3852" s="69"/>
      <c r="N3852" s="43" t="str">
        <f>IF(Gastos[[#This Row],[Fecha_Cheque]]&gt;0,WEEKNUM(Gastos[[#This Row],[Fecha_Cheque]]),MID(Gastos[[#This Row],[Semana]],6,2))</f>
        <v>22</v>
      </c>
      <c r="O3852" t="s">
        <v>3324</v>
      </c>
      <c r="P3852" t="s">
        <v>27</v>
      </c>
    </row>
    <row r="3853" spans="1:16" hidden="1" x14ac:dyDescent="0.25">
      <c r="A3853" s="3" t="s">
        <v>3817</v>
      </c>
      <c r="B3853" t="s">
        <v>2171</v>
      </c>
      <c r="C3853" t="s">
        <v>2181</v>
      </c>
      <c r="D3853" t="s">
        <v>61</v>
      </c>
      <c r="E3853" t="s">
        <v>62</v>
      </c>
      <c r="F3853">
        <v>1</v>
      </c>
      <c r="G3853" s="3" t="s">
        <v>32</v>
      </c>
      <c r="H3853" s="46" t="s">
        <v>15</v>
      </c>
      <c r="I3853" s="17">
        <v>2618473</v>
      </c>
      <c r="J3853" s="17">
        <f>IF(Gastos[[#This Row],[Divisa]]="$", I3853*1, IF(Gastos[[#This Row],[Divisa]]="U$D", I3853*$N$1, IF(Gastos[[#This Row],[Divisa]]="EUR", I3853*$N$2, 0)))</f>
        <v>2618473</v>
      </c>
      <c r="K3853" s="54">
        <f>Gastos[[#This Row],[Importe AR$]]/$N$1</f>
        <v>1678.5083333333334</v>
      </c>
      <c r="M3853" s="69">
        <v>46267</v>
      </c>
      <c r="N3853" s="43">
        <f>IF(Gastos[[#This Row],[Fecha_Cheque]]&gt;0,WEEKNUM(Gastos[[#This Row],[Fecha_Cheque]]),MID(Gastos[[#This Row],[Semana]],6,2))</f>
        <v>36</v>
      </c>
      <c r="O3853" t="s">
        <v>3844</v>
      </c>
      <c r="P3853" t="s">
        <v>27</v>
      </c>
    </row>
    <row r="3854" spans="1:16" hidden="1" x14ac:dyDescent="0.25">
      <c r="A3854" s="3" t="s">
        <v>3817</v>
      </c>
      <c r="B3854" t="s">
        <v>2171</v>
      </c>
      <c r="C3854" t="s">
        <v>2181</v>
      </c>
      <c r="D3854" t="s">
        <v>61</v>
      </c>
      <c r="E3854" t="s">
        <v>62</v>
      </c>
      <c r="F3854">
        <v>1</v>
      </c>
      <c r="G3854" s="3" t="s">
        <v>32</v>
      </c>
      <c r="H3854" s="46" t="s">
        <v>15</v>
      </c>
      <c r="I3854" s="17">
        <v>47889.46</v>
      </c>
      <c r="J3854" s="17">
        <f>IF(Gastos[[#This Row],[Divisa]]="$", I3854*1, IF(Gastos[[#This Row],[Divisa]]="U$D", I3854*$N$1, IF(Gastos[[#This Row],[Divisa]]="EUR", I3854*$N$2, 0)))</f>
        <v>47889.46</v>
      </c>
      <c r="K3854" s="54">
        <f>Gastos[[#This Row],[Importe AR$]]/$N$1</f>
        <v>30.698371794871793</v>
      </c>
      <c r="L3854" t="s">
        <v>340</v>
      </c>
      <c r="M3854" s="69"/>
      <c r="N3854" s="43" t="str">
        <f>IF(Gastos[[#This Row],[Fecha_Cheque]]&gt;0,WEEKNUM(Gastos[[#This Row],[Fecha_Cheque]]),MID(Gastos[[#This Row],[Semana]],6,2))</f>
        <v>30</v>
      </c>
      <c r="O3854" t="s">
        <v>3844</v>
      </c>
      <c r="P3854" t="s">
        <v>27</v>
      </c>
    </row>
    <row r="3855" spans="1:16" hidden="1" x14ac:dyDescent="0.25">
      <c r="A3855" s="3" t="s">
        <v>4513</v>
      </c>
      <c r="B3855" t="s">
        <v>2171</v>
      </c>
      <c r="C3855" t="s">
        <v>2181</v>
      </c>
      <c r="D3855" t="s">
        <v>61</v>
      </c>
      <c r="E3855" t="s">
        <v>62</v>
      </c>
      <c r="F3855">
        <v>1</v>
      </c>
      <c r="G3855" s="3" t="s">
        <v>32</v>
      </c>
      <c r="H3855" s="46" t="s">
        <v>15</v>
      </c>
      <c r="I3855" s="17">
        <v>2400000</v>
      </c>
      <c r="J3855" s="17">
        <f>IF(Gastos[[#This Row],[Divisa]]="$", I3855*1, IF(Gastos[[#This Row],[Divisa]]="U$D", I3855*$N$1, IF(Gastos[[#This Row],[Divisa]]="EUR", I3855*$N$2, 0)))</f>
        <v>2400000</v>
      </c>
      <c r="K3855" s="54">
        <f>Gastos[[#This Row],[Importe AR$]]/$N$1</f>
        <v>1538.4615384615386</v>
      </c>
      <c r="M3855" s="69">
        <v>46360</v>
      </c>
      <c r="N3855" s="43">
        <f>IF(Gastos[[#This Row],[Fecha_Cheque]]&gt;0,WEEKNUM(Gastos[[#This Row],[Fecha_Cheque]]),MID(Gastos[[#This Row],[Semana]],6,2))</f>
        <v>49</v>
      </c>
      <c r="O3855" t="s">
        <v>4568</v>
      </c>
      <c r="P3855" t="s">
        <v>27</v>
      </c>
    </row>
    <row r="3856" spans="1:16" hidden="1" x14ac:dyDescent="0.25">
      <c r="A3856" s="3" t="s">
        <v>4513</v>
      </c>
      <c r="B3856" t="s">
        <v>2171</v>
      </c>
      <c r="C3856" t="s">
        <v>2181</v>
      </c>
      <c r="D3856" t="s">
        <v>61</v>
      </c>
      <c r="E3856" t="s">
        <v>62</v>
      </c>
      <c r="F3856">
        <v>1</v>
      </c>
      <c r="G3856" s="3" t="s">
        <v>32</v>
      </c>
      <c r="H3856" s="46" t="s">
        <v>15</v>
      </c>
      <c r="I3856" s="17">
        <v>2400000</v>
      </c>
      <c r="J3856" s="17">
        <f>IF(Gastos[[#This Row],[Divisa]]="$", I3856*1, IF(Gastos[[#This Row],[Divisa]]="U$D", I3856*$N$1, IF(Gastos[[#This Row],[Divisa]]="EUR", I3856*$N$2, 0)))</f>
        <v>2400000</v>
      </c>
      <c r="K3856" s="54">
        <f>Gastos[[#This Row],[Importe AR$]]/$N$1</f>
        <v>1538.4615384615386</v>
      </c>
      <c r="M3856" s="69">
        <v>46359</v>
      </c>
      <c r="N3856" s="43">
        <f>IF(Gastos[[#This Row],[Fecha_Cheque]]&gt;0,WEEKNUM(Gastos[[#This Row],[Fecha_Cheque]]),MID(Gastos[[#This Row],[Semana]],6,2))</f>
        <v>49</v>
      </c>
      <c r="O3856" t="s">
        <v>4568</v>
      </c>
      <c r="P3856" t="s">
        <v>27</v>
      </c>
    </row>
    <row r="3857" spans="1:16" hidden="1" x14ac:dyDescent="0.25">
      <c r="A3857" s="3" t="s">
        <v>4513</v>
      </c>
      <c r="B3857" t="s">
        <v>2171</v>
      </c>
      <c r="C3857" t="s">
        <v>2181</v>
      </c>
      <c r="D3857" t="s">
        <v>61</v>
      </c>
      <c r="E3857" t="s">
        <v>62</v>
      </c>
      <c r="F3857">
        <v>1</v>
      </c>
      <c r="G3857" s="3" t="s">
        <v>32</v>
      </c>
      <c r="H3857" s="46" t="s">
        <v>15</v>
      </c>
      <c r="I3857" s="17">
        <v>2400000</v>
      </c>
      <c r="J3857" s="17">
        <f>IF(Gastos[[#This Row],[Divisa]]="$", I3857*1, IF(Gastos[[#This Row],[Divisa]]="U$D", I3857*$N$1, IF(Gastos[[#This Row],[Divisa]]="EUR", I3857*$N$2, 0)))</f>
        <v>2400000</v>
      </c>
      <c r="K3857" s="54">
        <f>Gastos[[#This Row],[Importe AR$]]/$N$1</f>
        <v>1538.4615384615386</v>
      </c>
      <c r="M3857" s="69">
        <v>46363</v>
      </c>
      <c r="N3857" s="43">
        <f>IF(Gastos[[#This Row],[Fecha_Cheque]]&gt;0,WEEKNUM(Gastos[[#This Row],[Fecha_Cheque]]),MID(Gastos[[#This Row],[Semana]],6,2))</f>
        <v>50</v>
      </c>
      <c r="O3857" t="s">
        <v>4568</v>
      </c>
      <c r="P3857" t="s">
        <v>27</v>
      </c>
    </row>
    <row r="3858" spans="1:16" hidden="1" x14ac:dyDescent="0.25">
      <c r="A3858" s="3" t="s">
        <v>4513</v>
      </c>
      <c r="B3858" t="s">
        <v>2171</v>
      </c>
      <c r="C3858" t="s">
        <v>2181</v>
      </c>
      <c r="D3858" t="s">
        <v>61</v>
      </c>
      <c r="E3858" t="s">
        <v>62</v>
      </c>
      <c r="F3858">
        <v>1</v>
      </c>
      <c r="G3858" s="3" t="s">
        <v>32</v>
      </c>
      <c r="H3858" s="46" t="s">
        <v>15</v>
      </c>
      <c r="I3858" s="17">
        <v>139520</v>
      </c>
      <c r="J3858" s="17">
        <f>IF(Gastos[[#This Row],[Divisa]]="$", I3858*1, IF(Gastos[[#This Row],[Divisa]]="U$D", I3858*$N$1, IF(Gastos[[#This Row],[Divisa]]="EUR", I3858*$N$2, 0)))</f>
        <v>139520</v>
      </c>
      <c r="K3858" s="54">
        <f>Gastos[[#This Row],[Importe AR$]]/$N$1</f>
        <v>89.435897435897431</v>
      </c>
      <c r="L3858" t="s">
        <v>340</v>
      </c>
      <c r="M3858" s="69"/>
      <c r="N3858" s="43" t="str">
        <f>IF(Gastos[[#This Row],[Fecha_Cheque]]&gt;0,WEEKNUM(Gastos[[#This Row],[Fecha_Cheque]]),MID(Gastos[[#This Row],[Semana]],6,2))</f>
        <v>42</v>
      </c>
      <c r="O3858" t="s">
        <v>4568</v>
      </c>
      <c r="P3858" t="s">
        <v>27</v>
      </c>
    </row>
    <row r="3859" spans="1:16" x14ac:dyDescent="0.25">
      <c r="A3859" s="3" t="s">
        <v>4655</v>
      </c>
      <c r="B3859" t="s">
        <v>2019</v>
      </c>
      <c r="C3859" t="s">
        <v>4595</v>
      </c>
      <c r="D3859" t="s">
        <v>26</v>
      </c>
      <c r="E3859" t="s">
        <v>31</v>
      </c>
      <c r="F3859">
        <v>1</v>
      </c>
      <c r="G3859" s="3" t="s">
        <v>32</v>
      </c>
      <c r="H3859" s="44" t="s">
        <v>15</v>
      </c>
      <c r="I3859" s="17">
        <v>3000000</v>
      </c>
      <c r="J3859" s="17">
        <f>IF(Gastos[[#This Row],[Divisa]]="$", I3859*1, IF(Gastos[[#This Row],[Divisa]]="U$D", I3859*$N$1, IF(Gastos[[#This Row],[Divisa]]="EUR", I3859*$N$2, 0)))</f>
        <v>3000000</v>
      </c>
      <c r="K3859" s="54">
        <f>Gastos[[#This Row],[Importe AR$]]/$N$1</f>
        <v>1923.0769230769231</v>
      </c>
      <c r="M3859" s="69">
        <v>46336</v>
      </c>
      <c r="N3859" s="43">
        <f>IF(Gastos[[#This Row],[Fecha_Cheque]]&gt;0,WEEKNUM(Gastos[[#This Row],[Fecha_Cheque]]),MID(Gastos[[#This Row],[Semana]],6,2))</f>
        <v>46</v>
      </c>
      <c r="O3859" t="s">
        <v>4673</v>
      </c>
      <c r="P3859" t="s">
        <v>27</v>
      </c>
    </row>
    <row r="3860" spans="1:16" hidden="1" x14ac:dyDescent="0.25">
      <c r="A3860" s="3" t="s">
        <v>4569</v>
      </c>
      <c r="B3860" t="s">
        <v>2171</v>
      </c>
      <c r="C3860" t="s">
        <v>2181</v>
      </c>
      <c r="D3860" t="s">
        <v>61</v>
      </c>
      <c r="E3860" t="s">
        <v>62</v>
      </c>
      <c r="F3860">
        <v>1</v>
      </c>
      <c r="G3860" s="3" t="s">
        <v>32</v>
      </c>
      <c r="H3860" s="46" t="s">
        <v>15</v>
      </c>
      <c r="I3860" s="17">
        <v>2400000</v>
      </c>
      <c r="J3860" s="17">
        <f>IF(Gastos[[#This Row],[Divisa]]="$", I3860*1, IF(Gastos[[#This Row],[Divisa]]="U$D", I3860*$N$1, IF(Gastos[[#This Row],[Divisa]]="EUR", I3860*$N$2, 0)))</f>
        <v>2400000</v>
      </c>
      <c r="K3860" s="54">
        <f>Gastos[[#This Row],[Importe AR$]]/$N$1</f>
        <v>1538.4615384615386</v>
      </c>
      <c r="M3860" s="69">
        <v>46360</v>
      </c>
      <c r="N3860" s="43">
        <f>IF(Gastos[[#This Row],[Fecha_Cheque]]&gt;0,WEEKNUM(Gastos[[#This Row],[Fecha_Cheque]]),MID(Gastos[[#This Row],[Semana]],6,2))</f>
        <v>49</v>
      </c>
      <c r="O3860" t="s">
        <v>4568</v>
      </c>
      <c r="P3860" t="s">
        <v>27</v>
      </c>
    </row>
    <row r="3861" spans="1:16" hidden="1" x14ac:dyDescent="0.25">
      <c r="A3861" s="3" t="s">
        <v>4569</v>
      </c>
      <c r="B3861" t="s">
        <v>2171</v>
      </c>
      <c r="C3861" t="s">
        <v>2181</v>
      </c>
      <c r="D3861" t="s">
        <v>61</v>
      </c>
      <c r="E3861" t="s">
        <v>62</v>
      </c>
      <c r="F3861">
        <v>1</v>
      </c>
      <c r="G3861" s="3" t="s">
        <v>32</v>
      </c>
      <c r="H3861" s="46" t="s">
        <v>15</v>
      </c>
      <c r="I3861" s="17">
        <v>2400000</v>
      </c>
      <c r="J3861" s="17">
        <f>IF(Gastos[[#This Row],[Divisa]]="$", I3861*1, IF(Gastos[[#This Row],[Divisa]]="U$D", I3861*$N$1, IF(Gastos[[#This Row],[Divisa]]="EUR", I3861*$N$2, 0)))</f>
        <v>2400000</v>
      </c>
      <c r="K3861" s="54">
        <f>Gastos[[#This Row],[Importe AR$]]/$N$1</f>
        <v>1538.4615384615386</v>
      </c>
      <c r="M3861" s="69">
        <v>46359</v>
      </c>
      <c r="N3861" s="43">
        <f>IF(Gastos[[#This Row],[Fecha_Cheque]]&gt;0,WEEKNUM(Gastos[[#This Row],[Fecha_Cheque]]),MID(Gastos[[#This Row],[Semana]],6,2))</f>
        <v>49</v>
      </c>
      <c r="O3861" t="s">
        <v>4568</v>
      </c>
      <c r="P3861" t="s">
        <v>27</v>
      </c>
    </row>
    <row r="3862" spans="1:16" hidden="1" x14ac:dyDescent="0.25">
      <c r="A3862" s="3" t="s">
        <v>4569</v>
      </c>
      <c r="B3862" t="s">
        <v>2171</v>
      </c>
      <c r="C3862" t="s">
        <v>2181</v>
      </c>
      <c r="D3862" t="s">
        <v>61</v>
      </c>
      <c r="E3862" t="s">
        <v>62</v>
      </c>
      <c r="F3862">
        <v>1</v>
      </c>
      <c r="G3862" s="3" t="s">
        <v>32</v>
      </c>
      <c r="H3862" s="46" t="s">
        <v>15</v>
      </c>
      <c r="I3862" s="17">
        <v>2400000</v>
      </c>
      <c r="J3862" s="17">
        <f>IF(Gastos[[#This Row],[Divisa]]="$", I3862*1, IF(Gastos[[#This Row],[Divisa]]="U$D", I3862*$N$1, IF(Gastos[[#This Row],[Divisa]]="EUR", I3862*$N$2, 0)))</f>
        <v>2400000</v>
      </c>
      <c r="K3862" s="54">
        <f>Gastos[[#This Row],[Importe AR$]]/$N$1</f>
        <v>1538.4615384615386</v>
      </c>
      <c r="M3862" s="69">
        <v>46363</v>
      </c>
      <c r="N3862" s="43">
        <f>IF(Gastos[[#This Row],[Fecha_Cheque]]&gt;0,WEEKNUM(Gastos[[#This Row],[Fecha_Cheque]]),MID(Gastos[[#This Row],[Semana]],6,2))</f>
        <v>50</v>
      </c>
      <c r="O3862" t="s">
        <v>4568</v>
      </c>
      <c r="P3862" t="s">
        <v>27</v>
      </c>
    </row>
    <row r="3863" spans="1:16" hidden="1" x14ac:dyDescent="0.25">
      <c r="A3863" s="3" t="s">
        <v>4569</v>
      </c>
      <c r="B3863" t="s">
        <v>2171</v>
      </c>
      <c r="C3863" t="s">
        <v>2181</v>
      </c>
      <c r="D3863" t="s">
        <v>61</v>
      </c>
      <c r="E3863" t="s">
        <v>62</v>
      </c>
      <c r="F3863">
        <v>1</v>
      </c>
      <c r="G3863" s="3" t="s">
        <v>32</v>
      </c>
      <c r="H3863" s="46" t="s">
        <v>15</v>
      </c>
      <c r="I3863" s="17">
        <v>139520</v>
      </c>
      <c r="J3863" s="17">
        <f>IF(Gastos[[#This Row],[Divisa]]="$", I3863*1, IF(Gastos[[#This Row],[Divisa]]="U$D", I3863*$N$1, IF(Gastos[[#This Row],[Divisa]]="EUR", I3863*$N$2, 0)))</f>
        <v>139520</v>
      </c>
      <c r="K3863" s="54">
        <f>Gastos[[#This Row],[Importe AR$]]/$N$1</f>
        <v>89.435897435897431</v>
      </c>
      <c r="L3863" t="s">
        <v>340</v>
      </c>
      <c r="M3863" s="69"/>
      <c r="N3863" s="43" t="str">
        <f>IF(Gastos[[#This Row],[Fecha_Cheque]]&gt;0,WEEKNUM(Gastos[[#This Row],[Fecha_Cheque]]),MID(Gastos[[#This Row],[Semana]],6,2))</f>
        <v>43</v>
      </c>
      <c r="O3863" t="s">
        <v>4568</v>
      </c>
      <c r="P3863" t="s">
        <v>27</v>
      </c>
    </row>
    <row r="3864" spans="1:16" hidden="1" x14ac:dyDescent="0.25">
      <c r="A3864" s="3" t="s">
        <v>232</v>
      </c>
      <c r="B3864" t="s">
        <v>2187</v>
      </c>
      <c r="C3864" t="s">
        <v>2188</v>
      </c>
      <c r="D3864" t="s">
        <v>26</v>
      </c>
      <c r="E3864" t="s">
        <v>31</v>
      </c>
      <c r="F3864">
        <v>1</v>
      </c>
      <c r="G3864" s="3" t="s">
        <v>5</v>
      </c>
      <c r="H3864" s="46" t="s">
        <v>15</v>
      </c>
      <c r="I3864" s="17">
        <v>66005.039999999994</v>
      </c>
      <c r="J3864" s="17">
        <f>IF(Gastos[[#This Row],[Divisa]]="$", I3864*1, IF(Gastos[[#This Row],[Divisa]]="U$D", I3864*$N$1, IF(Gastos[[#This Row],[Divisa]]="EUR", I3864*$N$2, 0)))</f>
        <v>66005.039999999994</v>
      </c>
      <c r="K3864" s="54">
        <f>Gastos[[#This Row],[Importe AR$]]/$N$1</f>
        <v>42.310923076923075</v>
      </c>
      <c r="M3864" s="69"/>
      <c r="N3864" s="43" t="str">
        <f>IF(Gastos[[#This Row],[Fecha_Cheque]]&gt;0,WEEKNUM(Gastos[[#This Row],[Fecha_Cheque]]),MID(Gastos[[#This Row],[Semana]],6,2))</f>
        <v>44</v>
      </c>
      <c r="O3864" t="s">
        <v>2189</v>
      </c>
      <c r="P3864" t="s">
        <v>27</v>
      </c>
    </row>
    <row r="3865" spans="1:16" hidden="1" x14ac:dyDescent="0.25">
      <c r="A3865" s="3" t="s">
        <v>310</v>
      </c>
      <c r="B3865" t="s">
        <v>2187</v>
      </c>
      <c r="C3865" t="s">
        <v>1618</v>
      </c>
      <c r="D3865" t="s">
        <v>26</v>
      </c>
      <c r="E3865" t="s">
        <v>91</v>
      </c>
      <c r="F3865">
        <v>1</v>
      </c>
      <c r="G3865" s="3" t="s">
        <v>5</v>
      </c>
      <c r="H3865" s="46" t="s">
        <v>15</v>
      </c>
      <c r="I3865" s="17">
        <v>1300000</v>
      </c>
      <c r="J3865" s="17">
        <f>IF(Gastos[[#This Row],[Divisa]]="$", I3865*1, IF(Gastos[[#This Row],[Divisa]]="U$D", I3865*$N$1, IF(Gastos[[#This Row],[Divisa]]="EUR", I3865*$N$2, 0)))</f>
        <v>1300000</v>
      </c>
      <c r="K3865" s="54">
        <f>Gastos[[#This Row],[Importe AR$]]/$N$1</f>
        <v>833.33333333333337</v>
      </c>
      <c r="M3865" s="69"/>
      <c r="N3865" s="43" t="str">
        <f>IF(Gastos[[#This Row],[Fecha_Cheque]]&gt;0,WEEKNUM(Gastos[[#This Row],[Fecha_Cheque]]),MID(Gastos[[#This Row],[Semana]],6,2))</f>
        <v>36</v>
      </c>
      <c r="O3865" t="s">
        <v>2190</v>
      </c>
      <c r="P3865" t="s">
        <v>27</v>
      </c>
    </row>
    <row r="3866" spans="1:16" hidden="1" x14ac:dyDescent="0.25">
      <c r="A3866" s="3" t="s">
        <v>56</v>
      </c>
      <c r="B3866" t="s">
        <v>2187</v>
      </c>
      <c r="C3866" t="s">
        <v>1620</v>
      </c>
      <c r="D3866" t="s">
        <v>26</v>
      </c>
      <c r="E3866" t="s">
        <v>91</v>
      </c>
      <c r="F3866">
        <v>1</v>
      </c>
      <c r="G3866" s="3" t="s">
        <v>5</v>
      </c>
      <c r="H3866" s="46" t="s">
        <v>15</v>
      </c>
      <c r="I3866" s="17">
        <v>1130000</v>
      </c>
      <c r="J3866" s="17">
        <f>IF(Gastos[[#This Row],[Divisa]]="$", I3866*1, IF(Gastos[[#This Row],[Divisa]]="U$D", I3866*$N$1, IF(Gastos[[#This Row],[Divisa]]="EUR", I3866*$N$2, 0)))</f>
        <v>1130000</v>
      </c>
      <c r="K3866" s="54">
        <f>Gastos[[#This Row],[Importe AR$]]/$N$1</f>
        <v>724.35897435897436</v>
      </c>
      <c r="M3866" s="69"/>
      <c r="N3866" s="43" t="str">
        <f>IF(Gastos[[#This Row],[Fecha_Cheque]]&gt;0,WEEKNUM(Gastos[[#This Row],[Fecha_Cheque]]),MID(Gastos[[#This Row],[Semana]],6,2))</f>
        <v>41</v>
      </c>
      <c r="O3866" t="s">
        <v>2191</v>
      </c>
      <c r="P3866" t="s">
        <v>27</v>
      </c>
    </row>
    <row r="3867" spans="1:16" hidden="1" x14ac:dyDescent="0.25">
      <c r="A3867" s="3" t="s">
        <v>130</v>
      </c>
      <c r="B3867" t="s">
        <v>2187</v>
      </c>
      <c r="C3867" t="s">
        <v>1622</v>
      </c>
      <c r="D3867" t="s">
        <v>26</v>
      </c>
      <c r="E3867" t="s">
        <v>91</v>
      </c>
      <c r="F3867">
        <v>1</v>
      </c>
      <c r="G3867" s="3" t="s">
        <v>5</v>
      </c>
      <c r="H3867" s="46" t="s">
        <v>15</v>
      </c>
      <c r="I3867" s="17">
        <v>1130000</v>
      </c>
      <c r="J3867" s="17">
        <f>IF(Gastos[[#This Row],[Divisa]]="$", I3867*1, IF(Gastos[[#This Row],[Divisa]]="U$D", I3867*$N$1, IF(Gastos[[#This Row],[Divisa]]="EUR", I3867*$N$2, 0)))</f>
        <v>1130000</v>
      </c>
      <c r="K3867" s="54">
        <f>Gastos[[#This Row],[Importe AR$]]/$N$1</f>
        <v>724.35897435897436</v>
      </c>
      <c r="M3867" s="69"/>
      <c r="N3867" s="43" t="str">
        <f>IF(Gastos[[#This Row],[Fecha_Cheque]]&gt;0,WEEKNUM(Gastos[[#This Row],[Fecha_Cheque]]),MID(Gastos[[#This Row],[Semana]],6,2))</f>
        <v>45</v>
      </c>
      <c r="O3867" t="s">
        <v>2192</v>
      </c>
      <c r="P3867" t="s">
        <v>27</v>
      </c>
    </row>
    <row r="3868" spans="1:16" hidden="1" x14ac:dyDescent="0.25">
      <c r="A3868" s="3" t="s">
        <v>60</v>
      </c>
      <c r="B3868" t="s">
        <v>2187</v>
      </c>
      <c r="C3868" t="s">
        <v>2188</v>
      </c>
      <c r="D3868" t="s">
        <v>26</v>
      </c>
      <c r="E3868" t="s">
        <v>31</v>
      </c>
      <c r="F3868">
        <v>1</v>
      </c>
      <c r="G3868" s="3" t="s">
        <v>5</v>
      </c>
      <c r="H3868" s="46" t="s">
        <v>15</v>
      </c>
      <c r="I3868" s="17">
        <v>70006.960000000006</v>
      </c>
      <c r="J3868" s="17">
        <f>IF(Gastos[[#This Row],[Divisa]]="$", I3868*1, IF(Gastos[[#This Row],[Divisa]]="U$D", I3868*$N$1, IF(Gastos[[#This Row],[Divisa]]="EUR", I3868*$N$2, 0)))</f>
        <v>70006.960000000006</v>
      </c>
      <c r="K3868" s="54">
        <f>Gastos[[#This Row],[Importe AR$]]/$N$1</f>
        <v>44.876256410256417</v>
      </c>
      <c r="M3868" s="69"/>
      <c r="N3868" s="43" t="str">
        <f>IF(Gastos[[#This Row],[Fecha_Cheque]]&gt;0,WEEKNUM(Gastos[[#This Row],[Fecha_Cheque]]),MID(Gastos[[#This Row],[Semana]],6,2))</f>
        <v>46</v>
      </c>
      <c r="O3868" t="s">
        <v>2193</v>
      </c>
      <c r="P3868" t="s">
        <v>27</v>
      </c>
    </row>
    <row r="3869" spans="1:16" hidden="1" x14ac:dyDescent="0.25">
      <c r="A3869" s="3" t="s">
        <v>93</v>
      </c>
      <c r="B3869" t="s">
        <v>2187</v>
      </c>
      <c r="D3869" t="s">
        <v>26</v>
      </c>
      <c r="E3869" t="s">
        <v>91</v>
      </c>
      <c r="F3869">
        <v>1</v>
      </c>
      <c r="G3869" s="3" t="s">
        <v>5</v>
      </c>
      <c r="H3869" s="46" t="s">
        <v>15</v>
      </c>
      <c r="I3869" s="17">
        <v>1130000</v>
      </c>
      <c r="J3869" s="17">
        <f>IF(Gastos[[#This Row],[Divisa]]="$", I3869*1, IF(Gastos[[#This Row],[Divisa]]="U$D", I3869*$N$1, IF(Gastos[[#This Row],[Divisa]]="EUR", I3869*$N$2, 0)))</f>
        <v>1130000</v>
      </c>
      <c r="K3869" s="54">
        <f>Gastos[[#This Row],[Importe AR$]]/$N$1</f>
        <v>724.35897435897436</v>
      </c>
      <c r="M3869" s="69"/>
      <c r="N3869" s="43" t="str">
        <f>IF(Gastos[[#This Row],[Fecha_Cheque]]&gt;0,WEEKNUM(Gastos[[#This Row],[Fecha_Cheque]]),MID(Gastos[[#This Row],[Semana]],6,2))</f>
        <v>50</v>
      </c>
      <c r="O3869" t="s">
        <v>2194</v>
      </c>
      <c r="P3869" t="s">
        <v>27</v>
      </c>
    </row>
    <row r="3870" spans="1:16" hidden="1" x14ac:dyDescent="0.25">
      <c r="A3870" s="3" t="s">
        <v>81</v>
      </c>
      <c r="B3870" t="s">
        <v>2195</v>
      </c>
      <c r="C3870" t="s">
        <v>2196</v>
      </c>
      <c r="D3870" t="s">
        <v>26</v>
      </c>
      <c r="E3870" t="s">
        <v>42</v>
      </c>
      <c r="F3870">
        <v>2</v>
      </c>
      <c r="G3870" s="3" t="s">
        <v>4</v>
      </c>
      <c r="H3870" s="46" t="s">
        <v>15</v>
      </c>
      <c r="I3870" s="17">
        <v>68500</v>
      </c>
      <c r="J3870" s="17">
        <f>IF(Gastos[[#This Row],[Divisa]]="$", I3870*1, IF(Gastos[[#This Row],[Divisa]]="U$D", I3870*$N$1, IF(Gastos[[#This Row],[Divisa]]="EUR", I3870*$N$2, 0)))</f>
        <v>68500</v>
      </c>
      <c r="K3870" s="54">
        <f>Gastos[[#This Row],[Importe AR$]]/$N$1</f>
        <v>43.910256410256409</v>
      </c>
      <c r="M3870" s="69"/>
      <c r="N3870" s="43" t="str">
        <f>IF(Gastos[[#This Row],[Fecha_Cheque]]&gt;0,WEEKNUM(Gastos[[#This Row],[Fecha_Cheque]]),MID(Gastos[[#This Row],[Semana]],6,2))</f>
        <v>49</v>
      </c>
      <c r="O3870" t="s">
        <v>2197</v>
      </c>
      <c r="P3870" t="s">
        <v>27</v>
      </c>
    </row>
    <row r="3871" spans="1:16" hidden="1" x14ac:dyDescent="0.25">
      <c r="A3871" s="3" t="s">
        <v>130</v>
      </c>
      <c r="B3871" t="s">
        <v>2198</v>
      </c>
      <c r="C3871" t="s">
        <v>2199</v>
      </c>
      <c r="D3871" t="s">
        <v>26</v>
      </c>
      <c r="E3871" t="s">
        <v>31</v>
      </c>
      <c r="F3871">
        <v>2</v>
      </c>
      <c r="G3871" s="3" t="s">
        <v>32</v>
      </c>
      <c r="H3871" s="46" t="s">
        <v>15</v>
      </c>
      <c r="I3871" s="17">
        <v>613494</v>
      </c>
      <c r="J3871" s="17">
        <f>IF(Gastos[[#This Row],[Divisa]]="$", I3871*1, IF(Gastos[[#This Row],[Divisa]]="U$D", I3871*$N$1, IF(Gastos[[#This Row],[Divisa]]="EUR", I3871*$N$2, 0)))</f>
        <v>613494</v>
      </c>
      <c r="K3871" s="54">
        <f>Gastos[[#This Row],[Importe AR$]]/$N$1</f>
        <v>393.26538461538462</v>
      </c>
      <c r="M3871" s="69">
        <v>45978</v>
      </c>
      <c r="N3871" s="43">
        <f>IF(Gastos[[#This Row],[Fecha_Cheque]]&gt;0,WEEKNUM(Gastos[[#This Row],[Fecha_Cheque]]),MID(Gastos[[#This Row],[Semana]],6,2))</f>
        <v>47</v>
      </c>
      <c r="O3871" t="s">
        <v>2200</v>
      </c>
      <c r="P3871" t="s">
        <v>27</v>
      </c>
    </row>
    <row r="3872" spans="1:16" hidden="1" x14ac:dyDescent="0.25">
      <c r="A3872" s="3" t="s">
        <v>130</v>
      </c>
      <c r="B3872" t="s">
        <v>2198</v>
      </c>
      <c r="C3872" t="s">
        <v>2201</v>
      </c>
      <c r="D3872" t="s">
        <v>26</v>
      </c>
      <c r="E3872" t="s">
        <v>31</v>
      </c>
      <c r="F3872">
        <v>2</v>
      </c>
      <c r="G3872" s="3" t="s">
        <v>32</v>
      </c>
      <c r="H3872" s="46" t="s">
        <v>15</v>
      </c>
      <c r="I3872" s="17">
        <v>1000000</v>
      </c>
      <c r="J3872" s="17">
        <f>IF(Gastos[[#This Row],[Divisa]]="$", I3872*1, IF(Gastos[[#This Row],[Divisa]]="U$D", I3872*$N$1, IF(Gastos[[#This Row],[Divisa]]="EUR", I3872*$N$2, 0)))</f>
        <v>1000000</v>
      </c>
      <c r="K3872" s="54">
        <f>Gastos[[#This Row],[Importe AR$]]/$N$1</f>
        <v>641.02564102564099</v>
      </c>
      <c r="M3872" s="69">
        <v>46000</v>
      </c>
      <c r="N3872" s="43">
        <f>IF(Gastos[[#This Row],[Fecha_Cheque]]&gt;0,WEEKNUM(Gastos[[#This Row],[Fecha_Cheque]]),MID(Gastos[[#This Row],[Semana]],6,2))</f>
        <v>50</v>
      </c>
      <c r="O3872" t="s">
        <v>2200</v>
      </c>
      <c r="P3872" t="s">
        <v>27</v>
      </c>
    </row>
    <row r="3873" spans="1:16" hidden="1" x14ac:dyDescent="0.25">
      <c r="A3873" s="3" t="s">
        <v>130</v>
      </c>
      <c r="B3873" t="s">
        <v>2198</v>
      </c>
      <c r="C3873" t="s">
        <v>2201</v>
      </c>
      <c r="D3873" t="s">
        <v>26</v>
      </c>
      <c r="E3873" t="s">
        <v>31</v>
      </c>
      <c r="F3873">
        <v>2</v>
      </c>
      <c r="G3873" s="3" t="s">
        <v>4</v>
      </c>
      <c r="H3873" s="46" t="s">
        <v>15</v>
      </c>
      <c r="I3873" s="17">
        <v>36506</v>
      </c>
      <c r="J3873" s="17">
        <f>IF(Gastos[[#This Row],[Divisa]]="$", I3873*1, IF(Gastos[[#This Row],[Divisa]]="U$D", I3873*$N$1, IF(Gastos[[#This Row],[Divisa]]="EUR", I3873*$N$2, 0)))</f>
        <v>36506</v>
      </c>
      <c r="K3873" s="54">
        <f>Gastos[[#This Row],[Importe AR$]]/$N$1</f>
        <v>23.401282051282053</v>
      </c>
      <c r="M3873" s="69"/>
      <c r="N3873" s="43" t="str">
        <f>IF(Gastos[[#This Row],[Fecha_Cheque]]&gt;0,WEEKNUM(Gastos[[#This Row],[Fecha_Cheque]]),MID(Gastos[[#This Row],[Semana]],6,2))</f>
        <v>45</v>
      </c>
      <c r="O3873" t="s">
        <v>2200</v>
      </c>
      <c r="P3873" t="s">
        <v>27</v>
      </c>
    </row>
    <row r="3874" spans="1:16" hidden="1" x14ac:dyDescent="0.25">
      <c r="A3874" s="3" t="s">
        <v>105</v>
      </c>
      <c r="B3874" t="s">
        <v>2198</v>
      </c>
      <c r="C3874" t="s">
        <v>2202</v>
      </c>
      <c r="D3874" t="s">
        <v>61</v>
      </c>
      <c r="E3874" t="s">
        <v>31</v>
      </c>
      <c r="F3874">
        <v>2</v>
      </c>
      <c r="G3874" s="3" t="s">
        <v>32</v>
      </c>
      <c r="H3874" s="46" t="s">
        <v>15</v>
      </c>
      <c r="I3874" s="17">
        <v>2400000</v>
      </c>
      <c r="J3874" s="17">
        <f>IF(Gastos[[#This Row],[Divisa]]="$", I3874*1, IF(Gastos[[#This Row],[Divisa]]="U$D", I3874*$N$1, IF(Gastos[[#This Row],[Divisa]]="EUR", I3874*$N$2, 0)))</f>
        <v>2400000</v>
      </c>
      <c r="K3874" s="54">
        <f>Gastos[[#This Row],[Importe AR$]]/$N$1</f>
        <v>1538.4615384615386</v>
      </c>
      <c r="L3874" t="s">
        <v>299</v>
      </c>
      <c r="M3874" s="69">
        <v>45929</v>
      </c>
      <c r="N3874" s="43">
        <f>IF(Gastos[[#This Row],[Fecha_Cheque]]&gt;0,WEEKNUM(Gastos[[#This Row],[Fecha_Cheque]]),MID(Gastos[[#This Row],[Semana]],6,2))</f>
        <v>40</v>
      </c>
      <c r="O3874" t="s">
        <v>2203</v>
      </c>
      <c r="P3874" t="s">
        <v>27</v>
      </c>
    </row>
    <row r="3875" spans="1:16" hidden="1" x14ac:dyDescent="0.25">
      <c r="A3875" s="3" t="s">
        <v>64</v>
      </c>
      <c r="B3875" t="s">
        <v>2198</v>
      </c>
      <c r="C3875" t="s">
        <v>2202</v>
      </c>
      <c r="D3875" t="s">
        <v>61</v>
      </c>
      <c r="E3875" t="s">
        <v>31</v>
      </c>
      <c r="F3875">
        <v>2</v>
      </c>
      <c r="G3875" s="3" t="s">
        <v>32</v>
      </c>
      <c r="H3875" s="46" t="s">
        <v>15</v>
      </c>
      <c r="I3875" s="17">
        <v>200000</v>
      </c>
      <c r="J3875" s="17">
        <f>IF(Gastos[[#This Row],[Divisa]]="$", I3875*1, IF(Gastos[[#This Row],[Divisa]]="U$D", I3875*$N$1, IF(Gastos[[#This Row],[Divisa]]="EUR", I3875*$N$2, 0)))</f>
        <v>200000</v>
      </c>
      <c r="K3875" s="54">
        <f>Gastos[[#This Row],[Importe AR$]]/$N$1</f>
        <v>128.2051282051282</v>
      </c>
      <c r="L3875" t="s">
        <v>299</v>
      </c>
      <c r="M3875" s="69">
        <v>45869</v>
      </c>
      <c r="N3875" s="43">
        <f>IF(Gastos[[#This Row],[Fecha_Cheque]]&gt;0,WEEKNUM(Gastos[[#This Row],[Fecha_Cheque]]),MID(Gastos[[#This Row],[Semana]],6,2))</f>
        <v>31</v>
      </c>
      <c r="O3875" s="8" t="s">
        <v>2204</v>
      </c>
      <c r="P3875" t="s">
        <v>27</v>
      </c>
    </row>
    <row r="3876" spans="1:16" hidden="1" x14ac:dyDescent="0.25">
      <c r="A3876" s="3" t="s">
        <v>64</v>
      </c>
      <c r="B3876" t="s">
        <v>2198</v>
      </c>
      <c r="C3876" t="s">
        <v>2202</v>
      </c>
      <c r="D3876" t="s">
        <v>61</v>
      </c>
      <c r="E3876" t="s">
        <v>31</v>
      </c>
      <c r="F3876">
        <v>2</v>
      </c>
      <c r="G3876" s="3" t="s">
        <v>32</v>
      </c>
      <c r="H3876" s="46" t="s">
        <v>15</v>
      </c>
      <c r="I3876" s="17">
        <v>241690</v>
      </c>
      <c r="J3876" s="17">
        <f>IF(Gastos[[#This Row],[Divisa]]="$", I3876*1, IF(Gastos[[#This Row],[Divisa]]="U$D", I3876*$N$1, IF(Gastos[[#This Row],[Divisa]]="EUR", I3876*$N$2, 0)))</f>
        <v>241690</v>
      </c>
      <c r="K3876" s="54">
        <f>Gastos[[#This Row],[Importe AR$]]/$N$1</f>
        <v>154.92948717948718</v>
      </c>
      <c r="L3876" t="s">
        <v>299</v>
      </c>
      <c r="M3876" s="69">
        <v>45876</v>
      </c>
      <c r="N3876" s="43">
        <f>IF(Gastos[[#This Row],[Fecha_Cheque]]&gt;0,WEEKNUM(Gastos[[#This Row],[Fecha_Cheque]]),MID(Gastos[[#This Row],[Semana]],6,2))</f>
        <v>32</v>
      </c>
      <c r="O3876" s="8" t="s">
        <v>2204</v>
      </c>
      <c r="P3876" t="s">
        <v>27</v>
      </c>
    </row>
    <row r="3877" spans="1:16" hidden="1" x14ac:dyDescent="0.25">
      <c r="A3877" s="3" t="s">
        <v>64</v>
      </c>
      <c r="B3877" t="s">
        <v>2198</v>
      </c>
      <c r="C3877" t="s">
        <v>2202</v>
      </c>
      <c r="D3877" t="s">
        <v>61</v>
      </c>
      <c r="E3877" t="s">
        <v>31</v>
      </c>
      <c r="F3877">
        <v>2</v>
      </c>
      <c r="G3877" s="3" t="s">
        <v>32</v>
      </c>
      <c r="H3877" s="46" t="s">
        <v>15</v>
      </c>
      <c r="I3877" s="17">
        <v>300000</v>
      </c>
      <c r="J3877" s="17">
        <f>IF(Gastos[[#This Row],[Divisa]]="$", I3877*1, IF(Gastos[[#This Row],[Divisa]]="U$D", I3877*$N$1, IF(Gastos[[#This Row],[Divisa]]="EUR", I3877*$N$2, 0)))</f>
        <v>300000</v>
      </c>
      <c r="K3877" s="54">
        <f>Gastos[[#This Row],[Importe AR$]]/$N$1</f>
        <v>192.30769230769232</v>
      </c>
      <c r="L3877" t="s">
        <v>299</v>
      </c>
      <c r="M3877" s="69">
        <v>45864</v>
      </c>
      <c r="N3877" s="43">
        <f>IF(Gastos[[#This Row],[Fecha_Cheque]]&gt;0,WEEKNUM(Gastos[[#This Row],[Fecha_Cheque]]),MID(Gastos[[#This Row],[Semana]],6,2))</f>
        <v>30</v>
      </c>
      <c r="O3877" s="8" t="s">
        <v>2204</v>
      </c>
      <c r="P3877" t="s">
        <v>27</v>
      </c>
    </row>
    <row r="3878" spans="1:16" hidden="1" x14ac:dyDescent="0.25">
      <c r="A3878" s="3" t="s">
        <v>64</v>
      </c>
      <c r="B3878" t="s">
        <v>2198</v>
      </c>
      <c r="C3878" t="s">
        <v>2202</v>
      </c>
      <c r="D3878" t="s">
        <v>61</v>
      </c>
      <c r="E3878" t="s">
        <v>31</v>
      </c>
      <c r="F3878">
        <v>2</v>
      </c>
      <c r="G3878" s="3" t="s">
        <v>32</v>
      </c>
      <c r="H3878" s="46" t="s">
        <v>15</v>
      </c>
      <c r="I3878" s="17">
        <v>476041.54</v>
      </c>
      <c r="J3878" s="17">
        <f>IF(Gastos[[#This Row],[Divisa]]="$", I3878*1, IF(Gastos[[#This Row],[Divisa]]="U$D", I3878*$N$1, IF(Gastos[[#This Row],[Divisa]]="EUR", I3878*$N$2, 0)))</f>
        <v>476041.54</v>
      </c>
      <c r="K3878" s="54">
        <f>Gastos[[#This Row],[Importe AR$]]/$N$1</f>
        <v>305.15483333333333</v>
      </c>
      <c r="L3878" t="s">
        <v>299</v>
      </c>
      <c r="M3878" s="69">
        <v>45860</v>
      </c>
      <c r="N3878" s="43">
        <f>IF(Gastos[[#This Row],[Fecha_Cheque]]&gt;0,WEEKNUM(Gastos[[#This Row],[Fecha_Cheque]]),MID(Gastos[[#This Row],[Semana]],6,2))</f>
        <v>30</v>
      </c>
      <c r="O3878" s="8" t="s">
        <v>2204</v>
      </c>
      <c r="P3878" t="s">
        <v>27</v>
      </c>
    </row>
    <row r="3879" spans="1:16" hidden="1" x14ac:dyDescent="0.25">
      <c r="A3879" s="3" t="s">
        <v>64</v>
      </c>
      <c r="B3879" t="s">
        <v>2198</v>
      </c>
      <c r="C3879" t="s">
        <v>2202</v>
      </c>
      <c r="D3879" t="s">
        <v>61</v>
      </c>
      <c r="E3879" t="s">
        <v>31</v>
      </c>
      <c r="F3879">
        <v>2</v>
      </c>
      <c r="G3879" s="3" t="s">
        <v>32</v>
      </c>
      <c r="H3879" s="46" t="s">
        <v>15</v>
      </c>
      <c r="I3879" s="17">
        <v>1165000</v>
      </c>
      <c r="J3879" s="17">
        <f>IF(Gastos[[#This Row],[Divisa]]="$", I3879*1, IF(Gastos[[#This Row],[Divisa]]="U$D", I3879*$N$1, IF(Gastos[[#This Row],[Divisa]]="EUR", I3879*$N$2, 0)))</f>
        <v>1165000</v>
      </c>
      <c r="K3879" s="54">
        <f>Gastos[[#This Row],[Importe AR$]]/$N$1</f>
        <v>746.79487179487182</v>
      </c>
      <c r="L3879" t="s">
        <v>299</v>
      </c>
      <c r="M3879" s="69">
        <v>45874</v>
      </c>
      <c r="N3879" s="43">
        <f>IF(Gastos[[#This Row],[Fecha_Cheque]]&gt;0,WEEKNUM(Gastos[[#This Row],[Fecha_Cheque]]),MID(Gastos[[#This Row],[Semana]],6,2))</f>
        <v>32</v>
      </c>
      <c r="O3879" s="8" t="s">
        <v>2204</v>
      </c>
      <c r="P3879" t="s">
        <v>27</v>
      </c>
    </row>
    <row r="3880" spans="1:16" hidden="1" x14ac:dyDescent="0.25">
      <c r="A3880" s="3" t="s">
        <v>64</v>
      </c>
      <c r="B3880" t="s">
        <v>2198</v>
      </c>
      <c r="C3880" t="s">
        <v>2202</v>
      </c>
      <c r="D3880" t="s">
        <v>61</v>
      </c>
      <c r="E3880" t="s">
        <v>31</v>
      </c>
      <c r="F3880">
        <v>2</v>
      </c>
      <c r="G3880" s="3" t="s">
        <v>4</v>
      </c>
      <c r="H3880" s="46" t="s">
        <v>15</v>
      </c>
      <c r="I3880" s="17">
        <v>41639.86</v>
      </c>
      <c r="J3880" s="17">
        <f>IF(Gastos[[#This Row],[Divisa]]="$", I3880*1, IF(Gastos[[#This Row],[Divisa]]="U$D", I3880*$N$1, IF(Gastos[[#This Row],[Divisa]]="EUR", I3880*$N$2, 0)))</f>
        <v>41639.86</v>
      </c>
      <c r="K3880" s="54">
        <f>Gastos[[#This Row],[Importe AR$]]/$N$1</f>
        <v>26.69221794871795</v>
      </c>
      <c r="L3880" t="s">
        <v>299</v>
      </c>
      <c r="M3880" s="69"/>
      <c r="N3880" s="43" t="str">
        <f>IF(Gastos[[#This Row],[Fecha_Cheque]]&gt;0,WEEKNUM(Gastos[[#This Row],[Fecha_Cheque]]),MID(Gastos[[#This Row],[Semana]],6,2))</f>
        <v>33</v>
      </c>
      <c r="O3880" s="8" t="s">
        <v>2204</v>
      </c>
      <c r="P3880" t="s">
        <v>27</v>
      </c>
    </row>
    <row r="3881" spans="1:16" hidden="1" x14ac:dyDescent="0.25">
      <c r="A3881" s="3" t="s">
        <v>180</v>
      </c>
      <c r="B3881" t="s">
        <v>2198</v>
      </c>
      <c r="C3881" t="s">
        <v>2529</v>
      </c>
      <c r="D3881" t="s">
        <v>26</v>
      </c>
      <c r="E3881" t="s">
        <v>31</v>
      </c>
      <c r="F3881">
        <v>2</v>
      </c>
      <c r="G3881" s="3" t="s">
        <v>32</v>
      </c>
      <c r="H3881" s="46" t="s">
        <v>15</v>
      </c>
      <c r="I3881" s="17">
        <v>200000</v>
      </c>
      <c r="J3881" s="17">
        <f>IF(Gastos[[#This Row],[Divisa]]="$", I3881*1, IF(Gastos[[#This Row],[Divisa]]="U$D", I3881*$N$1, IF(Gastos[[#This Row],[Divisa]]="EUR", I3881*$N$2, 0)))</f>
        <v>200000</v>
      </c>
      <c r="K3881" s="54">
        <f>Gastos[[#This Row],[Importe AR$]]/$N$1</f>
        <v>128.2051282051282</v>
      </c>
      <c r="M3881" s="69">
        <v>46091</v>
      </c>
      <c r="N3881" s="43">
        <f>IF(Gastos[[#This Row],[Fecha_Cheque]]&gt;0,WEEKNUM(Gastos[[#This Row],[Fecha_Cheque]]),MID(Gastos[[#This Row],[Semana]],6,2))</f>
        <v>11</v>
      </c>
      <c r="O3881" t="s">
        <v>2530</v>
      </c>
      <c r="P3881" t="s">
        <v>27</v>
      </c>
    </row>
    <row r="3882" spans="1:16" hidden="1" x14ac:dyDescent="0.25">
      <c r="A3882" s="3" t="s">
        <v>180</v>
      </c>
      <c r="B3882" t="s">
        <v>2198</v>
      </c>
      <c r="C3882" t="s">
        <v>2529</v>
      </c>
      <c r="D3882" t="s">
        <v>26</v>
      </c>
      <c r="E3882" t="s">
        <v>31</v>
      </c>
      <c r="F3882">
        <v>2</v>
      </c>
      <c r="G3882" s="3" t="s">
        <v>32</v>
      </c>
      <c r="H3882" s="46" t="s">
        <v>15</v>
      </c>
      <c r="I3882" s="17">
        <v>200000</v>
      </c>
      <c r="J3882" s="17">
        <f>IF(Gastos[[#This Row],[Divisa]]="$", I3882*1, IF(Gastos[[#This Row],[Divisa]]="U$D", I3882*$N$1, IF(Gastos[[#This Row],[Divisa]]="EUR", I3882*$N$2, 0)))</f>
        <v>200000</v>
      </c>
      <c r="K3882" s="54">
        <f>Gastos[[#This Row],[Importe AR$]]/$N$1</f>
        <v>128.2051282051282</v>
      </c>
      <c r="M3882" s="69">
        <v>46099</v>
      </c>
      <c r="N3882" s="43">
        <f>IF(Gastos[[#This Row],[Fecha_Cheque]]&gt;0,WEEKNUM(Gastos[[#This Row],[Fecha_Cheque]]),MID(Gastos[[#This Row],[Semana]],6,2))</f>
        <v>12</v>
      </c>
      <c r="O3882" t="s">
        <v>2530</v>
      </c>
      <c r="P3882" t="s">
        <v>27</v>
      </c>
    </row>
    <row r="3883" spans="1:16" hidden="1" x14ac:dyDescent="0.25">
      <c r="A3883" s="3" t="s">
        <v>180</v>
      </c>
      <c r="B3883" t="s">
        <v>2198</v>
      </c>
      <c r="C3883" t="s">
        <v>2529</v>
      </c>
      <c r="D3883" t="s">
        <v>26</v>
      </c>
      <c r="E3883" t="s">
        <v>31</v>
      </c>
      <c r="F3883">
        <v>2</v>
      </c>
      <c r="G3883" s="3" t="s">
        <v>32</v>
      </c>
      <c r="H3883" s="46" t="s">
        <v>15</v>
      </c>
      <c r="I3883" s="17">
        <v>200000</v>
      </c>
      <c r="J3883" s="17">
        <f>IF(Gastos[[#This Row],[Divisa]]="$", I3883*1, IF(Gastos[[#This Row],[Divisa]]="U$D", I3883*$N$1, IF(Gastos[[#This Row],[Divisa]]="EUR", I3883*$N$2, 0)))</f>
        <v>200000</v>
      </c>
      <c r="K3883" s="54">
        <f>Gastos[[#This Row],[Importe AR$]]/$N$1</f>
        <v>128.2051282051282</v>
      </c>
      <c r="M3883" s="69">
        <v>46093</v>
      </c>
      <c r="N3883" s="43">
        <f>IF(Gastos[[#This Row],[Fecha_Cheque]]&gt;0,WEEKNUM(Gastos[[#This Row],[Fecha_Cheque]]),MID(Gastos[[#This Row],[Semana]],6,2))</f>
        <v>11</v>
      </c>
      <c r="O3883" t="s">
        <v>2530</v>
      </c>
      <c r="P3883" t="s">
        <v>27</v>
      </c>
    </row>
    <row r="3884" spans="1:16" hidden="1" x14ac:dyDescent="0.25">
      <c r="A3884" s="3" t="s">
        <v>180</v>
      </c>
      <c r="B3884" t="s">
        <v>2198</v>
      </c>
      <c r="C3884" t="s">
        <v>2529</v>
      </c>
      <c r="D3884" t="s">
        <v>26</v>
      </c>
      <c r="E3884" t="s">
        <v>31</v>
      </c>
      <c r="F3884">
        <v>2</v>
      </c>
      <c r="G3884" s="3" t="s">
        <v>32</v>
      </c>
      <c r="H3884" s="46" t="s">
        <v>15</v>
      </c>
      <c r="I3884" s="17">
        <v>200000</v>
      </c>
      <c r="J3884" s="17">
        <f>IF(Gastos[[#This Row],[Divisa]]="$", I3884*1, IF(Gastos[[#This Row],[Divisa]]="U$D", I3884*$N$1, IF(Gastos[[#This Row],[Divisa]]="EUR", I3884*$N$2, 0)))</f>
        <v>200000</v>
      </c>
      <c r="K3884" s="54">
        <f>Gastos[[#This Row],[Importe AR$]]/$N$1</f>
        <v>128.2051282051282</v>
      </c>
      <c r="M3884" s="69">
        <v>46092</v>
      </c>
      <c r="N3884" s="43">
        <f>IF(Gastos[[#This Row],[Fecha_Cheque]]&gt;0,WEEKNUM(Gastos[[#This Row],[Fecha_Cheque]]),MID(Gastos[[#This Row],[Semana]],6,2))</f>
        <v>11</v>
      </c>
      <c r="O3884" t="s">
        <v>2530</v>
      </c>
      <c r="P3884" t="s">
        <v>27</v>
      </c>
    </row>
    <row r="3885" spans="1:16" hidden="1" x14ac:dyDescent="0.25">
      <c r="A3885" s="3" t="s">
        <v>180</v>
      </c>
      <c r="B3885" t="s">
        <v>2198</v>
      </c>
      <c r="C3885" t="s">
        <v>2529</v>
      </c>
      <c r="D3885" t="s">
        <v>26</v>
      </c>
      <c r="E3885" t="s">
        <v>31</v>
      </c>
      <c r="F3885">
        <v>2</v>
      </c>
      <c r="G3885" s="3" t="s">
        <v>32</v>
      </c>
      <c r="H3885" s="46" t="s">
        <v>15</v>
      </c>
      <c r="I3885" s="17">
        <v>200000</v>
      </c>
      <c r="J3885" s="17">
        <f>IF(Gastos[[#This Row],[Divisa]]="$", I3885*1, IF(Gastos[[#This Row],[Divisa]]="U$D", I3885*$N$1, IF(Gastos[[#This Row],[Divisa]]="EUR", I3885*$N$2, 0)))</f>
        <v>200000</v>
      </c>
      <c r="K3885" s="54">
        <f>Gastos[[#This Row],[Importe AR$]]/$N$1</f>
        <v>128.2051282051282</v>
      </c>
      <c r="M3885" s="69">
        <v>46098</v>
      </c>
      <c r="N3885" s="43">
        <f>IF(Gastos[[#This Row],[Fecha_Cheque]]&gt;0,WEEKNUM(Gastos[[#This Row],[Fecha_Cheque]]),MID(Gastos[[#This Row],[Semana]],6,2))</f>
        <v>12</v>
      </c>
      <c r="O3885" t="s">
        <v>2530</v>
      </c>
      <c r="P3885" t="s">
        <v>27</v>
      </c>
    </row>
    <row r="3886" spans="1:16" hidden="1" x14ac:dyDescent="0.25">
      <c r="A3886" s="3" t="s">
        <v>180</v>
      </c>
      <c r="B3886" t="s">
        <v>2198</v>
      </c>
      <c r="C3886" t="s">
        <v>2529</v>
      </c>
      <c r="D3886" t="s">
        <v>26</v>
      </c>
      <c r="E3886" t="s">
        <v>31</v>
      </c>
      <c r="F3886">
        <v>2</v>
      </c>
      <c r="G3886" s="3" t="s">
        <v>32</v>
      </c>
      <c r="H3886" s="46" t="s">
        <v>15</v>
      </c>
      <c r="I3886" s="17">
        <v>250000</v>
      </c>
      <c r="J3886" s="17">
        <f>IF(Gastos[[#This Row],[Divisa]]="$", I3886*1, IF(Gastos[[#This Row],[Divisa]]="U$D", I3886*$N$1, IF(Gastos[[#This Row],[Divisa]]="EUR", I3886*$N$2, 0)))</f>
        <v>250000</v>
      </c>
      <c r="K3886" s="54">
        <f>Gastos[[#This Row],[Importe AR$]]/$N$1</f>
        <v>160.25641025641025</v>
      </c>
      <c r="M3886" s="69">
        <v>46088</v>
      </c>
      <c r="N3886" s="43">
        <f>IF(Gastos[[#This Row],[Fecha_Cheque]]&gt;0,WEEKNUM(Gastos[[#This Row],[Fecha_Cheque]]),MID(Gastos[[#This Row],[Semana]],6,2))</f>
        <v>10</v>
      </c>
      <c r="O3886" t="s">
        <v>2530</v>
      </c>
      <c r="P3886" t="s">
        <v>27</v>
      </c>
    </row>
    <row r="3887" spans="1:16" hidden="1" x14ac:dyDescent="0.25">
      <c r="A3887" s="3" t="s">
        <v>180</v>
      </c>
      <c r="B3887" t="s">
        <v>2198</v>
      </c>
      <c r="C3887" t="s">
        <v>2529</v>
      </c>
      <c r="D3887" t="s">
        <v>26</v>
      </c>
      <c r="E3887" t="s">
        <v>31</v>
      </c>
      <c r="F3887">
        <v>2</v>
      </c>
      <c r="G3887" s="3" t="s">
        <v>32</v>
      </c>
      <c r="H3887" s="46" t="s">
        <v>15</v>
      </c>
      <c r="I3887" s="17">
        <v>277000</v>
      </c>
      <c r="J3887" s="17">
        <f>IF(Gastos[[#This Row],[Divisa]]="$", I3887*1, IF(Gastos[[#This Row],[Divisa]]="U$D", I3887*$N$1, IF(Gastos[[#This Row],[Divisa]]="EUR", I3887*$N$2, 0)))</f>
        <v>277000</v>
      </c>
      <c r="K3887" s="54">
        <f>Gastos[[#This Row],[Importe AR$]]/$N$1</f>
        <v>177.56410256410257</v>
      </c>
      <c r="M3887" s="69">
        <v>46082</v>
      </c>
      <c r="N3887" s="43">
        <f>IF(Gastos[[#This Row],[Fecha_Cheque]]&gt;0,WEEKNUM(Gastos[[#This Row],[Fecha_Cheque]]),MID(Gastos[[#This Row],[Semana]],6,2))</f>
        <v>10</v>
      </c>
      <c r="O3887" t="s">
        <v>2530</v>
      </c>
      <c r="P3887" t="s">
        <v>27</v>
      </c>
    </row>
    <row r="3888" spans="1:16" hidden="1" x14ac:dyDescent="0.25">
      <c r="A3888" s="3" t="s">
        <v>180</v>
      </c>
      <c r="B3888" t="s">
        <v>2198</v>
      </c>
      <c r="C3888" t="s">
        <v>2529</v>
      </c>
      <c r="D3888" t="s">
        <v>26</v>
      </c>
      <c r="E3888" t="s">
        <v>31</v>
      </c>
      <c r="F3888">
        <v>2</v>
      </c>
      <c r="G3888" s="3" t="s">
        <v>32</v>
      </c>
      <c r="H3888" s="46" t="s">
        <v>15</v>
      </c>
      <c r="I3888" s="17">
        <v>350000</v>
      </c>
      <c r="J3888" s="17">
        <f>IF(Gastos[[#This Row],[Divisa]]="$", I3888*1, IF(Gastos[[#This Row],[Divisa]]="U$D", I3888*$N$1, IF(Gastos[[#This Row],[Divisa]]="EUR", I3888*$N$2, 0)))</f>
        <v>350000</v>
      </c>
      <c r="K3888" s="54">
        <f>Gastos[[#This Row],[Importe AR$]]/$N$1</f>
        <v>224.35897435897436</v>
      </c>
      <c r="M3888" s="69">
        <v>46083</v>
      </c>
      <c r="N3888" s="43">
        <f>IF(Gastos[[#This Row],[Fecha_Cheque]]&gt;0,WEEKNUM(Gastos[[#This Row],[Fecha_Cheque]]),MID(Gastos[[#This Row],[Semana]],6,2))</f>
        <v>10</v>
      </c>
      <c r="O3888" t="s">
        <v>2530</v>
      </c>
      <c r="P3888" t="s">
        <v>27</v>
      </c>
    </row>
    <row r="3889" spans="1:16" hidden="1" x14ac:dyDescent="0.25">
      <c r="A3889" s="3" t="s">
        <v>180</v>
      </c>
      <c r="B3889" t="s">
        <v>2198</v>
      </c>
      <c r="C3889" t="s">
        <v>2529</v>
      </c>
      <c r="D3889" t="s">
        <v>26</v>
      </c>
      <c r="E3889" t="s">
        <v>31</v>
      </c>
      <c r="F3889">
        <v>2</v>
      </c>
      <c r="G3889" s="3" t="s">
        <v>4</v>
      </c>
      <c r="H3889" s="46" t="s">
        <v>15</v>
      </c>
      <c r="I3889" s="17">
        <v>203000</v>
      </c>
      <c r="J3889" s="17">
        <f>IF(Gastos[[#This Row],[Divisa]]="$", I3889*1, IF(Gastos[[#This Row],[Divisa]]="U$D", I3889*$N$1, IF(Gastos[[#This Row],[Divisa]]="EUR", I3889*$N$2, 0)))</f>
        <v>203000</v>
      </c>
      <c r="K3889" s="54">
        <f>Gastos[[#This Row],[Importe AR$]]/$N$1</f>
        <v>130.12820512820514</v>
      </c>
      <c r="M3889" s="69">
        <v>46071</v>
      </c>
      <c r="N3889" s="43">
        <f>IF(Gastos[[#This Row],[Fecha_Cheque]]&gt;0,WEEKNUM(Gastos[[#This Row],[Fecha_Cheque]]),MID(Gastos[[#This Row],[Semana]],6,2))</f>
        <v>8</v>
      </c>
      <c r="O3889" t="s">
        <v>2530</v>
      </c>
      <c r="P3889" t="s">
        <v>27</v>
      </c>
    </row>
    <row r="3890" spans="1:16" hidden="1" x14ac:dyDescent="0.25">
      <c r="A3890" s="3" t="s">
        <v>2792</v>
      </c>
      <c r="B3890" t="s">
        <v>2198</v>
      </c>
      <c r="C3890" t="s">
        <v>3273</v>
      </c>
      <c r="D3890" t="s">
        <v>26</v>
      </c>
      <c r="E3890" t="s">
        <v>31</v>
      </c>
      <c r="F3890">
        <v>2</v>
      </c>
      <c r="G3890" s="3" t="s">
        <v>32</v>
      </c>
      <c r="H3890" s="44" t="s">
        <v>15</v>
      </c>
      <c r="I3890" s="17">
        <v>1214000</v>
      </c>
      <c r="J3890" s="17">
        <f>IF(Gastos[[#This Row],[Divisa]]="$", I3890*1, IF(Gastos[[#This Row],[Divisa]]="U$D", I3890*$N$1, IF(Gastos[[#This Row],[Divisa]]="EUR", I3890*$N$2, 0)))</f>
        <v>1214000</v>
      </c>
      <c r="K3890" s="54">
        <f>Gastos[[#This Row],[Importe AR$]]/$N$1</f>
        <v>778.20512820512818</v>
      </c>
      <c r="M3890" s="69">
        <v>46214</v>
      </c>
      <c r="N3890" s="43">
        <f>IF(Gastos[[#This Row],[Fecha_Cheque]]&gt;0,WEEKNUM(Gastos[[#This Row],[Fecha_Cheque]]),MID(Gastos[[#This Row],[Semana]],6,2))</f>
        <v>28</v>
      </c>
      <c r="O3890" t="s">
        <v>3274</v>
      </c>
      <c r="P3890" t="s">
        <v>27</v>
      </c>
    </row>
    <row r="3891" spans="1:16" hidden="1" x14ac:dyDescent="0.25">
      <c r="A3891" s="3" t="s">
        <v>3693</v>
      </c>
      <c r="B3891" t="s">
        <v>2198</v>
      </c>
      <c r="C3891" t="s">
        <v>3273</v>
      </c>
      <c r="D3891" t="s">
        <v>26</v>
      </c>
      <c r="E3891" t="s">
        <v>31</v>
      </c>
      <c r="F3891">
        <v>2</v>
      </c>
      <c r="G3891" s="3" t="s">
        <v>32</v>
      </c>
      <c r="H3891" s="44" t="s">
        <v>15</v>
      </c>
      <c r="I3891" s="17">
        <v>2726733</v>
      </c>
      <c r="J3891" s="17">
        <f>IF(Gastos[[#This Row],[Divisa]]="$", I3891*1, IF(Gastos[[#This Row],[Divisa]]="U$D", I3891*$N$1, IF(Gastos[[#This Row],[Divisa]]="EUR", I3891*$N$2, 0)))</f>
        <v>2726733</v>
      </c>
      <c r="K3891" s="54">
        <f>Gastos[[#This Row],[Importe AR$]]/$N$1</f>
        <v>1747.9057692307692</v>
      </c>
      <c r="M3891" s="69">
        <v>46258</v>
      </c>
      <c r="N3891" s="43">
        <f>IF(Gastos[[#This Row],[Fecha_Cheque]]&gt;0,WEEKNUM(Gastos[[#This Row],[Fecha_Cheque]]),MID(Gastos[[#This Row],[Semana]],6,2))</f>
        <v>35</v>
      </c>
      <c r="O3891" t="s">
        <v>3708</v>
      </c>
      <c r="P3891" t="s">
        <v>27</v>
      </c>
    </row>
    <row r="3892" spans="1:16" hidden="1" x14ac:dyDescent="0.25">
      <c r="A3892" s="3" t="s">
        <v>3693</v>
      </c>
      <c r="B3892" t="s">
        <v>2198</v>
      </c>
      <c r="C3892" t="s">
        <v>3273</v>
      </c>
      <c r="D3892" t="s">
        <v>26</v>
      </c>
      <c r="E3892" t="s">
        <v>42</v>
      </c>
      <c r="F3892">
        <v>2</v>
      </c>
      <c r="G3892" s="3" t="s">
        <v>4</v>
      </c>
      <c r="H3892" s="44" t="s">
        <v>15</v>
      </c>
      <c r="I3892" s="17">
        <v>249167</v>
      </c>
      <c r="J3892" s="17">
        <f>IF(Gastos[[#This Row],[Divisa]]="$", I3892*1, IF(Gastos[[#This Row],[Divisa]]="U$D", I3892*$N$1, IF(Gastos[[#This Row],[Divisa]]="EUR", I3892*$N$2, 0)))</f>
        <v>249167</v>
      </c>
      <c r="K3892" s="54">
        <f>Gastos[[#This Row],[Importe AR$]]/$N$1</f>
        <v>159.7224358974359</v>
      </c>
      <c r="M3892" s="69"/>
      <c r="N3892" s="43" t="str">
        <f>IF(Gastos[[#This Row],[Fecha_Cheque]]&gt;0,WEEKNUM(Gastos[[#This Row],[Fecha_Cheque]]),MID(Gastos[[#This Row],[Semana]],6,2))</f>
        <v>28</v>
      </c>
      <c r="O3892" t="s">
        <v>3708</v>
      </c>
      <c r="P3892" t="s">
        <v>27</v>
      </c>
    </row>
    <row r="3893" spans="1:16" hidden="1" x14ac:dyDescent="0.25">
      <c r="A3893" s="3" t="s">
        <v>4074</v>
      </c>
      <c r="B3893" t="s">
        <v>2198</v>
      </c>
      <c r="C3893" t="s">
        <v>3446</v>
      </c>
      <c r="D3893" t="s">
        <v>26</v>
      </c>
      <c r="E3893" t="s">
        <v>62</v>
      </c>
      <c r="F3893">
        <v>2</v>
      </c>
      <c r="G3893" s="3" t="s">
        <v>32</v>
      </c>
      <c r="H3893" s="44" t="s">
        <v>15</v>
      </c>
      <c r="I3893" s="17">
        <v>2500000</v>
      </c>
      <c r="J3893" s="17">
        <f>IF(Gastos[[#This Row],[Divisa]]="$", I3893*1, IF(Gastos[[#This Row],[Divisa]]="U$D", I3893*$N$1, IF(Gastos[[#This Row],[Divisa]]="EUR", I3893*$N$2, 0)))</f>
        <v>2500000</v>
      </c>
      <c r="K3893" s="54">
        <f>Gastos[[#This Row],[Importe AR$]]/$N$1</f>
        <v>1602.5641025641025</v>
      </c>
      <c r="M3893" s="69">
        <v>46285</v>
      </c>
      <c r="N3893" s="43">
        <f>IF(Gastos[[#This Row],[Fecha_Cheque]]&gt;0,WEEKNUM(Gastos[[#This Row],[Fecha_Cheque]]),MID(Gastos[[#This Row],[Semana]],6,2))</f>
        <v>39</v>
      </c>
      <c r="O3893" t="s">
        <v>4032</v>
      </c>
      <c r="P3893" t="s">
        <v>27</v>
      </c>
    </row>
    <row r="3894" spans="1:16" hidden="1" x14ac:dyDescent="0.25">
      <c r="A3894" s="3" t="s">
        <v>4374</v>
      </c>
      <c r="B3894" t="s">
        <v>2198</v>
      </c>
      <c r="C3894" t="s">
        <v>3446</v>
      </c>
      <c r="D3894" t="s">
        <v>26</v>
      </c>
      <c r="E3894" t="s">
        <v>62</v>
      </c>
      <c r="F3894">
        <v>2</v>
      </c>
      <c r="G3894" s="3" t="s">
        <v>32</v>
      </c>
      <c r="H3894" s="44" t="s">
        <v>15</v>
      </c>
      <c r="I3894" s="17">
        <v>1100000</v>
      </c>
      <c r="J3894" s="17">
        <f>IF(Gastos[[#This Row],[Divisa]]="$", I3894*1, IF(Gastos[[#This Row],[Divisa]]="U$D", I3894*$N$1, IF(Gastos[[#This Row],[Divisa]]="EUR", I3894*$N$2, 0)))</f>
        <v>1100000</v>
      </c>
      <c r="K3894" s="54">
        <f>Gastos[[#This Row],[Importe AR$]]/$N$1</f>
        <v>705.12820512820508</v>
      </c>
      <c r="M3894" s="69">
        <v>46318</v>
      </c>
      <c r="N3894" s="43">
        <f>IF(Gastos[[#This Row],[Fecha_Cheque]]&gt;0,WEEKNUM(Gastos[[#This Row],[Fecha_Cheque]]),MID(Gastos[[#This Row],[Semana]],6,2))</f>
        <v>43</v>
      </c>
      <c r="O3894" t="s">
        <v>4360</v>
      </c>
      <c r="P3894" t="s">
        <v>27</v>
      </c>
    </row>
    <row r="3895" spans="1:16" hidden="1" x14ac:dyDescent="0.25">
      <c r="A3895" s="3" t="s">
        <v>4374</v>
      </c>
      <c r="B3895" t="s">
        <v>2198</v>
      </c>
      <c r="C3895" t="s">
        <v>3446</v>
      </c>
      <c r="D3895" t="s">
        <v>26</v>
      </c>
      <c r="E3895" t="s">
        <v>62</v>
      </c>
      <c r="F3895">
        <v>2</v>
      </c>
      <c r="G3895" s="3" t="s">
        <v>32</v>
      </c>
      <c r="H3895" s="44" t="s">
        <v>15</v>
      </c>
      <c r="I3895" s="17">
        <v>1100000</v>
      </c>
      <c r="J3895" s="17">
        <f>IF(Gastos[[#This Row],[Divisa]]="$", I3895*1, IF(Gastos[[#This Row],[Divisa]]="U$D", I3895*$N$1, IF(Gastos[[#This Row],[Divisa]]="EUR", I3895*$N$2, 0)))</f>
        <v>1100000</v>
      </c>
      <c r="K3895" s="54">
        <f>Gastos[[#This Row],[Importe AR$]]/$N$1</f>
        <v>705.12820512820508</v>
      </c>
      <c r="M3895" s="69">
        <v>46332</v>
      </c>
      <c r="N3895" s="43">
        <f>IF(Gastos[[#This Row],[Fecha_Cheque]]&gt;0,WEEKNUM(Gastos[[#This Row],[Fecha_Cheque]]),MID(Gastos[[#This Row],[Semana]],6,2))</f>
        <v>45</v>
      </c>
      <c r="O3895" t="s">
        <v>4360</v>
      </c>
      <c r="P3895" t="s">
        <v>27</v>
      </c>
    </row>
    <row r="3896" spans="1:16" hidden="1" x14ac:dyDescent="0.25">
      <c r="A3896" s="3" t="s">
        <v>4374</v>
      </c>
      <c r="B3896" t="s">
        <v>2198</v>
      </c>
      <c r="C3896" t="s">
        <v>3446</v>
      </c>
      <c r="D3896" t="s">
        <v>26</v>
      </c>
      <c r="E3896" t="s">
        <v>62</v>
      </c>
      <c r="F3896">
        <v>2</v>
      </c>
      <c r="G3896" s="3" t="s">
        <v>32</v>
      </c>
      <c r="H3896" s="44" t="s">
        <v>15</v>
      </c>
      <c r="I3896" s="17">
        <v>1340400</v>
      </c>
      <c r="J3896" s="17">
        <f>IF(Gastos[[#This Row],[Divisa]]="$", I3896*1, IF(Gastos[[#This Row],[Divisa]]="U$D", I3896*$N$1, IF(Gastos[[#This Row],[Divisa]]="EUR", I3896*$N$2, 0)))</f>
        <v>1340400</v>
      </c>
      <c r="K3896" s="54">
        <f>Gastos[[#This Row],[Importe AR$]]/$N$1</f>
        <v>859.23076923076928</v>
      </c>
      <c r="M3896" s="69">
        <v>46318</v>
      </c>
      <c r="N3896" s="43">
        <f>IF(Gastos[[#This Row],[Fecha_Cheque]]&gt;0,WEEKNUM(Gastos[[#This Row],[Fecha_Cheque]]),MID(Gastos[[#This Row],[Semana]],6,2))</f>
        <v>43</v>
      </c>
      <c r="O3896" t="s">
        <v>4360</v>
      </c>
      <c r="P3896" t="s">
        <v>27</v>
      </c>
    </row>
    <row r="3897" spans="1:16" hidden="1" x14ac:dyDescent="0.25">
      <c r="A3897" s="3" t="s">
        <v>4447</v>
      </c>
      <c r="B3897" t="s">
        <v>2198</v>
      </c>
      <c r="C3897" t="s">
        <v>3446</v>
      </c>
      <c r="D3897" t="s">
        <v>26</v>
      </c>
      <c r="E3897" t="s">
        <v>62</v>
      </c>
      <c r="F3897">
        <v>2</v>
      </c>
      <c r="G3897" s="3" t="s">
        <v>32</v>
      </c>
      <c r="H3897" s="44" t="s">
        <v>15</v>
      </c>
      <c r="I3897" s="17">
        <v>300000</v>
      </c>
      <c r="J3897" s="17">
        <f>IF(Gastos[[#This Row],[Divisa]]="$", I3897*1, IF(Gastos[[#This Row],[Divisa]]="U$D", I3897*$N$1, IF(Gastos[[#This Row],[Divisa]]="EUR", I3897*$N$2, 0)))</f>
        <v>300000</v>
      </c>
      <c r="K3897" s="54">
        <f>Gastos[[#This Row],[Importe AR$]]/$N$1</f>
        <v>192.30769230769232</v>
      </c>
      <c r="M3897" s="69">
        <v>46283</v>
      </c>
      <c r="N3897" s="43">
        <f>IF(Gastos[[#This Row],[Fecha_Cheque]]&gt;0,WEEKNUM(Gastos[[#This Row],[Fecha_Cheque]]),MID(Gastos[[#This Row],[Semana]],6,2))</f>
        <v>38</v>
      </c>
      <c r="O3897" t="s">
        <v>4489</v>
      </c>
      <c r="P3897" t="s">
        <v>27</v>
      </c>
    </row>
    <row r="3898" spans="1:16" hidden="1" x14ac:dyDescent="0.25">
      <c r="A3898" s="3" t="s">
        <v>4447</v>
      </c>
      <c r="B3898" t="s">
        <v>2198</v>
      </c>
      <c r="C3898" t="s">
        <v>3446</v>
      </c>
      <c r="D3898" t="s">
        <v>26</v>
      </c>
      <c r="E3898" t="s">
        <v>62</v>
      </c>
      <c r="F3898">
        <v>2</v>
      </c>
      <c r="G3898" s="3" t="s">
        <v>32</v>
      </c>
      <c r="H3898" s="44" t="s">
        <v>15</v>
      </c>
      <c r="I3898" s="17">
        <v>1000000</v>
      </c>
      <c r="J3898" s="17">
        <f>IF(Gastos[[#This Row],[Divisa]]="$", I3898*1, IF(Gastos[[#This Row],[Divisa]]="U$D", I3898*$N$1, IF(Gastos[[#This Row],[Divisa]]="EUR", I3898*$N$2, 0)))</f>
        <v>1000000</v>
      </c>
      <c r="K3898" s="54">
        <f>Gastos[[#This Row],[Importe AR$]]/$N$1</f>
        <v>641.02564102564099</v>
      </c>
      <c r="M3898" s="69">
        <v>46325</v>
      </c>
      <c r="N3898" s="43">
        <f>IF(Gastos[[#This Row],[Fecha_Cheque]]&gt;0,WEEKNUM(Gastos[[#This Row],[Fecha_Cheque]]),MID(Gastos[[#This Row],[Semana]],6,2))</f>
        <v>44</v>
      </c>
      <c r="O3898" t="s">
        <v>4489</v>
      </c>
      <c r="P3898" t="s">
        <v>27</v>
      </c>
    </row>
    <row r="3899" spans="1:16" hidden="1" x14ac:dyDescent="0.25">
      <c r="A3899" s="3" t="s">
        <v>4513</v>
      </c>
      <c r="B3899" t="s">
        <v>2198</v>
      </c>
      <c r="C3899" t="s">
        <v>3446</v>
      </c>
      <c r="D3899" t="s">
        <v>26</v>
      </c>
      <c r="E3899" t="s">
        <v>31</v>
      </c>
      <c r="F3899">
        <v>2</v>
      </c>
      <c r="G3899" s="3" t="s">
        <v>32</v>
      </c>
      <c r="H3899" s="44" t="s">
        <v>15</v>
      </c>
      <c r="I3899" s="17">
        <v>2000000</v>
      </c>
      <c r="J3899" s="17">
        <f>IF(Gastos[[#This Row],[Divisa]]="$", I3899*1, IF(Gastos[[#This Row],[Divisa]]="U$D", I3899*$N$1, IF(Gastos[[#This Row],[Divisa]]="EUR", I3899*$N$2, 0)))</f>
        <v>2000000</v>
      </c>
      <c r="K3899" s="54">
        <f>Gastos[[#This Row],[Importe AR$]]/$N$1</f>
        <v>1282.051282051282</v>
      </c>
      <c r="M3899" s="69"/>
      <c r="N3899" s="43" t="str">
        <f>IF(Gastos[[#This Row],[Fecha_Cheque]]&gt;0,WEEKNUM(Gastos[[#This Row],[Fecha_Cheque]]),MID(Gastos[[#This Row],[Semana]],6,2))</f>
        <v>42</v>
      </c>
      <c r="O3899" t="s">
        <v>4563</v>
      </c>
      <c r="P3899" t="s">
        <v>27</v>
      </c>
    </row>
    <row r="3900" spans="1:16" x14ac:dyDescent="0.25">
      <c r="A3900" s="3" t="s">
        <v>4655</v>
      </c>
      <c r="B3900" t="s">
        <v>2019</v>
      </c>
      <c r="C3900" t="s">
        <v>4595</v>
      </c>
      <c r="D3900" t="s">
        <v>26</v>
      </c>
      <c r="E3900" t="s">
        <v>31</v>
      </c>
      <c r="F3900">
        <v>1</v>
      </c>
      <c r="G3900" s="3" t="s">
        <v>32</v>
      </c>
      <c r="H3900" s="44" t="s">
        <v>15</v>
      </c>
      <c r="I3900" s="17">
        <v>1360000</v>
      </c>
      <c r="J3900" s="17">
        <f>IF(Gastos[[#This Row],[Divisa]]="$", I3900*1, IF(Gastos[[#This Row],[Divisa]]="U$D", I3900*$N$1, IF(Gastos[[#This Row],[Divisa]]="EUR", I3900*$N$2, 0)))</f>
        <v>1360000</v>
      </c>
      <c r="K3900" s="54">
        <f>Gastos[[#This Row],[Importe AR$]]/$N$1</f>
        <v>871.79487179487182</v>
      </c>
      <c r="M3900" s="69">
        <v>46340</v>
      </c>
      <c r="N3900" s="43">
        <f>IF(Gastos[[#This Row],[Fecha_Cheque]]&gt;0,WEEKNUM(Gastos[[#This Row],[Fecha_Cheque]]),MID(Gastos[[#This Row],[Semana]],6,2))</f>
        <v>46</v>
      </c>
      <c r="O3900" t="s">
        <v>4673</v>
      </c>
      <c r="P3900" t="s">
        <v>27</v>
      </c>
    </row>
    <row r="3901" spans="1:16" x14ac:dyDescent="0.25">
      <c r="A3901" s="3" t="s">
        <v>4655</v>
      </c>
      <c r="B3901" t="s">
        <v>2019</v>
      </c>
      <c r="C3901" t="s">
        <v>4595</v>
      </c>
      <c r="D3901" t="s">
        <v>26</v>
      </c>
      <c r="E3901" t="s">
        <v>31</v>
      </c>
      <c r="F3901">
        <v>1</v>
      </c>
      <c r="G3901" s="3" t="s">
        <v>32</v>
      </c>
      <c r="H3901" s="44" t="s">
        <v>15</v>
      </c>
      <c r="I3901" s="17">
        <v>154710.75</v>
      </c>
      <c r="J3901" s="17">
        <f>IF(Gastos[[#This Row],[Divisa]]="$", I3901*1, IF(Gastos[[#This Row],[Divisa]]="U$D", I3901*$N$1, IF(Gastos[[#This Row],[Divisa]]="EUR", I3901*$N$2, 0)))</f>
        <v>154710.75</v>
      </c>
      <c r="K3901" s="54">
        <f>Gastos[[#This Row],[Importe AR$]]/$N$1</f>
        <v>99.173557692307696</v>
      </c>
      <c r="L3901" t="s">
        <v>340</v>
      </c>
      <c r="M3901" s="69"/>
      <c r="N3901" s="43" t="str">
        <f>IF(Gastos[[#This Row],[Fecha_Cheque]]&gt;0,WEEKNUM(Gastos[[#This Row],[Fecha_Cheque]]),MID(Gastos[[#This Row],[Semana]],6,2))</f>
        <v>44</v>
      </c>
      <c r="O3901" t="s">
        <v>4673</v>
      </c>
      <c r="P3901" t="s">
        <v>27</v>
      </c>
    </row>
    <row r="3902" spans="1:16" hidden="1" x14ac:dyDescent="0.25">
      <c r="A3902" s="3" t="s">
        <v>378</v>
      </c>
      <c r="B3902" t="s">
        <v>2205</v>
      </c>
      <c r="C3902" t="s">
        <v>2206</v>
      </c>
      <c r="D3902" t="s">
        <v>26</v>
      </c>
      <c r="E3902" t="s">
        <v>42</v>
      </c>
      <c r="F3902">
        <v>2</v>
      </c>
      <c r="G3902" s="3" t="s">
        <v>4</v>
      </c>
      <c r="H3902" s="46" t="s">
        <v>15</v>
      </c>
      <c r="I3902" s="17">
        <v>350000</v>
      </c>
      <c r="J3902" s="17">
        <f>IF(Gastos[[#This Row],[Divisa]]="$", I3902*1, IF(Gastos[[#This Row],[Divisa]]="U$D", I3902*$N$1, IF(Gastos[[#This Row],[Divisa]]="EUR", I3902*$N$2, 0)))</f>
        <v>350000</v>
      </c>
      <c r="K3902" s="54">
        <f>Gastos[[#This Row],[Importe AR$]]/$N$1</f>
        <v>224.35897435897436</v>
      </c>
      <c r="M3902" s="69"/>
      <c r="N3902" s="43" t="str">
        <f>IF(Gastos[[#This Row],[Fecha_Cheque]]&gt;0,WEEKNUM(Gastos[[#This Row],[Fecha_Cheque]]),MID(Gastos[[#This Row],[Semana]],6,2))</f>
        <v>03</v>
      </c>
      <c r="O3902" t="s">
        <v>2207</v>
      </c>
      <c r="P3902" t="s">
        <v>27</v>
      </c>
    </row>
    <row r="3903" spans="1:16" hidden="1" x14ac:dyDescent="0.25">
      <c r="A3903" s="3" t="s">
        <v>68</v>
      </c>
      <c r="B3903" t="s">
        <v>2205</v>
      </c>
      <c r="C3903" t="s">
        <v>2208</v>
      </c>
      <c r="D3903" t="s">
        <v>26</v>
      </c>
      <c r="E3903" t="s">
        <v>31</v>
      </c>
      <c r="F3903">
        <v>2</v>
      </c>
      <c r="G3903" s="3" t="s">
        <v>4</v>
      </c>
      <c r="H3903" s="46" t="s">
        <v>15</v>
      </c>
      <c r="I3903" s="17">
        <v>200000</v>
      </c>
      <c r="J3903" s="17">
        <f>IF(Gastos[[#This Row],[Divisa]]="$", I3903*1, IF(Gastos[[#This Row],[Divisa]]="U$D", I3903*$N$1, IF(Gastos[[#This Row],[Divisa]]="EUR", I3903*$N$2, 0)))</f>
        <v>200000</v>
      </c>
      <c r="K3903" s="54">
        <f>Gastos[[#This Row],[Importe AR$]]/$N$1</f>
        <v>128.2051282051282</v>
      </c>
      <c r="M3903" s="69"/>
      <c r="N3903" s="43" t="str">
        <f>IF(Gastos[[#This Row],[Fecha_Cheque]]&gt;0,WEEKNUM(Gastos[[#This Row],[Fecha_Cheque]]),MID(Gastos[[#This Row],[Semana]],6,2))</f>
        <v>05</v>
      </c>
      <c r="O3903" t="s">
        <v>2209</v>
      </c>
      <c r="P3903" t="s">
        <v>27</v>
      </c>
    </row>
    <row r="3904" spans="1:16" hidden="1" x14ac:dyDescent="0.25">
      <c r="A3904" s="3" t="s">
        <v>206</v>
      </c>
      <c r="B3904" t="s">
        <v>2205</v>
      </c>
      <c r="C3904" t="s">
        <v>2208</v>
      </c>
      <c r="D3904" t="s">
        <v>26</v>
      </c>
      <c r="E3904" t="s">
        <v>42</v>
      </c>
      <c r="F3904">
        <v>2</v>
      </c>
      <c r="G3904" s="3" t="s">
        <v>4</v>
      </c>
      <c r="H3904" s="46" t="s">
        <v>15</v>
      </c>
      <c r="I3904" s="17">
        <v>200000</v>
      </c>
      <c r="J3904" s="17">
        <f>IF(Gastos[[#This Row],[Divisa]]="$", I3904*1, IF(Gastos[[#This Row],[Divisa]]="U$D", I3904*$N$1, IF(Gastos[[#This Row],[Divisa]]="EUR", I3904*$N$2, 0)))</f>
        <v>200000</v>
      </c>
      <c r="K3904" s="54">
        <f>Gastos[[#This Row],[Importe AR$]]/$N$1</f>
        <v>128.2051282051282</v>
      </c>
      <c r="M3904" s="69"/>
      <c r="N3904" s="43" t="str">
        <f>IF(Gastos[[#This Row],[Fecha_Cheque]]&gt;0,WEEKNUM(Gastos[[#This Row],[Fecha_Cheque]]),MID(Gastos[[#This Row],[Semana]],6,2))</f>
        <v>06</v>
      </c>
      <c r="O3904" t="s">
        <v>2210</v>
      </c>
      <c r="P3904" t="s">
        <v>27</v>
      </c>
    </row>
    <row r="3905" spans="1:16" hidden="1" x14ac:dyDescent="0.25">
      <c r="A3905" s="3" t="s">
        <v>75</v>
      </c>
      <c r="B3905" t="s">
        <v>2205</v>
      </c>
      <c r="C3905" t="s">
        <v>2208</v>
      </c>
      <c r="D3905" t="s">
        <v>26</v>
      </c>
      <c r="E3905" t="s">
        <v>42</v>
      </c>
      <c r="F3905">
        <v>2</v>
      </c>
      <c r="G3905" s="3" t="s">
        <v>4</v>
      </c>
      <c r="H3905" s="46" t="s">
        <v>15</v>
      </c>
      <c r="I3905" s="17">
        <v>407940</v>
      </c>
      <c r="J3905" s="17">
        <f>IF(Gastos[[#This Row],[Divisa]]="$", I3905*1, IF(Gastos[[#This Row],[Divisa]]="U$D", I3905*$N$1, IF(Gastos[[#This Row],[Divisa]]="EUR", I3905*$N$2, 0)))</f>
        <v>407940</v>
      </c>
      <c r="K3905" s="54">
        <f>Gastos[[#This Row],[Importe AR$]]/$N$1</f>
        <v>261.5</v>
      </c>
      <c r="M3905" s="69"/>
      <c r="N3905" s="43" t="str">
        <f>IF(Gastos[[#This Row],[Fecha_Cheque]]&gt;0,WEEKNUM(Gastos[[#This Row],[Fecha_Cheque]]),MID(Gastos[[#This Row],[Semana]],6,2))</f>
        <v>07</v>
      </c>
      <c r="O3905" t="s">
        <v>2211</v>
      </c>
      <c r="P3905" t="s">
        <v>27</v>
      </c>
    </row>
    <row r="3906" spans="1:16" hidden="1" x14ac:dyDescent="0.25">
      <c r="A3906" s="3" t="s">
        <v>139</v>
      </c>
      <c r="B3906" t="s">
        <v>2205</v>
      </c>
      <c r="C3906" t="s">
        <v>2208</v>
      </c>
      <c r="D3906" t="s">
        <v>26</v>
      </c>
      <c r="E3906" t="s">
        <v>42</v>
      </c>
      <c r="F3906">
        <v>2</v>
      </c>
      <c r="G3906" s="3" t="s">
        <v>4</v>
      </c>
      <c r="H3906" s="46" t="s">
        <v>15</v>
      </c>
      <c r="I3906" s="49">
        <v>1000000</v>
      </c>
      <c r="J3906" s="17">
        <f>IF(Gastos[[#This Row],[Divisa]]="$", I3906*1, IF(Gastos[[#This Row],[Divisa]]="U$D", I3906*$N$1, IF(Gastos[[#This Row],[Divisa]]="EUR", I3906*$N$2, 0)))</f>
        <v>1000000</v>
      </c>
      <c r="K3906" s="56">
        <f>Gastos[[#This Row],[Importe AR$]]/$N$1</f>
        <v>641.02564102564099</v>
      </c>
      <c r="M3906" s="69"/>
      <c r="N3906" s="43" t="str">
        <f>IF(Gastos[[#This Row],[Fecha_Cheque]]&gt;0,WEEKNUM(Gastos[[#This Row],[Fecha_Cheque]]),MID(Gastos[[#This Row],[Semana]],6,2))</f>
        <v>08</v>
      </c>
      <c r="O3906" t="s">
        <v>2212</v>
      </c>
      <c r="P3906" t="s">
        <v>27</v>
      </c>
    </row>
    <row r="3907" spans="1:16" hidden="1" x14ac:dyDescent="0.25">
      <c r="A3907" s="3" t="s">
        <v>3439</v>
      </c>
      <c r="B3907" t="s">
        <v>3534</v>
      </c>
      <c r="C3907" t="s">
        <v>315</v>
      </c>
      <c r="D3907" t="s">
        <v>26</v>
      </c>
      <c r="E3907" t="s">
        <v>31</v>
      </c>
      <c r="F3907">
        <v>1</v>
      </c>
      <c r="G3907" s="3" t="s">
        <v>5</v>
      </c>
      <c r="H3907" s="44" t="s">
        <v>15</v>
      </c>
      <c r="I3907" s="17">
        <v>48400</v>
      </c>
      <c r="J3907" s="17">
        <f>IF(Gastos[[#This Row],[Divisa]]="$", I3907*1, IF(Gastos[[#This Row],[Divisa]]="U$D", I3907*$N$1, IF(Gastos[[#This Row],[Divisa]]="EUR", I3907*$N$2, 0)))</f>
        <v>48400</v>
      </c>
      <c r="K3907" s="54">
        <f>Gastos[[#This Row],[Importe AR$]]/$N$1</f>
        <v>31.025641025641026</v>
      </c>
      <c r="M3907" s="69"/>
      <c r="N3907" s="43" t="str">
        <f>IF(Gastos[[#This Row],[Fecha_Cheque]]&gt;0,WEEKNUM(Gastos[[#This Row],[Fecha_Cheque]]),MID(Gastos[[#This Row],[Semana]],6,2))</f>
        <v>25</v>
      </c>
      <c r="O3907" t="s">
        <v>3531</v>
      </c>
      <c r="P3907" t="s">
        <v>27</v>
      </c>
    </row>
    <row r="3908" spans="1:16" hidden="1" x14ac:dyDescent="0.25">
      <c r="A3908" s="3" t="s">
        <v>79</v>
      </c>
      <c r="B3908" t="s">
        <v>2213</v>
      </c>
      <c r="C3908" t="s">
        <v>2214</v>
      </c>
      <c r="D3908" t="s">
        <v>26</v>
      </c>
      <c r="E3908" t="s">
        <v>31</v>
      </c>
      <c r="F3908">
        <v>1</v>
      </c>
      <c r="G3908" s="3" t="s">
        <v>32</v>
      </c>
      <c r="H3908" s="46" t="s">
        <v>15</v>
      </c>
      <c r="I3908" s="17">
        <v>508689.13</v>
      </c>
      <c r="J3908" s="17">
        <f>IF(Gastos[[#This Row],[Divisa]]="$", I3908*1, IF(Gastos[[#This Row],[Divisa]]="U$D", I3908*$N$1, IF(Gastos[[#This Row],[Divisa]]="EUR", I3908*$N$2, 0)))</f>
        <v>508689.13</v>
      </c>
      <c r="K3908" s="54">
        <f>Gastos[[#This Row],[Importe AR$]]/$N$1</f>
        <v>326.08277564102565</v>
      </c>
      <c r="M3908" s="69">
        <v>45997</v>
      </c>
      <c r="N3908" s="43">
        <f>IF(Gastos[[#This Row],[Fecha_Cheque]]&gt;0,WEEKNUM(Gastos[[#This Row],[Fecha_Cheque]]),MID(Gastos[[#This Row],[Semana]],6,2))</f>
        <v>49</v>
      </c>
      <c r="O3908" t="s">
        <v>2215</v>
      </c>
      <c r="P3908" t="s">
        <v>27</v>
      </c>
    </row>
    <row r="3909" spans="1:16" hidden="1" x14ac:dyDescent="0.25">
      <c r="A3909" s="3" t="s">
        <v>79</v>
      </c>
      <c r="B3909" t="s">
        <v>2213</v>
      </c>
      <c r="C3909" t="s">
        <v>2214</v>
      </c>
      <c r="D3909" t="s">
        <v>26</v>
      </c>
      <c r="E3909" t="s">
        <v>31</v>
      </c>
      <c r="F3909">
        <v>1</v>
      </c>
      <c r="G3909" s="3" t="s">
        <v>32</v>
      </c>
      <c r="H3909" s="46" t="s">
        <v>15</v>
      </c>
      <c r="I3909" s="17">
        <v>508689.12</v>
      </c>
      <c r="J3909" s="17">
        <f>IF(Gastos[[#This Row],[Divisa]]="$", I3909*1, IF(Gastos[[#This Row],[Divisa]]="U$D", I3909*$N$1, IF(Gastos[[#This Row],[Divisa]]="EUR", I3909*$N$2, 0)))</f>
        <v>508689.12</v>
      </c>
      <c r="K3909" s="54">
        <f>Gastos[[#This Row],[Importe AR$]]/$N$1</f>
        <v>326.0827692307692</v>
      </c>
      <c r="M3909" s="69">
        <v>46011</v>
      </c>
      <c r="N3909" s="43">
        <f>IF(Gastos[[#This Row],[Fecha_Cheque]]&gt;0,WEEKNUM(Gastos[[#This Row],[Fecha_Cheque]]),MID(Gastos[[#This Row],[Semana]],6,2))</f>
        <v>51</v>
      </c>
      <c r="O3909" t="s">
        <v>2215</v>
      </c>
      <c r="P3909" t="s">
        <v>27</v>
      </c>
    </row>
    <row r="3910" spans="1:16" hidden="1" x14ac:dyDescent="0.25">
      <c r="A3910" s="3" t="s">
        <v>64</v>
      </c>
      <c r="B3910" t="s">
        <v>2216</v>
      </c>
      <c r="C3910" t="s">
        <v>2217</v>
      </c>
      <c r="D3910" t="s">
        <v>26</v>
      </c>
      <c r="E3910" t="s">
        <v>91</v>
      </c>
      <c r="F3910">
        <v>2</v>
      </c>
      <c r="G3910" s="3" t="s">
        <v>4</v>
      </c>
      <c r="H3910" s="46" t="s">
        <v>15</v>
      </c>
      <c r="I3910" s="17">
        <v>2479182.89</v>
      </c>
      <c r="J3910" s="17">
        <f>IF(Gastos[[#This Row],[Divisa]]="$", I3910*1, IF(Gastos[[#This Row],[Divisa]]="U$D", I3910*$N$1, IF(Gastos[[#This Row],[Divisa]]="EUR", I3910*$N$2, 0)))</f>
        <v>2479182.89</v>
      </c>
      <c r="K3910" s="54">
        <f>Gastos[[#This Row],[Importe AR$]]/$N$1</f>
        <v>1589.2198012820513</v>
      </c>
      <c r="M3910" s="69"/>
      <c r="N3910" s="43" t="str">
        <f>IF(Gastos[[#This Row],[Fecha_Cheque]]&gt;0,WEEKNUM(Gastos[[#This Row],[Fecha_Cheque]]),MID(Gastos[[#This Row],[Semana]],6,2))</f>
        <v>33</v>
      </c>
      <c r="O3910" t="s">
        <v>2218</v>
      </c>
      <c r="P3910" t="s">
        <v>27</v>
      </c>
    </row>
    <row r="3911" spans="1:16" hidden="1" x14ac:dyDescent="0.25">
      <c r="A3911" s="3" t="s">
        <v>290</v>
      </c>
      <c r="B3911" t="s">
        <v>2219</v>
      </c>
      <c r="C3911" t="s">
        <v>624</v>
      </c>
      <c r="D3911" t="s">
        <v>26</v>
      </c>
      <c r="E3911" t="s">
        <v>91</v>
      </c>
      <c r="F3911">
        <v>1</v>
      </c>
      <c r="G3911" s="3" t="s">
        <v>5</v>
      </c>
      <c r="H3911" s="46" t="s">
        <v>15</v>
      </c>
      <c r="I3911" s="17">
        <v>1522457.94</v>
      </c>
      <c r="J3911" s="17">
        <f>IF(Gastos[[#This Row],[Divisa]]="$", I3911*1, IF(Gastos[[#This Row],[Divisa]]="U$D", I3911*$N$1, IF(Gastos[[#This Row],[Divisa]]="EUR", I3911*$N$2, 0)))</f>
        <v>1522457.94</v>
      </c>
      <c r="K3911" s="54">
        <f>Gastos[[#This Row],[Importe AR$]]/$N$1</f>
        <v>975.93457692307686</v>
      </c>
      <c r="M3911" s="69"/>
      <c r="N3911" s="43" t="str">
        <f>IF(Gastos[[#This Row],[Fecha_Cheque]]&gt;0,WEEKNUM(Gastos[[#This Row],[Fecha_Cheque]]),MID(Gastos[[#This Row],[Semana]],6,2))</f>
        <v>23</v>
      </c>
      <c r="O3911" t="s">
        <v>2220</v>
      </c>
      <c r="P3911" t="s">
        <v>27</v>
      </c>
    </row>
    <row r="3912" spans="1:16" hidden="1" x14ac:dyDescent="0.25">
      <c r="A3912" s="3" t="s">
        <v>89</v>
      </c>
      <c r="B3912" t="s">
        <v>2219</v>
      </c>
      <c r="D3912" t="s">
        <v>26</v>
      </c>
      <c r="E3912" t="s">
        <v>91</v>
      </c>
      <c r="F3912">
        <v>1</v>
      </c>
      <c r="G3912" s="3" t="s">
        <v>5</v>
      </c>
      <c r="H3912" s="46" t="s">
        <v>15</v>
      </c>
      <c r="I3912" s="17">
        <v>2195215.59</v>
      </c>
      <c r="J3912" s="17">
        <f>IF(Gastos[[#This Row],[Divisa]]="$", I3912*1, IF(Gastos[[#This Row],[Divisa]]="U$D", I3912*$N$1, IF(Gastos[[#This Row],[Divisa]]="EUR", I3912*$N$2, 0)))</f>
        <v>2195215.59</v>
      </c>
      <c r="K3912" s="54">
        <f>Gastos[[#This Row],[Importe AR$]]/$N$1</f>
        <v>1407.1894807692306</v>
      </c>
      <c r="M3912" s="69"/>
      <c r="N3912" s="43" t="str">
        <f>IF(Gastos[[#This Row],[Fecha_Cheque]]&gt;0,WEEKNUM(Gastos[[#This Row],[Fecha_Cheque]]),MID(Gastos[[#This Row],[Semana]],6,2))</f>
        <v>39</v>
      </c>
      <c r="O3912" t="s">
        <v>1633</v>
      </c>
      <c r="P3912" t="s">
        <v>27</v>
      </c>
    </row>
    <row r="3913" spans="1:16" hidden="1" x14ac:dyDescent="0.25">
      <c r="A3913" s="3" t="s">
        <v>56</v>
      </c>
      <c r="B3913" t="s">
        <v>2219</v>
      </c>
      <c r="D3913" t="s">
        <v>26</v>
      </c>
      <c r="E3913" t="s">
        <v>91</v>
      </c>
      <c r="F3913">
        <v>1</v>
      </c>
      <c r="G3913" s="3" t="s">
        <v>5</v>
      </c>
      <c r="H3913" s="46" t="s">
        <v>15</v>
      </c>
      <c r="I3913" s="17">
        <v>1015185.53</v>
      </c>
      <c r="J3913" s="17">
        <f>IF(Gastos[[#This Row],[Divisa]]="$", I3913*1, IF(Gastos[[#This Row],[Divisa]]="U$D", I3913*$N$1, IF(Gastos[[#This Row],[Divisa]]="EUR", I3913*$N$2, 0)))</f>
        <v>1015185.53</v>
      </c>
      <c r="K3913" s="54">
        <f>Gastos[[#This Row],[Importe AR$]]/$N$1</f>
        <v>650.75995512820509</v>
      </c>
      <c r="M3913" s="69"/>
      <c r="N3913" s="43" t="str">
        <f>IF(Gastos[[#This Row],[Fecha_Cheque]]&gt;0,WEEKNUM(Gastos[[#This Row],[Fecha_Cheque]]),MID(Gastos[[#This Row],[Semana]],6,2))</f>
        <v>41</v>
      </c>
      <c r="O3913" t="s">
        <v>2221</v>
      </c>
      <c r="P3913" t="s">
        <v>27</v>
      </c>
    </row>
    <row r="3914" spans="1:16" hidden="1" x14ac:dyDescent="0.25">
      <c r="A3914" s="3" t="s">
        <v>128</v>
      </c>
      <c r="B3914" t="s">
        <v>2219</v>
      </c>
      <c r="C3914" t="s">
        <v>2222</v>
      </c>
      <c r="D3914" t="s">
        <v>26</v>
      </c>
      <c r="E3914" t="s">
        <v>91</v>
      </c>
      <c r="F3914">
        <v>1</v>
      </c>
      <c r="G3914" s="3" t="s">
        <v>5</v>
      </c>
      <c r="H3914" s="46" t="s">
        <v>15</v>
      </c>
      <c r="I3914" s="17">
        <v>2152257.06</v>
      </c>
      <c r="J3914" s="17">
        <f>IF(Gastos[[#This Row],[Divisa]]="$", I3914*1, IF(Gastos[[#This Row],[Divisa]]="U$D", I3914*$N$1, IF(Gastos[[#This Row],[Divisa]]="EUR", I3914*$N$2, 0)))</f>
        <v>2152257.06</v>
      </c>
      <c r="K3914" s="54">
        <f>Gastos[[#This Row],[Importe AR$]]/$N$1</f>
        <v>1379.6519615384616</v>
      </c>
      <c r="M3914" s="69"/>
      <c r="N3914" s="43" t="str">
        <f>IF(Gastos[[#This Row],[Fecha_Cheque]]&gt;0,WEEKNUM(Gastos[[#This Row],[Fecha_Cheque]]),MID(Gastos[[#This Row],[Semana]],6,2))</f>
        <v>43</v>
      </c>
      <c r="O3914" t="s">
        <v>2223</v>
      </c>
      <c r="P3914" t="s">
        <v>27</v>
      </c>
    </row>
    <row r="3915" spans="1:16" hidden="1" x14ac:dyDescent="0.25">
      <c r="A3915" s="3" t="s">
        <v>93</v>
      </c>
      <c r="B3915" t="s">
        <v>2219</v>
      </c>
      <c r="D3915" t="s">
        <v>26</v>
      </c>
      <c r="E3915" t="s">
        <v>91</v>
      </c>
      <c r="F3915">
        <v>1</v>
      </c>
      <c r="G3915" s="3" t="s">
        <v>5</v>
      </c>
      <c r="H3915" s="46" t="s">
        <v>15</v>
      </c>
      <c r="I3915" s="17">
        <v>1264683.08</v>
      </c>
      <c r="J3915" s="17">
        <f>IF(Gastos[[#This Row],[Divisa]]="$", I3915*1, IF(Gastos[[#This Row],[Divisa]]="U$D", I3915*$N$1, IF(Gastos[[#This Row],[Divisa]]="EUR", I3915*$N$2, 0)))</f>
        <v>1264683.08</v>
      </c>
      <c r="K3915" s="54">
        <f>Gastos[[#This Row],[Importe AR$]]/$N$1</f>
        <v>810.69428205128213</v>
      </c>
      <c r="M3915" s="69"/>
      <c r="N3915" s="43" t="str">
        <f>IF(Gastos[[#This Row],[Fecha_Cheque]]&gt;0,WEEKNUM(Gastos[[#This Row],[Fecha_Cheque]]),MID(Gastos[[#This Row],[Semana]],6,2))</f>
        <v>50</v>
      </c>
      <c r="O3915" t="s">
        <v>2224</v>
      </c>
      <c r="P3915" t="s">
        <v>27</v>
      </c>
    </row>
    <row r="3916" spans="1:16" x14ac:dyDescent="0.25">
      <c r="A3916" s="3" t="s">
        <v>4655</v>
      </c>
      <c r="B3916" t="s">
        <v>2049</v>
      </c>
      <c r="C3916" t="s">
        <v>2473</v>
      </c>
      <c r="D3916" t="s">
        <v>61</v>
      </c>
      <c r="E3916" t="s">
        <v>62</v>
      </c>
      <c r="F3916">
        <v>1</v>
      </c>
      <c r="G3916" s="3" t="s">
        <v>32</v>
      </c>
      <c r="H3916" s="46" t="s">
        <v>15</v>
      </c>
      <c r="I3916" s="17">
        <v>8431119.3300000001</v>
      </c>
      <c r="J3916" s="17">
        <f>IF(Gastos[[#This Row],[Divisa]]="$", I3916*1, IF(Gastos[[#This Row],[Divisa]]="U$D", I3916*$N$1, IF(Gastos[[#This Row],[Divisa]]="EUR", I3916*$N$2, 0)))</f>
        <v>8431119.3300000001</v>
      </c>
      <c r="K3916" s="54">
        <f>Gastos[[#This Row],[Importe AR$]]/$N$1</f>
        <v>5404.5636730769229</v>
      </c>
      <c r="M3916" s="69"/>
      <c r="N3916" s="43" t="str">
        <f>IF(Gastos[[#This Row],[Fecha_Cheque]]&gt;0,WEEKNUM(Gastos[[#This Row],[Fecha_Cheque]]),MID(Gastos[[#This Row],[Semana]],6,2))</f>
        <v>44</v>
      </c>
    </row>
    <row r="3917" spans="1:16" hidden="1" x14ac:dyDescent="0.25">
      <c r="A3917" s="3" t="s">
        <v>34</v>
      </c>
      <c r="B3917" t="s">
        <v>2225</v>
      </c>
      <c r="C3917" t="s">
        <v>2217</v>
      </c>
      <c r="D3917" t="s">
        <v>26</v>
      </c>
      <c r="E3917" t="s">
        <v>91</v>
      </c>
      <c r="F3917">
        <v>2</v>
      </c>
      <c r="G3917" s="3" t="s">
        <v>4</v>
      </c>
      <c r="H3917" s="46" t="s">
        <v>15</v>
      </c>
      <c r="I3917" s="17">
        <v>1000000</v>
      </c>
      <c r="J3917" s="17">
        <f>IF(Gastos[[#This Row],[Divisa]]="$", I3917*1, IF(Gastos[[#This Row],[Divisa]]="U$D", I3917*$N$1, IF(Gastos[[#This Row],[Divisa]]="EUR", I3917*$N$2, 0)))</f>
        <v>1000000</v>
      </c>
      <c r="K3917" s="54">
        <f>Gastos[[#This Row],[Importe AR$]]/$N$1</f>
        <v>641.02564102564099</v>
      </c>
      <c r="M3917" s="69"/>
      <c r="N3917" s="43" t="str">
        <f>IF(Gastos[[#This Row],[Fecha_Cheque]]&gt;0,WEEKNUM(Gastos[[#This Row],[Fecha_Cheque]]),MID(Gastos[[#This Row],[Semana]],6,2))</f>
        <v>32</v>
      </c>
      <c r="O3917" t="s">
        <v>123</v>
      </c>
      <c r="P3917" t="s">
        <v>27</v>
      </c>
    </row>
    <row r="3918" spans="1:16" hidden="1" x14ac:dyDescent="0.25">
      <c r="A3918" s="3" t="s">
        <v>4157</v>
      </c>
      <c r="B3918" t="s">
        <v>4184</v>
      </c>
      <c r="C3918" t="s">
        <v>1948</v>
      </c>
      <c r="D3918" t="s">
        <v>26</v>
      </c>
      <c r="E3918" t="s">
        <v>42</v>
      </c>
      <c r="F3918">
        <v>1</v>
      </c>
      <c r="G3918" s="3" t="s">
        <v>4</v>
      </c>
      <c r="H3918" s="44" t="s">
        <v>15</v>
      </c>
      <c r="I3918" s="17">
        <v>16000</v>
      </c>
      <c r="J3918" s="17">
        <f>IF(Gastos[[#This Row],[Divisa]]="$", I3918*1, IF(Gastos[[#This Row],[Divisa]]="U$D", I3918*$N$1, IF(Gastos[[#This Row],[Divisa]]="EUR", I3918*$N$2, 0)))</f>
        <v>16000</v>
      </c>
      <c r="K3918" s="54">
        <f>Gastos[[#This Row],[Importe AR$]]/$N$1</f>
        <v>10.256410256410257</v>
      </c>
      <c r="M3918" s="69"/>
      <c r="N3918" s="43" t="str">
        <f>IF(Gastos[[#This Row],[Fecha_Cheque]]&gt;0,WEEKNUM(Gastos[[#This Row],[Fecha_Cheque]]),MID(Gastos[[#This Row],[Semana]],6,2))</f>
        <v>36</v>
      </c>
      <c r="O3918" t="s">
        <v>4183</v>
      </c>
      <c r="P3918" t="s">
        <v>27</v>
      </c>
    </row>
    <row r="3919" spans="1:16" hidden="1" x14ac:dyDescent="0.25">
      <c r="A3919" s="3" t="s">
        <v>188</v>
      </c>
      <c r="B3919" t="s">
        <v>2226</v>
      </c>
      <c r="C3919" t="s">
        <v>2227</v>
      </c>
      <c r="D3919" t="s">
        <v>26</v>
      </c>
      <c r="E3919" t="s">
        <v>31</v>
      </c>
      <c r="F3919">
        <v>2</v>
      </c>
      <c r="G3919" s="3" t="s">
        <v>4</v>
      </c>
      <c r="H3919" s="46" t="s">
        <v>15</v>
      </c>
      <c r="I3919" s="17">
        <v>140000</v>
      </c>
      <c r="J3919" s="17">
        <f>IF(Gastos[[#This Row],[Divisa]]="$", I3919*1, IF(Gastos[[#This Row],[Divisa]]="U$D", I3919*$N$1, IF(Gastos[[#This Row],[Divisa]]="EUR", I3919*$N$2, 0)))</f>
        <v>140000</v>
      </c>
      <c r="K3919" s="54">
        <f>Gastos[[#This Row],[Importe AR$]]/$N$1</f>
        <v>89.743589743589737</v>
      </c>
      <c r="M3919" s="69"/>
      <c r="N3919" s="43" t="str">
        <f>IF(Gastos[[#This Row],[Fecha_Cheque]]&gt;0,WEEKNUM(Gastos[[#This Row],[Fecha_Cheque]]),MID(Gastos[[#This Row],[Semana]],6,2))</f>
        <v>19</v>
      </c>
      <c r="O3919" t="s">
        <v>2228</v>
      </c>
      <c r="P3919" t="s">
        <v>27</v>
      </c>
    </row>
    <row r="3920" spans="1:16" hidden="1" x14ac:dyDescent="0.25">
      <c r="A3920" s="3" t="s">
        <v>34</v>
      </c>
      <c r="B3920" t="s">
        <v>2226</v>
      </c>
      <c r="C3920" t="s">
        <v>2229</v>
      </c>
      <c r="D3920" t="s">
        <v>26</v>
      </c>
      <c r="E3920" t="s">
        <v>42</v>
      </c>
      <c r="F3920">
        <v>2</v>
      </c>
      <c r="G3920" s="3" t="s">
        <v>4</v>
      </c>
      <c r="H3920" s="46" t="s">
        <v>15</v>
      </c>
      <c r="I3920" s="17">
        <v>150000</v>
      </c>
      <c r="J3920" s="17">
        <f>IF(Gastos[[#This Row],[Divisa]]="$", I3920*1, IF(Gastos[[#This Row],[Divisa]]="U$D", I3920*$N$1, IF(Gastos[[#This Row],[Divisa]]="EUR", I3920*$N$2, 0)))</f>
        <v>150000</v>
      </c>
      <c r="K3920" s="54">
        <f>Gastos[[#This Row],[Importe AR$]]/$N$1</f>
        <v>96.15384615384616</v>
      </c>
      <c r="M3920" s="69"/>
      <c r="N3920" s="43" t="str">
        <f>IF(Gastos[[#This Row],[Fecha_Cheque]]&gt;0,WEEKNUM(Gastos[[#This Row],[Fecha_Cheque]]),MID(Gastos[[#This Row],[Semana]],6,2))</f>
        <v>32</v>
      </c>
      <c r="P3920" t="s">
        <v>27</v>
      </c>
    </row>
    <row r="3921" spans="1:16" hidden="1" x14ac:dyDescent="0.25">
      <c r="A3921" s="3" t="s">
        <v>68</v>
      </c>
      <c r="B3921" t="s">
        <v>2226</v>
      </c>
      <c r="C3921" t="s">
        <v>2230</v>
      </c>
      <c r="D3921" t="s">
        <v>26</v>
      </c>
      <c r="E3921" t="s">
        <v>42</v>
      </c>
      <c r="F3921">
        <v>2</v>
      </c>
      <c r="G3921" s="3" t="s">
        <v>4</v>
      </c>
      <c r="H3921" s="46" t="s">
        <v>15</v>
      </c>
      <c r="I3921" s="17">
        <v>100000</v>
      </c>
      <c r="J3921" s="17">
        <f>IF(Gastos[[#This Row],[Divisa]]="$", I3921*1, IF(Gastos[[#This Row],[Divisa]]="U$D", I3921*$N$1, IF(Gastos[[#This Row],[Divisa]]="EUR", I3921*$N$2, 0)))</f>
        <v>100000</v>
      </c>
      <c r="K3921" s="54">
        <f>Gastos[[#This Row],[Importe AR$]]/$N$1</f>
        <v>64.102564102564102</v>
      </c>
      <c r="M3921" s="69"/>
      <c r="N3921" s="43" t="str">
        <f>IF(Gastos[[#This Row],[Fecha_Cheque]]&gt;0,WEEKNUM(Gastos[[#This Row],[Fecha_Cheque]]),MID(Gastos[[#This Row],[Semana]],6,2))</f>
        <v>05</v>
      </c>
      <c r="O3921" t="s">
        <v>2231</v>
      </c>
      <c r="P3921" t="s">
        <v>27</v>
      </c>
    </row>
    <row r="3922" spans="1:16" hidden="1" x14ac:dyDescent="0.25">
      <c r="A3922" s="3" t="s">
        <v>1193</v>
      </c>
      <c r="B3922" t="s">
        <v>2226</v>
      </c>
      <c r="C3922" t="s">
        <v>2230</v>
      </c>
      <c r="D3922" t="s">
        <v>26</v>
      </c>
      <c r="E3922" t="s">
        <v>42</v>
      </c>
      <c r="F3922">
        <v>2</v>
      </c>
      <c r="G3922" s="3" t="s">
        <v>4</v>
      </c>
      <c r="H3922" s="46" t="s">
        <v>15</v>
      </c>
      <c r="I3922" s="17">
        <v>100000</v>
      </c>
      <c r="J3922" s="17">
        <f>IF(Gastos[[#This Row],[Divisa]]="$", I3922*1, IF(Gastos[[#This Row],[Divisa]]="U$D", I3922*$N$1, IF(Gastos[[#This Row],[Divisa]]="EUR", I3922*$N$2, 0)))</f>
        <v>100000</v>
      </c>
      <c r="K3922" s="54">
        <f>Gastos[[#This Row],[Importe AR$]]/$N$1</f>
        <v>64.102564102564102</v>
      </c>
      <c r="M3922" s="69"/>
      <c r="N3922" s="43" t="str">
        <f>IF(Gastos[[#This Row],[Fecha_Cheque]]&gt;0,WEEKNUM(Gastos[[#This Row],[Fecha_Cheque]]),MID(Gastos[[#This Row],[Semana]],6,2))</f>
        <v>05</v>
      </c>
      <c r="O3922" t="s">
        <v>2231</v>
      </c>
      <c r="P3922" t="s">
        <v>27</v>
      </c>
    </row>
    <row r="3923" spans="1:16" hidden="1" x14ac:dyDescent="0.25">
      <c r="A3923" s="3" t="s">
        <v>2711</v>
      </c>
      <c r="B3923" t="s">
        <v>2226</v>
      </c>
      <c r="C3923" t="s">
        <v>2230</v>
      </c>
      <c r="D3923" t="s">
        <v>26</v>
      </c>
      <c r="E3923" t="s">
        <v>42</v>
      </c>
      <c r="F3923">
        <v>2</v>
      </c>
      <c r="G3923" s="3" t="s">
        <v>4</v>
      </c>
      <c r="H3923" s="44" t="s">
        <v>15</v>
      </c>
      <c r="I3923" s="17">
        <v>85000</v>
      </c>
      <c r="J3923" s="17">
        <f>IF(Gastos[[#This Row],[Divisa]]="$", I3923*1, IF(Gastos[[#This Row],[Divisa]]="U$D", I3923*$N$1, IF(Gastos[[#This Row],[Divisa]]="EUR", I3923*$N$2, 0)))</f>
        <v>85000</v>
      </c>
      <c r="K3923" s="54">
        <f>Gastos[[#This Row],[Importe AR$]]/$N$1</f>
        <v>54.487179487179489</v>
      </c>
      <c r="M3923" s="69"/>
      <c r="N3923" s="43" t="str">
        <f>IF(Gastos[[#This Row],[Fecha_Cheque]]&gt;0,WEEKNUM(Gastos[[#This Row],[Fecha_Cheque]]),MID(Gastos[[#This Row],[Semana]],6,2))</f>
        <v>15</v>
      </c>
      <c r="O3923" t="s">
        <v>2960</v>
      </c>
      <c r="P3923" t="s">
        <v>27</v>
      </c>
    </row>
    <row r="3924" spans="1:16" hidden="1" x14ac:dyDescent="0.25">
      <c r="A3924" s="3" t="s">
        <v>2711</v>
      </c>
      <c r="B3924" t="s">
        <v>2226</v>
      </c>
      <c r="C3924" t="s">
        <v>2230</v>
      </c>
      <c r="D3924" t="s">
        <v>26</v>
      </c>
      <c r="E3924" t="s">
        <v>42</v>
      </c>
      <c r="F3924">
        <v>2</v>
      </c>
      <c r="G3924" s="3" t="s">
        <v>4</v>
      </c>
      <c r="H3924" s="44" t="s">
        <v>15</v>
      </c>
      <c r="I3924" s="17">
        <v>85000</v>
      </c>
      <c r="J3924" s="17">
        <f>IF(Gastos[[#This Row],[Divisa]]="$", I3924*1, IF(Gastos[[#This Row],[Divisa]]="U$D", I3924*$N$1, IF(Gastos[[#This Row],[Divisa]]="EUR", I3924*$N$2, 0)))</f>
        <v>85000</v>
      </c>
      <c r="K3924" s="54">
        <f>Gastos[[#This Row],[Importe AR$]]/$N$1</f>
        <v>54.487179487179489</v>
      </c>
      <c r="M3924" s="69"/>
      <c r="N3924" s="43" t="str">
        <f>IF(Gastos[[#This Row],[Fecha_Cheque]]&gt;0,WEEKNUM(Gastos[[#This Row],[Fecha_Cheque]]),MID(Gastos[[#This Row],[Semana]],6,2))</f>
        <v>15</v>
      </c>
      <c r="O3924" t="s">
        <v>2961</v>
      </c>
      <c r="P3924" t="s">
        <v>27</v>
      </c>
    </row>
    <row r="3925" spans="1:16" hidden="1" x14ac:dyDescent="0.25">
      <c r="A3925" s="3" t="s">
        <v>2763</v>
      </c>
      <c r="B3925" t="s">
        <v>2226</v>
      </c>
      <c r="C3925" t="s">
        <v>3401</v>
      </c>
      <c r="D3925" t="s">
        <v>26</v>
      </c>
      <c r="E3925" t="s">
        <v>42</v>
      </c>
      <c r="F3925">
        <v>2</v>
      </c>
      <c r="G3925" s="3" t="s">
        <v>4</v>
      </c>
      <c r="H3925" s="44" t="s">
        <v>15</v>
      </c>
      <c r="I3925" s="17">
        <f>95000*3</f>
        <v>285000</v>
      </c>
      <c r="J3925" s="17">
        <f>IF(Gastos[[#This Row],[Divisa]]="$", I3925*1, IF(Gastos[[#This Row],[Divisa]]="U$D", I3925*$N$1, IF(Gastos[[#This Row],[Divisa]]="EUR", I3925*$N$2, 0)))</f>
        <v>285000</v>
      </c>
      <c r="K3925" s="54">
        <f>Gastos[[#This Row],[Importe AR$]]/$N$1</f>
        <v>182.69230769230768</v>
      </c>
      <c r="M3925" s="69"/>
      <c r="N3925" s="43" t="str">
        <f>IF(Gastos[[#This Row],[Fecha_Cheque]]&gt;0,WEEKNUM(Gastos[[#This Row],[Fecha_Cheque]]),MID(Gastos[[#This Row],[Semana]],6,2))</f>
        <v>23</v>
      </c>
      <c r="O3925" t="s">
        <v>3402</v>
      </c>
      <c r="P3925" t="s">
        <v>27</v>
      </c>
    </row>
    <row r="3926" spans="1:16" hidden="1" x14ac:dyDescent="0.25">
      <c r="A3926" s="3" t="s">
        <v>3567</v>
      </c>
      <c r="B3926" t="s">
        <v>2226</v>
      </c>
      <c r="C3926" t="s">
        <v>3610</v>
      </c>
      <c r="D3926" t="s">
        <v>26</v>
      </c>
      <c r="E3926" t="s">
        <v>42</v>
      </c>
      <c r="F3926">
        <v>2</v>
      </c>
      <c r="G3926" s="3" t="s">
        <v>4</v>
      </c>
      <c r="H3926" s="44" t="s">
        <v>15</v>
      </c>
      <c r="I3926" s="17">
        <v>190000</v>
      </c>
      <c r="J3926" s="17">
        <f>IF(Gastos[[#This Row],[Divisa]]="$", I3926*1, IF(Gastos[[#This Row],[Divisa]]="U$D", I3926*$N$1, IF(Gastos[[#This Row],[Divisa]]="EUR", I3926*$N$2, 0)))</f>
        <v>190000</v>
      </c>
      <c r="K3926" s="54">
        <f>Gastos[[#This Row],[Importe AR$]]/$N$1</f>
        <v>121.7948717948718</v>
      </c>
      <c r="M3926" s="69"/>
      <c r="N3926" s="43" t="str">
        <f>IF(Gastos[[#This Row],[Fecha_Cheque]]&gt;0,WEEKNUM(Gastos[[#This Row],[Fecha_Cheque]]),MID(Gastos[[#This Row],[Semana]],6,2))</f>
        <v>26</v>
      </c>
      <c r="O3926" t="s">
        <v>3611</v>
      </c>
      <c r="P3926" t="s">
        <v>27</v>
      </c>
    </row>
    <row r="3927" spans="1:16" hidden="1" x14ac:dyDescent="0.25">
      <c r="A3927" s="3" t="s">
        <v>4447</v>
      </c>
      <c r="B3927" t="s">
        <v>2226</v>
      </c>
      <c r="C3927" t="s">
        <v>4494</v>
      </c>
      <c r="D3927" t="s">
        <v>26</v>
      </c>
      <c r="E3927" t="s">
        <v>31</v>
      </c>
      <c r="F3927">
        <v>1</v>
      </c>
      <c r="G3927" s="3" t="s">
        <v>31</v>
      </c>
      <c r="H3927" s="44" t="s">
        <v>15</v>
      </c>
      <c r="I3927" s="17">
        <v>190000</v>
      </c>
      <c r="J3927" s="17">
        <f>IF(Gastos[[#This Row],[Divisa]]="$", I3927*1, IF(Gastos[[#This Row],[Divisa]]="U$D", I3927*$N$1, IF(Gastos[[#This Row],[Divisa]]="EUR", I3927*$N$2, 0)))</f>
        <v>190000</v>
      </c>
      <c r="K3927" s="54">
        <f>Gastos[[#This Row],[Importe AR$]]/$N$1</f>
        <v>121.7948717948718</v>
      </c>
      <c r="M3927" s="69"/>
      <c r="N3927" s="43" t="str">
        <f>IF(Gastos[[#This Row],[Fecha_Cheque]]&gt;0,WEEKNUM(Gastos[[#This Row],[Fecha_Cheque]]),MID(Gastos[[#This Row],[Semana]],6,2))</f>
        <v>41</v>
      </c>
      <c r="O3927" t="s">
        <v>4495</v>
      </c>
      <c r="P3927" t="s">
        <v>27</v>
      </c>
    </row>
    <row r="3928" spans="1:16" hidden="1" x14ac:dyDescent="0.25">
      <c r="A3928" s="3" t="s">
        <v>93</v>
      </c>
      <c r="B3928" t="s">
        <v>954</v>
      </c>
      <c r="C3928" t="s">
        <v>421</v>
      </c>
      <c r="D3928" t="s">
        <v>26</v>
      </c>
      <c r="E3928" t="s">
        <v>91</v>
      </c>
      <c r="F3928">
        <v>1</v>
      </c>
      <c r="G3928" s="3" t="s">
        <v>5</v>
      </c>
      <c r="H3928" s="46" t="s">
        <v>15</v>
      </c>
      <c r="I3928" s="17">
        <v>130000</v>
      </c>
      <c r="J3928" s="17">
        <f>IF(Gastos[[#This Row],[Divisa]]="$", I3928*1, IF(Gastos[[#This Row],[Divisa]]="U$D", I3928*$N$1, IF(Gastos[[#This Row],[Divisa]]="EUR", I3928*$N$2, 0)))</f>
        <v>130000</v>
      </c>
      <c r="K3928" s="54">
        <f>Gastos[[#This Row],[Importe AR$]]/$N$1</f>
        <v>83.333333333333329</v>
      </c>
      <c r="M3928" s="69"/>
      <c r="N3928" s="43" t="str">
        <f>IF(Gastos[[#This Row],[Fecha_Cheque]]&gt;0,WEEKNUM(Gastos[[#This Row],[Fecha_Cheque]]),MID(Gastos[[#This Row],[Semana]],6,2))</f>
        <v>50</v>
      </c>
      <c r="O3928" t="s">
        <v>955</v>
      </c>
      <c r="P3928" t="s">
        <v>27</v>
      </c>
    </row>
    <row r="3929" spans="1:16" hidden="1" x14ac:dyDescent="0.25">
      <c r="A3929" s="3" t="s">
        <v>290</v>
      </c>
      <c r="B3929" t="s">
        <v>954</v>
      </c>
      <c r="C3929" t="s">
        <v>421</v>
      </c>
      <c r="D3929" t="s">
        <v>26</v>
      </c>
      <c r="E3929" t="s">
        <v>91</v>
      </c>
      <c r="F3929">
        <v>1</v>
      </c>
      <c r="G3929" s="3" t="s">
        <v>5</v>
      </c>
      <c r="H3929" s="46" t="s">
        <v>15</v>
      </c>
      <c r="I3929" s="17">
        <v>130000</v>
      </c>
      <c r="J3929" s="17">
        <f>IF(Gastos[[#This Row],[Divisa]]="$", I3929*1, IF(Gastos[[#This Row],[Divisa]]="U$D", I3929*$N$1, IF(Gastos[[#This Row],[Divisa]]="EUR", I3929*$N$2, 0)))</f>
        <v>130000</v>
      </c>
      <c r="K3929" s="54">
        <f>Gastos[[#This Row],[Importe AR$]]/$N$1</f>
        <v>83.333333333333329</v>
      </c>
      <c r="M3929" s="69"/>
      <c r="N3929" s="43" t="str">
        <f>IF(Gastos[[#This Row],[Fecha_Cheque]]&gt;0,WEEKNUM(Gastos[[#This Row],[Fecha_Cheque]]),MID(Gastos[[#This Row],[Semana]],6,2))</f>
        <v>23</v>
      </c>
      <c r="O3929" t="s">
        <v>2232</v>
      </c>
      <c r="P3929" t="s">
        <v>27</v>
      </c>
    </row>
    <row r="3930" spans="1:16" hidden="1" x14ac:dyDescent="0.25">
      <c r="A3930" s="3" t="s">
        <v>114</v>
      </c>
      <c r="B3930" t="s">
        <v>954</v>
      </c>
      <c r="C3930" t="s">
        <v>421</v>
      </c>
      <c r="D3930" t="s">
        <v>26</v>
      </c>
      <c r="E3930" t="s">
        <v>91</v>
      </c>
      <c r="F3930">
        <v>1</v>
      </c>
      <c r="G3930" s="3" t="s">
        <v>5</v>
      </c>
      <c r="H3930" s="46" t="s">
        <v>15</v>
      </c>
      <c r="I3930" s="17">
        <f>130000*2</f>
        <v>260000</v>
      </c>
      <c r="J3930" s="17">
        <f>IF(Gastos[[#This Row],[Divisa]]="$", I3930*1, IF(Gastos[[#This Row],[Divisa]]="U$D", I3930*$N$1, IF(Gastos[[#This Row],[Divisa]]="EUR", I3930*$N$2, 0)))</f>
        <v>260000</v>
      </c>
      <c r="K3930" s="54">
        <f>Gastos[[#This Row],[Importe AR$]]/$N$1</f>
        <v>166.66666666666666</v>
      </c>
      <c r="M3930" s="69"/>
      <c r="N3930" s="43" t="str">
        <f>IF(Gastos[[#This Row],[Fecha_Cheque]]&gt;0,WEEKNUM(Gastos[[#This Row],[Fecha_Cheque]]),MID(Gastos[[#This Row],[Semana]],6,2))</f>
        <v>29</v>
      </c>
      <c r="O3930" t="s">
        <v>2233</v>
      </c>
      <c r="P3930" t="s">
        <v>27</v>
      </c>
    </row>
    <row r="3931" spans="1:16" hidden="1" x14ac:dyDescent="0.25">
      <c r="A3931" s="3" t="s">
        <v>56</v>
      </c>
      <c r="B3931" t="s">
        <v>954</v>
      </c>
      <c r="C3931" t="s">
        <v>421</v>
      </c>
      <c r="D3931" t="s">
        <v>26</v>
      </c>
      <c r="E3931" t="s">
        <v>91</v>
      </c>
      <c r="F3931">
        <v>1</v>
      </c>
      <c r="G3931" s="3" t="s">
        <v>5</v>
      </c>
      <c r="H3931" s="46" t="s">
        <v>15</v>
      </c>
      <c r="I3931" s="17">
        <v>130000</v>
      </c>
      <c r="J3931" s="17">
        <f>IF(Gastos[[#This Row],[Divisa]]="$", I3931*1, IF(Gastos[[#This Row],[Divisa]]="U$D", I3931*$N$1, IF(Gastos[[#This Row],[Divisa]]="EUR", I3931*$N$2, 0)))</f>
        <v>130000</v>
      </c>
      <c r="K3931" s="54">
        <f>Gastos[[#This Row],[Importe AR$]]/$N$1</f>
        <v>83.333333333333329</v>
      </c>
      <c r="M3931" s="69"/>
      <c r="N3931" s="43" t="str">
        <f>IF(Gastos[[#This Row],[Fecha_Cheque]]&gt;0,WEEKNUM(Gastos[[#This Row],[Fecha_Cheque]]),MID(Gastos[[#This Row],[Semana]],6,2))</f>
        <v>41</v>
      </c>
      <c r="O3931" t="s">
        <v>2234</v>
      </c>
      <c r="P3931" t="s">
        <v>27</v>
      </c>
    </row>
    <row r="3932" spans="1:16" hidden="1" x14ac:dyDescent="0.25">
      <c r="A3932" s="3" t="s">
        <v>60</v>
      </c>
      <c r="B3932" t="s">
        <v>954</v>
      </c>
      <c r="C3932" t="s">
        <v>421</v>
      </c>
      <c r="D3932" t="s">
        <v>26</v>
      </c>
      <c r="E3932" t="s">
        <v>91</v>
      </c>
      <c r="F3932">
        <v>1</v>
      </c>
      <c r="G3932" s="3" t="s">
        <v>5</v>
      </c>
      <c r="H3932" s="46" t="s">
        <v>15</v>
      </c>
      <c r="I3932" s="17">
        <v>130000</v>
      </c>
      <c r="J3932" s="17">
        <f>IF(Gastos[[#This Row],[Divisa]]="$", I3932*1, IF(Gastos[[#This Row],[Divisa]]="U$D", I3932*$N$1, IF(Gastos[[#This Row],[Divisa]]="EUR", I3932*$N$2, 0)))</f>
        <v>130000</v>
      </c>
      <c r="K3932" s="54">
        <f>Gastos[[#This Row],[Importe AR$]]/$N$1</f>
        <v>83.333333333333329</v>
      </c>
      <c r="M3932" s="69"/>
      <c r="N3932" s="43" t="str">
        <f>IF(Gastos[[#This Row],[Fecha_Cheque]]&gt;0,WEEKNUM(Gastos[[#This Row],[Fecha_Cheque]]),MID(Gastos[[#This Row],[Semana]],6,2))</f>
        <v>46</v>
      </c>
      <c r="O3932" t="s">
        <v>2235</v>
      </c>
      <c r="P3932" t="s">
        <v>27</v>
      </c>
    </row>
    <row r="3933" spans="1:16" hidden="1" x14ac:dyDescent="0.25">
      <c r="A3933" s="3" t="s">
        <v>75</v>
      </c>
      <c r="B3933" t="s">
        <v>954</v>
      </c>
      <c r="C3933" t="s">
        <v>421</v>
      </c>
      <c r="D3933" t="s">
        <v>26</v>
      </c>
      <c r="E3933" t="s">
        <v>91</v>
      </c>
      <c r="F3933">
        <v>1</v>
      </c>
      <c r="G3933" s="3" t="s">
        <v>5</v>
      </c>
      <c r="H3933" s="46" t="s">
        <v>15</v>
      </c>
      <c r="I3933" s="17">
        <v>170000</v>
      </c>
      <c r="J3933" s="17">
        <f>IF(Gastos[[#This Row],[Divisa]]="$", I3933*1, IF(Gastos[[#This Row],[Divisa]]="U$D", I3933*$N$1, IF(Gastos[[#This Row],[Divisa]]="EUR", I3933*$N$2, 0)))</f>
        <v>170000</v>
      </c>
      <c r="K3933" s="54">
        <f>Gastos[[#This Row],[Importe AR$]]/$N$1</f>
        <v>108.97435897435898</v>
      </c>
      <c r="M3933" s="69"/>
      <c r="N3933" s="43" t="str">
        <f>IF(Gastos[[#This Row],[Fecha_Cheque]]&gt;0,WEEKNUM(Gastos[[#This Row],[Fecha_Cheque]]),MID(Gastos[[#This Row],[Semana]],6,2))</f>
        <v>07</v>
      </c>
      <c r="O3933" t="s">
        <v>2236</v>
      </c>
      <c r="P3933" t="s">
        <v>27</v>
      </c>
    </row>
    <row r="3934" spans="1:16" hidden="1" x14ac:dyDescent="0.25">
      <c r="A3934" s="3" t="s">
        <v>828</v>
      </c>
      <c r="B3934" t="s">
        <v>954</v>
      </c>
      <c r="D3934" t="s">
        <v>26</v>
      </c>
      <c r="E3934" t="s">
        <v>91</v>
      </c>
      <c r="F3934">
        <v>1</v>
      </c>
      <c r="G3934" s="3" t="s">
        <v>5</v>
      </c>
      <c r="H3934" s="44" t="s">
        <v>15</v>
      </c>
      <c r="I3934" s="17">
        <v>170000</v>
      </c>
      <c r="J3934" s="17">
        <f>IF(Gastos[[#This Row],[Divisa]]="$", I3934*1, IF(Gastos[[#This Row],[Divisa]]="U$D", I3934*$N$1, IF(Gastos[[#This Row],[Divisa]]="EUR", I3934*$N$2, 0)))</f>
        <v>170000</v>
      </c>
      <c r="K3934" s="54">
        <f>Gastos[[#This Row],[Importe AR$]]/$N$1</f>
        <v>108.97435897435898</v>
      </c>
      <c r="M3934" s="69"/>
      <c r="N3934" s="43" t="str">
        <f>IF(Gastos[[#This Row],[Fecha_Cheque]]&gt;0,WEEKNUM(Gastos[[#This Row],[Fecha_Cheque]]),MID(Gastos[[#This Row],[Semana]],6,2))</f>
        <v>13</v>
      </c>
      <c r="O3934" t="s">
        <v>2777</v>
      </c>
      <c r="P3934" t="s">
        <v>27</v>
      </c>
    </row>
    <row r="3935" spans="1:16" hidden="1" x14ac:dyDescent="0.25">
      <c r="A3935" s="3" t="s">
        <v>2711</v>
      </c>
      <c r="B3935" t="s">
        <v>954</v>
      </c>
      <c r="C3935" t="s">
        <v>2867</v>
      </c>
      <c r="D3935" t="s">
        <v>26</v>
      </c>
      <c r="E3935" t="s">
        <v>91</v>
      </c>
      <c r="F3935">
        <v>1</v>
      </c>
      <c r="G3935" s="3" t="s">
        <v>5</v>
      </c>
      <c r="H3935" s="44" t="s">
        <v>15</v>
      </c>
      <c r="I3935" s="17">
        <v>170000</v>
      </c>
      <c r="J3935" s="17">
        <f>IF(Gastos[[#This Row],[Divisa]]="$", I3935*1, IF(Gastos[[#This Row],[Divisa]]="U$D", I3935*$N$1, IF(Gastos[[#This Row],[Divisa]]="EUR", I3935*$N$2, 0)))</f>
        <v>170000</v>
      </c>
      <c r="K3935" s="54">
        <f>Gastos[[#This Row],[Importe AR$]]/$N$1</f>
        <v>108.97435897435898</v>
      </c>
      <c r="M3935" s="69"/>
      <c r="N3935" s="43" t="str">
        <f>IF(Gastos[[#This Row],[Fecha_Cheque]]&gt;0,WEEKNUM(Gastos[[#This Row],[Fecha_Cheque]]),MID(Gastos[[#This Row],[Semana]],6,2))</f>
        <v>15</v>
      </c>
      <c r="O3935" t="s">
        <v>2962</v>
      </c>
      <c r="P3935" t="s">
        <v>27</v>
      </c>
    </row>
    <row r="3936" spans="1:16" hidden="1" x14ac:dyDescent="0.25">
      <c r="A3936" s="3" t="s">
        <v>2841</v>
      </c>
      <c r="B3936" t="s">
        <v>954</v>
      </c>
      <c r="C3936" t="s">
        <v>422</v>
      </c>
      <c r="D3936" t="s">
        <v>26</v>
      </c>
      <c r="E3936" t="s">
        <v>91</v>
      </c>
      <c r="F3936">
        <v>1</v>
      </c>
      <c r="G3936" s="3" t="s">
        <v>5</v>
      </c>
      <c r="H3936" s="44" t="s">
        <v>15</v>
      </c>
      <c r="I3936" s="17">
        <v>170000</v>
      </c>
      <c r="J3936" s="17">
        <f>IF(Gastos[[#This Row],[Divisa]]="$", I3936*1, IF(Gastos[[#This Row],[Divisa]]="U$D", I3936*$N$1, IF(Gastos[[#This Row],[Divisa]]="EUR", I3936*$N$2, 0)))</f>
        <v>170000</v>
      </c>
      <c r="K3936" s="54">
        <f>Gastos[[#This Row],[Importe AR$]]/$N$1</f>
        <v>108.97435897435898</v>
      </c>
      <c r="M3936" s="69"/>
      <c r="N3936" s="43" t="str">
        <f>IF(Gastos[[#This Row],[Fecha_Cheque]]&gt;0,WEEKNUM(Gastos[[#This Row],[Fecha_Cheque]]),MID(Gastos[[#This Row],[Semana]],6,2))</f>
        <v>22</v>
      </c>
      <c r="O3936" t="s">
        <v>3361</v>
      </c>
      <c r="P3936" t="s">
        <v>27</v>
      </c>
    </row>
    <row r="3937" spans="1:16" hidden="1" x14ac:dyDescent="0.25">
      <c r="A3937" s="3" t="s">
        <v>3567</v>
      </c>
      <c r="B3937" t="s">
        <v>954</v>
      </c>
      <c r="C3937" t="s">
        <v>3614</v>
      </c>
      <c r="D3937" t="s">
        <v>26</v>
      </c>
      <c r="E3937" t="s">
        <v>91</v>
      </c>
      <c r="F3937">
        <v>1</v>
      </c>
      <c r="G3937" s="3" t="s">
        <v>5</v>
      </c>
      <c r="H3937" s="44" t="s">
        <v>15</v>
      </c>
      <c r="I3937" s="17">
        <v>170000</v>
      </c>
      <c r="J3937" s="17">
        <f>IF(Gastos[[#This Row],[Divisa]]="$", I3937*1, IF(Gastos[[#This Row],[Divisa]]="U$D", I3937*$N$1, IF(Gastos[[#This Row],[Divisa]]="EUR", I3937*$N$2, 0)))</f>
        <v>170000</v>
      </c>
      <c r="K3937" s="54">
        <f>Gastos[[#This Row],[Importe AR$]]/$N$1</f>
        <v>108.97435897435898</v>
      </c>
      <c r="M3937" s="69"/>
      <c r="N3937" s="43" t="str">
        <f>IF(Gastos[[#This Row],[Fecha_Cheque]]&gt;0,WEEKNUM(Gastos[[#This Row],[Fecha_Cheque]]),MID(Gastos[[#This Row],[Semana]],6,2))</f>
        <v>26</v>
      </c>
      <c r="O3937" t="s">
        <v>3615</v>
      </c>
      <c r="P3937" t="s">
        <v>27</v>
      </c>
    </row>
    <row r="3938" spans="1:16" hidden="1" x14ac:dyDescent="0.25">
      <c r="A3938" s="3" t="s">
        <v>3882</v>
      </c>
      <c r="B3938" t="s">
        <v>954</v>
      </c>
      <c r="C3938" s="90" t="s">
        <v>3902</v>
      </c>
      <c r="D3938" t="s">
        <v>26</v>
      </c>
      <c r="E3938" t="s">
        <v>91</v>
      </c>
      <c r="F3938">
        <v>1</v>
      </c>
      <c r="G3938" s="3" t="s">
        <v>5</v>
      </c>
      <c r="H3938" s="44" t="s">
        <v>15</v>
      </c>
      <c r="I3938" s="17">
        <v>170000</v>
      </c>
      <c r="J3938" s="17">
        <f>IF(Gastos[[#This Row],[Divisa]]="$", I3938*1, IF(Gastos[[#This Row],[Divisa]]="U$D", I3938*$N$1, IF(Gastos[[#This Row],[Divisa]]="EUR", I3938*$N$2, 0)))</f>
        <v>170000</v>
      </c>
      <c r="K3938" s="54">
        <f>Gastos[[#This Row],[Importe AR$]]/$N$1</f>
        <v>108.97435897435898</v>
      </c>
      <c r="M3938" s="69"/>
      <c r="N3938" s="43" t="str">
        <f>IF(Gastos[[#This Row],[Fecha_Cheque]]&gt;0,WEEKNUM(Gastos[[#This Row],[Fecha_Cheque]]),MID(Gastos[[#This Row],[Semana]],6,2))</f>
        <v>31</v>
      </c>
      <c r="O3938" t="s">
        <v>3901</v>
      </c>
      <c r="P3938" t="s">
        <v>27</v>
      </c>
    </row>
    <row r="3939" spans="1:16" hidden="1" x14ac:dyDescent="0.25">
      <c r="A3939" s="3" t="s">
        <v>4569</v>
      </c>
      <c r="B3939" t="s">
        <v>954</v>
      </c>
      <c r="C3939" t="s">
        <v>693</v>
      </c>
      <c r="D3939" t="s">
        <v>26</v>
      </c>
      <c r="E3939" t="s">
        <v>91</v>
      </c>
      <c r="F3939">
        <v>1</v>
      </c>
      <c r="G3939" s="3" t="s">
        <v>5</v>
      </c>
      <c r="H3939" s="44" t="s">
        <v>15</v>
      </c>
      <c r="I3939" s="17">
        <v>170000</v>
      </c>
      <c r="J3939" s="17">
        <f>IF(Gastos[[#This Row],[Divisa]]="$", I3939*1, IF(Gastos[[#This Row],[Divisa]]="U$D", I3939*$N$1, IF(Gastos[[#This Row],[Divisa]]="EUR", I3939*$N$2, 0)))</f>
        <v>170000</v>
      </c>
      <c r="K3939" s="54">
        <f>Gastos[[#This Row],[Importe AR$]]/$N$1</f>
        <v>108.97435897435898</v>
      </c>
      <c r="M3939" s="69"/>
      <c r="N3939" s="43" t="str">
        <f>IF(Gastos[[#This Row],[Fecha_Cheque]]&gt;0,WEEKNUM(Gastos[[#This Row],[Fecha_Cheque]]),MID(Gastos[[#This Row],[Semana]],6,2))</f>
        <v>43</v>
      </c>
      <c r="O3939" t="s">
        <v>4605</v>
      </c>
      <c r="P3939" t="s">
        <v>27</v>
      </c>
    </row>
    <row r="3940" spans="1:16" hidden="1" x14ac:dyDescent="0.25">
      <c r="A3940" s="3" t="s">
        <v>290</v>
      </c>
      <c r="B3940" t="s">
        <v>2237</v>
      </c>
      <c r="C3940" t="s">
        <v>2238</v>
      </c>
      <c r="D3940" t="s">
        <v>26</v>
      </c>
      <c r="E3940" t="s">
        <v>31</v>
      </c>
      <c r="F3940">
        <v>1</v>
      </c>
      <c r="G3940" s="3" t="s">
        <v>5</v>
      </c>
      <c r="H3940" s="46" t="s">
        <v>15</v>
      </c>
      <c r="I3940" s="17">
        <v>70000</v>
      </c>
      <c r="J3940" s="17">
        <f>IF(Gastos[[#This Row],[Divisa]]="$", I3940*1, IF(Gastos[[#This Row],[Divisa]]="U$D", I3940*$N$1, IF(Gastos[[#This Row],[Divisa]]="EUR", I3940*$N$2, 0)))</f>
        <v>70000</v>
      </c>
      <c r="K3940" s="54">
        <f>Gastos[[#This Row],[Importe AR$]]/$N$1</f>
        <v>44.871794871794869</v>
      </c>
      <c r="L3940" t="s">
        <v>1713</v>
      </c>
      <c r="M3940" s="69"/>
      <c r="N3940" s="43" t="str">
        <f>IF(Gastos[[#This Row],[Fecha_Cheque]]&gt;0,WEEKNUM(Gastos[[#This Row],[Fecha_Cheque]]),MID(Gastos[[#This Row],[Semana]],6,2))</f>
        <v>23</v>
      </c>
      <c r="O3940" t="s">
        <v>2239</v>
      </c>
      <c r="P3940" t="s">
        <v>27</v>
      </c>
    </row>
    <row r="3941" spans="1:16" hidden="1" x14ac:dyDescent="0.25">
      <c r="A3941" s="3" t="s">
        <v>117</v>
      </c>
      <c r="B3941" t="s">
        <v>2237</v>
      </c>
      <c r="C3941" t="s">
        <v>2240</v>
      </c>
      <c r="D3941" t="s">
        <v>26</v>
      </c>
      <c r="E3941" t="s">
        <v>31</v>
      </c>
      <c r="F3941">
        <v>1</v>
      </c>
      <c r="G3941" s="3" t="s">
        <v>5</v>
      </c>
      <c r="H3941" s="46" t="s">
        <v>15</v>
      </c>
      <c r="I3941" s="17">
        <v>120000</v>
      </c>
      <c r="J3941" s="17">
        <f>IF(Gastos[[#This Row],[Divisa]]="$", I3941*1, IF(Gastos[[#This Row],[Divisa]]="U$D", I3941*$N$1, IF(Gastos[[#This Row],[Divisa]]="EUR", I3941*$N$2, 0)))</f>
        <v>120000</v>
      </c>
      <c r="K3941" s="54">
        <f>Gastos[[#This Row],[Importe AR$]]/$N$1</f>
        <v>76.92307692307692</v>
      </c>
      <c r="M3941" s="69"/>
      <c r="N3941" s="43" t="str">
        <f>IF(Gastos[[#This Row],[Fecha_Cheque]]&gt;0,WEEKNUM(Gastos[[#This Row],[Fecha_Cheque]]),MID(Gastos[[#This Row],[Semana]],6,2))</f>
        <v>35</v>
      </c>
      <c r="O3941" t="s">
        <v>2241</v>
      </c>
      <c r="P3941" t="s">
        <v>27</v>
      </c>
    </row>
    <row r="3942" spans="1:16" hidden="1" x14ac:dyDescent="0.25">
      <c r="A3942" s="3" t="s">
        <v>72</v>
      </c>
      <c r="B3942" t="s">
        <v>2237</v>
      </c>
      <c r="C3942" t="s">
        <v>2242</v>
      </c>
      <c r="D3942" t="s">
        <v>26</v>
      </c>
      <c r="E3942" t="s">
        <v>31</v>
      </c>
      <c r="F3942">
        <v>1</v>
      </c>
      <c r="G3942" s="3" t="s">
        <v>5</v>
      </c>
      <c r="H3942" s="46" t="s">
        <v>15</v>
      </c>
      <c r="I3942" s="17">
        <v>55000</v>
      </c>
      <c r="J3942" s="17">
        <f>IF(Gastos[[#This Row],[Divisa]]="$", I3942*1, IF(Gastos[[#This Row],[Divisa]]="U$D", I3942*$N$1, IF(Gastos[[#This Row],[Divisa]]="EUR", I3942*$N$2, 0)))</f>
        <v>55000</v>
      </c>
      <c r="K3942" s="54">
        <f>Gastos[[#This Row],[Importe AR$]]/$N$1</f>
        <v>35.256410256410255</v>
      </c>
      <c r="M3942" s="69"/>
      <c r="N3942" s="43" t="str">
        <f>IF(Gastos[[#This Row],[Fecha_Cheque]]&gt;0,WEEKNUM(Gastos[[#This Row],[Fecha_Cheque]]),MID(Gastos[[#This Row],[Semana]],6,2))</f>
        <v>48</v>
      </c>
      <c r="O3942" t="s">
        <v>2243</v>
      </c>
      <c r="P3942" t="s">
        <v>27</v>
      </c>
    </row>
    <row r="3943" spans="1:16" hidden="1" x14ac:dyDescent="0.25">
      <c r="A3943" s="3" t="s">
        <v>75</v>
      </c>
      <c r="B3943" t="s">
        <v>2237</v>
      </c>
      <c r="D3943" t="s">
        <v>26</v>
      </c>
      <c r="E3943" t="s">
        <v>91</v>
      </c>
      <c r="F3943">
        <v>1</v>
      </c>
      <c r="G3943" s="3" t="s">
        <v>5</v>
      </c>
      <c r="H3943" s="46" t="s">
        <v>15</v>
      </c>
      <c r="I3943" s="17">
        <v>120000</v>
      </c>
      <c r="J3943" s="17">
        <f>IF(Gastos[[#This Row],[Divisa]]="$", I3943*1, IF(Gastos[[#This Row],[Divisa]]="U$D", I3943*$N$1, IF(Gastos[[#This Row],[Divisa]]="EUR", I3943*$N$2, 0)))</f>
        <v>120000</v>
      </c>
      <c r="K3943" s="54">
        <f>Gastos[[#This Row],[Importe AR$]]/$N$1</f>
        <v>76.92307692307692</v>
      </c>
      <c r="M3943" s="69"/>
      <c r="N3943" s="43" t="str">
        <f>IF(Gastos[[#This Row],[Fecha_Cheque]]&gt;0,WEEKNUM(Gastos[[#This Row],[Fecha_Cheque]]),MID(Gastos[[#This Row],[Semana]],6,2))</f>
        <v>07</v>
      </c>
      <c r="O3943" t="s">
        <v>2244</v>
      </c>
      <c r="P3943" t="s">
        <v>27</v>
      </c>
    </row>
    <row r="3944" spans="1:16" hidden="1" x14ac:dyDescent="0.25">
      <c r="A3944" s="3" t="s">
        <v>2711</v>
      </c>
      <c r="B3944" t="s">
        <v>2237</v>
      </c>
      <c r="C3944" t="s">
        <v>2963</v>
      </c>
      <c r="D3944" t="s">
        <v>26</v>
      </c>
      <c r="E3944" t="s">
        <v>31</v>
      </c>
      <c r="F3944">
        <v>1</v>
      </c>
      <c r="G3944" s="3" t="s">
        <v>5</v>
      </c>
      <c r="H3944" s="44" t="s">
        <v>15</v>
      </c>
      <c r="I3944" s="17">
        <v>120000</v>
      </c>
      <c r="J3944" s="17">
        <f>IF(Gastos[[#This Row],[Divisa]]="$", I3944*1, IF(Gastos[[#This Row],[Divisa]]="U$D", I3944*$N$1, IF(Gastos[[#This Row],[Divisa]]="EUR", I3944*$N$2, 0)))</f>
        <v>120000</v>
      </c>
      <c r="K3944" s="54">
        <f>Gastos[[#This Row],[Importe AR$]]/$N$1</f>
        <v>76.92307692307692</v>
      </c>
      <c r="M3944" s="69"/>
      <c r="N3944" s="43" t="str">
        <f>IF(Gastos[[#This Row],[Fecha_Cheque]]&gt;0,WEEKNUM(Gastos[[#This Row],[Fecha_Cheque]]),MID(Gastos[[#This Row],[Semana]],6,2))</f>
        <v>15</v>
      </c>
      <c r="O3944" t="s">
        <v>2964</v>
      </c>
      <c r="P3944" t="s">
        <v>27</v>
      </c>
    </row>
    <row r="3945" spans="1:16" hidden="1" x14ac:dyDescent="0.25">
      <c r="A3945" s="3" t="s">
        <v>3882</v>
      </c>
      <c r="B3945" t="s">
        <v>2237</v>
      </c>
      <c r="C3945" t="s">
        <v>3943</v>
      </c>
      <c r="D3945" t="s">
        <v>26</v>
      </c>
      <c r="E3945" t="s">
        <v>42</v>
      </c>
      <c r="F3945">
        <v>1</v>
      </c>
      <c r="G3945" s="3" t="s">
        <v>4</v>
      </c>
      <c r="H3945" s="44" t="s">
        <v>15</v>
      </c>
      <c r="I3945" s="17">
        <v>237376.46</v>
      </c>
      <c r="J3945" s="17">
        <f>IF(Gastos[[#This Row],[Divisa]]="$", I3945*1, IF(Gastos[[#This Row],[Divisa]]="U$D", I3945*$N$1, IF(Gastos[[#This Row],[Divisa]]="EUR", I3945*$N$2, 0)))</f>
        <v>237376.46</v>
      </c>
      <c r="K3945" s="54">
        <f>Gastos[[#This Row],[Importe AR$]]/$N$1</f>
        <v>152.16439743589743</v>
      </c>
      <c r="M3945" s="69"/>
      <c r="N3945" s="43" t="str">
        <f>IF(Gastos[[#This Row],[Fecha_Cheque]]&gt;0,WEEKNUM(Gastos[[#This Row],[Fecha_Cheque]]),MID(Gastos[[#This Row],[Semana]],6,2))</f>
        <v>31</v>
      </c>
      <c r="O3945" t="s">
        <v>3945</v>
      </c>
      <c r="P3945" t="s">
        <v>27</v>
      </c>
    </row>
    <row r="3946" spans="1:16" hidden="1" x14ac:dyDescent="0.25">
      <c r="A3946" s="3" t="s">
        <v>3882</v>
      </c>
      <c r="B3946" t="s">
        <v>2237</v>
      </c>
      <c r="C3946" t="s">
        <v>3943</v>
      </c>
      <c r="D3946" t="s">
        <v>26</v>
      </c>
      <c r="E3946" t="s">
        <v>42</v>
      </c>
      <c r="F3946">
        <v>1</v>
      </c>
      <c r="G3946" s="3" t="s">
        <v>4</v>
      </c>
      <c r="H3946" s="44" t="s">
        <v>15</v>
      </c>
      <c r="I3946" s="17">
        <v>2623.54</v>
      </c>
      <c r="J3946" s="17">
        <f>IF(Gastos[[#This Row],[Divisa]]="$", I3946*1, IF(Gastos[[#This Row],[Divisa]]="U$D", I3946*$N$1, IF(Gastos[[#This Row],[Divisa]]="EUR", I3946*$N$2, 0)))</f>
        <v>2623.54</v>
      </c>
      <c r="K3946" s="54">
        <f>Gastos[[#This Row],[Importe AR$]]/$N$1</f>
        <v>1.6817564102564102</v>
      </c>
      <c r="L3946" t="s">
        <v>340</v>
      </c>
      <c r="M3946" s="69"/>
      <c r="N3946" s="43" t="str">
        <f>IF(Gastos[[#This Row],[Fecha_Cheque]]&gt;0,WEEKNUM(Gastos[[#This Row],[Fecha_Cheque]]),MID(Gastos[[#This Row],[Semana]],6,2))</f>
        <v>31</v>
      </c>
      <c r="O3946" t="s">
        <v>3945</v>
      </c>
      <c r="P3946" t="s">
        <v>27</v>
      </c>
    </row>
    <row r="3947" spans="1:16" hidden="1" x14ac:dyDescent="0.25">
      <c r="A3947" s="3" t="s">
        <v>4322</v>
      </c>
      <c r="B3947" t="s">
        <v>4347</v>
      </c>
      <c r="C3947" t="s">
        <v>4348</v>
      </c>
      <c r="D3947" t="s">
        <v>26</v>
      </c>
      <c r="E3947" t="s">
        <v>31</v>
      </c>
      <c r="F3947">
        <v>1</v>
      </c>
      <c r="G3947" s="3" t="s">
        <v>5</v>
      </c>
      <c r="H3947" s="44" t="s">
        <v>15</v>
      </c>
      <c r="I3947" s="17">
        <v>96800</v>
      </c>
      <c r="J3947" s="17">
        <f>IF(Gastos[[#This Row],[Divisa]]="$", I3947*1, IF(Gastos[[#This Row],[Divisa]]="U$D", I3947*$N$1, IF(Gastos[[#This Row],[Divisa]]="EUR", I3947*$N$2, 0)))</f>
        <v>96800</v>
      </c>
      <c r="K3947" s="54">
        <f>Gastos[[#This Row],[Importe AR$]]/$N$1</f>
        <v>62.051282051282051</v>
      </c>
      <c r="M3947" s="69"/>
      <c r="N3947" s="43" t="str">
        <f>IF(Gastos[[#This Row],[Fecha_Cheque]]&gt;0,WEEKNUM(Gastos[[#This Row],[Fecha_Cheque]]),MID(Gastos[[#This Row],[Semana]],6,2))</f>
        <v>38</v>
      </c>
      <c r="O3947" t="s">
        <v>4349</v>
      </c>
      <c r="P3947" t="s">
        <v>27</v>
      </c>
    </row>
    <row r="3948" spans="1:16" hidden="1" x14ac:dyDescent="0.25">
      <c r="A3948" s="3" t="s">
        <v>310</v>
      </c>
      <c r="B3948" t="s">
        <v>2245</v>
      </c>
      <c r="C3948" t="s">
        <v>2246</v>
      </c>
      <c r="D3948" t="s">
        <v>26</v>
      </c>
      <c r="E3948" t="s">
        <v>31</v>
      </c>
      <c r="F3948">
        <v>1</v>
      </c>
      <c r="G3948" s="3" t="s">
        <v>32</v>
      </c>
      <c r="H3948" s="46" t="s">
        <v>15</v>
      </c>
      <c r="I3948" s="17">
        <v>220000</v>
      </c>
      <c r="J3948" s="17">
        <f>IF(Gastos[[#This Row],[Divisa]]="$", I3948*1, IF(Gastos[[#This Row],[Divisa]]="U$D", I3948*$N$1, IF(Gastos[[#This Row],[Divisa]]="EUR", I3948*$N$2, 0)))</f>
        <v>220000</v>
      </c>
      <c r="K3948" s="54">
        <f>Gastos[[#This Row],[Importe AR$]]/$N$1</f>
        <v>141.02564102564102</v>
      </c>
      <c r="M3948" s="69">
        <v>45901</v>
      </c>
      <c r="N3948" s="43">
        <f>IF(Gastos[[#This Row],[Fecha_Cheque]]&gt;0,WEEKNUM(Gastos[[#This Row],[Fecha_Cheque]]),MID(Gastos[[#This Row],[Semana]],6,2))</f>
        <v>36</v>
      </c>
      <c r="O3948" t="s">
        <v>2247</v>
      </c>
      <c r="P3948" t="s">
        <v>27</v>
      </c>
    </row>
    <row r="3949" spans="1:16" hidden="1" x14ac:dyDescent="0.25">
      <c r="A3949" s="3" t="s">
        <v>310</v>
      </c>
      <c r="B3949" t="s">
        <v>2245</v>
      </c>
      <c r="C3949" t="s">
        <v>2246</v>
      </c>
      <c r="D3949" t="s">
        <v>26</v>
      </c>
      <c r="E3949" t="s">
        <v>31</v>
      </c>
      <c r="F3949">
        <v>1</v>
      </c>
      <c r="G3949" s="3" t="s">
        <v>32</v>
      </c>
      <c r="H3949" s="46" t="s">
        <v>15</v>
      </c>
      <c r="I3949" s="17">
        <v>400000</v>
      </c>
      <c r="J3949" s="17">
        <f>IF(Gastos[[#This Row],[Divisa]]="$", I3949*1, IF(Gastos[[#This Row],[Divisa]]="U$D", I3949*$N$1, IF(Gastos[[#This Row],[Divisa]]="EUR", I3949*$N$2, 0)))</f>
        <v>400000</v>
      </c>
      <c r="K3949" s="54">
        <f>Gastos[[#This Row],[Importe AR$]]/$N$1</f>
        <v>256.41025641025641</v>
      </c>
      <c r="M3949" s="69">
        <v>45901</v>
      </c>
      <c r="N3949" s="43">
        <f>IF(Gastos[[#This Row],[Fecha_Cheque]]&gt;0,WEEKNUM(Gastos[[#This Row],[Fecha_Cheque]]),MID(Gastos[[#This Row],[Semana]],6,2))</f>
        <v>36</v>
      </c>
      <c r="O3949" t="s">
        <v>2247</v>
      </c>
      <c r="P3949" t="s">
        <v>27</v>
      </c>
    </row>
    <row r="3950" spans="1:16" hidden="1" x14ac:dyDescent="0.25">
      <c r="A3950" s="3" t="s">
        <v>310</v>
      </c>
      <c r="B3950" t="s">
        <v>2245</v>
      </c>
      <c r="C3950" t="s">
        <v>2246</v>
      </c>
      <c r="D3950" t="s">
        <v>26</v>
      </c>
      <c r="E3950" t="s">
        <v>31</v>
      </c>
      <c r="F3950">
        <v>1</v>
      </c>
      <c r="G3950" s="3" t="s">
        <v>32</v>
      </c>
      <c r="H3950" s="46" t="s">
        <v>15</v>
      </c>
      <c r="I3950" s="17">
        <v>445000</v>
      </c>
      <c r="J3950" s="17">
        <f>IF(Gastos[[#This Row],[Divisa]]="$", I3950*1, IF(Gastos[[#This Row],[Divisa]]="U$D", I3950*$N$1, IF(Gastos[[#This Row],[Divisa]]="EUR", I3950*$N$2, 0)))</f>
        <v>445000</v>
      </c>
      <c r="K3950" s="54">
        <f>Gastos[[#This Row],[Importe AR$]]/$N$1</f>
        <v>285.25641025641028</v>
      </c>
      <c r="M3950" s="69">
        <v>45901</v>
      </c>
      <c r="N3950" s="43">
        <f>IF(Gastos[[#This Row],[Fecha_Cheque]]&gt;0,WEEKNUM(Gastos[[#This Row],[Fecha_Cheque]]),MID(Gastos[[#This Row],[Semana]],6,2))</f>
        <v>36</v>
      </c>
      <c r="O3950" t="s">
        <v>2247</v>
      </c>
      <c r="P3950" t="s">
        <v>27</v>
      </c>
    </row>
    <row r="3951" spans="1:16" hidden="1" x14ac:dyDescent="0.25">
      <c r="A3951" s="3" t="s">
        <v>310</v>
      </c>
      <c r="B3951" t="s">
        <v>2245</v>
      </c>
      <c r="C3951" t="s">
        <v>2246</v>
      </c>
      <c r="D3951" t="s">
        <v>26</v>
      </c>
      <c r="E3951" t="s">
        <v>31</v>
      </c>
      <c r="F3951">
        <v>1</v>
      </c>
      <c r="G3951" s="3" t="s">
        <v>32</v>
      </c>
      <c r="H3951" s="46" t="s">
        <v>15</v>
      </c>
      <c r="I3951" s="17">
        <v>1700000</v>
      </c>
      <c r="J3951" s="17">
        <f>IF(Gastos[[#This Row],[Divisa]]="$", I3951*1, IF(Gastos[[#This Row],[Divisa]]="U$D", I3951*$N$1, IF(Gastos[[#This Row],[Divisa]]="EUR", I3951*$N$2, 0)))</f>
        <v>1700000</v>
      </c>
      <c r="K3951" s="54">
        <f>Gastos[[#This Row],[Importe AR$]]/$N$1</f>
        <v>1089.7435897435898</v>
      </c>
      <c r="M3951" s="69">
        <v>45901</v>
      </c>
      <c r="N3951" s="43">
        <f>IF(Gastos[[#This Row],[Fecha_Cheque]]&gt;0,WEEKNUM(Gastos[[#This Row],[Fecha_Cheque]]),MID(Gastos[[#This Row],[Semana]],6,2))</f>
        <v>36</v>
      </c>
      <c r="O3951" t="s">
        <v>2247</v>
      </c>
      <c r="P3951" t="s">
        <v>27</v>
      </c>
    </row>
    <row r="3952" spans="1:16" hidden="1" x14ac:dyDescent="0.25">
      <c r="A3952" s="3" t="s">
        <v>310</v>
      </c>
      <c r="B3952" t="s">
        <v>2245</v>
      </c>
      <c r="C3952" t="s">
        <v>2246</v>
      </c>
      <c r="D3952" t="s">
        <v>26</v>
      </c>
      <c r="E3952" t="s">
        <v>31</v>
      </c>
      <c r="F3952">
        <v>1</v>
      </c>
      <c r="G3952" s="3" t="s">
        <v>32</v>
      </c>
      <c r="H3952" s="46" t="s">
        <v>15</v>
      </c>
      <c r="I3952" s="17">
        <v>230000</v>
      </c>
      <c r="J3952" s="17">
        <f>IF(Gastos[[#This Row],[Divisa]]="$", I3952*1, IF(Gastos[[#This Row],[Divisa]]="U$D", I3952*$N$1, IF(Gastos[[#This Row],[Divisa]]="EUR", I3952*$N$2, 0)))</f>
        <v>230000</v>
      </c>
      <c r="K3952" s="54">
        <f>Gastos[[#This Row],[Importe AR$]]/$N$1</f>
        <v>147.43589743589743</v>
      </c>
      <c r="M3952" s="69">
        <v>45901</v>
      </c>
      <c r="N3952" s="43">
        <f>IF(Gastos[[#This Row],[Fecha_Cheque]]&gt;0,WEEKNUM(Gastos[[#This Row],[Fecha_Cheque]]),MID(Gastos[[#This Row],[Semana]],6,2))</f>
        <v>36</v>
      </c>
      <c r="O3952" t="s">
        <v>2247</v>
      </c>
      <c r="P3952" t="s">
        <v>27</v>
      </c>
    </row>
    <row r="3953" spans="1:16" hidden="1" x14ac:dyDescent="0.25">
      <c r="A3953" s="3" t="s">
        <v>310</v>
      </c>
      <c r="B3953" t="s">
        <v>2245</v>
      </c>
      <c r="C3953" t="s">
        <v>2246</v>
      </c>
      <c r="D3953" t="s">
        <v>26</v>
      </c>
      <c r="E3953" t="s">
        <v>31</v>
      </c>
      <c r="F3953">
        <v>1</v>
      </c>
      <c r="G3953" s="3" t="s">
        <v>32</v>
      </c>
      <c r="H3953" s="46" t="s">
        <v>15</v>
      </c>
      <c r="I3953" s="17">
        <v>250000</v>
      </c>
      <c r="J3953" s="17">
        <f>IF(Gastos[[#This Row],[Divisa]]="$", I3953*1, IF(Gastos[[#This Row],[Divisa]]="U$D", I3953*$N$1, IF(Gastos[[#This Row],[Divisa]]="EUR", I3953*$N$2, 0)))</f>
        <v>250000</v>
      </c>
      <c r="K3953" s="54">
        <f>Gastos[[#This Row],[Importe AR$]]/$N$1</f>
        <v>160.25641025641025</v>
      </c>
      <c r="M3953" s="69">
        <v>45901</v>
      </c>
      <c r="N3953" s="43">
        <f>IF(Gastos[[#This Row],[Fecha_Cheque]]&gt;0,WEEKNUM(Gastos[[#This Row],[Fecha_Cheque]]),MID(Gastos[[#This Row],[Semana]],6,2))</f>
        <v>36</v>
      </c>
      <c r="O3953" t="s">
        <v>2247</v>
      </c>
      <c r="P3953" t="s">
        <v>27</v>
      </c>
    </row>
    <row r="3954" spans="1:16" hidden="1" x14ac:dyDescent="0.25">
      <c r="A3954" s="3" t="s">
        <v>310</v>
      </c>
      <c r="B3954" t="s">
        <v>2245</v>
      </c>
      <c r="C3954" t="s">
        <v>2246</v>
      </c>
      <c r="D3954" t="s">
        <v>26</v>
      </c>
      <c r="E3954" t="s">
        <v>31</v>
      </c>
      <c r="F3954">
        <v>1</v>
      </c>
      <c r="G3954" s="3" t="s">
        <v>32</v>
      </c>
      <c r="H3954" s="46" t="s">
        <v>15</v>
      </c>
      <c r="I3954" s="17">
        <v>13882.12</v>
      </c>
      <c r="J3954" s="17">
        <f>IF(Gastos[[#This Row],[Divisa]]="$", I3954*1, IF(Gastos[[#This Row],[Divisa]]="U$D", I3954*$N$1, IF(Gastos[[#This Row],[Divisa]]="EUR", I3954*$N$2, 0)))</f>
        <v>13882.12</v>
      </c>
      <c r="K3954" s="54">
        <f>Gastos[[#This Row],[Importe AR$]]/$N$1</f>
        <v>8.8987948717948715</v>
      </c>
      <c r="M3954" s="69">
        <v>45901</v>
      </c>
      <c r="N3954" s="43">
        <f>IF(Gastos[[#This Row],[Fecha_Cheque]]&gt;0,WEEKNUM(Gastos[[#This Row],[Fecha_Cheque]]),MID(Gastos[[#This Row],[Semana]],6,2))</f>
        <v>36</v>
      </c>
      <c r="O3954" t="s">
        <v>2247</v>
      </c>
      <c r="P3954" t="s">
        <v>27</v>
      </c>
    </row>
    <row r="3955" spans="1:16" hidden="1" x14ac:dyDescent="0.25">
      <c r="A3955" s="3" t="s">
        <v>232</v>
      </c>
      <c r="B3955" t="s">
        <v>2245</v>
      </c>
      <c r="C3955" t="s">
        <v>2248</v>
      </c>
      <c r="D3955" t="s">
        <v>26</v>
      </c>
      <c r="E3955" t="s">
        <v>31</v>
      </c>
      <c r="F3955">
        <v>1</v>
      </c>
      <c r="G3955" s="3" t="s">
        <v>32</v>
      </c>
      <c r="H3955" s="46" t="s">
        <v>15</v>
      </c>
      <c r="I3955" s="17">
        <v>950122.63</v>
      </c>
      <c r="J3955" s="17">
        <f>IF(Gastos[[#This Row],[Divisa]]="$", I3955*1, IF(Gastos[[#This Row],[Divisa]]="U$D", I3955*$N$1, IF(Gastos[[#This Row],[Divisa]]="EUR", I3955*$N$2, 0)))</f>
        <v>950122.63</v>
      </c>
      <c r="K3955" s="54">
        <f>Gastos[[#This Row],[Importe AR$]]/$N$1</f>
        <v>609.05296794871799</v>
      </c>
      <c r="M3955" s="69"/>
      <c r="N3955" s="43" t="str">
        <f>IF(Gastos[[#This Row],[Fecha_Cheque]]&gt;0,WEEKNUM(Gastos[[#This Row],[Fecha_Cheque]]),MID(Gastos[[#This Row],[Semana]],6,2))</f>
        <v>44</v>
      </c>
      <c r="O3955" t="s">
        <v>2249</v>
      </c>
      <c r="P3955" t="s">
        <v>27</v>
      </c>
    </row>
    <row r="3956" spans="1:16" hidden="1" x14ac:dyDescent="0.25">
      <c r="A3956" s="3" t="s">
        <v>378</v>
      </c>
      <c r="B3956" t="s">
        <v>2245</v>
      </c>
      <c r="C3956" t="s">
        <v>2250</v>
      </c>
      <c r="D3956" t="s">
        <v>26</v>
      </c>
      <c r="E3956" t="s">
        <v>31</v>
      </c>
      <c r="F3956">
        <v>1</v>
      </c>
      <c r="G3956" s="3" t="s">
        <v>32</v>
      </c>
      <c r="H3956" s="46" t="s">
        <v>15</v>
      </c>
      <c r="I3956" s="17">
        <v>1779769.03</v>
      </c>
      <c r="J3956" s="17">
        <f>IF(Gastos[[#This Row],[Divisa]]="$", I3956*1, IF(Gastos[[#This Row],[Divisa]]="U$D", I3956*$N$1, IF(Gastos[[#This Row],[Divisa]]="EUR", I3956*$N$2, 0)))</f>
        <v>1779769.03</v>
      </c>
      <c r="K3956" s="54">
        <f>Gastos[[#This Row],[Importe AR$]]/$N$1</f>
        <v>1140.8775833333334</v>
      </c>
      <c r="M3956" s="69">
        <v>46054</v>
      </c>
      <c r="N3956" s="43">
        <f>IF(Gastos[[#This Row],[Fecha_Cheque]]&gt;0,WEEKNUM(Gastos[[#This Row],[Fecha_Cheque]]),MID(Gastos[[#This Row],[Semana]],6,2))</f>
        <v>6</v>
      </c>
      <c r="O3956" t="s">
        <v>2251</v>
      </c>
      <c r="P3956" t="s">
        <v>27</v>
      </c>
    </row>
    <row r="3957" spans="1:16" hidden="1" x14ac:dyDescent="0.25">
      <c r="A3957" s="3" t="s">
        <v>68</v>
      </c>
      <c r="B3957" t="s">
        <v>2245</v>
      </c>
      <c r="C3957" t="s">
        <v>2248</v>
      </c>
      <c r="D3957" t="s">
        <v>26</v>
      </c>
      <c r="E3957" t="s">
        <v>62</v>
      </c>
      <c r="F3957">
        <v>1</v>
      </c>
      <c r="G3957" s="3" t="s">
        <v>32</v>
      </c>
      <c r="H3957" s="46" t="s">
        <v>15</v>
      </c>
      <c r="I3957" s="17">
        <v>2500000</v>
      </c>
      <c r="J3957" s="17">
        <f>IF(Gastos[[#This Row],[Divisa]]="$", I3957*1, IF(Gastos[[#This Row],[Divisa]]="U$D", I3957*$N$1, IF(Gastos[[#This Row],[Divisa]]="EUR", I3957*$N$2, 0)))</f>
        <v>2500000</v>
      </c>
      <c r="K3957" s="54">
        <f>Gastos[[#This Row],[Importe AR$]]/$N$1</f>
        <v>1602.5641025641025</v>
      </c>
      <c r="M3957" s="69"/>
      <c r="N3957" s="43" t="str">
        <f>IF(Gastos[[#This Row],[Fecha_Cheque]]&gt;0,WEEKNUM(Gastos[[#This Row],[Fecha_Cheque]]),MID(Gastos[[#This Row],[Semana]],6,2))</f>
        <v>05</v>
      </c>
      <c r="O3957" t="s">
        <v>2252</v>
      </c>
      <c r="P3957" t="s">
        <v>27</v>
      </c>
    </row>
    <row r="3958" spans="1:16" hidden="1" x14ac:dyDescent="0.25">
      <c r="A3958" s="3" t="s">
        <v>332</v>
      </c>
      <c r="B3958" t="s">
        <v>2245</v>
      </c>
      <c r="C3958" t="s">
        <v>2248</v>
      </c>
      <c r="D3958" t="s">
        <v>26</v>
      </c>
      <c r="E3958" t="s">
        <v>62</v>
      </c>
      <c r="F3958">
        <v>1</v>
      </c>
      <c r="G3958" s="3" t="s">
        <v>32</v>
      </c>
      <c r="H3958" s="46" t="s">
        <v>15</v>
      </c>
      <c r="I3958" s="17">
        <v>1391920</v>
      </c>
      <c r="J3958" s="17">
        <f>IF(Gastos[[#This Row],[Divisa]]="$", I3958*1, IF(Gastos[[#This Row],[Divisa]]="U$D", I3958*$N$1, IF(Gastos[[#This Row],[Divisa]]="EUR", I3958*$N$2, 0)))</f>
        <v>1391920</v>
      </c>
      <c r="K3958" s="54">
        <f>Gastos[[#This Row],[Importe AR$]]/$N$1</f>
        <v>892.25641025641028</v>
      </c>
      <c r="M3958" s="69">
        <v>46159</v>
      </c>
      <c r="N3958" s="43">
        <f>IF(Gastos[[#This Row],[Fecha_Cheque]]&gt;0,WEEKNUM(Gastos[[#This Row],[Fecha_Cheque]]),MID(Gastos[[#This Row],[Semana]],6,2))</f>
        <v>21</v>
      </c>
      <c r="O3958" t="s">
        <v>2749</v>
      </c>
      <c r="P3958" t="s">
        <v>27</v>
      </c>
    </row>
    <row r="3959" spans="1:16" hidden="1" x14ac:dyDescent="0.25">
      <c r="A3959" s="3" t="s">
        <v>332</v>
      </c>
      <c r="B3959" t="s">
        <v>2245</v>
      </c>
      <c r="C3959" t="s">
        <v>2248</v>
      </c>
      <c r="D3959" t="s">
        <v>26</v>
      </c>
      <c r="E3959" t="s">
        <v>62</v>
      </c>
      <c r="F3959">
        <v>1</v>
      </c>
      <c r="G3959" s="3" t="s">
        <v>32</v>
      </c>
      <c r="H3959" s="46" t="s">
        <v>15</v>
      </c>
      <c r="I3959" s="17">
        <v>18526.939999999999</v>
      </c>
      <c r="J3959" s="17">
        <f>IF(Gastos[[#This Row],[Divisa]]="$", I3959*1, IF(Gastos[[#This Row],[Divisa]]="U$D", I3959*$N$1, IF(Gastos[[#This Row],[Divisa]]="EUR", I3959*$N$2, 0)))</f>
        <v>18526.939999999999</v>
      </c>
      <c r="K3959" s="54">
        <f>Gastos[[#This Row],[Importe AR$]]/$N$1</f>
        <v>11.87624358974359</v>
      </c>
      <c r="L3959" t="s">
        <v>340</v>
      </c>
      <c r="M3959" s="69"/>
      <c r="N3959" s="43" t="str">
        <f>IF(Gastos[[#This Row],[Fecha_Cheque]]&gt;0,WEEKNUM(Gastos[[#This Row],[Fecha_Cheque]]),MID(Gastos[[#This Row],[Semana]],6,2))</f>
        <v>12</v>
      </c>
      <c r="O3959" t="s">
        <v>2749</v>
      </c>
      <c r="P3959" t="s">
        <v>27</v>
      </c>
    </row>
    <row r="3960" spans="1:16" hidden="1" x14ac:dyDescent="0.25">
      <c r="A3960" s="3" t="s">
        <v>2841</v>
      </c>
      <c r="B3960" t="s">
        <v>2245</v>
      </c>
      <c r="C3960" t="s">
        <v>2248</v>
      </c>
      <c r="D3960" t="s">
        <v>26</v>
      </c>
      <c r="E3960" t="s">
        <v>62</v>
      </c>
      <c r="F3960">
        <v>1</v>
      </c>
      <c r="G3960" s="3" t="s">
        <v>32</v>
      </c>
      <c r="H3960" s="46" t="s">
        <v>15</v>
      </c>
      <c r="I3960" s="17">
        <v>2407700</v>
      </c>
      <c r="J3960" s="17">
        <f>IF(Gastos[[#This Row],[Divisa]]="$", I3960*1, IF(Gastos[[#This Row],[Divisa]]="U$D", I3960*$N$1, IF(Gastos[[#This Row],[Divisa]]="EUR", I3960*$N$2, 0)))</f>
        <v>2407700</v>
      </c>
      <c r="K3960" s="54">
        <f>Gastos[[#This Row],[Importe AR$]]/$N$1</f>
        <v>1543.3974358974358</v>
      </c>
      <c r="M3960" s="69">
        <v>46214</v>
      </c>
      <c r="N3960" s="43">
        <f>IF(Gastos[[#This Row],[Fecha_Cheque]]&gt;0,WEEKNUM(Gastos[[#This Row],[Fecha_Cheque]]),MID(Gastos[[#This Row],[Semana]],6,2))</f>
        <v>28</v>
      </c>
      <c r="O3960" t="s">
        <v>3330</v>
      </c>
      <c r="P3960" t="s">
        <v>27</v>
      </c>
    </row>
    <row r="3961" spans="1:16" hidden="1" x14ac:dyDescent="0.25">
      <c r="A3961" s="3" t="s">
        <v>2841</v>
      </c>
      <c r="B3961" t="s">
        <v>2245</v>
      </c>
      <c r="C3961" t="s">
        <v>2248</v>
      </c>
      <c r="D3961" t="s">
        <v>26</v>
      </c>
      <c r="E3961" t="s">
        <v>62</v>
      </c>
      <c r="F3961">
        <v>1</v>
      </c>
      <c r="G3961" s="3" t="s">
        <v>32</v>
      </c>
      <c r="H3961" s="46" t="s">
        <v>15</v>
      </c>
      <c r="I3961" s="17">
        <v>20474.900000000001</v>
      </c>
      <c r="J3961" s="17">
        <f>IF(Gastos[[#This Row],[Divisa]]="$", I3961*1, IF(Gastos[[#This Row],[Divisa]]="U$D", I3961*$N$1, IF(Gastos[[#This Row],[Divisa]]="EUR", I3961*$N$2, 0)))</f>
        <v>20474.900000000001</v>
      </c>
      <c r="K3961" s="54">
        <f>Gastos[[#This Row],[Importe AR$]]/$N$1</f>
        <v>13.124935897435899</v>
      </c>
      <c r="L3961" t="s">
        <v>340</v>
      </c>
      <c r="M3961" s="69"/>
      <c r="N3961" s="43" t="str">
        <f>IF(Gastos[[#This Row],[Fecha_Cheque]]&gt;0,WEEKNUM(Gastos[[#This Row],[Fecha_Cheque]]),MID(Gastos[[#This Row],[Semana]],6,2))</f>
        <v>22</v>
      </c>
      <c r="O3961" t="s">
        <v>3330</v>
      </c>
      <c r="P3961" t="s">
        <v>27</v>
      </c>
    </row>
    <row r="3962" spans="1:16" hidden="1" x14ac:dyDescent="0.25">
      <c r="A3962" s="3" t="s">
        <v>53</v>
      </c>
      <c r="B3962" t="s">
        <v>2255</v>
      </c>
      <c r="C3962" t="s">
        <v>2256</v>
      </c>
      <c r="D3962" t="s">
        <v>26</v>
      </c>
      <c r="E3962" t="s">
        <v>31</v>
      </c>
      <c r="F3962">
        <v>1</v>
      </c>
      <c r="G3962" s="3" t="s">
        <v>5</v>
      </c>
      <c r="H3962" s="46" t="s">
        <v>15</v>
      </c>
      <c r="I3962" s="17">
        <v>789880</v>
      </c>
      <c r="J3962" s="17">
        <f>IF(Gastos[[#This Row],[Divisa]]="$", I3962*1, IF(Gastos[[#This Row],[Divisa]]="U$D", I3962*$N$1, IF(Gastos[[#This Row],[Divisa]]="EUR", I3962*$N$2, 0)))</f>
        <v>789880</v>
      </c>
      <c r="K3962" s="54">
        <f>Gastos[[#This Row],[Importe AR$]]/$N$1</f>
        <v>506.33333333333331</v>
      </c>
      <c r="M3962" s="69"/>
      <c r="N3962" s="43" t="str">
        <f>IF(Gastos[[#This Row],[Fecha_Cheque]]&gt;0,WEEKNUM(Gastos[[#This Row],[Fecha_Cheque]]),MID(Gastos[[#This Row],[Semana]],6,2))</f>
        <v>34</v>
      </c>
      <c r="O3962" t="s">
        <v>2257</v>
      </c>
      <c r="P3962" t="s">
        <v>27</v>
      </c>
    </row>
    <row r="3963" spans="1:16" hidden="1" x14ac:dyDescent="0.25">
      <c r="A3963" s="3" t="s">
        <v>310</v>
      </c>
      <c r="B3963" t="s">
        <v>2255</v>
      </c>
      <c r="C3963" t="s">
        <v>2258</v>
      </c>
      <c r="D3963" t="s">
        <v>26</v>
      </c>
      <c r="E3963" t="s">
        <v>31</v>
      </c>
      <c r="F3963">
        <v>1</v>
      </c>
      <c r="G3963" s="3" t="s">
        <v>5</v>
      </c>
      <c r="H3963" s="46" t="s">
        <v>15</v>
      </c>
      <c r="I3963" s="17">
        <v>200000</v>
      </c>
      <c r="J3963" s="17">
        <f>IF(Gastos[[#This Row],[Divisa]]="$", I3963*1, IF(Gastos[[#This Row],[Divisa]]="U$D", I3963*$N$1, IF(Gastos[[#This Row],[Divisa]]="EUR", I3963*$N$2, 0)))</f>
        <v>200000</v>
      </c>
      <c r="K3963" s="54">
        <f>Gastos[[#This Row],[Importe AR$]]/$N$1</f>
        <v>128.2051282051282</v>
      </c>
      <c r="M3963" s="69"/>
      <c r="N3963" s="43" t="str">
        <f>IF(Gastos[[#This Row],[Fecha_Cheque]]&gt;0,WEEKNUM(Gastos[[#This Row],[Fecha_Cheque]]),MID(Gastos[[#This Row],[Semana]],6,2))</f>
        <v>36</v>
      </c>
      <c r="O3963" t="s">
        <v>2259</v>
      </c>
      <c r="P3963" t="s">
        <v>27</v>
      </c>
    </row>
    <row r="3964" spans="1:16" hidden="1" x14ac:dyDescent="0.25">
      <c r="A3964" s="3" t="s">
        <v>56</v>
      </c>
      <c r="B3964" t="s">
        <v>2255</v>
      </c>
      <c r="C3964" t="s">
        <v>2260</v>
      </c>
      <c r="D3964" t="s">
        <v>26</v>
      </c>
      <c r="E3964" t="s">
        <v>31</v>
      </c>
      <c r="F3964">
        <v>1</v>
      </c>
      <c r="G3964" s="3" t="s">
        <v>32</v>
      </c>
      <c r="H3964" s="46" t="s">
        <v>15</v>
      </c>
      <c r="I3964" s="17">
        <v>500000</v>
      </c>
      <c r="J3964" s="17">
        <f>IF(Gastos[[#This Row],[Divisa]]="$", I3964*1, IF(Gastos[[#This Row],[Divisa]]="U$D", I3964*$N$1, IF(Gastos[[#This Row],[Divisa]]="EUR", I3964*$N$2, 0)))</f>
        <v>500000</v>
      </c>
      <c r="K3964" s="54">
        <f>Gastos[[#This Row],[Importe AR$]]/$N$1</f>
        <v>320.5128205128205</v>
      </c>
      <c r="M3964" s="69">
        <v>45919</v>
      </c>
      <c r="N3964" s="43">
        <f>IF(Gastos[[#This Row],[Fecha_Cheque]]&gt;0,WEEKNUM(Gastos[[#This Row],[Fecha_Cheque]]),MID(Gastos[[#This Row],[Semana]],6,2))</f>
        <v>38</v>
      </c>
      <c r="O3964" t="s">
        <v>2261</v>
      </c>
      <c r="P3964" t="s">
        <v>27</v>
      </c>
    </row>
    <row r="3965" spans="1:16" hidden="1" x14ac:dyDescent="0.25">
      <c r="A3965" s="3" t="s">
        <v>56</v>
      </c>
      <c r="B3965" t="s">
        <v>2255</v>
      </c>
      <c r="C3965" t="s">
        <v>2260</v>
      </c>
      <c r="D3965" t="s">
        <v>26</v>
      </c>
      <c r="E3965" t="s">
        <v>31</v>
      </c>
      <c r="F3965">
        <v>1</v>
      </c>
      <c r="G3965" s="3" t="s">
        <v>32</v>
      </c>
      <c r="H3965" s="46" t="s">
        <v>15</v>
      </c>
      <c r="I3965" s="17">
        <v>136519</v>
      </c>
      <c r="J3965" s="17">
        <f>IF(Gastos[[#This Row],[Divisa]]="$", I3965*1, IF(Gastos[[#This Row],[Divisa]]="U$D", I3965*$N$1, IF(Gastos[[#This Row],[Divisa]]="EUR", I3965*$N$2, 0)))</f>
        <v>136519</v>
      </c>
      <c r="K3965" s="54">
        <f>Gastos[[#This Row],[Importe AR$]]/$N$1</f>
        <v>87.51217948717948</v>
      </c>
      <c r="M3965" s="69">
        <v>45924</v>
      </c>
      <c r="N3965" s="43">
        <f>IF(Gastos[[#This Row],[Fecha_Cheque]]&gt;0,WEEKNUM(Gastos[[#This Row],[Fecha_Cheque]]),MID(Gastos[[#This Row],[Semana]],6,2))</f>
        <v>39</v>
      </c>
      <c r="O3965" t="s">
        <v>2261</v>
      </c>
      <c r="P3965" t="s">
        <v>27</v>
      </c>
    </row>
    <row r="3966" spans="1:16" hidden="1" x14ac:dyDescent="0.25">
      <c r="A3966" s="3" t="s">
        <v>232</v>
      </c>
      <c r="B3966" t="s">
        <v>2255</v>
      </c>
      <c r="C3966" t="s">
        <v>2262</v>
      </c>
      <c r="D3966" t="s">
        <v>26</v>
      </c>
      <c r="E3966" t="s">
        <v>31</v>
      </c>
      <c r="F3966">
        <v>1</v>
      </c>
      <c r="G3966" s="3" t="s">
        <v>32</v>
      </c>
      <c r="H3966" s="46" t="s">
        <v>15</v>
      </c>
      <c r="I3966" s="17">
        <v>108900</v>
      </c>
      <c r="J3966" s="17">
        <f>IF(Gastos[[#This Row],[Divisa]]="$", I3966*1, IF(Gastos[[#This Row],[Divisa]]="U$D", I3966*$N$1, IF(Gastos[[#This Row],[Divisa]]="EUR", I3966*$N$2, 0)))</f>
        <v>108900</v>
      </c>
      <c r="K3966" s="54">
        <f>Gastos[[#This Row],[Importe AR$]]/$N$1</f>
        <v>69.807692307692307</v>
      </c>
      <c r="M3966" s="69">
        <v>45943</v>
      </c>
      <c r="N3966" s="43">
        <f>IF(Gastos[[#This Row],[Fecha_Cheque]]&gt;0,WEEKNUM(Gastos[[#This Row],[Fecha_Cheque]]),MID(Gastos[[#This Row],[Semana]],6,2))</f>
        <v>42</v>
      </c>
      <c r="O3966" t="s">
        <v>2263</v>
      </c>
      <c r="P3966" t="s">
        <v>27</v>
      </c>
    </row>
    <row r="3967" spans="1:16" hidden="1" x14ac:dyDescent="0.25">
      <c r="A3967" s="3" t="s">
        <v>232</v>
      </c>
      <c r="B3967" t="s">
        <v>2255</v>
      </c>
      <c r="C3967" t="s">
        <v>2262</v>
      </c>
      <c r="D3967" t="s">
        <v>26</v>
      </c>
      <c r="E3967" t="s">
        <v>31</v>
      </c>
      <c r="F3967">
        <v>1</v>
      </c>
      <c r="G3967" s="3" t="s">
        <v>32</v>
      </c>
      <c r="H3967" s="46" t="s">
        <v>15</v>
      </c>
      <c r="I3967" s="17">
        <v>315000</v>
      </c>
      <c r="J3967" s="17">
        <f>IF(Gastos[[#This Row],[Divisa]]="$", I3967*1, IF(Gastos[[#This Row],[Divisa]]="U$D", I3967*$N$1, IF(Gastos[[#This Row],[Divisa]]="EUR", I3967*$N$2, 0)))</f>
        <v>315000</v>
      </c>
      <c r="K3967" s="54">
        <f>Gastos[[#This Row],[Importe AR$]]/$N$1</f>
        <v>201.92307692307693</v>
      </c>
      <c r="M3967" s="69">
        <v>45981</v>
      </c>
      <c r="N3967" s="43">
        <f>IF(Gastos[[#This Row],[Fecha_Cheque]]&gt;0,WEEKNUM(Gastos[[#This Row],[Fecha_Cheque]]),MID(Gastos[[#This Row],[Semana]],6,2))</f>
        <v>47</v>
      </c>
      <c r="O3967" t="s">
        <v>2263</v>
      </c>
      <c r="P3967" t="s">
        <v>27</v>
      </c>
    </row>
    <row r="3968" spans="1:16" hidden="1" x14ac:dyDescent="0.25">
      <c r="A3968" s="3" t="s">
        <v>232</v>
      </c>
      <c r="B3968" t="s">
        <v>2255</v>
      </c>
      <c r="C3968" t="s">
        <v>2262</v>
      </c>
      <c r="D3968" t="s">
        <v>26</v>
      </c>
      <c r="E3968" t="s">
        <v>42</v>
      </c>
      <c r="F3968">
        <v>1</v>
      </c>
      <c r="G3968" s="3" t="s">
        <v>4</v>
      </c>
      <c r="H3968" s="46" t="s">
        <v>15</v>
      </c>
      <c r="I3968" s="17">
        <v>28300</v>
      </c>
      <c r="J3968" s="17">
        <f>IF(Gastos[[#This Row],[Divisa]]="$", I3968*1, IF(Gastos[[#This Row],[Divisa]]="U$D", I3968*$N$1, IF(Gastos[[#This Row],[Divisa]]="EUR", I3968*$N$2, 0)))</f>
        <v>28300</v>
      </c>
      <c r="K3968" s="54">
        <f>Gastos[[#This Row],[Importe AR$]]/$N$1</f>
        <v>18.141025641025642</v>
      </c>
      <c r="M3968" s="69"/>
      <c r="N3968" s="43" t="str">
        <f>IF(Gastos[[#This Row],[Fecha_Cheque]]&gt;0,WEEKNUM(Gastos[[#This Row],[Fecha_Cheque]]),MID(Gastos[[#This Row],[Semana]],6,2))</f>
        <v>44</v>
      </c>
      <c r="O3968" t="s">
        <v>2263</v>
      </c>
      <c r="P3968" t="s">
        <v>27</v>
      </c>
    </row>
    <row r="3969" spans="1:16" hidden="1" x14ac:dyDescent="0.25">
      <c r="A3969" s="3" t="s">
        <v>93</v>
      </c>
      <c r="B3969" t="s">
        <v>2255</v>
      </c>
      <c r="C3969" t="s">
        <v>2264</v>
      </c>
      <c r="D3969" t="s">
        <v>26</v>
      </c>
      <c r="E3969" t="s">
        <v>62</v>
      </c>
      <c r="F3969">
        <v>1</v>
      </c>
      <c r="G3969" s="3" t="s">
        <v>5</v>
      </c>
      <c r="H3969" s="46" t="s">
        <v>15</v>
      </c>
      <c r="I3969" s="17">
        <v>1146880</v>
      </c>
      <c r="J3969" s="17">
        <f>IF(Gastos[[#This Row],[Divisa]]="$", I3969*1, IF(Gastos[[#This Row],[Divisa]]="U$D", I3969*$N$1, IF(Gastos[[#This Row],[Divisa]]="EUR", I3969*$N$2, 0)))</f>
        <v>1146880</v>
      </c>
      <c r="K3969" s="54">
        <f>Gastos[[#This Row],[Importe AR$]]/$N$1</f>
        <v>735.17948717948718</v>
      </c>
      <c r="M3969" s="69"/>
      <c r="N3969" s="43" t="str">
        <f>IF(Gastos[[#This Row],[Fecha_Cheque]]&gt;0,WEEKNUM(Gastos[[#This Row],[Fecha_Cheque]]),MID(Gastos[[#This Row],[Semana]],6,2))</f>
        <v>50</v>
      </c>
      <c r="O3969" t="s">
        <v>2265</v>
      </c>
      <c r="P3969" t="s">
        <v>27</v>
      </c>
    </row>
    <row r="3970" spans="1:16" hidden="1" x14ac:dyDescent="0.25">
      <c r="A3970" s="3" t="s">
        <v>75</v>
      </c>
      <c r="B3970" t="s">
        <v>2255</v>
      </c>
      <c r="C3970" t="s">
        <v>2266</v>
      </c>
      <c r="D3970" t="s">
        <v>26</v>
      </c>
      <c r="E3970" t="s">
        <v>31</v>
      </c>
      <c r="F3970">
        <v>1</v>
      </c>
      <c r="G3970" s="3" t="s">
        <v>5</v>
      </c>
      <c r="H3970" s="46" t="s">
        <v>15</v>
      </c>
      <c r="I3970" s="17">
        <v>1200000</v>
      </c>
      <c r="J3970" s="17">
        <f>IF(Gastos[[#This Row],[Divisa]]="$", I3970*1, IF(Gastos[[#This Row],[Divisa]]="U$D", I3970*$N$1, IF(Gastos[[#This Row],[Divisa]]="EUR", I3970*$N$2, 0)))</f>
        <v>1200000</v>
      </c>
      <c r="K3970" s="54">
        <f>Gastos[[#This Row],[Importe AR$]]/$N$1</f>
        <v>769.23076923076928</v>
      </c>
      <c r="M3970" s="69"/>
      <c r="N3970" s="43" t="str">
        <f>IF(Gastos[[#This Row],[Fecha_Cheque]]&gt;0,WEEKNUM(Gastos[[#This Row],[Fecha_Cheque]]),MID(Gastos[[#This Row],[Semana]],6,2))</f>
        <v>07</v>
      </c>
      <c r="O3970" t="s">
        <v>2267</v>
      </c>
      <c r="P3970" t="s">
        <v>27</v>
      </c>
    </row>
    <row r="3971" spans="1:16" hidden="1" x14ac:dyDescent="0.25">
      <c r="A3971" s="3" t="s">
        <v>397</v>
      </c>
      <c r="B3971" t="s">
        <v>2255</v>
      </c>
      <c r="C3971" t="s">
        <v>2692</v>
      </c>
      <c r="D3971" t="s">
        <v>26</v>
      </c>
      <c r="E3971" t="s">
        <v>31</v>
      </c>
      <c r="F3971">
        <v>1</v>
      </c>
      <c r="G3971" s="3" t="s">
        <v>32</v>
      </c>
      <c r="H3971" s="44" t="s">
        <v>15</v>
      </c>
      <c r="I3971" s="17">
        <v>320402.09999999998</v>
      </c>
      <c r="J3971" s="17">
        <f>IF(Gastos[[#This Row],[Divisa]]="$", I3971*1, IF(Gastos[[#This Row],[Divisa]]="U$D", I3971*$N$1, IF(Gastos[[#This Row],[Divisa]]="EUR", I3971*$N$2, 0)))</f>
        <v>320402.09999999998</v>
      </c>
      <c r="K3971" s="54">
        <f>Gastos[[#This Row],[Importe AR$]]/$N$1</f>
        <v>205.38596153846152</v>
      </c>
      <c r="M3971" s="69">
        <v>46101</v>
      </c>
      <c r="N3971" s="43">
        <f>IF(Gastos[[#This Row],[Fecha_Cheque]]&gt;0,WEEKNUM(Gastos[[#This Row],[Fecha_Cheque]]),MID(Gastos[[#This Row],[Semana]],6,2))</f>
        <v>12</v>
      </c>
      <c r="O3971" t="s">
        <v>2693</v>
      </c>
      <c r="P3971" t="s">
        <v>27</v>
      </c>
    </row>
    <row r="3972" spans="1:16" hidden="1" x14ac:dyDescent="0.25">
      <c r="A3972" s="3" t="s">
        <v>397</v>
      </c>
      <c r="B3972" t="s">
        <v>2255</v>
      </c>
      <c r="C3972" t="s">
        <v>2692</v>
      </c>
      <c r="D3972" t="s">
        <v>26</v>
      </c>
      <c r="E3972" t="s">
        <v>31</v>
      </c>
      <c r="F3972">
        <v>1</v>
      </c>
      <c r="G3972" s="3" t="s">
        <v>32</v>
      </c>
      <c r="H3972" s="44" t="s">
        <v>15</v>
      </c>
      <c r="I3972" s="17">
        <v>655970.30000000005</v>
      </c>
      <c r="J3972" s="17">
        <f>IF(Gastos[[#This Row],[Divisa]]="$", I3972*1, IF(Gastos[[#This Row],[Divisa]]="U$D", I3972*$N$1, IF(Gastos[[#This Row],[Divisa]]="EUR", I3972*$N$2, 0)))</f>
        <v>655970.30000000005</v>
      </c>
      <c r="K3972" s="54">
        <f>Gastos[[#This Row],[Importe AR$]]/$N$1</f>
        <v>420.4937820512821</v>
      </c>
      <c r="M3972" s="69">
        <v>46080</v>
      </c>
      <c r="N3972" s="43">
        <f>IF(Gastos[[#This Row],[Fecha_Cheque]]&gt;0,WEEKNUM(Gastos[[#This Row],[Fecha_Cheque]]),MID(Gastos[[#This Row],[Semana]],6,2))</f>
        <v>9</v>
      </c>
      <c r="O3972" t="s">
        <v>2693</v>
      </c>
      <c r="P3972" t="s">
        <v>27</v>
      </c>
    </row>
    <row r="3973" spans="1:16" hidden="1" x14ac:dyDescent="0.25">
      <c r="A3973" s="3" t="s">
        <v>2731</v>
      </c>
      <c r="B3973" t="s">
        <v>2255</v>
      </c>
      <c r="C3973" t="s">
        <v>3143</v>
      </c>
      <c r="D3973" t="s">
        <v>26</v>
      </c>
      <c r="E3973" t="s">
        <v>62</v>
      </c>
      <c r="F3973">
        <v>1</v>
      </c>
      <c r="G3973" s="3" t="s">
        <v>32</v>
      </c>
      <c r="H3973" s="44" t="s">
        <v>15</v>
      </c>
      <c r="I3973" s="17">
        <v>151150</v>
      </c>
      <c r="J3973" s="17">
        <f>IF(Gastos[[#This Row],[Divisa]]="$", I3973*1, IF(Gastos[[#This Row],[Divisa]]="U$D", I3973*$N$1, IF(Gastos[[#This Row],[Divisa]]="EUR", I3973*$N$2, 0)))</f>
        <v>151150</v>
      </c>
      <c r="K3973" s="54">
        <f>Gastos[[#This Row],[Importe AR$]]/$N$1</f>
        <v>96.891025641025635</v>
      </c>
      <c r="M3973" s="69">
        <v>46126</v>
      </c>
      <c r="N3973" s="43">
        <f>IF(Gastos[[#This Row],[Fecha_Cheque]]&gt;0,WEEKNUM(Gastos[[#This Row],[Fecha_Cheque]]),MID(Gastos[[#This Row],[Semana]],6,2))</f>
        <v>16</v>
      </c>
      <c r="O3973" t="s">
        <v>3144</v>
      </c>
      <c r="P3973" t="s">
        <v>27</v>
      </c>
    </row>
    <row r="3974" spans="1:16" hidden="1" x14ac:dyDescent="0.25">
      <c r="A3974" s="3" t="s">
        <v>2731</v>
      </c>
      <c r="B3974" t="s">
        <v>2255</v>
      </c>
      <c r="C3974" t="s">
        <v>3143</v>
      </c>
      <c r="D3974" t="s">
        <v>26</v>
      </c>
      <c r="E3974" t="s">
        <v>62</v>
      </c>
      <c r="F3974">
        <v>1</v>
      </c>
      <c r="G3974" s="3" t="s">
        <v>32</v>
      </c>
      <c r="H3974" s="44" t="s">
        <v>15</v>
      </c>
      <c r="I3974" s="17">
        <v>750000</v>
      </c>
      <c r="J3974" s="17">
        <f>IF(Gastos[[#This Row],[Divisa]]="$", I3974*1, IF(Gastos[[#This Row],[Divisa]]="U$D", I3974*$N$1, IF(Gastos[[#This Row],[Divisa]]="EUR", I3974*$N$2, 0)))</f>
        <v>750000</v>
      </c>
      <c r="K3974" s="54">
        <f>Gastos[[#This Row],[Importe AR$]]/$N$1</f>
        <v>480.76923076923077</v>
      </c>
      <c r="M3974" s="69">
        <v>46119</v>
      </c>
      <c r="N3974" s="43">
        <f>IF(Gastos[[#This Row],[Fecha_Cheque]]&gt;0,WEEKNUM(Gastos[[#This Row],[Fecha_Cheque]]),MID(Gastos[[#This Row],[Semana]],6,2))</f>
        <v>15</v>
      </c>
      <c r="O3974" t="s">
        <v>3144</v>
      </c>
      <c r="P3974" t="s">
        <v>27</v>
      </c>
    </row>
    <row r="3975" spans="1:16" hidden="1" x14ac:dyDescent="0.25">
      <c r="A3975" s="3" t="s">
        <v>2731</v>
      </c>
      <c r="B3975" t="s">
        <v>2255</v>
      </c>
      <c r="C3975" t="s">
        <v>3143</v>
      </c>
      <c r="D3975" t="s">
        <v>26</v>
      </c>
      <c r="E3975" t="s">
        <v>62</v>
      </c>
      <c r="F3975">
        <v>1</v>
      </c>
      <c r="G3975" s="3" t="s">
        <v>32</v>
      </c>
      <c r="H3975" s="44" t="s">
        <v>15</v>
      </c>
      <c r="I3975" s="17">
        <v>10415.040000000001</v>
      </c>
      <c r="J3975" s="17">
        <f>IF(Gastos[[#This Row],[Divisa]]="$", I3975*1, IF(Gastos[[#This Row],[Divisa]]="U$D", I3975*$N$1, IF(Gastos[[#This Row],[Divisa]]="EUR", I3975*$N$2, 0)))</f>
        <v>10415.040000000001</v>
      </c>
      <c r="K3975" s="54">
        <f>Gastos[[#This Row],[Importe AR$]]/$N$1</f>
        <v>6.6763076923076925</v>
      </c>
      <c r="L3975" t="s">
        <v>340</v>
      </c>
      <c r="M3975" s="69"/>
      <c r="N3975" s="43" t="str">
        <f>IF(Gastos[[#This Row],[Fecha_Cheque]]&gt;0,WEEKNUM(Gastos[[#This Row],[Fecha_Cheque]]),MID(Gastos[[#This Row],[Semana]],6,2))</f>
        <v>17</v>
      </c>
      <c r="O3975" t="s">
        <v>3144</v>
      </c>
      <c r="P3975" t="s">
        <v>27</v>
      </c>
    </row>
    <row r="3976" spans="1:16" hidden="1" x14ac:dyDescent="0.25">
      <c r="A3976" s="3" t="s">
        <v>2751</v>
      </c>
      <c r="B3976" t="s">
        <v>2255</v>
      </c>
      <c r="C3976" t="s">
        <v>2692</v>
      </c>
      <c r="D3976" t="s">
        <v>26</v>
      </c>
      <c r="E3976" t="s">
        <v>62</v>
      </c>
      <c r="F3976">
        <v>1</v>
      </c>
      <c r="G3976" s="3" t="s">
        <v>32</v>
      </c>
      <c r="H3976" s="44" t="s">
        <v>15</v>
      </c>
      <c r="I3976" s="17">
        <v>151150</v>
      </c>
      <c r="J3976" s="17">
        <f>IF(Gastos[[#This Row],[Divisa]]="$", I3976*1, IF(Gastos[[#This Row],[Divisa]]="U$D", I3976*$N$1, IF(Gastos[[#This Row],[Divisa]]="EUR", I3976*$N$2, 0)))</f>
        <v>151150</v>
      </c>
      <c r="K3976" s="54">
        <f>Gastos[[#This Row],[Importe AR$]]/$N$1</f>
        <v>96.891025641025635</v>
      </c>
      <c r="M3976" s="69">
        <v>46126</v>
      </c>
      <c r="N3976" s="43">
        <f>IF(Gastos[[#This Row],[Fecha_Cheque]]&gt;0,WEEKNUM(Gastos[[#This Row],[Fecha_Cheque]]),MID(Gastos[[#This Row],[Semana]],6,2))</f>
        <v>16</v>
      </c>
      <c r="O3976" t="s">
        <v>3144</v>
      </c>
      <c r="P3976" t="s">
        <v>27</v>
      </c>
    </row>
    <row r="3977" spans="1:16" hidden="1" x14ac:dyDescent="0.25">
      <c r="A3977" s="3" t="s">
        <v>2751</v>
      </c>
      <c r="B3977" t="s">
        <v>2255</v>
      </c>
      <c r="C3977" t="s">
        <v>2692</v>
      </c>
      <c r="D3977" t="s">
        <v>26</v>
      </c>
      <c r="E3977" t="s">
        <v>62</v>
      </c>
      <c r="F3977">
        <v>1</v>
      </c>
      <c r="G3977" s="3" t="s">
        <v>32</v>
      </c>
      <c r="H3977" s="44" t="s">
        <v>15</v>
      </c>
      <c r="I3977" s="17">
        <v>750000</v>
      </c>
      <c r="J3977" s="17">
        <f>IF(Gastos[[#This Row],[Divisa]]="$", I3977*1, IF(Gastos[[#This Row],[Divisa]]="U$D", I3977*$N$1, IF(Gastos[[#This Row],[Divisa]]="EUR", I3977*$N$2, 0)))</f>
        <v>750000</v>
      </c>
      <c r="K3977" s="54">
        <f>Gastos[[#This Row],[Importe AR$]]/$N$1</f>
        <v>480.76923076923077</v>
      </c>
      <c r="M3977" s="69">
        <v>46119</v>
      </c>
      <c r="N3977" s="43">
        <f>IF(Gastos[[#This Row],[Fecha_Cheque]]&gt;0,WEEKNUM(Gastos[[#This Row],[Fecha_Cheque]]),MID(Gastos[[#This Row],[Semana]],6,2))</f>
        <v>15</v>
      </c>
      <c r="O3977" t="s">
        <v>3144</v>
      </c>
      <c r="P3977" t="s">
        <v>27</v>
      </c>
    </row>
    <row r="3978" spans="1:16" hidden="1" x14ac:dyDescent="0.25">
      <c r="A3978" s="3" t="s">
        <v>2751</v>
      </c>
      <c r="B3978" t="s">
        <v>2255</v>
      </c>
      <c r="C3978" t="s">
        <v>2692</v>
      </c>
      <c r="D3978" t="s">
        <v>26</v>
      </c>
      <c r="E3978" t="s">
        <v>62</v>
      </c>
      <c r="F3978">
        <v>1</v>
      </c>
      <c r="G3978" s="3" t="s">
        <v>32</v>
      </c>
      <c r="H3978" s="44" t="s">
        <v>15</v>
      </c>
      <c r="I3978" s="17">
        <v>10415.040000000001</v>
      </c>
      <c r="J3978" s="17">
        <f>IF(Gastos[[#This Row],[Divisa]]="$", I3978*1, IF(Gastos[[#This Row],[Divisa]]="U$D", I3978*$N$1, IF(Gastos[[#This Row],[Divisa]]="EUR", I3978*$N$2, 0)))</f>
        <v>10415.040000000001</v>
      </c>
      <c r="K3978" s="54">
        <f>Gastos[[#This Row],[Importe AR$]]/$N$1</f>
        <v>6.6763076923076925</v>
      </c>
      <c r="L3978" t="s">
        <v>340</v>
      </c>
      <c r="M3978" s="69"/>
      <c r="N3978" s="43" t="str">
        <f>IF(Gastos[[#This Row],[Fecha_Cheque]]&gt;0,WEEKNUM(Gastos[[#This Row],[Fecha_Cheque]]),MID(Gastos[[#This Row],[Semana]],6,2))</f>
        <v>18</v>
      </c>
      <c r="O3978" t="s">
        <v>3144</v>
      </c>
      <c r="P3978" t="s">
        <v>27</v>
      </c>
    </row>
    <row r="3979" spans="1:16" hidden="1" x14ac:dyDescent="0.25">
      <c r="A3979" s="3" t="s">
        <v>2726</v>
      </c>
      <c r="B3979" t="s">
        <v>2255</v>
      </c>
      <c r="C3979" t="s">
        <v>2692</v>
      </c>
      <c r="D3979" t="s">
        <v>26</v>
      </c>
      <c r="E3979" t="s">
        <v>31</v>
      </c>
      <c r="F3979">
        <v>1</v>
      </c>
      <c r="G3979" s="3" t="s">
        <v>5</v>
      </c>
      <c r="H3979" s="44" t="s">
        <v>15</v>
      </c>
      <c r="I3979" s="17">
        <v>672458.55</v>
      </c>
      <c r="J3979" s="17">
        <f>IF(Gastos[[#This Row],[Divisa]]="$", I3979*1, IF(Gastos[[#This Row],[Divisa]]="U$D", I3979*$N$1, IF(Gastos[[#This Row],[Divisa]]="EUR", I3979*$N$2, 0)))</f>
        <v>672458.55</v>
      </c>
      <c r="K3979" s="54">
        <f>Gastos[[#This Row],[Importe AR$]]/$N$1</f>
        <v>431.06317307692308</v>
      </c>
      <c r="M3979" s="69"/>
      <c r="N3979" s="43" t="str">
        <f>IF(Gastos[[#This Row],[Fecha_Cheque]]&gt;0,WEEKNUM(Gastos[[#This Row],[Fecha_Cheque]]),MID(Gastos[[#This Row],[Semana]],6,2))</f>
        <v>24</v>
      </c>
      <c r="O3979" t="s">
        <v>3454</v>
      </c>
      <c r="P3979" t="s">
        <v>27</v>
      </c>
    </row>
    <row r="3980" spans="1:16" hidden="1" x14ac:dyDescent="0.25">
      <c r="A3980" s="3" t="s">
        <v>2726</v>
      </c>
      <c r="B3980" t="s">
        <v>2255</v>
      </c>
      <c r="C3980" t="s">
        <v>2692</v>
      </c>
      <c r="D3980" t="s">
        <v>26</v>
      </c>
      <c r="E3980" t="s">
        <v>31</v>
      </c>
      <c r="F3980">
        <v>1</v>
      </c>
      <c r="G3980" s="3" t="s">
        <v>5</v>
      </c>
      <c r="H3980" s="44" t="s">
        <v>15</v>
      </c>
      <c r="I3980" s="17">
        <v>6746.53</v>
      </c>
      <c r="J3980" s="17">
        <f>IF(Gastos[[#This Row],[Divisa]]="$", I3980*1, IF(Gastos[[#This Row],[Divisa]]="U$D", I3980*$N$1, IF(Gastos[[#This Row],[Divisa]]="EUR", I3980*$N$2, 0)))</f>
        <v>6746.53</v>
      </c>
      <c r="K3980" s="54">
        <f>Gastos[[#This Row],[Importe AR$]]/$N$1</f>
        <v>4.324698717948718</v>
      </c>
      <c r="L3980" t="s">
        <v>340</v>
      </c>
      <c r="M3980" s="69"/>
      <c r="N3980" s="43" t="str">
        <f>IF(Gastos[[#This Row],[Fecha_Cheque]]&gt;0,WEEKNUM(Gastos[[#This Row],[Fecha_Cheque]]),MID(Gastos[[#This Row],[Semana]],6,2))</f>
        <v>24</v>
      </c>
      <c r="O3980" t="s">
        <v>3454</v>
      </c>
      <c r="P3980" t="s">
        <v>27</v>
      </c>
    </row>
    <row r="3981" spans="1:16" hidden="1" x14ac:dyDescent="0.25">
      <c r="A3981" s="3" t="s">
        <v>3617</v>
      </c>
      <c r="B3981" t="s">
        <v>2255</v>
      </c>
      <c r="C3981" t="s">
        <v>2692</v>
      </c>
      <c r="D3981" t="s">
        <v>26</v>
      </c>
      <c r="E3981" t="s">
        <v>31</v>
      </c>
      <c r="F3981">
        <v>1</v>
      </c>
      <c r="G3981" s="3" t="s">
        <v>5</v>
      </c>
      <c r="H3981" s="44" t="s">
        <v>15</v>
      </c>
      <c r="I3981" s="17">
        <v>337680</v>
      </c>
      <c r="J3981" s="17">
        <f>IF(Gastos[[#This Row],[Divisa]]="$", I3981*1, IF(Gastos[[#This Row],[Divisa]]="U$D", I3981*$N$1, IF(Gastos[[#This Row],[Divisa]]="EUR", I3981*$N$2, 0)))</f>
        <v>337680</v>
      </c>
      <c r="K3981" s="54">
        <f>Gastos[[#This Row],[Importe AR$]]/$N$1</f>
        <v>216.46153846153845</v>
      </c>
      <c r="M3981" s="69"/>
      <c r="N3981" s="43" t="str">
        <f>IF(Gastos[[#This Row],[Fecha_Cheque]]&gt;0,WEEKNUM(Gastos[[#This Row],[Fecha_Cheque]]),MID(Gastos[[#This Row],[Semana]],6,2))</f>
        <v>27</v>
      </c>
      <c r="O3981" t="s">
        <v>3650</v>
      </c>
      <c r="P3981" t="s">
        <v>27</v>
      </c>
    </row>
    <row r="3982" spans="1:16" hidden="1" x14ac:dyDescent="0.25">
      <c r="A3982" s="3" t="s">
        <v>3617</v>
      </c>
      <c r="B3982" t="s">
        <v>2255</v>
      </c>
      <c r="C3982" t="s">
        <v>2692</v>
      </c>
      <c r="D3982" t="s">
        <v>26</v>
      </c>
      <c r="E3982" t="s">
        <v>31</v>
      </c>
      <c r="F3982">
        <v>1</v>
      </c>
      <c r="G3982" s="3" t="s">
        <v>5</v>
      </c>
      <c r="H3982" s="44" t="s">
        <v>15</v>
      </c>
      <c r="I3982" s="17">
        <v>1120</v>
      </c>
      <c r="J3982" s="17">
        <f>IF(Gastos[[#This Row],[Divisa]]="$", I3982*1, IF(Gastos[[#This Row],[Divisa]]="U$D", I3982*$N$1, IF(Gastos[[#This Row],[Divisa]]="EUR", I3982*$N$2, 0)))</f>
        <v>1120</v>
      </c>
      <c r="K3982" s="54">
        <f>Gastos[[#This Row],[Importe AR$]]/$N$1</f>
        <v>0.71794871794871795</v>
      </c>
      <c r="L3982" t="s">
        <v>340</v>
      </c>
      <c r="M3982" s="69"/>
      <c r="N3982" s="43" t="str">
        <f>IF(Gastos[[#This Row],[Fecha_Cheque]]&gt;0,WEEKNUM(Gastos[[#This Row],[Fecha_Cheque]]),MID(Gastos[[#This Row],[Semana]],6,2))</f>
        <v>27</v>
      </c>
      <c r="O3982" t="s">
        <v>3650</v>
      </c>
      <c r="P3982" t="s">
        <v>27</v>
      </c>
    </row>
    <row r="3983" spans="1:16" hidden="1" x14ac:dyDescent="0.25">
      <c r="A3983" s="3" t="s">
        <v>3963</v>
      </c>
      <c r="B3983" t="s">
        <v>2255</v>
      </c>
      <c r="C3983" t="s">
        <v>2260</v>
      </c>
      <c r="D3983" t="s">
        <v>26</v>
      </c>
      <c r="E3983" t="s">
        <v>31</v>
      </c>
      <c r="F3983">
        <v>1</v>
      </c>
      <c r="G3983" s="3" t="s">
        <v>32</v>
      </c>
      <c r="H3983" s="44" t="s">
        <v>15</v>
      </c>
      <c r="I3983" s="17">
        <v>5732316.5199999996</v>
      </c>
      <c r="J3983" s="17">
        <f>IF(Gastos[[#This Row],[Divisa]]="$", I3983*1, IF(Gastos[[#This Row],[Divisa]]="U$D", I3983*$N$1, IF(Gastos[[#This Row],[Divisa]]="EUR", I3983*$N$2, 0)))</f>
        <v>5732316.5199999996</v>
      </c>
      <c r="K3983" s="54">
        <f>Gastos[[#This Row],[Importe AR$]]/$N$1</f>
        <v>3674.5618717948714</v>
      </c>
      <c r="M3983" s="69">
        <v>46300</v>
      </c>
      <c r="N3983" s="43">
        <f>IF(Gastos[[#This Row],[Fecha_Cheque]]&gt;0,WEEKNUM(Gastos[[#This Row],[Fecha_Cheque]]),MID(Gastos[[#This Row],[Semana]],6,2))</f>
        <v>41</v>
      </c>
      <c r="O3983" t="s">
        <v>3966</v>
      </c>
      <c r="P3983" t="s">
        <v>27</v>
      </c>
    </row>
    <row r="3984" spans="1:16" hidden="1" x14ac:dyDescent="0.25">
      <c r="A3984" s="3" t="s">
        <v>3963</v>
      </c>
      <c r="B3984" t="s">
        <v>2255</v>
      </c>
      <c r="C3984" t="s">
        <v>2260</v>
      </c>
      <c r="D3984" t="s">
        <v>26</v>
      </c>
      <c r="E3984" t="s">
        <v>31</v>
      </c>
      <c r="F3984">
        <v>1</v>
      </c>
      <c r="G3984" s="3" t="s">
        <v>32</v>
      </c>
      <c r="H3984" s="44" t="s">
        <v>15</v>
      </c>
      <c r="I3984" s="17">
        <v>91786.16</v>
      </c>
      <c r="J3984" s="17">
        <f>IF(Gastos[[#This Row],[Divisa]]="$", I3984*1, IF(Gastos[[#This Row],[Divisa]]="U$D", I3984*$N$1, IF(Gastos[[#This Row],[Divisa]]="EUR", I3984*$N$2, 0)))</f>
        <v>91786.16</v>
      </c>
      <c r="K3984" s="54">
        <f>Gastos[[#This Row],[Importe AR$]]/$N$1</f>
        <v>58.837282051282052</v>
      </c>
      <c r="L3984" t="s">
        <v>340</v>
      </c>
      <c r="M3984" s="69"/>
      <c r="N3984" s="43" t="str">
        <f>IF(Gastos[[#This Row],[Fecha_Cheque]]&gt;0,WEEKNUM(Gastos[[#This Row],[Fecha_Cheque]]),MID(Gastos[[#This Row],[Semana]],6,2))</f>
        <v>32</v>
      </c>
      <c r="O3984" t="s">
        <v>3966</v>
      </c>
      <c r="P3984" t="s">
        <v>27</v>
      </c>
    </row>
    <row r="3985" spans="1:16" hidden="1" x14ac:dyDescent="0.25">
      <c r="A3985" s="3" t="s">
        <v>4005</v>
      </c>
      <c r="B3985" t="s">
        <v>2255</v>
      </c>
      <c r="C3985" t="s">
        <v>2260</v>
      </c>
      <c r="D3985" t="s">
        <v>26</v>
      </c>
      <c r="E3985" t="s">
        <v>62</v>
      </c>
      <c r="F3985">
        <v>1</v>
      </c>
      <c r="G3985" s="3" t="s">
        <v>5</v>
      </c>
      <c r="H3985" s="44" t="s">
        <v>15</v>
      </c>
      <c r="I3985" s="17">
        <v>620000</v>
      </c>
      <c r="J3985" s="17">
        <f>IF(Gastos[[#This Row],[Divisa]]="$", I3985*1, IF(Gastos[[#This Row],[Divisa]]="U$D", I3985*$N$1, IF(Gastos[[#This Row],[Divisa]]="EUR", I3985*$N$2, 0)))</f>
        <v>620000</v>
      </c>
      <c r="K3985" s="54">
        <f>Gastos[[#This Row],[Importe AR$]]/$N$1</f>
        <v>397.43589743589746</v>
      </c>
      <c r="M3985" s="69">
        <v>46270</v>
      </c>
      <c r="N3985" s="43">
        <f>IF(Gastos[[#This Row],[Fecha_Cheque]]&gt;0,WEEKNUM(Gastos[[#This Row],[Fecha_Cheque]]),MID(Gastos[[#This Row],[Semana]],6,2))</f>
        <v>36</v>
      </c>
      <c r="O3985" t="s">
        <v>4067</v>
      </c>
      <c r="P3985" t="s">
        <v>27</v>
      </c>
    </row>
    <row r="3986" spans="1:16" hidden="1" x14ac:dyDescent="0.25">
      <c r="A3986" s="3" t="s">
        <v>4005</v>
      </c>
      <c r="B3986" t="s">
        <v>2255</v>
      </c>
      <c r="C3986" t="s">
        <v>2260</v>
      </c>
      <c r="D3986" t="s">
        <v>26</v>
      </c>
      <c r="E3986" t="s">
        <v>62</v>
      </c>
      <c r="F3986">
        <v>1</v>
      </c>
      <c r="G3986" s="3" t="s">
        <v>5</v>
      </c>
      <c r="H3986" s="44" t="s">
        <v>15</v>
      </c>
      <c r="I3986" s="17">
        <v>10247.93</v>
      </c>
      <c r="J3986" s="17">
        <f>IF(Gastos[[#This Row],[Divisa]]="$", I3986*1, IF(Gastos[[#This Row],[Divisa]]="U$D", I3986*$N$1, IF(Gastos[[#This Row],[Divisa]]="EUR", I3986*$N$2, 0)))</f>
        <v>10247.93</v>
      </c>
      <c r="K3986" s="54">
        <f>Gastos[[#This Row],[Importe AR$]]/$N$1</f>
        <v>6.5691858974358972</v>
      </c>
      <c r="L3986" t="s">
        <v>340</v>
      </c>
      <c r="M3986" s="69"/>
      <c r="N3986" s="43" t="str">
        <f>IF(Gastos[[#This Row],[Fecha_Cheque]]&gt;0,WEEKNUM(Gastos[[#This Row],[Fecha_Cheque]]),MID(Gastos[[#This Row],[Semana]],6,2))</f>
        <v>33</v>
      </c>
      <c r="O3986" t="s">
        <v>4067</v>
      </c>
      <c r="P3986" t="s">
        <v>27</v>
      </c>
    </row>
    <row r="3987" spans="1:16" hidden="1" x14ac:dyDescent="0.25">
      <c r="A3987" s="3" t="s">
        <v>4569</v>
      </c>
      <c r="B3987" t="s">
        <v>2255</v>
      </c>
      <c r="C3987" t="s">
        <v>2260</v>
      </c>
      <c r="D3987" t="s">
        <v>26</v>
      </c>
      <c r="E3987" t="s">
        <v>62</v>
      </c>
      <c r="F3987">
        <v>1</v>
      </c>
      <c r="G3987" s="3" t="s">
        <v>5</v>
      </c>
      <c r="H3987" s="44" t="s">
        <v>15</v>
      </c>
      <c r="I3987" s="17">
        <v>956000</v>
      </c>
      <c r="J3987" s="17">
        <f>IF(Gastos[[#This Row],[Divisa]]="$", I3987*1, IF(Gastos[[#This Row],[Divisa]]="U$D", I3987*$N$1, IF(Gastos[[#This Row],[Divisa]]="EUR", I3987*$N$2, 0)))</f>
        <v>956000</v>
      </c>
      <c r="K3987" s="54">
        <f>Gastos[[#This Row],[Importe AR$]]/$N$1</f>
        <v>612.82051282051282</v>
      </c>
      <c r="M3987" s="69">
        <v>46338</v>
      </c>
      <c r="N3987" s="43">
        <f>IF(Gastos[[#This Row],[Fecha_Cheque]]&gt;0,WEEKNUM(Gastos[[#This Row],[Fecha_Cheque]]),MID(Gastos[[#This Row],[Semana]],6,2))</f>
        <v>46</v>
      </c>
      <c r="O3987" t="s">
        <v>4609</v>
      </c>
      <c r="P3987" t="s">
        <v>27</v>
      </c>
    </row>
    <row r="3988" spans="1:16" hidden="1" x14ac:dyDescent="0.25">
      <c r="A3988" s="3" t="s">
        <v>4569</v>
      </c>
      <c r="B3988" t="s">
        <v>2255</v>
      </c>
      <c r="C3988" t="s">
        <v>2260</v>
      </c>
      <c r="D3988" t="s">
        <v>26</v>
      </c>
      <c r="E3988" t="s">
        <v>62</v>
      </c>
      <c r="F3988">
        <v>1</v>
      </c>
      <c r="G3988" s="3" t="s">
        <v>5</v>
      </c>
      <c r="H3988" s="44" t="s">
        <v>15</v>
      </c>
      <c r="I3988" s="17">
        <v>114317.32</v>
      </c>
      <c r="J3988" s="17">
        <f>IF(Gastos[[#This Row],[Divisa]]="$", I3988*1, IF(Gastos[[#This Row],[Divisa]]="U$D", I3988*$N$1, IF(Gastos[[#This Row],[Divisa]]="EUR", I3988*$N$2, 0)))</f>
        <v>114317.32</v>
      </c>
      <c r="K3988" s="54">
        <f>Gastos[[#This Row],[Importe AR$]]/$N$1</f>
        <v>73.280333333333331</v>
      </c>
      <c r="M3988" s="69"/>
      <c r="N3988" s="43" t="str">
        <f>IF(Gastos[[#This Row],[Fecha_Cheque]]&gt;0,WEEKNUM(Gastos[[#This Row],[Fecha_Cheque]]),MID(Gastos[[#This Row],[Semana]],6,2))</f>
        <v>43</v>
      </c>
      <c r="O3988" t="s">
        <v>4609</v>
      </c>
      <c r="P3988" t="s">
        <v>27</v>
      </c>
    </row>
    <row r="3989" spans="1:16" hidden="1" x14ac:dyDescent="0.25">
      <c r="A3989" s="3" t="s">
        <v>4569</v>
      </c>
      <c r="B3989" t="s">
        <v>2255</v>
      </c>
      <c r="C3989" t="s">
        <v>2260</v>
      </c>
      <c r="D3989" t="s">
        <v>26</v>
      </c>
      <c r="E3989" t="s">
        <v>62</v>
      </c>
      <c r="F3989">
        <v>1</v>
      </c>
      <c r="G3989" s="3" t="s">
        <v>5</v>
      </c>
      <c r="H3989" s="44" t="s">
        <v>15</v>
      </c>
      <c r="I3989" s="17">
        <v>18682.68</v>
      </c>
      <c r="J3989" s="17">
        <f>IF(Gastos[[#This Row],[Divisa]]="$", I3989*1, IF(Gastos[[#This Row],[Divisa]]="U$D", I3989*$N$1, IF(Gastos[[#This Row],[Divisa]]="EUR", I3989*$N$2, 0)))</f>
        <v>18682.68</v>
      </c>
      <c r="K3989" s="54">
        <f>Gastos[[#This Row],[Importe AR$]]/$N$1</f>
        <v>11.976076923076922</v>
      </c>
      <c r="L3989" t="s">
        <v>340</v>
      </c>
      <c r="M3989" s="69"/>
      <c r="N3989" s="43" t="str">
        <f>IF(Gastos[[#This Row],[Fecha_Cheque]]&gt;0,WEEKNUM(Gastos[[#This Row],[Fecha_Cheque]]),MID(Gastos[[#This Row],[Semana]],6,2))</f>
        <v>43</v>
      </c>
      <c r="O3989" t="s">
        <v>4609</v>
      </c>
      <c r="P3989" t="s">
        <v>27</v>
      </c>
    </row>
    <row r="3990" spans="1:16" hidden="1" x14ac:dyDescent="0.25">
      <c r="A3990" s="3" t="s">
        <v>75</v>
      </c>
      <c r="B3990" t="s">
        <v>2268</v>
      </c>
      <c r="D3990" t="s">
        <v>26</v>
      </c>
      <c r="E3990" t="s">
        <v>91</v>
      </c>
      <c r="F3990">
        <v>1</v>
      </c>
      <c r="G3990" s="3" t="s">
        <v>5</v>
      </c>
      <c r="H3990" s="46" t="s">
        <v>15</v>
      </c>
      <c r="I3990" s="17">
        <v>372445.28</v>
      </c>
      <c r="J3990" s="17">
        <f>IF(Gastos[[#This Row],[Divisa]]="$", I3990*1, IF(Gastos[[#This Row],[Divisa]]="U$D", I3990*$N$1, IF(Gastos[[#This Row],[Divisa]]="EUR", I3990*$N$2, 0)))</f>
        <v>372445.28</v>
      </c>
      <c r="K3990" s="54">
        <f>Gastos[[#This Row],[Importe AR$]]/$N$1</f>
        <v>238.74697435897437</v>
      </c>
      <c r="M3990" s="69"/>
      <c r="N3990" s="43" t="str">
        <f>IF(Gastos[[#This Row],[Fecha_Cheque]]&gt;0,WEEKNUM(Gastos[[#This Row],[Fecha_Cheque]]),MID(Gastos[[#This Row],[Semana]],6,2))</f>
        <v>07</v>
      </c>
      <c r="O3990" t="s">
        <v>2269</v>
      </c>
      <c r="P3990" t="s">
        <v>27</v>
      </c>
    </row>
    <row r="3991" spans="1:16" hidden="1" x14ac:dyDescent="0.25">
      <c r="A3991" s="3" t="s">
        <v>130</v>
      </c>
      <c r="B3991" t="s">
        <v>2268</v>
      </c>
      <c r="C3991" t="s">
        <v>2270</v>
      </c>
      <c r="D3991" t="s">
        <v>26</v>
      </c>
      <c r="E3991" t="s">
        <v>31</v>
      </c>
      <c r="F3991">
        <v>1</v>
      </c>
      <c r="G3991" s="3" t="s">
        <v>32</v>
      </c>
      <c r="H3991" s="46" t="s">
        <v>15</v>
      </c>
      <c r="I3991" s="17">
        <v>14547672.710000001</v>
      </c>
      <c r="J3991" s="17">
        <f>IF(Gastos[[#This Row],[Divisa]]="$", I3991*1, IF(Gastos[[#This Row],[Divisa]]="U$D", I3991*$N$1, IF(Gastos[[#This Row],[Divisa]]="EUR", I3991*$N$2, 0)))</f>
        <v>14547672.710000001</v>
      </c>
      <c r="K3991" s="54">
        <f>Gastos[[#This Row],[Importe AR$]]/$N$1</f>
        <v>9325.4312243589757</v>
      </c>
      <c r="M3991" s="69">
        <v>46002</v>
      </c>
      <c r="N3991" s="43">
        <f>IF(Gastos[[#This Row],[Fecha_Cheque]]&gt;0,WEEKNUM(Gastos[[#This Row],[Fecha_Cheque]]),MID(Gastos[[#This Row],[Semana]],6,2))</f>
        <v>50</v>
      </c>
      <c r="O3991" t="s">
        <v>2271</v>
      </c>
      <c r="P3991" t="s">
        <v>27</v>
      </c>
    </row>
    <row r="3992" spans="1:16" hidden="1" x14ac:dyDescent="0.25">
      <c r="A3992" s="3" t="s">
        <v>152</v>
      </c>
      <c r="B3992" t="s">
        <v>2268</v>
      </c>
      <c r="C3992" t="s">
        <v>2272</v>
      </c>
      <c r="D3992" t="s">
        <v>26</v>
      </c>
      <c r="E3992" t="s">
        <v>31</v>
      </c>
      <c r="F3992">
        <v>1</v>
      </c>
      <c r="G3992" s="3" t="s">
        <v>32</v>
      </c>
      <c r="H3992" s="46" t="s">
        <v>15</v>
      </c>
      <c r="I3992" s="17">
        <v>582500</v>
      </c>
      <c r="J3992" s="17">
        <f>IF(Gastos[[#This Row],[Divisa]]="$", I3992*1, IF(Gastos[[#This Row],[Divisa]]="U$D", I3992*$N$1, IF(Gastos[[#This Row],[Divisa]]="EUR", I3992*$N$2, 0)))</f>
        <v>582500</v>
      </c>
      <c r="K3992" s="54">
        <f>Gastos[[#This Row],[Importe AR$]]/$N$1</f>
        <v>373.39743589743591</v>
      </c>
      <c r="M3992" s="69">
        <v>46036</v>
      </c>
      <c r="N3992" s="43">
        <f>IF(Gastos[[#This Row],[Fecha_Cheque]]&gt;0,WEEKNUM(Gastos[[#This Row],[Fecha_Cheque]]),MID(Gastos[[#This Row],[Semana]],6,2))</f>
        <v>3</v>
      </c>
      <c r="O3992" t="s">
        <v>2273</v>
      </c>
      <c r="P3992" t="s">
        <v>27</v>
      </c>
    </row>
    <row r="3993" spans="1:16" hidden="1" x14ac:dyDescent="0.25">
      <c r="A3993" s="3" t="s">
        <v>152</v>
      </c>
      <c r="B3993" t="s">
        <v>2268</v>
      </c>
      <c r="C3993" t="s">
        <v>2272</v>
      </c>
      <c r="D3993" t="s">
        <v>26</v>
      </c>
      <c r="E3993" t="s">
        <v>31</v>
      </c>
      <c r="F3993">
        <v>1</v>
      </c>
      <c r="G3993" s="3" t="s">
        <v>32</v>
      </c>
      <c r="H3993" s="46" t="s">
        <v>15</v>
      </c>
      <c r="I3993" s="17">
        <v>625000</v>
      </c>
      <c r="J3993" s="17">
        <f>IF(Gastos[[#This Row],[Divisa]]="$", I3993*1, IF(Gastos[[#This Row],[Divisa]]="U$D", I3993*$N$1, IF(Gastos[[#This Row],[Divisa]]="EUR", I3993*$N$2, 0)))</f>
        <v>625000</v>
      </c>
      <c r="K3993" s="54">
        <f>Gastos[[#This Row],[Importe AR$]]/$N$1</f>
        <v>400.64102564102564</v>
      </c>
      <c r="M3993" s="69">
        <v>46065</v>
      </c>
      <c r="N3993" s="43">
        <f>IF(Gastos[[#This Row],[Fecha_Cheque]]&gt;0,WEEKNUM(Gastos[[#This Row],[Fecha_Cheque]]),MID(Gastos[[#This Row],[Semana]],6,2))</f>
        <v>7</v>
      </c>
      <c r="O3993" t="s">
        <v>2273</v>
      </c>
      <c r="P3993" t="s">
        <v>27</v>
      </c>
    </row>
    <row r="3994" spans="1:16" hidden="1" x14ac:dyDescent="0.25">
      <c r="A3994" s="3" t="s">
        <v>152</v>
      </c>
      <c r="B3994" t="s">
        <v>2268</v>
      </c>
      <c r="C3994" t="s">
        <v>2272</v>
      </c>
      <c r="D3994" t="s">
        <v>26</v>
      </c>
      <c r="E3994" t="s">
        <v>31</v>
      </c>
      <c r="F3994">
        <v>1</v>
      </c>
      <c r="G3994" s="3" t="s">
        <v>32</v>
      </c>
      <c r="H3994" s="46" t="s">
        <v>15</v>
      </c>
      <c r="I3994" s="17">
        <v>652650</v>
      </c>
      <c r="J3994" s="17">
        <f>IF(Gastos[[#This Row],[Divisa]]="$", I3994*1, IF(Gastos[[#This Row],[Divisa]]="U$D", I3994*$N$1, IF(Gastos[[#This Row],[Divisa]]="EUR", I3994*$N$2, 0)))</f>
        <v>652650</v>
      </c>
      <c r="K3994" s="54">
        <f>Gastos[[#This Row],[Importe AR$]]/$N$1</f>
        <v>418.36538461538464</v>
      </c>
      <c r="M3994" s="69">
        <v>46041</v>
      </c>
      <c r="N3994" s="43">
        <f>IF(Gastos[[#This Row],[Fecha_Cheque]]&gt;0,WEEKNUM(Gastos[[#This Row],[Fecha_Cheque]]),MID(Gastos[[#This Row],[Semana]],6,2))</f>
        <v>4</v>
      </c>
      <c r="O3994" t="s">
        <v>2273</v>
      </c>
      <c r="P3994" t="s">
        <v>27</v>
      </c>
    </row>
    <row r="3995" spans="1:16" hidden="1" x14ac:dyDescent="0.25">
      <c r="A3995" s="3" t="s">
        <v>232</v>
      </c>
      <c r="B3995" t="s">
        <v>2275</v>
      </c>
      <c r="C3995" t="s">
        <v>2276</v>
      </c>
      <c r="D3995" t="s">
        <v>26</v>
      </c>
      <c r="E3995" t="s">
        <v>42</v>
      </c>
      <c r="F3995">
        <v>2</v>
      </c>
      <c r="G3995" s="3" t="s">
        <v>4</v>
      </c>
      <c r="H3995" s="46" t="s">
        <v>15</v>
      </c>
      <c r="I3995" s="17">
        <v>140000</v>
      </c>
      <c r="J3995" s="17">
        <f>IF(Gastos[[#This Row],[Divisa]]="$", I3995*1, IF(Gastos[[#This Row],[Divisa]]="U$D", I3995*$N$1, IF(Gastos[[#This Row],[Divisa]]="EUR", I3995*$N$2, 0)))</f>
        <v>140000</v>
      </c>
      <c r="K3995" s="54">
        <f>Gastos[[#This Row],[Importe AR$]]/$N$1</f>
        <v>89.743589743589737</v>
      </c>
      <c r="M3995" s="69"/>
      <c r="N3995" s="43" t="str">
        <f>IF(Gastos[[#This Row],[Fecha_Cheque]]&gt;0,WEEKNUM(Gastos[[#This Row],[Fecha_Cheque]]),MID(Gastos[[#This Row],[Semana]],6,2))</f>
        <v>44</v>
      </c>
      <c r="O3995" t="s">
        <v>2277</v>
      </c>
      <c r="P3995" t="s">
        <v>27</v>
      </c>
    </row>
    <row r="3996" spans="1:16" hidden="1" x14ac:dyDescent="0.25">
      <c r="A3996" s="3" t="s">
        <v>105</v>
      </c>
      <c r="B3996" t="s">
        <v>2278</v>
      </c>
      <c r="C3996" t="s">
        <v>115</v>
      </c>
      <c r="D3996" t="s">
        <v>26</v>
      </c>
      <c r="E3996" t="s">
        <v>132</v>
      </c>
      <c r="F3996">
        <v>1</v>
      </c>
      <c r="G3996" s="3" t="s">
        <v>32</v>
      </c>
      <c r="H3996" s="46" t="s">
        <v>15</v>
      </c>
      <c r="I3996" s="17">
        <v>12927648.810000001</v>
      </c>
      <c r="J3996" s="17">
        <f>IF(Gastos[[#This Row],[Divisa]]="$", I3996*1, IF(Gastos[[#This Row],[Divisa]]="U$D", I3996*$N$1, IF(Gastos[[#This Row],[Divisa]]="EUR", I3996*$N$2, 0)))</f>
        <v>12927648.810000001</v>
      </c>
      <c r="K3996" s="54">
        <f>Gastos[[#This Row],[Importe AR$]]/$N$1</f>
        <v>8286.9543653846158</v>
      </c>
      <c r="L3996" t="s">
        <v>2279</v>
      </c>
      <c r="M3996" s="69">
        <v>45891</v>
      </c>
      <c r="N3996" s="43">
        <f>IF(Gastos[[#This Row],[Fecha_Cheque]]&gt;0,WEEKNUM(Gastos[[#This Row],[Fecha_Cheque]]),MID(Gastos[[#This Row],[Semana]],6,2))</f>
        <v>34</v>
      </c>
      <c r="O3996" t="s">
        <v>2280</v>
      </c>
      <c r="P3996" t="s">
        <v>27</v>
      </c>
    </row>
    <row r="3997" spans="1:16" hidden="1" x14ac:dyDescent="0.25">
      <c r="A3997" s="3" t="s">
        <v>105</v>
      </c>
      <c r="B3997" t="s">
        <v>2278</v>
      </c>
      <c r="C3997" t="s">
        <v>115</v>
      </c>
      <c r="D3997" t="s">
        <v>26</v>
      </c>
      <c r="E3997" t="s">
        <v>132</v>
      </c>
      <c r="F3997">
        <v>1</v>
      </c>
      <c r="G3997" s="3" t="s">
        <v>32</v>
      </c>
      <c r="H3997" s="46" t="s">
        <v>15</v>
      </c>
      <c r="I3997" s="17">
        <v>12927648.810000001</v>
      </c>
      <c r="J3997" s="17">
        <f>IF(Gastos[[#This Row],[Divisa]]="$", I3997*1, IF(Gastos[[#This Row],[Divisa]]="U$D", I3997*$N$1, IF(Gastos[[#This Row],[Divisa]]="EUR", I3997*$N$2, 0)))</f>
        <v>12927648.810000001</v>
      </c>
      <c r="K3997" s="54">
        <f>Gastos[[#This Row],[Importe AR$]]/$N$1</f>
        <v>8286.9543653846158</v>
      </c>
      <c r="L3997" t="s">
        <v>2281</v>
      </c>
      <c r="M3997" s="69">
        <v>45870</v>
      </c>
      <c r="N3997" s="43">
        <f>IF(Gastos[[#This Row],[Fecha_Cheque]]&gt;0,WEEKNUM(Gastos[[#This Row],[Fecha_Cheque]]),MID(Gastos[[#This Row],[Semana]],6,2))</f>
        <v>31</v>
      </c>
      <c r="O3997" t="s">
        <v>2280</v>
      </c>
      <c r="P3997" t="s">
        <v>27</v>
      </c>
    </row>
    <row r="3998" spans="1:16" hidden="1" x14ac:dyDescent="0.25">
      <c r="A3998" s="3" t="s">
        <v>105</v>
      </c>
      <c r="B3998" t="s">
        <v>2278</v>
      </c>
      <c r="C3998" t="s">
        <v>115</v>
      </c>
      <c r="D3998" t="s">
        <v>26</v>
      </c>
      <c r="E3998" t="s">
        <v>132</v>
      </c>
      <c r="F3998">
        <v>1</v>
      </c>
      <c r="G3998" s="3" t="s">
        <v>32</v>
      </c>
      <c r="H3998" s="46" t="s">
        <v>15</v>
      </c>
      <c r="I3998" s="17">
        <v>12927648.810000001</v>
      </c>
      <c r="J3998" s="17">
        <f>IF(Gastos[[#This Row],[Divisa]]="$", I3998*1, IF(Gastos[[#This Row],[Divisa]]="U$D", I3998*$N$1, IF(Gastos[[#This Row],[Divisa]]="EUR", I3998*$N$2, 0)))</f>
        <v>12927648.810000001</v>
      </c>
      <c r="K3998" s="54">
        <f>Gastos[[#This Row],[Importe AR$]]/$N$1</f>
        <v>8286.9543653846158</v>
      </c>
      <c r="L3998" t="s">
        <v>2282</v>
      </c>
      <c r="M3998" s="69">
        <v>45884</v>
      </c>
      <c r="N3998" s="43">
        <f>IF(Gastos[[#This Row],[Fecha_Cheque]]&gt;0,WEEKNUM(Gastos[[#This Row],[Fecha_Cheque]]),MID(Gastos[[#This Row],[Semana]],6,2))</f>
        <v>33</v>
      </c>
      <c r="O3998" t="s">
        <v>2280</v>
      </c>
      <c r="P3998" t="s">
        <v>27</v>
      </c>
    </row>
    <row r="3999" spans="1:16" hidden="1" x14ac:dyDescent="0.25">
      <c r="A3999" s="3" t="s">
        <v>105</v>
      </c>
      <c r="B3999" t="s">
        <v>2278</v>
      </c>
      <c r="C3999" t="s">
        <v>115</v>
      </c>
      <c r="D3999" t="s">
        <v>26</v>
      </c>
      <c r="E3999" t="s">
        <v>132</v>
      </c>
      <c r="F3999">
        <v>1</v>
      </c>
      <c r="G3999" s="3" t="s">
        <v>32</v>
      </c>
      <c r="H3999" s="46" t="s">
        <v>15</v>
      </c>
      <c r="I3999" s="17">
        <v>12927648.810000001</v>
      </c>
      <c r="J3999" s="17">
        <f>IF(Gastos[[#This Row],[Divisa]]="$", I3999*1, IF(Gastos[[#This Row],[Divisa]]="U$D", I3999*$N$1, IF(Gastos[[#This Row],[Divisa]]="EUR", I3999*$N$2, 0)))</f>
        <v>12927648.810000001</v>
      </c>
      <c r="K3999" s="54">
        <f>Gastos[[#This Row],[Importe AR$]]/$N$1</f>
        <v>8286.9543653846158</v>
      </c>
      <c r="L3999" t="s">
        <v>2283</v>
      </c>
      <c r="M3999" s="69">
        <v>45912</v>
      </c>
      <c r="N3999" s="43">
        <f>IF(Gastos[[#This Row],[Fecha_Cheque]]&gt;0,WEEKNUM(Gastos[[#This Row],[Fecha_Cheque]]),MID(Gastos[[#This Row],[Semana]],6,2))</f>
        <v>37</v>
      </c>
      <c r="O3999" t="s">
        <v>2280</v>
      </c>
      <c r="P3999" t="s">
        <v>27</v>
      </c>
    </row>
    <row r="4000" spans="1:16" hidden="1" x14ac:dyDescent="0.25">
      <c r="A4000" s="3" t="s">
        <v>105</v>
      </c>
      <c r="B4000" t="s">
        <v>2278</v>
      </c>
      <c r="C4000" t="s">
        <v>115</v>
      </c>
      <c r="D4000" t="s">
        <v>26</v>
      </c>
      <c r="E4000" t="s">
        <v>132</v>
      </c>
      <c r="F4000">
        <v>1</v>
      </c>
      <c r="G4000" s="3" t="s">
        <v>32</v>
      </c>
      <c r="H4000" s="46" t="s">
        <v>15</v>
      </c>
      <c r="I4000" s="17">
        <v>12927648.810000001</v>
      </c>
      <c r="J4000" s="17">
        <f>IF(Gastos[[#This Row],[Divisa]]="$", I4000*1, IF(Gastos[[#This Row],[Divisa]]="U$D", I4000*$N$1, IF(Gastos[[#This Row],[Divisa]]="EUR", I4000*$N$2, 0)))</f>
        <v>12927648.810000001</v>
      </c>
      <c r="K4000" s="54">
        <f>Gastos[[#This Row],[Importe AR$]]/$N$1</f>
        <v>8286.9543653846158</v>
      </c>
      <c r="L4000" t="s">
        <v>2284</v>
      </c>
      <c r="M4000" s="69">
        <v>45905</v>
      </c>
      <c r="N4000" s="43">
        <f>IF(Gastos[[#This Row],[Fecha_Cheque]]&gt;0,WEEKNUM(Gastos[[#This Row],[Fecha_Cheque]]),MID(Gastos[[#This Row],[Semana]],6,2))</f>
        <v>36</v>
      </c>
      <c r="O4000" t="s">
        <v>2280</v>
      </c>
      <c r="P4000" t="s">
        <v>27</v>
      </c>
    </row>
    <row r="4001" spans="1:16" hidden="1" x14ac:dyDescent="0.25">
      <c r="A4001" s="3" t="s">
        <v>105</v>
      </c>
      <c r="B4001" t="s">
        <v>2278</v>
      </c>
      <c r="C4001" t="s">
        <v>115</v>
      </c>
      <c r="D4001" t="s">
        <v>26</v>
      </c>
      <c r="E4001" t="s">
        <v>132</v>
      </c>
      <c r="F4001">
        <v>1</v>
      </c>
      <c r="G4001" s="3" t="s">
        <v>32</v>
      </c>
      <c r="H4001" s="46" t="s">
        <v>15</v>
      </c>
      <c r="I4001" s="17">
        <v>12927648.84</v>
      </c>
      <c r="J4001" s="17">
        <f>IF(Gastos[[#This Row],[Divisa]]="$", I4001*1, IF(Gastos[[#This Row],[Divisa]]="U$D", I4001*$N$1, IF(Gastos[[#This Row],[Divisa]]="EUR", I4001*$N$2, 0)))</f>
        <v>12927648.84</v>
      </c>
      <c r="K4001" s="54">
        <f>Gastos[[#This Row],[Importe AR$]]/$N$1</f>
        <v>8286.9543846153847</v>
      </c>
      <c r="L4001" t="s">
        <v>2285</v>
      </c>
      <c r="M4001" s="69">
        <v>45926</v>
      </c>
      <c r="N4001" s="43">
        <f>IF(Gastos[[#This Row],[Fecha_Cheque]]&gt;0,WEEKNUM(Gastos[[#This Row],[Fecha_Cheque]]),MID(Gastos[[#This Row],[Semana]],6,2))</f>
        <v>39</v>
      </c>
      <c r="O4001" t="s">
        <v>2280</v>
      </c>
      <c r="P4001" t="s">
        <v>27</v>
      </c>
    </row>
    <row r="4002" spans="1:16" hidden="1" x14ac:dyDescent="0.25">
      <c r="A4002" s="3" t="s">
        <v>105</v>
      </c>
      <c r="B4002" t="s">
        <v>2278</v>
      </c>
      <c r="C4002" t="s">
        <v>115</v>
      </c>
      <c r="D4002" t="s">
        <v>26</v>
      </c>
      <c r="E4002" t="s">
        <v>132</v>
      </c>
      <c r="F4002">
        <v>1</v>
      </c>
      <c r="G4002" s="3" t="s">
        <v>32</v>
      </c>
      <c r="H4002" s="46" t="s">
        <v>15</v>
      </c>
      <c r="I4002" s="17">
        <v>12927648.810000001</v>
      </c>
      <c r="J4002" s="17">
        <f>IF(Gastos[[#This Row],[Divisa]]="$", I4002*1, IF(Gastos[[#This Row],[Divisa]]="U$D", I4002*$N$1, IF(Gastos[[#This Row],[Divisa]]="EUR", I4002*$N$2, 0)))</f>
        <v>12927648.810000001</v>
      </c>
      <c r="K4002" s="54">
        <f>Gastos[[#This Row],[Importe AR$]]/$N$1</f>
        <v>8286.9543653846158</v>
      </c>
      <c r="L4002" t="s">
        <v>2286</v>
      </c>
      <c r="M4002" s="69">
        <v>45898</v>
      </c>
      <c r="N4002" s="43">
        <f>IF(Gastos[[#This Row],[Fecha_Cheque]]&gt;0,WEEKNUM(Gastos[[#This Row],[Fecha_Cheque]]),MID(Gastos[[#This Row],[Semana]],6,2))</f>
        <v>35</v>
      </c>
      <c r="O4002" t="s">
        <v>2280</v>
      </c>
      <c r="P4002" t="s">
        <v>27</v>
      </c>
    </row>
    <row r="4003" spans="1:16" hidden="1" x14ac:dyDescent="0.25">
      <c r="A4003" s="3" t="s">
        <v>105</v>
      </c>
      <c r="B4003" t="s">
        <v>2278</v>
      </c>
      <c r="C4003" t="s">
        <v>115</v>
      </c>
      <c r="D4003" t="s">
        <v>26</v>
      </c>
      <c r="E4003" t="s">
        <v>132</v>
      </c>
      <c r="F4003">
        <v>1</v>
      </c>
      <c r="G4003" s="3" t="s">
        <v>32</v>
      </c>
      <c r="H4003" s="46" t="s">
        <v>15</v>
      </c>
      <c r="I4003" s="17">
        <v>12927648.810000001</v>
      </c>
      <c r="J4003" s="17">
        <f>IF(Gastos[[#This Row],[Divisa]]="$", I4003*1, IF(Gastos[[#This Row],[Divisa]]="U$D", I4003*$N$1, IF(Gastos[[#This Row],[Divisa]]="EUR", I4003*$N$2, 0)))</f>
        <v>12927648.810000001</v>
      </c>
      <c r="K4003" s="54">
        <f>Gastos[[#This Row],[Importe AR$]]/$N$1</f>
        <v>8286.9543653846158</v>
      </c>
      <c r="L4003" t="s">
        <v>2287</v>
      </c>
      <c r="M4003" s="69">
        <v>45919</v>
      </c>
      <c r="N4003" s="43">
        <f>IF(Gastos[[#This Row],[Fecha_Cheque]]&gt;0,WEEKNUM(Gastos[[#This Row],[Fecha_Cheque]]),MID(Gastos[[#This Row],[Semana]],6,2))</f>
        <v>38</v>
      </c>
      <c r="O4003" t="s">
        <v>2280</v>
      </c>
      <c r="P4003" t="s">
        <v>27</v>
      </c>
    </row>
    <row r="4004" spans="1:16" hidden="1" x14ac:dyDescent="0.25">
      <c r="A4004" s="3" t="s">
        <v>50</v>
      </c>
      <c r="B4004" t="s">
        <v>2288</v>
      </c>
      <c r="C4004" t="s">
        <v>422</v>
      </c>
      <c r="D4004" t="s">
        <v>26</v>
      </c>
      <c r="E4004" t="s">
        <v>91</v>
      </c>
      <c r="F4004">
        <v>1</v>
      </c>
      <c r="G4004" s="3" t="s">
        <v>5</v>
      </c>
      <c r="H4004" s="46" t="s">
        <v>15</v>
      </c>
      <c r="I4004" s="17">
        <v>813400</v>
      </c>
      <c r="J4004" s="17">
        <f>IF(Gastos[[#This Row],[Divisa]]="$", I4004*1, IF(Gastos[[#This Row],[Divisa]]="U$D", I4004*$N$1, IF(Gastos[[#This Row],[Divisa]]="EUR", I4004*$N$2, 0)))</f>
        <v>813400</v>
      </c>
      <c r="K4004" s="54">
        <f>Gastos[[#This Row],[Importe AR$]]/$N$1</f>
        <v>521.41025641025647</v>
      </c>
      <c r="M4004" s="69"/>
      <c r="N4004" s="43" t="str">
        <f>IF(Gastos[[#This Row],[Fecha_Cheque]]&gt;0,WEEKNUM(Gastos[[#This Row],[Fecha_Cheque]]),MID(Gastos[[#This Row],[Semana]],6,2))</f>
        <v>25</v>
      </c>
      <c r="O4004" t="s">
        <v>2289</v>
      </c>
      <c r="P4004" t="s">
        <v>27</v>
      </c>
    </row>
    <row r="4005" spans="1:16" hidden="1" x14ac:dyDescent="0.25">
      <c r="A4005" s="3" t="s">
        <v>290</v>
      </c>
      <c r="B4005" t="s">
        <v>2288</v>
      </c>
      <c r="C4005" t="s">
        <v>2290</v>
      </c>
      <c r="D4005" t="s">
        <v>26</v>
      </c>
      <c r="E4005" t="s">
        <v>91</v>
      </c>
      <c r="F4005">
        <v>1</v>
      </c>
      <c r="G4005" s="3" t="s">
        <v>5</v>
      </c>
      <c r="H4005" s="46" t="s">
        <v>15</v>
      </c>
      <c r="I4005" s="17">
        <v>839150</v>
      </c>
      <c r="J4005" s="17">
        <f>IF(Gastos[[#This Row],[Divisa]]="$", I4005*1, IF(Gastos[[#This Row],[Divisa]]="U$D", I4005*$N$1, IF(Gastos[[#This Row],[Divisa]]="EUR", I4005*$N$2, 0)))</f>
        <v>839150</v>
      </c>
      <c r="K4005" s="54">
        <f>Gastos[[#This Row],[Importe AR$]]/$N$1</f>
        <v>537.91666666666663</v>
      </c>
      <c r="M4005" s="69"/>
      <c r="N4005" s="43" t="str">
        <f>IF(Gastos[[#This Row],[Fecha_Cheque]]&gt;0,WEEKNUM(Gastos[[#This Row],[Fecha_Cheque]]),MID(Gastos[[#This Row],[Semana]],6,2))</f>
        <v>23</v>
      </c>
      <c r="P4005" t="s">
        <v>27</v>
      </c>
    </row>
    <row r="4006" spans="1:16" hidden="1" x14ac:dyDescent="0.25">
      <c r="A4006" s="3" t="s">
        <v>114</v>
      </c>
      <c r="B4006" t="s">
        <v>2288</v>
      </c>
      <c r="C4006" t="s">
        <v>422</v>
      </c>
      <c r="D4006" t="s">
        <v>26</v>
      </c>
      <c r="E4006" t="s">
        <v>91</v>
      </c>
      <c r="F4006">
        <v>1</v>
      </c>
      <c r="G4006" s="3" t="s">
        <v>5</v>
      </c>
      <c r="H4006" s="46" t="s">
        <v>15</v>
      </c>
      <c r="I4006" s="17">
        <v>247200</v>
      </c>
      <c r="J4006" s="17">
        <f>IF(Gastos[[#This Row],[Divisa]]="$", I4006*1, IF(Gastos[[#This Row],[Divisa]]="U$D", I4006*$N$1, IF(Gastos[[#This Row],[Divisa]]="EUR", I4006*$N$2, 0)))</f>
        <v>247200</v>
      </c>
      <c r="K4006" s="54">
        <f>Gastos[[#This Row],[Importe AR$]]/$N$1</f>
        <v>158.46153846153845</v>
      </c>
      <c r="M4006" s="69"/>
      <c r="N4006" s="43" t="str">
        <f>IF(Gastos[[#This Row],[Fecha_Cheque]]&gt;0,WEEKNUM(Gastos[[#This Row],[Fecha_Cheque]]),MID(Gastos[[#This Row],[Semana]],6,2))</f>
        <v>29</v>
      </c>
      <c r="O4006" t="s">
        <v>2291</v>
      </c>
      <c r="P4006" t="s">
        <v>27</v>
      </c>
    </row>
    <row r="4007" spans="1:16" hidden="1" x14ac:dyDescent="0.25">
      <c r="A4007" s="3" t="s">
        <v>114</v>
      </c>
      <c r="B4007" t="s">
        <v>2288</v>
      </c>
      <c r="C4007" t="s">
        <v>422</v>
      </c>
      <c r="D4007" t="s">
        <v>26</v>
      </c>
      <c r="E4007" t="s">
        <v>91</v>
      </c>
      <c r="F4007">
        <v>1</v>
      </c>
      <c r="G4007" s="3" t="s">
        <v>5</v>
      </c>
      <c r="H4007" s="46" t="s">
        <v>15</v>
      </c>
      <c r="I4007" s="17">
        <v>545600</v>
      </c>
      <c r="J4007" s="17">
        <f>IF(Gastos[[#This Row],[Divisa]]="$", I4007*1, IF(Gastos[[#This Row],[Divisa]]="U$D", I4007*$N$1, IF(Gastos[[#This Row],[Divisa]]="EUR", I4007*$N$2, 0)))</f>
        <v>545600</v>
      </c>
      <c r="K4007" s="54">
        <f>Gastos[[#This Row],[Importe AR$]]/$N$1</f>
        <v>349.74358974358972</v>
      </c>
      <c r="M4007" s="69"/>
      <c r="N4007" s="43" t="str">
        <f>IF(Gastos[[#This Row],[Fecha_Cheque]]&gt;0,WEEKNUM(Gastos[[#This Row],[Fecha_Cheque]]),MID(Gastos[[#This Row],[Semana]],6,2))</f>
        <v>29</v>
      </c>
      <c r="O4007" t="s">
        <v>2291</v>
      </c>
      <c r="P4007" t="s">
        <v>27</v>
      </c>
    </row>
    <row r="4008" spans="1:16" hidden="1" x14ac:dyDescent="0.25">
      <c r="A4008" s="3" t="s">
        <v>53</v>
      </c>
      <c r="B4008" t="s">
        <v>2288</v>
      </c>
      <c r="C4008" t="s">
        <v>2292</v>
      </c>
      <c r="D4008" t="s">
        <v>26</v>
      </c>
      <c r="E4008" t="s">
        <v>91</v>
      </c>
      <c r="F4008">
        <v>1</v>
      </c>
      <c r="G4008" s="3" t="s">
        <v>5</v>
      </c>
      <c r="H4008" s="46" t="s">
        <v>15</v>
      </c>
      <c r="I4008" s="17">
        <v>508520</v>
      </c>
      <c r="J4008" s="17">
        <f>IF(Gastos[[#This Row],[Divisa]]="$", I4008*1, IF(Gastos[[#This Row],[Divisa]]="U$D", I4008*$N$1, IF(Gastos[[#This Row],[Divisa]]="EUR", I4008*$N$2, 0)))</f>
        <v>508520</v>
      </c>
      <c r="K4008" s="54">
        <f>Gastos[[#This Row],[Importe AR$]]/$N$1</f>
        <v>325.97435897435895</v>
      </c>
      <c r="M4008" s="69"/>
      <c r="N4008" s="43" t="str">
        <f>IF(Gastos[[#This Row],[Fecha_Cheque]]&gt;0,WEEKNUM(Gastos[[#This Row],[Fecha_Cheque]]),MID(Gastos[[#This Row],[Semana]],6,2))</f>
        <v>34</v>
      </c>
      <c r="O4008" t="s">
        <v>123</v>
      </c>
      <c r="P4008" t="s">
        <v>27</v>
      </c>
    </row>
    <row r="4009" spans="1:16" hidden="1" x14ac:dyDescent="0.25">
      <c r="A4009" s="3" t="s">
        <v>89</v>
      </c>
      <c r="B4009" t="s">
        <v>2288</v>
      </c>
      <c r="C4009" t="s">
        <v>2293</v>
      </c>
      <c r="D4009" t="s">
        <v>26</v>
      </c>
      <c r="E4009" t="s">
        <v>91</v>
      </c>
      <c r="F4009">
        <v>1</v>
      </c>
      <c r="G4009" s="3" t="s">
        <v>5</v>
      </c>
      <c r="H4009" s="46" t="s">
        <v>15</v>
      </c>
      <c r="I4009" s="17">
        <v>570835</v>
      </c>
      <c r="J4009" s="17">
        <f>IF(Gastos[[#This Row],[Divisa]]="$", I4009*1, IF(Gastos[[#This Row],[Divisa]]="U$D", I4009*$N$1, IF(Gastos[[#This Row],[Divisa]]="EUR", I4009*$N$2, 0)))</f>
        <v>570835</v>
      </c>
      <c r="K4009" s="54">
        <f>Gastos[[#This Row],[Importe AR$]]/$N$1</f>
        <v>365.91987179487177</v>
      </c>
      <c r="M4009" s="69"/>
      <c r="N4009" s="43" t="str">
        <f>IF(Gastos[[#This Row],[Fecha_Cheque]]&gt;0,WEEKNUM(Gastos[[#This Row],[Fecha_Cheque]]),MID(Gastos[[#This Row],[Semana]],6,2))</f>
        <v>39</v>
      </c>
      <c r="O4009" t="s">
        <v>2294</v>
      </c>
      <c r="P4009" t="s">
        <v>27</v>
      </c>
    </row>
    <row r="4010" spans="1:16" hidden="1" x14ac:dyDescent="0.25">
      <c r="A4010" s="3" t="s">
        <v>128</v>
      </c>
      <c r="B4010" t="s">
        <v>2288</v>
      </c>
      <c r="D4010" t="s">
        <v>26</v>
      </c>
      <c r="E4010" t="s">
        <v>91</v>
      </c>
      <c r="F4010">
        <v>1</v>
      </c>
      <c r="G4010" s="3" t="s">
        <v>5</v>
      </c>
      <c r="H4010" s="46" t="s">
        <v>15</v>
      </c>
      <c r="I4010" s="17">
        <v>541910</v>
      </c>
      <c r="J4010" s="17">
        <f>IF(Gastos[[#This Row],[Divisa]]="$", I4010*1, IF(Gastos[[#This Row],[Divisa]]="U$D", I4010*$N$1, IF(Gastos[[#This Row],[Divisa]]="EUR", I4010*$N$2, 0)))</f>
        <v>541910</v>
      </c>
      <c r="K4010" s="54">
        <f>Gastos[[#This Row],[Importe AR$]]/$N$1</f>
        <v>347.37820512820514</v>
      </c>
      <c r="M4010" s="69"/>
      <c r="N4010" s="43" t="str">
        <f>IF(Gastos[[#This Row],[Fecha_Cheque]]&gt;0,WEEKNUM(Gastos[[#This Row],[Fecha_Cheque]]),MID(Gastos[[#This Row],[Semana]],6,2))</f>
        <v>43</v>
      </c>
      <c r="O4010" t="s">
        <v>2295</v>
      </c>
      <c r="P4010" t="s">
        <v>27</v>
      </c>
    </row>
    <row r="4011" spans="1:16" hidden="1" x14ac:dyDescent="0.25">
      <c r="A4011" s="3" t="s">
        <v>60</v>
      </c>
      <c r="B4011" t="s">
        <v>2288</v>
      </c>
      <c r="C4011" t="s">
        <v>693</v>
      </c>
      <c r="D4011" t="s">
        <v>26</v>
      </c>
      <c r="E4011" t="s">
        <v>91</v>
      </c>
      <c r="F4011">
        <v>1</v>
      </c>
      <c r="G4011" s="3" t="s">
        <v>5</v>
      </c>
      <c r="H4011" s="46" t="s">
        <v>15</v>
      </c>
      <c r="I4011" s="17">
        <v>672805</v>
      </c>
      <c r="J4011" s="17">
        <f>IF(Gastos[[#This Row],[Divisa]]="$", I4011*1, IF(Gastos[[#This Row],[Divisa]]="U$D", I4011*$N$1, IF(Gastos[[#This Row],[Divisa]]="EUR", I4011*$N$2, 0)))</f>
        <v>672805</v>
      </c>
      <c r="K4011" s="54">
        <f>Gastos[[#This Row],[Importe AR$]]/$N$1</f>
        <v>431.28525641025641</v>
      </c>
      <c r="M4011" s="69"/>
      <c r="N4011" s="43" t="str">
        <f>IF(Gastos[[#This Row],[Fecha_Cheque]]&gt;0,WEEKNUM(Gastos[[#This Row],[Fecha_Cheque]]),MID(Gastos[[#This Row],[Semana]],6,2))</f>
        <v>46</v>
      </c>
      <c r="O4011" t="s">
        <v>2296</v>
      </c>
      <c r="P4011" t="s">
        <v>27</v>
      </c>
    </row>
    <row r="4012" spans="1:16" hidden="1" x14ac:dyDescent="0.25">
      <c r="A4012" s="3" t="s">
        <v>93</v>
      </c>
      <c r="B4012" t="s">
        <v>2288</v>
      </c>
      <c r="D4012" t="s">
        <v>26</v>
      </c>
      <c r="E4012" t="s">
        <v>91</v>
      </c>
      <c r="F4012">
        <v>1</v>
      </c>
      <c r="G4012" s="3" t="s">
        <v>5</v>
      </c>
      <c r="H4012" s="46" t="s">
        <v>15</v>
      </c>
      <c r="I4012" s="17">
        <v>580000</v>
      </c>
      <c r="J4012" s="17">
        <f>IF(Gastos[[#This Row],[Divisa]]="$", I4012*1, IF(Gastos[[#This Row],[Divisa]]="U$D", I4012*$N$1, IF(Gastos[[#This Row],[Divisa]]="EUR", I4012*$N$2, 0)))</f>
        <v>580000</v>
      </c>
      <c r="K4012" s="54">
        <f>Gastos[[#This Row],[Importe AR$]]/$N$1</f>
        <v>371.79487179487177</v>
      </c>
      <c r="M4012" s="69"/>
      <c r="N4012" s="43" t="str">
        <f>IF(Gastos[[#This Row],[Fecha_Cheque]]&gt;0,WEEKNUM(Gastos[[#This Row],[Fecha_Cheque]]),MID(Gastos[[#This Row],[Semana]],6,2))</f>
        <v>50</v>
      </c>
      <c r="O4012" t="s">
        <v>2297</v>
      </c>
      <c r="P4012" t="s">
        <v>27</v>
      </c>
    </row>
    <row r="4013" spans="1:16" hidden="1" x14ac:dyDescent="0.25">
      <c r="A4013" s="3" t="s">
        <v>75</v>
      </c>
      <c r="B4013" t="s">
        <v>2288</v>
      </c>
      <c r="D4013" t="s">
        <v>26</v>
      </c>
      <c r="E4013" t="s">
        <v>91</v>
      </c>
      <c r="F4013">
        <v>1</v>
      </c>
      <c r="G4013" s="3" t="s">
        <v>5</v>
      </c>
      <c r="H4013" s="46" t="s">
        <v>15</v>
      </c>
      <c r="I4013" s="17">
        <v>562460</v>
      </c>
      <c r="J4013" s="17">
        <f>IF(Gastos[[#This Row],[Divisa]]="$", I4013*1, IF(Gastos[[#This Row],[Divisa]]="U$D", I4013*$N$1, IF(Gastos[[#This Row],[Divisa]]="EUR", I4013*$N$2, 0)))</f>
        <v>562460</v>
      </c>
      <c r="K4013" s="54">
        <f>Gastos[[#This Row],[Importe AR$]]/$N$1</f>
        <v>360.55128205128204</v>
      </c>
      <c r="M4013" s="69"/>
      <c r="N4013" s="43" t="str">
        <f>IF(Gastos[[#This Row],[Fecha_Cheque]]&gt;0,WEEKNUM(Gastos[[#This Row],[Fecha_Cheque]]),MID(Gastos[[#This Row],[Semana]],6,2))</f>
        <v>07</v>
      </c>
      <c r="O4013" t="s">
        <v>2298</v>
      </c>
      <c r="P4013" t="s">
        <v>27</v>
      </c>
    </row>
    <row r="4014" spans="1:16" hidden="1" x14ac:dyDescent="0.25">
      <c r="A4014" s="3" t="s">
        <v>2711</v>
      </c>
      <c r="B4014" t="s">
        <v>2288</v>
      </c>
      <c r="C4014" t="s">
        <v>2838</v>
      </c>
      <c r="D4014" t="s">
        <v>26</v>
      </c>
      <c r="E4014" t="s">
        <v>91</v>
      </c>
      <c r="F4014">
        <v>1</v>
      </c>
      <c r="G4014" s="3" t="s">
        <v>5</v>
      </c>
      <c r="H4014" s="44" t="s">
        <v>15</v>
      </c>
      <c r="I4014" s="17">
        <v>1423730</v>
      </c>
      <c r="J4014" s="17">
        <f>IF(Gastos[[#This Row],[Divisa]]="$", I4014*1, IF(Gastos[[#This Row],[Divisa]]="U$D", I4014*$N$1, IF(Gastos[[#This Row],[Divisa]]="EUR", I4014*$N$2, 0)))</f>
        <v>1423730</v>
      </c>
      <c r="K4014" s="54">
        <f>Gastos[[#This Row],[Importe AR$]]/$N$1</f>
        <v>912.64743589743591</v>
      </c>
      <c r="M4014" s="69"/>
      <c r="N4014" s="43" t="str">
        <f>IF(Gastos[[#This Row],[Fecha_Cheque]]&gt;0,WEEKNUM(Gastos[[#This Row],[Fecha_Cheque]]),MID(Gastos[[#This Row],[Semana]],6,2))</f>
        <v>15</v>
      </c>
      <c r="O4014" t="s">
        <v>2965</v>
      </c>
      <c r="P4014" t="s">
        <v>27</v>
      </c>
    </row>
    <row r="4015" spans="1:16" hidden="1" x14ac:dyDescent="0.25">
      <c r="A4015" s="3" t="s">
        <v>2763</v>
      </c>
      <c r="B4015" t="s">
        <v>2288</v>
      </c>
      <c r="C4015" t="s">
        <v>2867</v>
      </c>
      <c r="D4015" t="s">
        <v>26</v>
      </c>
      <c r="E4015" t="s">
        <v>91</v>
      </c>
      <c r="F4015">
        <v>1</v>
      </c>
      <c r="G4015" s="3" t="s">
        <v>5</v>
      </c>
      <c r="H4015" s="44" t="s">
        <v>15</v>
      </c>
      <c r="I4015" s="17">
        <v>1890650</v>
      </c>
      <c r="J4015" s="17">
        <f>IF(Gastos[[#This Row],[Divisa]]="$", I4015*1, IF(Gastos[[#This Row],[Divisa]]="U$D", I4015*$N$1, IF(Gastos[[#This Row],[Divisa]]="EUR", I4015*$N$2, 0)))</f>
        <v>1890650</v>
      </c>
      <c r="K4015" s="54">
        <f>Gastos[[#This Row],[Importe AR$]]/$N$1</f>
        <v>1211.9551282051282</v>
      </c>
      <c r="M4015" s="69"/>
      <c r="N4015" s="43" t="str">
        <f>IF(Gastos[[#This Row],[Fecha_Cheque]]&gt;0,WEEKNUM(Gastos[[#This Row],[Fecha_Cheque]]),MID(Gastos[[#This Row],[Semana]],6,2))</f>
        <v>23</v>
      </c>
      <c r="O4015" t="s">
        <v>3403</v>
      </c>
      <c r="P4015" t="s">
        <v>27</v>
      </c>
    </row>
    <row r="4016" spans="1:16" hidden="1" x14ac:dyDescent="0.25">
      <c r="A4016" s="3" t="s">
        <v>3567</v>
      </c>
      <c r="B4016" t="s">
        <v>2288</v>
      </c>
      <c r="C4016" t="s">
        <v>3612</v>
      </c>
      <c r="D4016" t="s">
        <v>26</v>
      </c>
      <c r="E4016" t="s">
        <v>91</v>
      </c>
      <c r="F4016">
        <v>1</v>
      </c>
      <c r="G4016" s="3" t="s">
        <v>5</v>
      </c>
      <c r="H4016" s="44" t="s">
        <v>15</v>
      </c>
      <c r="I4016" s="17">
        <v>1572885</v>
      </c>
      <c r="J4016" s="17">
        <f>IF(Gastos[[#This Row],[Divisa]]="$", I4016*1, IF(Gastos[[#This Row],[Divisa]]="U$D", I4016*$N$1, IF(Gastos[[#This Row],[Divisa]]="EUR", I4016*$N$2, 0)))</f>
        <v>1572885</v>
      </c>
      <c r="K4016" s="54">
        <f>Gastos[[#This Row],[Importe AR$]]/$N$1</f>
        <v>1008.2596153846154</v>
      </c>
      <c r="M4016" s="69"/>
      <c r="N4016" s="43" t="str">
        <f>IF(Gastos[[#This Row],[Fecha_Cheque]]&gt;0,WEEKNUM(Gastos[[#This Row],[Fecha_Cheque]]),MID(Gastos[[#This Row],[Semana]],6,2))</f>
        <v>26</v>
      </c>
      <c r="O4016" t="s">
        <v>3613</v>
      </c>
      <c r="P4016" t="s">
        <v>27</v>
      </c>
    </row>
    <row r="4017" spans="1:16" hidden="1" x14ac:dyDescent="0.25">
      <c r="A4017" s="3" t="s">
        <v>3882</v>
      </c>
      <c r="B4017" t="s">
        <v>2288</v>
      </c>
      <c r="C4017" t="s">
        <v>422</v>
      </c>
      <c r="D4017" t="s">
        <v>26</v>
      </c>
      <c r="E4017" t="s">
        <v>91</v>
      </c>
      <c r="F4017">
        <v>1</v>
      </c>
      <c r="G4017" s="3" t="s">
        <v>5</v>
      </c>
      <c r="H4017" s="44" t="s">
        <v>15</v>
      </c>
      <c r="I4017" s="17">
        <v>1736307</v>
      </c>
      <c r="J4017" s="17">
        <f>IF(Gastos[[#This Row],[Divisa]]="$", I4017*1, IF(Gastos[[#This Row],[Divisa]]="U$D", I4017*$N$1, IF(Gastos[[#This Row],[Divisa]]="EUR", I4017*$N$2, 0)))</f>
        <v>1736307</v>
      </c>
      <c r="K4017" s="54">
        <f>Gastos[[#This Row],[Importe AR$]]/$N$1</f>
        <v>1113.0173076923077</v>
      </c>
      <c r="M4017" s="69"/>
      <c r="N4017" s="43" t="str">
        <f>IF(Gastos[[#This Row],[Fecha_Cheque]]&gt;0,WEEKNUM(Gastos[[#This Row],[Fecha_Cheque]]),MID(Gastos[[#This Row],[Semana]],6,2))</f>
        <v>31</v>
      </c>
      <c r="O4017" t="s">
        <v>3932</v>
      </c>
      <c r="P4017" t="s">
        <v>27</v>
      </c>
    </row>
    <row r="4018" spans="1:16" hidden="1" x14ac:dyDescent="0.25">
      <c r="A4018" s="3" t="s">
        <v>4322</v>
      </c>
      <c r="B4018" t="s">
        <v>2288</v>
      </c>
      <c r="C4018" t="s">
        <v>422</v>
      </c>
      <c r="D4018" t="s">
        <v>26</v>
      </c>
      <c r="E4018" t="s">
        <v>91</v>
      </c>
      <c r="F4018">
        <v>1</v>
      </c>
      <c r="G4018" s="3" t="s">
        <v>5</v>
      </c>
      <c r="H4018" s="44" t="s">
        <v>15</v>
      </c>
      <c r="I4018" s="17">
        <v>659148.5</v>
      </c>
      <c r="J4018" s="17">
        <f>IF(Gastos[[#This Row],[Divisa]]="$", I4018*1, IF(Gastos[[#This Row],[Divisa]]="U$D", I4018*$N$1, IF(Gastos[[#This Row],[Divisa]]="EUR", I4018*$N$2, 0)))</f>
        <v>659148.5</v>
      </c>
      <c r="K4018" s="54">
        <f>Gastos[[#This Row],[Importe AR$]]/$N$1</f>
        <v>422.53108974358975</v>
      </c>
      <c r="M4018" s="69"/>
      <c r="N4018" s="43" t="str">
        <f>IF(Gastos[[#This Row],[Fecha_Cheque]]&gt;0,WEEKNUM(Gastos[[#This Row],[Fecha_Cheque]]),MID(Gastos[[#This Row],[Semana]],6,2))</f>
        <v>38</v>
      </c>
      <c r="O4018" t="s">
        <v>4356</v>
      </c>
      <c r="P4018" t="s">
        <v>27</v>
      </c>
    </row>
    <row r="4019" spans="1:16" hidden="1" x14ac:dyDescent="0.25">
      <c r="A4019" s="3" t="s">
        <v>4569</v>
      </c>
      <c r="B4019" t="s">
        <v>2288</v>
      </c>
      <c r="C4019" t="s">
        <v>422</v>
      </c>
      <c r="D4019" t="s">
        <v>26</v>
      </c>
      <c r="E4019" t="s">
        <v>91</v>
      </c>
      <c r="F4019">
        <v>1</v>
      </c>
      <c r="G4019" s="3" t="s">
        <v>5</v>
      </c>
      <c r="H4019" s="44" t="s">
        <v>15</v>
      </c>
      <c r="I4019" s="17">
        <v>1375378.5</v>
      </c>
      <c r="J4019" s="17">
        <f>IF(Gastos[[#This Row],[Divisa]]="$", I4019*1, IF(Gastos[[#This Row],[Divisa]]="U$D", I4019*$N$1, IF(Gastos[[#This Row],[Divisa]]="EUR", I4019*$N$2, 0)))</f>
        <v>1375378.5</v>
      </c>
      <c r="K4019" s="54">
        <f>Gastos[[#This Row],[Importe AR$]]/$N$1</f>
        <v>881.65288461538466</v>
      </c>
      <c r="M4019" s="69"/>
      <c r="N4019" s="43" t="str">
        <f>IF(Gastos[[#This Row],[Fecha_Cheque]]&gt;0,WEEKNUM(Gastos[[#This Row],[Fecha_Cheque]]),MID(Gastos[[#This Row],[Semana]],6,2))</f>
        <v>43</v>
      </c>
      <c r="O4019" t="s">
        <v>4604</v>
      </c>
      <c r="P4019" t="s">
        <v>27</v>
      </c>
    </row>
    <row r="4020" spans="1:16" hidden="1" x14ac:dyDescent="0.25">
      <c r="A4020" s="3" t="s">
        <v>310</v>
      </c>
      <c r="B4020" t="s">
        <v>2299</v>
      </c>
      <c r="C4020" t="s">
        <v>1618</v>
      </c>
      <c r="D4020" t="s">
        <v>26</v>
      </c>
      <c r="E4020" t="s">
        <v>91</v>
      </c>
      <c r="F4020">
        <v>1</v>
      </c>
      <c r="G4020" s="3" t="s">
        <v>5</v>
      </c>
      <c r="H4020" s="46" t="s">
        <v>15</v>
      </c>
      <c r="I4020" s="17">
        <v>1300000</v>
      </c>
      <c r="J4020" s="17">
        <f>IF(Gastos[[#This Row],[Divisa]]="$", I4020*1, IF(Gastos[[#This Row],[Divisa]]="U$D", I4020*$N$1, IF(Gastos[[#This Row],[Divisa]]="EUR", I4020*$N$2, 0)))</f>
        <v>1300000</v>
      </c>
      <c r="K4020" s="54">
        <f>Gastos[[#This Row],[Importe AR$]]/$N$1</f>
        <v>833.33333333333337</v>
      </c>
      <c r="M4020" s="69"/>
      <c r="N4020" s="43" t="str">
        <f>IF(Gastos[[#This Row],[Fecha_Cheque]]&gt;0,WEEKNUM(Gastos[[#This Row],[Fecha_Cheque]]),MID(Gastos[[#This Row],[Semana]],6,2))</f>
        <v>36</v>
      </c>
      <c r="O4020" t="s">
        <v>2300</v>
      </c>
      <c r="P4020" t="s">
        <v>27</v>
      </c>
    </row>
    <row r="4021" spans="1:16" hidden="1" x14ac:dyDescent="0.25">
      <c r="A4021" s="3" t="s">
        <v>56</v>
      </c>
      <c r="B4021" t="s">
        <v>2299</v>
      </c>
      <c r="C4021" t="s">
        <v>1620</v>
      </c>
      <c r="D4021" t="s">
        <v>26</v>
      </c>
      <c r="E4021" t="s">
        <v>91</v>
      </c>
      <c r="F4021">
        <v>1</v>
      </c>
      <c r="G4021" s="3" t="s">
        <v>5</v>
      </c>
      <c r="H4021" s="46" t="s">
        <v>15</v>
      </c>
      <c r="I4021" s="17">
        <v>1130000</v>
      </c>
      <c r="J4021" s="17">
        <f>IF(Gastos[[#This Row],[Divisa]]="$", I4021*1, IF(Gastos[[#This Row],[Divisa]]="U$D", I4021*$N$1, IF(Gastos[[#This Row],[Divisa]]="EUR", I4021*$N$2, 0)))</f>
        <v>1130000</v>
      </c>
      <c r="K4021" s="54">
        <f>Gastos[[#This Row],[Importe AR$]]/$N$1</f>
        <v>724.35897435897436</v>
      </c>
      <c r="M4021" s="69"/>
      <c r="N4021" s="43" t="str">
        <f>IF(Gastos[[#This Row],[Fecha_Cheque]]&gt;0,WEEKNUM(Gastos[[#This Row],[Fecha_Cheque]]),MID(Gastos[[#This Row],[Semana]],6,2))</f>
        <v>41</v>
      </c>
      <c r="O4021" t="s">
        <v>2146</v>
      </c>
      <c r="P4021" t="s">
        <v>27</v>
      </c>
    </row>
    <row r="4022" spans="1:16" hidden="1" x14ac:dyDescent="0.25">
      <c r="A4022" s="3" t="s">
        <v>130</v>
      </c>
      <c r="B4022" t="s">
        <v>2299</v>
      </c>
      <c r="C4022" t="s">
        <v>1622</v>
      </c>
      <c r="D4022" t="s">
        <v>26</v>
      </c>
      <c r="E4022" t="s">
        <v>91</v>
      </c>
      <c r="F4022">
        <v>1</v>
      </c>
      <c r="G4022" s="3" t="s">
        <v>5</v>
      </c>
      <c r="H4022" s="46" t="s">
        <v>15</v>
      </c>
      <c r="I4022" s="17">
        <v>1130000</v>
      </c>
      <c r="J4022" s="17">
        <f>IF(Gastos[[#This Row],[Divisa]]="$", I4022*1, IF(Gastos[[#This Row],[Divisa]]="U$D", I4022*$N$1, IF(Gastos[[#This Row],[Divisa]]="EUR", I4022*$N$2, 0)))</f>
        <v>1130000</v>
      </c>
      <c r="K4022" s="54">
        <f>Gastos[[#This Row],[Importe AR$]]/$N$1</f>
        <v>724.35897435897436</v>
      </c>
      <c r="M4022" s="69"/>
      <c r="N4022" s="43" t="str">
        <f>IF(Gastos[[#This Row],[Fecha_Cheque]]&gt;0,WEEKNUM(Gastos[[#This Row],[Fecha_Cheque]]),MID(Gastos[[#This Row],[Semana]],6,2))</f>
        <v>45</v>
      </c>
      <c r="O4022" t="s">
        <v>2301</v>
      </c>
      <c r="P4022" t="s">
        <v>27</v>
      </c>
    </row>
    <row r="4023" spans="1:16" hidden="1" x14ac:dyDescent="0.25">
      <c r="A4023" s="3" t="s">
        <v>93</v>
      </c>
      <c r="B4023" t="s">
        <v>2302</v>
      </c>
      <c r="C4023" t="s">
        <v>2303</v>
      </c>
      <c r="D4023" t="s">
        <v>26</v>
      </c>
      <c r="E4023" t="s">
        <v>91</v>
      </c>
      <c r="F4023">
        <v>1</v>
      </c>
      <c r="G4023" s="3" t="s">
        <v>5</v>
      </c>
      <c r="H4023" s="46" t="s">
        <v>15</v>
      </c>
      <c r="I4023" s="17">
        <v>1130000</v>
      </c>
      <c r="J4023" s="17">
        <f>IF(Gastos[[#This Row],[Divisa]]="$", I4023*1, IF(Gastos[[#This Row],[Divisa]]="U$D", I4023*$N$1, IF(Gastos[[#This Row],[Divisa]]="EUR", I4023*$N$2, 0)))</f>
        <v>1130000</v>
      </c>
      <c r="K4023" s="54">
        <f>Gastos[[#This Row],[Importe AR$]]/$N$1</f>
        <v>724.35897435897436</v>
      </c>
      <c r="M4023" s="69"/>
      <c r="N4023" s="43" t="str">
        <f>IF(Gastos[[#This Row],[Fecha_Cheque]]&gt;0,WEEKNUM(Gastos[[#This Row],[Fecha_Cheque]]),MID(Gastos[[#This Row],[Semana]],6,2))</f>
        <v>50</v>
      </c>
      <c r="O4023" t="s">
        <v>2304</v>
      </c>
      <c r="P4023" t="s">
        <v>27</v>
      </c>
    </row>
    <row r="4024" spans="1:16" hidden="1" x14ac:dyDescent="0.25">
      <c r="A4024" s="3" t="s">
        <v>4074</v>
      </c>
      <c r="B4024" t="s">
        <v>4051</v>
      </c>
      <c r="C4024" t="s">
        <v>1948</v>
      </c>
      <c r="D4024" t="s">
        <v>26</v>
      </c>
      <c r="E4024" t="s">
        <v>42</v>
      </c>
      <c r="F4024">
        <v>2</v>
      </c>
      <c r="G4024" s="3" t="s">
        <v>4</v>
      </c>
      <c r="H4024" s="44" t="s">
        <v>15</v>
      </c>
      <c r="I4024" s="17">
        <v>192038.92</v>
      </c>
      <c r="J4024" s="17">
        <f>IF(Gastos[[#This Row],[Divisa]]="$", I4024*1, IF(Gastos[[#This Row],[Divisa]]="U$D", I4024*$N$1, IF(Gastos[[#This Row],[Divisa]]="EUR", I4024*$N$2, 0)))</f>
        <v>192038.92</v>
      </c>
      <c r="K4024" s="54">
        <f>Gastos[[#This Row],[Importe AR$]]/$N$1</f>
        <v>123.1018717948718</v>
      </c>
      <c r="M4024" s="69"/>
      <c r="N4024" s="43" t="str">
        <f>IF(Gastos[[#This Row],[Fecha_Cheque]]&gt;0,WEEKNUM(Gastos[[#This Row],[Fecha_Cheque]]),MID(Gastos[[#This Row],[Semana]],6,2))</f>
        <v>34</v>
      </c>
      <c r="O4024" t="s">
        <v>4106</v>
      </c>
      <c r="P4024" t="s">
        <v>27</v>
      </c>
    </row>
    <row r="4025" spans="1:16" hidden="1" x14ac:dyDescent="0.25">
      <c r="A4025" s="3" t="s">
        <v>4157</v>
      </c>
      <c r="B4025" t="s">
        <v>4051</v>
      </c>
      <c r="C4025" t="s">
        <v>1948</v>
      </c>
      <c r="D4025" t="s">
        <v>26</v>
      </c>
      <c r="E4025" t="s">
        <v>42</v>
      </c>
      <c r="F4025">
        <v>2</v>
      </c>
      <c r="G4025" s="3" t="s">
        <v>4</v>
      </c>
      <c r="H4025" s="44" t="s">
        <v>15</v>
      </c>
      <c r="I4025" s="17">
        <v>42040.28</v>
      </c>
      <c r="J4025" s="17">
        <f>IF(Gastos[[#This Row],[Divisa]]="$", I4025*1, IF(Gastos[[#This Row],[Divisa]]="U$D", I4025*$N$1, IF(Gastos[[#This Row],[Divisa]]="EUR", I4025*$N$2, 0)))</f>
        <v>42040.28</v>
      </c>
      <c r="K4025" s="54">
        <f>Gastos[[#This Row],[Importe AR$]]/$N$1</f>
        <v>26.948897435897436</v>
      </c>
      <c r="M4025" s="69"/>
      <c r="N4025" s="43" t="str">
        <f>IF(Gastos[[#This Row],[Fecha_Cheque]]&gt;0,WEEKNUM(Gastos[[#This Row],[Fecha_Cheque]]),MID(Gastos[[#This Row],[Semana]],6,2))</f>
        <v>36</v>
      </c>
      <c r="O4025" t="s">
        <v>4173</v>
      </c>
      <c r="P4025" t="s">
        <v>27</v>
      </c>
    </row>
    <row r="4026" spans="1:16" hidden="1" x14ac:dyDescent="0.25">
      <c r="A4026" s="3" t="s">
        <v>4322</v>
      </c>
      <c r="B4026" t="s">
        <v>4051</v>
      </c>
      <c r="C4026" t="s">
        <v>1948</v>
      </c>
      <c r="D4026" t="s">
        <v>26</v>
      </c>
      <c r="E4026" t="s">
        <v>42</v>
      </c>
      <c r="F4026">
        <v>2</v>
      </c>
      <c r="G4026" s="3" t="s">
        <v>4</v>
      </c>
      <c r="H4026" s="44" t="s">
        <v>15</v>
      </c>
      <c r="I4026" s="17">
        <v>64450</v>
      </c>
      <c r="J4026" s="17">
        <f>IF(Gastos[[#This Row],[Divisa]]="$", I4026*1, IF(Gastos[[#This Row],[Divisa]]="U$D", I4026*$N$1, IF(Gastos[[#This Row],[Divisa]]="EUR", I4026*$N$2, 0)))</f>
        <v>64450</v>
      </c>
      <c r="K4026" s="54">
        <f>Gastos[[#This Row],[Importe AR$]]/$N$1</f>
        <v>41.314102564102562</v>
      </c>
      <c r="M4026" s="69"/>
      <c r="N4026" s="43" t="str">
        <f>IF(Gastos[[#This Row],[Fecha_Cheque]]&gt;0,WEEKNUM(Gastos[[#This Row],[Fecha_Cheque]]),MID(Gastos[[#This Row],[Semana]],6,2))</f>
        <v>38</v>
      </c>
      <c r="O4026" t="s">
        <v>4365</v>
      </c>
      <c r="P4026" t="s">
        <v>27</v>
      </c>
    </row>
    <row r="4027" spans="1:16" x14ac:dyDescent="0.25">
      <c r="A4027" s="3" t="s">
        <v>4655</v>
      </c>
      <c r="B4027" t="s">
        <v>3051</v>
      </c>
      <c r="C4027" t="s">
        <v>2667</v>
      </c>
      <c r="D4027" t="s">
        <v>26</v>
      </c>
      <c r="E4027" t="s">
        <v>3928</v>
      </c>
      <c r="F4027">
        <v>2</v>
      </c>
      <c r="G4027" s="3" t="s">
        <v>32</v>
      </c>
      <c r="H4027" s="44" t="s">
        <v>2</v>
      </c>
      <c r="I4027" s="17">
        <v>8785.0362946254008</v>
      </c>
      <c r="J4027" s="17">
        <f>IF(Gastos[[#This Row],[Divisa]]="$", I4027*1, IF(Gastos[[#This Row],[Divisa]]="U$D", I4027*$N$1, IF(Gastos[[#This Row],[Divisa]]="EUR", I4027*$N$2, 0)))</f>
        <v>13704656.619615626</v>
      </c>
      <c r="K4027" s="54">
        <f>Gastos[[#This Row],[Importe AR$]]/$N$1</f>
        <v>8785.0362946254008</v>
      </c>
      <c r="M4027" s="69"/>
      <c r="N4027" s="43" t="str">
        <f>IF(Gastos[[#This Row],[Fecha_Cheque]]&gt;0,WEEKNUM(Gastos[[#This Row],[Fecha_Cheque]]),MID(Gastos[[#This Row],[Semana]],6,2))</f>
        <v>44</v>
      </c>
    </row>
    <row r="4028" spans="1:16" hidden="1" x14ac:dyDescent="0.25">
      <c r="A4028" s="3" t="s">
        <v>4569</v>
      </c>
      <c r="B4028" t="s">
        <v>4602</v>
      </c>
      <c r="C4028" t="s">
        <v>2360</v>
      </c>
      <c r="D4028" t="s">
        <v>26</v>
      </c>
      <c r="E4028" t="s">
        <v>91</v>
      </c>
      <c r="F4028">
        <v>1</v>
      </c>
      <c r="G4028" s="3" t="s">
        <v>32</v>
      </c>
      <c r="H4028" s="44" t="s">
        <v>15</v>
      </c>
      <c r="I4028" s="17">
        <v>955088.91</v>
      </c>
      <c r="J4028" s="17">
        <f>IF(Gastos[[#This Row],[Divisa]]="$", I4028*1, IF(Gastos[[#This Row],[Divisa]]="U$D", I4028*$N$1, IF(Gastos[[#This Row],[Divisa]]="EUR", I4028*$N$2, 0)))</f>
        <v>955088.91</v>
      </c>
      <c r="K4028" s="54">
        <f>Gastos[[#This Row],[Importe AR$]]/$N$1</f>
        <v>612.23648076923075</v>
      </c>
      <c r="M4028" s="69">
        <v>46339</v>
      </c>
      <c r="N4028" s="43">
        <f>IF(Gastos[[#This Row],[Fecha_Cheque]]&gt;0,WEEKNUM(Gastos[[#This Row],[Fecha_Cheque]]),MID(Gastos[[#This Row],[Semana]],6,2))</f>
        <v>46</v>
      </c>
      <c r="O4028" t="s">
        <v>4603</v>
      </c>
      <c r="P4028" t="s">
        <v>27</v>
      </c>
    </row>
    <row r="4029" spans="1:16" hidden="1" x14ac:dyDescent="0.25">
      <c r="A4029" s="3" t="s">
        <v>4569</v>
      </c>
      <c r="B4029" t="s">
        <v>4602</v>
      </c>
      <c r="C4029" t="s">
        <v>2360</v>
      </c>
      <c r="D4029" t="s">
        <v>26</v>
      </c>
      <c r="E4029" t="s">
        <v>91</v>
      </c>
      <c r="F4029">
        <v>1</v>
      </c>
      <c r="G4029" s="3" t="s">
        <v>32</v>
      </c>
      <c r="H4029" s="44" t="s">
        <v>15</v>
      </c>
      <c r="I4029" s="17">
        <v>208003.89</v>
      </c>
      <c r="J4029" s="17">
        <f>IF(Gastos[[#This Row],[Divisa]]="$", I4029*1, IF(Gastos[[#This Row],[Divisa]]="U$D", I4029*$N$1, IF(Gastos[[#This Row],[Divisa]]="EUR", I4029*$N$2, 0)))</f>
        <v>208003.89</v>
      </c>
      <c r="K4029" s="54">
        <f>Gastos[[#This Row],[Importe AR$]]/$N$1</f>
        <v>133.33582692307692</v>
      </c>
      <c r="M4029" s="69"/>
      <c r="N4029" s="43" t="str">
        <f>IF(Gastos[[#This Row],[Fecha_Cheque]]&gt;0,WEEKNUM(Gastos[[#This Row],[Fecha_Cheque]]),MID(Gastos[[#This Row],[Semana]],6,2))</f>
        <v>43</v>
      </c>
      <c r="O4029" t="s">
        <v>4603</v>
      </c>
      <c r="P4029" t="s">
        <v>27</v>
      </c>
    </row>
    <row r="4030" spans="1:16" hidden="1" x14ac:dyDescent="0.25">
      <c r="A4030" s="3" t="s">
        <v>4569</v>
      </c>
      <c r="B4030" t="s">
        <v>4602</v>
      </c>
      <c r="C4030" t="s">
        <v>2360</v>
      </c>
      <c r="D4030" t="s">
        <v>26</v>
      </c>
      <c r="E4030" t="s">
        <v>91</v>
      </c>
      <c r="F4030">
        <v>1</v>
      </c>
      <c r="G4030" s="3" t="s">
        <v>32</v>
      </c>
      <c r="H4030" s="44" t="s">
        <v>15</v>
      </c>
      <c r="I4030" s="17">
        <v>18181.8</v>
      </c>
      <c r="J4030" s="17">
        <f>IF(Gastos[[#This Row],[Divisa]]="$", I4030*1, IF(Gastos[[#This Row],[Divisa]]="U$D", I4030*$N$1, IF(Gastos[[#This Row],[Divisa]]="EUR", I4030*$N$2, 0)))</f>
        <v>18181.8</v>
      </c>
      <c r="K4030" s="54">
        <f>Gastos[[#This Row],[Importe AR$]]/$N$1</f>
        <v>11.654999999999999</v>
      </c>
      <c r="M4030" s="69"/>
      <c r="N4030" s="43" t="str">
        <f>IF(Gastos[[#This Row],[Fecha_Cheque]]&gt;0,WEEKNUM(Gastos[[#This Row],[Fecha_Cheque]]),MID(Gastos[[#This Row],[Semana]],6,2))</f>
        <v>43</v>
      </c>
      <c r="O4030" t="s">
        <v>4603</v>
      </c>
      <c r="P4030" t="s">
        <v>27</v>
      </c>
    </row>
    <row r="4031" spans="1:16" hidden="1" x14ac:dyDescent="0.25">
      <c r="A4031" s="3" t="s">
        <v>397</v>
      </c>
      <c r="B4031" t="s">
        <v>2694</v>
      </c>
      <c r="C4031" t="s">
        <v>2695</v>
      </c>
      <c r="D4031" t="s">
        <v>26</v>
      </c>
      <c r="E4031" t="s">
        <v>31</v>
      </c>
      <c r="F4031">
        <v>1</v>
      </c>
      <c r="G4031" s="3" t="s">
        <v>32</v>
      </c>
      <c r="H4031" s="44" t="s">
        <v>15</v>
      </c>
      <c r="I4031" s="17">
        <v>501281.2</v>
      </c>
      <c r="J4031" s="17">
        <f>IF(Gastos[[#This Row],[Divisa]]="$", I4031*1, IF(Gastos[[#This Row],[Divisa]]="U$D", I4031*$N$1, IF(Gastos[[#This Row],[Divisa]]="EUR", I4031*$N$2, 0)))</f>
        <v>501281.2</v>
      </c>
      <c r="K4031" s="54">
        <f>Gastos[[#This Row],[Importe AR$]]/$N$1</f>
        <v>321.33410256410258</v>
      </c>
      <c r="M4031" s="69">
        <v>46123</v>
      </c>
      <c r="N4031" s="43">
        <f>IF(Gastos[[#This Row],[Fecha_Cheque]]&gt;0,WEEKNUM(Gastos[[#This Row],[Fecha_Cheque]]),MID(Gastos[[#This Row],[Semana]],6,2))</f>
        <v>15</v>
      </c>
      <c r="O4031" t="s">
        <v>2696</v>
      </c>
      <c r="P4031" t="s">
        <v>27</v>
      </c>
    </row>
    <row r="4032" spans="1:16" hidden="1" x14ac:dyDescent="0.25">
      <c r="A4032" s="3" t="s">
        <v>253</v>
      </c>
      <c r="B4032" t="s">
        <v>2312</v>
      </c>
      <c r="C4032" t="s">
        <v>2313</v>
      </c>
      <c r="D4032" t="s">
        <v>61</v>
      </c>
      <c r="E4032" t="s">
        <v>31</v>
      </c>
      <c r="F4032">
        <v>1</v>
      </c>
      <c r="G4032" s="3" t="s">
        <v>32</v>
      </c>
      <c r="H4032" s="46" t="s">
        <v>15</v>
      </c>
      <c r="I4032" s="17">
        <v>767670.95</v>
      </c>
      <c r="J4032" s="17">
        <f>IF(Gastos[[#This Row],[Divisa]]="$", I4032*1, IF(Gastos[[#This Row],[Divisa]]="U$D", I4032*$N$1, IF(Gastos[[#This Row],[Divisa]]="EUR", I4032*$N$2, 0)))</f>
        <v>767670.95</v>
      </c>
      <c r="K4032" s="54">
        <f>Gastos[[#This Row],[Importe AR$]]/$N$1</f>
        <v>492.09676282051277</v>
      </c>
      <c r="L4032" t="s">
        <v>299</v>
      </c>
      <c r="M4032" s="69">
        <v>45841</v>
      </c>
      <c r="N4032" s="43">
        <f>IF(Gastos[[#This Row],[Fecha_Cheque]]&gt;0,WEEKNUM(Gastos[[#This Row],[Fecha_Cheque]]),MID(Gastos[[#This Row],[Semana]],6,2))</f>
        <v>27</v>
      </c>
      <c r="P4032" t="s">
        <v>27</v>
      </c>
    </row>
    <row r="4033" spans="1:16" hidden="1" x14ac:dyDescent="0.25">
      <c r="A4033" s="3" t="s">
        <v>89</v>
      </c>
      <c r="B4033" t="s">
        <v>2312</v>
      </c>
      <c r="C4033" t="s">
        <v>2314</v>
      </c>
      <c r="D4033" t="s">
        <v>26</v>
      </c>
      <c r="E4033" t="s">
        <v>31</v>
      </c>
      <c r="F4033">
        <v>1</v>
      </c>
      <c r="G4033" s="3" t="s">
        <v>32</v>
      </c>
      <c r="H4033" s="46" t="s">
        <v>15</v>
      </c>
      <c r="I4033" s="17">
        <v>759462.17</v>
      </c>
      <c r="J4033" s="17">
        <f>IF(Gastos[[#This Row],[Divisa]]="$", I4033*1, IF(Gastos[[#This Row],[Divisa]]="U$D", I4033*$N$1, IF(Gastos[[#This Row],[Divisa]]="EUR", I4033*$N$2, 0)))</f>
        <v>759462.17</v>
      </c>
      <c r="K4033" s="54">
        <f>Gastos[[#This Row],[Importe AR$]]/$N$1</f>
        <v>486.83472435897437</v>
      </c>
      <c r="M4033" s="69">
        <v>45943</v>
      </c>
      <c r="N4033" s="43">
        <f>IF(Gastos[[#This Row],[Fecha_Cheque]]&gt;0,WEEKNUM(Gastos[[#This Row],[Fecha_Cheque]]),MID(Gastos[[#This Row],[Semana]],6,2))</f>
        <v>42</v>
      </c>
      <c r="O4033" t="s">
        <v>2315</v>
      </c>
      <c r="P4033" t="s">
        <v>27</v>
      </c>
    </row>
    <row r="4034" spans="1:16" hidden="1" x14ac:dyDescent="0.25">
      <c r="A4034" s="3" t="s">
        <v>128</v>
      </c>
      <c r="B4034" t="s">
        <v>2312</v>
      </c>
      <c r="C4034" t="s">
        <v>2316</v>
      </c>
      <c r="D4034" t="s">
        <v>26</v>
      </c>
      <c r="E4034" t="s">
        <v>31</v>
      </c>
      <c r="F4034">
        <v>1</v>
      </c>
      <c r="G4034" s="3" t="s">
        <v>32</v>
      </c>
      <c r="H4034" s="46" t="s">
        <v>15</v>
      </c>
      <c r="I4034" s="17">
        <v>700000</v>
      </c>
      <c r="J4034" s="17">
        <f>IF(Gastos[[#This Row],[Divisa]]="$", I4034*1, IF(Gastos[[#This Row],[Divisa]]="U$D", I4034*$N$1, IF(Gastos[[#This Row],[Divisa]]="EUR", I4034*$N$2, 0)))</f>
        <v>700000</v>
      </c>
      <c r="K4034" s="54">
        <f>Gastos[[#This Row],[Importe AR$]]/$N$1</f>
        <v>448.71794871794873</v>
      </c>
      <c r="M4034" s="69">
        <v>45968</v>
      </c>
      <c r="N4034" s="43">
        <f>IF(Gastos[[#This Row],[Fecha_Cheque]]&gt;0,WEEKNUM(Gastos[[#This Row],[Fecha_Cheque]]),MID(Gastos[[#This Row],[Semana]],6,2))</f>
        <v>45</v>
      </c>
      <c r="O4034" t="s">
        <v>2317</v>
      </c>
      <c r="P4034" t="s">
        <v>27</v>
      </c>
    </row>
    <row r="4035" spans="1:16" hidden="1" x14ac:dyDescent="0.25">
      <c r="A4035" s="3" t="s">
        <v>75</v>
      </c>
      <c r="B4035" t="s">
        <v>2312</v>
      </c>
      <c r="C4035" t="s">
        <v>1129</v>
      </c>
      <c r="D4035" t="s">
        <v>26</v>
      </c>
      <c r="E4035" t="s">
        <v>31</v>
      </c>
      <c r="F4035">
        <v>1</v>
      </c>
      <c r="G4035" s="3" t="s">
        <v>32</v>
      </c>
      <c r="H4035" s="46" t="s">
        <v>15</v>
      </c>
      <c r="I4035" s="17">
        <v>870952.85</v>
      </c>
      <c r="J4035" s="17">
        <f>IF(Gastos[[#This Row],[Divisa]]="$", I4035*1, IF(Gastos[[#This Row],[Divisa]]="U$D", I4035*$N$1, IF(Gastos[[#This Row],[Divisa]]="EUR", I4035*$N$2, 0)))</f>
        <v>870952.85</v>
      </c>
      <c r="K4035" s="54">
        <f>Gastos[[#This Row],[Importe AR$]]/$N$1</f>
        <v>558.30310897435891</v>
      </c>
      <c r="M4035" s="69">
        <v>46086</v>
      </c>
      <c r="N4035" s="43">
        <f>IF(Gastos[[#This Row],[Fecha_Cheque]]&gt;0,WEEKNUM(Gastos[[#This Row],[Fecha_Cheque]]),MID(Gastos[[#This Row],[Semana]],6,2))</f>
        <v>10</v>
      </c>
      <c r="O4035" t="s">
        <v>2318</v>
      </c>
      <c r="P4035" t="s">
        <v>27</v>
      </c>
    </row>
    <row r="4036" spans="1:16" hidden="1" x14ac:dyDescent="0.25">
      <c r="A4036" s="3" t="s">
        <v>2731</v>
      </c>
      <c r="B4036" t="s">
        <v>2312</v>
      </c>
      <c r="C4036" t="s">
        <v>3130</v>
      </c>
      <c r="D4036" t="s">
        <v>26</v>
      </c>
      <c r="E4036" t="s">
        <v>31</v>
      </c>
      <c r="F4036">
        <v>1</v>
      </c>
      <c r="G4036" s="3" t="s">
        <v>32</v>
      </c>
      <c r="H4036" s="44" t="s">
        <v>15</v>
      </c>
      <c r="I4036" s="17">
        <v>15124.39</v>
      </c>
      <c r="J4036" s="17">
        <f>IF(Gastos[[#This Row],[Divisa]]="$", I4036*1, IF(Gastos[[#This Row],[Divisa]]="U$D", I4036*$N$1, IF(Gastos[[#This Row],[Divisa]]="EUR", I4036*$N$2, 0)))</f>
        <v>15124.39</v>
      </c>
      <c r="K4036" s="54">
        <f>Gastos[[#This Row],[Importe AR$]]/$N$1</f>
        <v>9.6951217948717954</v>
      </c>
      <c r="L4036" t="s">
        <v>340</v>
      </c>
      <c r="M4036" s="69"/>
      <c r="N4036" s="43" t="str">
        <f>IF(Gastos[[#This Row],[Fecha_Cheque]]&gt;0,WEEKNUM(Gastos[[#This Row],[Fecha_Cheque]]),MID(Gastos[[#This Row],[Semana]],6,2))</f>
        <v>17</v>
      </c>
      <c r="O4036" t="s">
        <v>3131</v>
      </c>
      <c r="P4036" t="s">
        <v>27</v>
      </c>
    </row>
    <row r="4037" spans="1:16" hidden="1" x14ac:dyDescent="0.25">
      <c r="A4037" s="3" t="s">
        <v>2731</v>
      </c>
      <c r="B4037" t="s">
        <v>2312</v>
      </c>
      <c r="C4037" t="s">
        <v>3130</v>
      </c>
      <c r="D4037" t="s">
        <v>26</v>
      </c>
      <c r="E4037" t="s">
        <v>31</v>
      </c>
      <c r="F4037">
        <v>1</v>
      </c>
      <c r="G4037" s="3" t="s">
        <v>32</v>
      </c>
      <c r="H4037" s="44" t="s">
        <v>15</v>
      </c>
      <c r="I4037" s="17">
        <v>170941.23</v>
      </c>
      <c r="J4037" s="17">
        <f>IF(Gastos[[#This Row],[Divisa]]="$", I4037*1, IF(Gastos[[#This Row],[Divisa]]="U$D", I4037*$N$1, IF(Gastos[[#This Row],[Divisa]]="EUR", I4037*$N$2, 0)))</f>
        <v>170941.23</v>
      </c>
      <c r="K4037" s="54">
        <f>Gastos[[#This Row],[Importe AR$]]/$N$1</f>
        <v>109.57771153846154</v>
      </c>
      <c r="M4037" s="69">
        <v>46163</v>
      </c>
      <c r="N4037" s="43">
        <f>IF(Gastos[[#This Row],[Fecha_Cheque]]&gt;0,WEEKNUM(Gastos[[#This Row],[Fecha_Cheque]]),MID(Gastos[[#This Row],[Semana]],6,2))</f>
        <v>21</v>
      </c>
      <c r="O4037" t="s">
        <v>3131</v>
      </c>
      <c r="P4037" t="s">
        <v>27</v>
      </c>
    </row>
    <row r="4038" spans="1:16" hidden="1" x14ac:dyDescent="0.25">
      <c r="A4038" s="3" t="s">
        <v>2731</v>
      </c>
      <c r="B4038" t="s">
        <v>2312</v>
      </c>
      <c r="C4038" t="s">
        <v>3130</v>
      </c>
      <c r="D4038" t="s">
        <v>26</v>
      </c>
      <c r="E4038" t="s">
        <v>31</v>
      </c>
      <c r="F4038">
        <v>1</v>
      </c>
      <c r="G4038" s="3" t="s">
        <v>32</v>
      </c>
      <c r="H4038" s="44" t="s">
        <v>15</v>
      </c>
      <c r="I4038" s="17">
        <v>1000000</v>
      </c>
      <c r="J4038" s="17">
        <f>IF(Gastos[[#This Row],[Divisa]]="$", I4038*1, IF(Gastos[[#This Row],[Divisa]]="U$D", I4038*$N$1, IF(Gastos[[#This Row],[Divisa]]="EUR", I4038*$N$2, 0)))</f>
        <v>1000000</v>
      </c>
      <c r="K4038" s="54">
        <f>Gastos[[#This Row],[Importe AR$]]/$N$1</f>
        <v>641.02564102564099</v>
      </c>
      <c r="M4038" s="69">
        <v>46157</v>
      </c>
      <c r="N4038" s="43">
        <f>IF(Gastos[[#This Row],[Fecha_Cheque]]&gt;0,WEEKNUM(Gastos[[#This Row],[Fecha_Cheque]]),MID(Gastos[[#This Row],[Semana]],6,2))</f>
        <v>20</v>
      </c>
      <c r="O4038" t="s">
        <v>3131</v>
      </c>
      <c r="P4038" t="s">
        <v>27</v>
      </c>
    </row>
    <row r="4039" spans="1:16" hidden="1" x14ac:dyDescent="0.25">
      <c r="A4039" s="3" t="s">
        <v>4211</v>
      </c>
      <c r="B4039" t="s">
        <v>2312</v>
      </c>
      <c r="C4039" t="s">
        <v>4308</v>
      </c>
      <c r="D4039" t="s">
        <v>26</v>
      </c>
      <c r="E4039" t="s">
        <v>31</v>
      </c>
      <c r="F4039">
        <v>1</v>
      </c>
      <c r="G4039" s="3" t="s">
        <v>32</v>
      </c>
      <c r="H4039" s="44" t="s">
        <v>15</v>
      </c>
      <c r="I4039" s="17">
        <v>800000</v>
      </c>
      <c r="J4039" s="17">
        <f>IF(Gastos[[#This Row],[Divisa]]="$", I4039*1, IF(Gastos[[#This Row],[Divisa]]="U$D", I4039*$N$1, IF(Gastos[[#This Row],[Divisa]]="EUR", I4039*$N$2, 0)))</f>
        <v>800000</v>
      </c>
      <c r="K4039" s="54">
        <f>Gastos[[#This Row],[Importe AR$]]/$N$1</f>
        <v>512.82051282051282</v>
      </c>
      <c r="M4039" s="69">
        <v>46300</v>
      </c>
      <c r="N4039" s="43">
        <f>IF(Gastos[[#This Row],[Fecha_Cheque]]&gt;0,WEEKNUM(Gastos[[#This Row],[Fecha_Cheque]]),MID(Gastos[[#This Row],[Semana]],6,2))</f>
        <v>41</v>
      </c>
      <c r="O4039" t="s">
        <v>4309</v>
      </c>
      <c r="P4039" t="s">
        <v>27</v>
      </c>
    </row>
    <row r="4040" spans="1:16" hidden="1" x14ac:dyDescent="0.25">
      <c r="A4040" s="3" t="s">
        <v>4211</v>
      </c>
      <c r="B4040" t="s">
        <v>2312</v>
      </c>
      <c r="C4040" t="s">
        <v>4308</v>
      </c>
      <c r="D4040" t="s">
        <v>26</v>
      </c>
      <c r="E4040" t="s">
        <v>31</v>
      </c>
      <c r="F4040">
        <v>1</v>
      </c>
      <c r="G4040" s="3" t="s">
        <v>32</v>
      </c>
      <c r="H4040" s="44" t="s">
        <v>15</v>
      </c>
      <c r="I4040" s="17">
        <v>900000</v>
      </c>
      <c r="J4040" s="17">
        <f>IF(Gastos[[#This Row],[Divisa]]="$", I4040*1, IF(Gastos[[#This Row],[Divisa]]="U$D", I4040*$N$1, IF(Gastos[[#This Row],[Divisa]]="EUR", I4040*$N$2, 0)))</f>
        <v>900000</v>
      </c>
      <c r="K4040" s="54">
        <f>Gastos[[#This Row],[Importe AR$]]/$N$1</f>
        <v>576.92307692307691</v>
      </c>
      <c r="M4040" s="69">
        <v>46308</v>
      </c>
      <c r="N4040" s="43">
        <f>IF(Gastos[[#This Row],[Fecha_Cheque]]&gt;0,WEEKNUM(Gastos[[#This Row],[Fecha_Cheque]]),MID(Gastos[[#This Row],[Semana]],6,2))</f>
        <v>42</v>
      </c>
      <c r="O4040" t="s">
        <v>4309</v>
      </c>
      <c r="P4040" t="s">
        <v>27</v>
      </c>
    </row>
    <row r="4041" spans="1:16" hidden="1" x14ac:dyDescent="0.25">
      <c r="A4041" s="3" t="s">
        <v>4211</v>
      </c>
      <c r="B4041" t="s">
        <v>2312</v>
      </c>
      <c r="C4041" t="s">
        <v>4308</v>
      </c>
      <c r="D4041" t="s">
        <v>26</v>
      </c>
      <c r="E4041" t="s">
        <v>31</v>
      </c>
      <c r="F4041">
        <v>1</v>
      </c>
      <c r="G4041" s="3" t="s">
        <v>4</v>
      </c>
      <c r="H4041" s="44" t="s">
        <v>15</v>
      </c>
      <c r="I4041" s="17">
        <v>39734.19</v>
      </c>
      <c r="J4041" s="17">
        <f>IF(Gastos[[#This Row],[Divisa]]="$", I4041*1, IF(Gastos[[#This Row],[Divisa]]="U$D", I4041*$N$1, IF(Gastos[[#This Row],[Divisa]]="EUR", I4041*$N$2, 0)))</f>
        <v>39734.19</v>
      </c>
      <c r="K4041" s="54">
        <f>Gastos[[#This Row],[Importe AR$]]/$N$1</f>
        <v>25.470634615384618</v>
      </c>
      <c r="M4041" s="69">
        <v>46275</v>
      </c>
      <c r="N4041" s="43">
        <f>IF(Gastos[[#This Row],[Fecha_Cheque]]&gt;0,WEEKNUM(Gastos[[#This Row],[Fecha_Cheque]]),MID(Gastos[[#This Row],[Semana]],6,2))</f>
        <v>37</v>
      </c>
      <c r="O4041" t="s">
        <v>4309</v>
      </c>
      <c r="P4041" t="s">
        <v>27</v>
      </c>
    </row>
    <row r="4042" spans="1:16" hidden="1" x14ac:dyDescent="0.25">
      <c r="A4042" s="3" t="s">
        <v>4211</v>
      </c>
      <c r="B4042" t="s">
        <v>2312</v>
      </c>
      <c r="C4042" t="s">
        <v>4308</v>
      </c>
      <c r="D4042" t="s">
        <v>26</v>
      </c>
      <c r="E4042" t="s">
        <v>31</v>
      </c>
      <c r="F4042">
        <v>1</v>
      </c>
      <c r="G4042" s="3" t="s">
        <v>32</v>
      </c>
      <c r="H4042" s="44" t="s">
        <v>15</v>
      </c>
      <c r="I4042" s="17">
        <v>24683.94</v>
      </c>
      <c r="J4042" s="17">
        <f>IF(Gastos[[#This Row],[Divisa]]="$", I4042*1, IF(Gastos[[#This Row],[Divisa]]="U$D", I4042*$N$1, IF(Gastos[[#This Row],[Divisa]]="EUR", I4042*$N$2, 0)))</f>
        <v>24683.94</v>
      </c>
      <c r="K4042" s="54">
        <f>Gastos[[#This Row],[Importe AR$]]/$N$1</f>
        <v>15.823038461538461</v>
      </c>
      <c r="L4042" t="s">
        <v>340</v>
      </c>
      <c r="M4042" s="69"/>
      <c r="N4042" s="43" t="str">
        <f>IF(Gastos[[#This Row],[Fecha_Cheque]]&gt;0,WEEKNUM(Gastos[[#This Row],[Fecha_Cheque]]),MID(Gastos[[#This Row],[Semana]],6,2))</f>
        <v>37</v>
      </c>
      <c r="O4042" t="s">
        <v>4309</v>
      </c>
      <c r="P4042" t="s">
        <v>27</v>
      </c>
    </row>
    <row r="4043" spans="1:16" hidden="1" x14ac:dyDescent="0.25">
      <c r="A4043" s="3" t="s">
        <v>4569</v>
      </c>
      <c r="B4043" t="s">
        <v>2312</v>
      </c>
      <c r="D4043" t="s">
        <v>26</v>
      </c>
      <c r="E4043" t="s">
        <v>62</v>
      </c>
      <c r="F4043">
        <v>1</v>
      </c>
      <c r="G4043" s="3" t="s">
        <v>32</v>
      </c>
      <c r="H4043" s="44" t="s">
        <v>15</v>
      </c>
      <c r="I4043" s="17">
        <v>956000</v>
      </c>
      <c r="J4043" s="17">
        <f>IF(Gastos[[#This Row],[Divisa]]="$", I4043*1, IF(Gastos[[#This Row],[Divisa]]="U$D", I4043*$N$1, IF(Gastos[[#This Row],[Divisa]]="EUR", I4043*$N$2, 0)))</f>
        <v>956000</v>
      </c>
      <c r="K4043" s="54">
        <f>Gastos[[#This Row],[Importe AR$]]/$N$1</f>
        <v>612.82051282051282</v>
      </c>
      <c r="M4043" s="69">
        <v>46336</v>
      </c>
      <c r="N4043" s="43">
        <f>IF(Gastos[[#This Row],[Fecha_Cheque]]&gt;0,WEEKNUM(Gastos[[#This Row],[Fecha_Cheque]]),MID(Gastos[[#This Row],[Semana]],6,2))</f>
        <v>46</v>
      </c>
      <c r="O4043" t="s">
        <v>4648</v>
      </c>
      <c r="P4043" t="s">
        <v>27</v>
      </c>
    </row>
    <row r="4044" spans="1:16" hidden="1" x14ac:dyDescent="0.25">
      <c r="A4044" s="3" t="s">
        <v>4569</v>
      </c>
      <c r="B4044" t="s">
        <v>2312</v>
      </c>
      <c r="D4044" t="s">
        <v>26</v>
      </c>
      <c r="E4044" t="s">
        <v>62</v>
      </c>
      <c r="F4044">
        <v>1</v>
      </c>
      <c r="G4044" s="3" t="s">
        <v>5</v>
      </c>
      <c r="H4044" s="44" t="s">
        <v>15</v>
      </c>
      <c r="I4044" s="17">
        <v>783734.19</v>
      </c>
      <c r="J4044" s="17">
        <f>IF(Gastos[[#This Row],[Divisa]]="$", I4044*1, IF(Gastos[[#This Row],[Divisa]]="U$D", I4044*$N$1, IF(Gastos[[#This Row],[Divisa]]="EUR", I4044*$N$2, 0)))</f>
        <v>783734.19</v>
      </c>
      <c r="K4044" s="54">
        <f>Gastos[[#This Row],[Importe AR$]]/$N$1</f>
        <v>502.3937115384615</v>
      </c>
      <c r="M4044" s="69"/>
      <c r="N4044" s="43" t="str">
        <f>IF(Gastos[[#This Row],[Fecha_Cheque]]&gt;0,WEEKNUM(Gastos[[#This Row],[Fecha_Cheque]]),MID(Gastos[[#This Row],[Semana]],6,2))</f>
        <v>43</v>
      </c>
      <c r="O4044" t="s">
        <v>4648</v>
      </c>
      <c r="P4044" t="s">
        <v>27</v>
      </c>
    </row>
    <row r="4045" spans="1:16" hidden="1" x14ac:dyDescent="0.25">
      <c r="A4045" s="3" t="s">
        <v>4569</v>
      </c>
      <c r="B4045" t="s">
        <v>2312</v>
      </c>
      <c r="D4045" t="s">
        <v>26</v>
      </c>
      <c r="E4045" t="s">
        <v>62</v>
      </c>
      <c r="F4045">
        <v>1</v>
      </c>
      <c r="G4045" s="3" t="s">
        <v>32</v>
      </c>
      <c r="H4045" s="44" t="s">
        <v>15</v>
      </c>
      <c r="I4045" s="17">
        <v>24683.94</v>
      </c>
      <c r="J4045" s="17">
        <f>IF(Gastos[[#This Row],[Divisa]]="$", I4045*1, IF(Gastos[[#This Row],[Divisa]]="U$D", I4045*$N$1, IF(Gastos[[#This Row],[Divisa]]="EUR", I4045*$N$2, 0)))</f>
        <v>24683.94</v>
      </c>
      <c r="K4045" s="54">
        <f>Gastos[[#This Row],[Importe AR$]]/$N$1</f>
        <v>15.823038461538461</v>
      </c>
      <c r="L4045" t="s">
        <v>340</v>
      </c>
      <c r="M4045" s="69"/>
      <c r="N4045" s="43" t="str">
        <f>IF(Gastos[[#This Row],[Fecha_Cheque]]&gt;0,WEEKNUM(Gastos[[#This Row],[Fecha_Cheque]]),MID(Gastos[[#This Row],[Semana]],6,2))</f>
        <v>43</v>
      </c>
      <c r="O4045" t="s">
        <v>4648</v>
      </c>
      <c r="P4045" t="s">
        <v>27</v>
      </c>
    </row>
    <row r="4046" spans="1:16" hidden="1" x14ac:dyDescent="0.25">
      <c r="A4046" s="3" t="s">
        <v>34</v>
      </c>
      <c r="B4046" t="s">
        <v>2319</v>
      </c>
      <c r="C4046" t="s">
        <v>2320</v>
      </c>
      <c r="D4046" t="s">
        <v>26</v>
      </c>
      <c r="E4046" t="s">
        <v>31</v>
      </c>
      <c r="F4046">
        <v>1</v>
      </c>
      <c r="G4046" s="3" t="s">
        <v>32</v>
      </c>
      <c r="H4046" s="46" t="s">
        <v>15</v>
      </c>
      <c r="I4046" s="17">
        <v>116130</v>
      </c>
      <c r="J4046" s="17">
        <f>IF(Gastos[[#This Row],[Divisa]]="$", I4046*1, IF(Gastos[[#This Row],[Divisa]]="U$D", I4046*$N$1, IF(Gastos[[#This Row],[Divisa]]="EUR", I4046*$N$2, 0)))</f>
        <v>116130</v>
      </c>
      <c r="K4046" s="54">
        <f>Gastos[[#This Row],[Importe AR$]]/$N$1</f>
        <v>74.442307692307693</v>
      </c>
      <c r="M4046" s="69">
        <v>45857</v>
      </c>
      <c r="N4046" s="43">
        <f>IF(Gastos[[#This Row],[Fecha_Cheque]]&gt;0,WEEKNUM(Gastos[[#This Row],[Fecha_Cheque]]),MID(Gastos[[#This Row],[Semana]],6,2))</f>
        <v>29</v>
      </c>
      <c r="P4046" t="s">
        <v>27</v>
      </c>
    </row>
    <row r="4047" spans="1:16" hidden="1" x14ac:dyDescent="0.25">
      <c r="A4047" s="3" t="s">
        <v>34</v>
      </c>
      <c r="B4047" t="s">
        <v>2319</v>
      </c>
      <c r="C4047" t="s">
        <v>2320</v>
      </c>
      <c r="D4047" t="s">
        <v>26</v>
      </c>
      <c r="E4047" t="s">
        <v>31</v>
      </c>
      <c r="F4047">
        <v>1</v>
      </c>
      <c r="G4047" s="3" t="s">
        <v>32</v>
      </c>
      <c r="H4047" s="46" t="s">
        <v>15</v>
      </c>
      <c r="I4047" s="17">
        <v>500000</v>
      </c>
      <c r="J4047" s="17">
        <f>IF(Gastos[[#This Row],[Divisa]]="$", I4047*1, IF(Gastos[[#This Row],[Divisa]]="U$D", I4047*$N$1, IF(Gastos[[#This Row],[Divisa]]="EUR", I4047*$N$2, 0)))</f>
        <v>500000</v>
      </c>
      <c r="K4047" s="54">
        <f>Gastos[[#This Row],[Importe AR$]]/$N$1</f>
        <v>320.5128205128205</v>
      </c>
      <c r="M4047" s="69">
        <v>45863</v>
      </c>
      <c r="N4047" s="43">
        <f>IF(Gastos[[#This Row],[Fecha_Cheque]]&gt;0,WEEKNUM(Gastos[[#This Row],[Fecha_Cheque]]),MID(Gastos[[#This Row],[Semana]],6,2))</f>
        <v>30</v>
      </c>
      <c r="O4047" t="s">
        <v>123</v>
      </c>
      <c r="P4047" t="s">
        <v>27</v>
      </c>
    </row>
    <row r="4048" spans="1:16" hidden="1" x14ac:dyDescent="0.25">
      <c r="A4048" s="3" t="s">
        <v>34</v>
      </c>
      <c r="B4048" t="s">
        <v>2319</v>
      </c>
      <c r="C4048" t="s">
        <v>2320</v>
      </c>
      <c r="D4048" t="s">
        <v>26</v>
      </c>
      <c r="E4048" t="s">
        <v>31</v>
      </c>
      <c r="F4048">
        <v>1</v>
      </c>
      <c r="G4048" s="3" t="s">
        <v>4</v>
      </c>
      <c r="H4048" s="46" t="s">
        <v>15</v>
      </c>
      <c r="I4048" s="17">
        <v>31870</v>
      </c>
      <c r="J4048" s="17">
        <f>IF(Gastos[[#This Row],[Divisa]]="$", I4048*1, IF(Gastos[[#This Row],[Divisa]]="U$D", I4048*$N$1, IF(Gastos[[#This Row],[Divisa]]="EUR", I4048*$N$2, 0)))</f>
        <v>31870</v>
      </c>
      <c r="K4048" s="54">
        <f>Gastos[[#This Row],[Importe AR$]]/$N$1</f>
        <v>20.429487179487179</v>
      </c>
      <c r="M4048" s="69">
        <v>45857</v>
      </c>
      <c r="N4048" s="43">
        <f>IF(Gastos[[#This Row],[Fecha_Cheque]]&gt;0,WEEKNUM(Gastos[[#This Row],[Fecha_Cheque]]),MID(Gastos[[#This Row],[Semana]],6,2))</f>
        <v>29</v>
      </c>
      <c r="P4048" t="s">
        <v>27</v>
      </c>
    </row>
    <row r="4049" spans="1:16" hidden="1" x14ac:dyDescent="0.25">
      <c r="A4049" s="3" t="s">
        <v>2763</v>
      </c>
      <c r="B4049" t="s">
        <v>3404</v>
      </c>
      <c r="C4049" t="s">
        <v>3281</v>
      </c>
      <c r="D4049" t="s">
        <v>26</v>
      </c>
      <c r="E4049" t="s">
        <v>42</v>
      </c>
      <c r="F4049">
        <v>1</v>
      </c>
      <c r="G4049" s="3" t="s">
        <v>4</v>
      </c>
      <c r="H4049" s="44" t="s">
        <v>15</v>
      </c>
      <c r="I4049" s="17">
        <v>9800</v>
      </c>
      <c r="J4049" s="17">
        <f>IF(Gastos[[#This Row],[Divisa]]="$", I4049*1, IF(Gastos[[#This Row],[Divisa]]="U$D", I4049*$N$1, IF(Gastos[[#This Row],[Divisa]]="EUR", I4049*$N$2, 0)))</f>
        <v>9800</v>
      </c>
      <c r="K4049" s="54">
        <f>Gastos[[#This Row],[Importe AR$]]/$N$1</f>
        <v>6.2820512820512819</v>
      </c>
      <c r="M4049" s="69"/>
      <c r="N4049" s="43" t="str">
        <f>IF(Gastos[[#This Row],[Fecha_Cheque]]&gt;0,WEEKNUM(Gastos[[#This Row],[Fecha_Cheque]]),MID(Gastos[[#This Row],[Semana]],6,2))</f>
        <v>23</v>
      </c>
      <c r="O4049" t="s">
        <v>3405</v>
      </c>
      <c r="P4049" t="s">
        <v>27</v>
      </c>
    </row>
    <row r="4050" spans="1:16" hidden="1" x14ac:dyDescent="0.25">
      <c r="A4050" s="3" t="s">
        <v>3754</v>
      </c>
      <c r="B4050" t="s">
        <v>3404</v>
      </c>
      <c r="C4050" t="s">
        <v>1948</v>
      </c>
      <c r="D4050" t="s">
        <v>26</v>
      </c>
      <c r="E4050" t="s">
        <v>42</v>
      </c>
      <c r="F4050">
        <v>1</v>
      </c>
      <c r="G4050" s="3" t="s">
        <v>4</v>
      </c>
      <c r="H4050" s="44" t="s">
        <v>15</v>
      </c>
      <c r="I4050" s="17">
        <v>20000</v>
      </c>
      <c r="J4050" s="17">
        <f>IF(Gastos[[#This Row],[Divisa]]="$", I4050*1, IF(Gastos[[#This Row],[Divisa]]="U$D", I4050*$N$1, IF(Gastos[[#This Row],[Divisa]]="EUR", I4050*$N$2, 0)))</f>
        <v>20000</v>
      </c>
      <c r="K4050" s="54">
        <f>Gastos[[#This Row],[Importe AR$]]/$N$1</f>
        <v>12.820512820512821</v>
      </c>
      <c r="M4050" s="69"/>
      <c r="N4050" s="43" t="str">
        <f>IF(Gastos[[#This Row],[Fecha_Cheque]]&gt;0,WEEKNUM(Gastos[[#This Row],[Fecha_Cheque]]),MID(Gastos[[#This Row],[Semana]],6,2))</f>
        <v>29</v>
      </c>
      <c r="O4050" t="s">
        <v>3790</v>
      </c>
      <c r="P4050" t="s">
        <v>27</v>
      </c>
    </row>
    <row r="4051" spans="1:16" hidden="1" x14ac:dyDescent="0.25">
      <c r="A4051" s="3" t="s">
        <v>3882</v>
      </c>
      <c r="B4051" t="s">
        <v>3404</v>
      </c>
      <c r="C4051" t="s">
        <v>1211</v>
      </c>
      <c r="D4051" t="s">
        <v>26</v>
      </c>
      <c r="E4051" t="s">
        <v>42</v>
      </c>
      <c r="F4051">
        <v>1</v>
      </c>
      <c r="G4051" s="3" t="s">
        <v>4</v>
      </c>
      <c r="H4051" s="44" t="s">
        <v>15</v>
      </c>
      <c r="I4051" s="17">
        <v>11300</v>
      </c>
      <c r="J4051" s="17">
        <f>IF(Gastos[[#This Row],[Divisa]]="$", I4051*1, IF(Gastos[[#This Row],[Divisa]]="U$D", I4051*$N$1, IF(Gastos[[#This Row],[Divisa]]="EUR", I4051*$N$2, 0)))</f>
        <v>11300</v>
      </c>
      <c r="K4051" s="54">
        <f>Gastos[[#This Row],[Importe AR$]]/$N$1</f>
        <v>7.2435897435897436</v>
      </c>
      <c r="M4051" s="69"/>
      <c r="N4051" s="43" t="str">
        <f>IF(Gastos[[#This Row],[Fecha_Cheque]]&gt;0,WEEKNUM(Gastos[[#This Row],[Fecha_Cheque]]),MID(Gastos[[#This Row],[Semana]],6,2))</f>
        <v>31</v>
      </c>
      <c r="O4051" t="s">
        <v>3942</v>
      </c>
      <c r="P4051" t="s">
        <v>27</v>
      </c>
    </row>
    <row r="4052" spans="1:16" hidden="1" x14ac:dyDescent="0.25">
      <c r="A4052" s="3" t="s">
        <v>4447</v>
      </c>
      <c r="B4052" t="s">
        <v>3404</v>
      </c>
      <c r="C4052" t="s">
        <v>1948</v>
      </c>
      <c r="D4052" t="s">
        <v>26</v>
      </c>
      <c r="E4052" t="s">
        <v>42</v>
      </c>
      <c r="F4052">
        <v>1</v>
      </c>
      <c r="G4052" s="3" t="s">
        <v>4</v>
      </c>
      <c r="H4052" s="44" t="s">
        <v>15</v>
      </c>
      <c r="I4052" s="17">
        <v>25000</v>
      </c>
      <c r="J4052" s="17">
        <f>IF(Gastos[[#This Row],[Divisa]]="$", I4052*1, IF(Gastos[[#This Row],[Divisa]]="U$D", I4052*$N$1, IF(Gastos[[#This Row],[Divisa]]="EUR", I4052*$N$2, 0)))</f>
        <v>25000</v>
      </c>
      <c r="K4052" s="54">
        <f>Gastos[[#This Row],[Importe AR$]]/$N$1</f>
        <v>16.025641025641026</v>
      </c>
      <c r="M4052" s="69"/>
      <c r="N4052" s="43" t="str">
        <f>IF(Gastos[[#This Row],[Fecha_Cheque]]&gt;0,WEEKNUM(Gastos[[#This Row],[Fecha_Cheque]]),MID(Gastos[[#This Row],[Semana]],6,2))</f>
        <v>41</v>
      </c>
      <c r="O4052" t="s">
        <v>4459</v>
      </c>
      <c r="P4052" t="s">
        <v>27</v>
      </c>
    </row>
    <row r="4053" spans="1:16" hidden="1" x14ac:dyDescent="0.25">
      <c r="A4053" s="3" t="s">
        <v>4447</v>
      </c>
      <c r="B4053" t="s">
        <v>3404</v>
      </c>
      <c r="C4053" t="s">
        <v>1948</v>
      </c>
      <c r="D4053" t="s">
        <v>26</v>
      </c>
      <c r="E4053" t="s">
        <v>42</v>
      </c>
      <c r="F4053">
        <v>1</v>
      </c>
      <c r="G4053" s="3" t="s">
        <v>4</v>
      </c>
      <c r="H4053" s="44" t="s">
        <v>15</v>
      </c>
      <c r="I4053" s="17">
        <v>13400</v>
      </c>
      <c r="J4053" s="17">
        <f>IF(Gastos[[#This Row],[Divisa]]="$", I4053*1, IF(Gastos[[#This Row],[Divisa]]="U$D", I4053*$N$1, IF(Gastos[[#This Row],[Divisa]]="EUR", I4053*$N$2, 0)))</f>
        <v>13400</v>
      </c>
      <c r="K4053" s="54">
        <f>Gastos[[#This Row],[Importe AR$]]/$N$1</f>
        <v>8.5897435897435894</v>
      </c>
      <c r="M4053" s="69"/>
      <c r="N4053" s="43" t="str">
        <f>IF(Gastos[[#This Row],[Fecha_Cheque]]&gt;0,WEEKNUM(Gastos[[#This Row],[Fecha_Cheque]]),MID(Gastos[[#This Row],[Semana]],6,2))</f>
        <v>41</v>
      </c>
      <c r="O4053" t="s">
        <v>4469</v>
      </c>
      <c r="P4053" t="s">
        <v>27</v>
      </c>
    </row>
    <row r="4054" spans="1:16" hidden="1" x14ac:dyDescent="0.25">
      <c r="A4054" s="3" t="s">
        <v>4374</v>
      </c>
      <c r="B4054" t="s">
        <v>4385</v>
      </c>
      <c r="C4054" t="s">
        <v>1948</v>
      </c>
      <c r="D4054" t="s">
        <v>26</v>
      </c>
      <c r="E4054" t="s">
        <v>42</v>
      </c>
      <c r="F4054">
        <v>1</v>
      </c>
      <c r="G4054" s="3" t="s">
        <v>4</v>
      </c>
      <c r="H4054" s="44" t="s">
        <v>15</v>
      </c>
      <c r="I4054" s="17">
        <v>13000</v>
      </c>
      <c r="J4054" s="17">
        <f>IF(Gastos[[#This Row],[Divisa]]="$", I4054*1, IF(Gastos[[#This Row],[Divisa]]="U$D", I4054*$N$1, IF(Gastos[[#This Row],[Divisa]]="EUR", I4054*$N$2, 0)))</f>
        <v>13000</v>
      </c>
      <c r="K4054" s="54">
        <f>Gastos[[#This Row],[Importe AR$]]/$N$1</f>
        <v>8.3333333333333339</v>
      </c>
      <c r="M4054" s="69"/>
      <c r="N4054" s="43" t="str">
        <f>IF(Gastos[[#This Row],[Fecha_Cheque]]&gt;0,WEEKNUM(Gastos[[#This Row],[Fecha_Cheque]]),MID(Gastos[[#This Row],[Semana]],6,2))</f>
        <v>39</v>
      </c>
      <c r="O4054" t="s">
        <v>4386</v>
      </c>
      <c r="P4054" t="s">
        <v>27</v>
      </c>
    </row>
    <row r="4055" spans="1:16" hidden="1" x14ac:dyDescent="0.25">
      <c r="A4055" s="3" t="s">
        <v>79</v>
      </c>
      <c r="B4055" t="s">
        <v>2321</v>
      </c>
      <c r="C4055" t="s">
        <v>2322</v>
      </c>
      <c r="D4055" t="s">
        <v>26</v>
      </c>
      <c r="E4055" t="s">
        <v>31</v>
      </c>
      <c r="F4055">
        <v>2</v>
      </c>
      <c r="G4055" s="3" t="s">
        <v>32</v>
      </c>
      <c r="H4055" s="46" t="s">
        <v>15</v>
      </c>
      <c r="I4055" s="17">
        <v>449000</v>
      </c>
      <c r="J4055" s="17">
        <f>IF(Gastos[[#This Row],[Divisa]]="$", I4055*1, IF(Gastos[[#This Row],[Divisa]]="U$D", I4055*$N$1, IF(Gastos[[#This Row],[Divisa]]="EUR", I4055*$N$2, 0)))</f>
        <v>449000</v>
      </c>
      <c r="K4055" s="54">
        <f>Gastos[[#This Row],[Importe AR$]]/$N$1</f>
        <v>287.82051282051282</v>
      </c>
      <c r="M4055" s="69">
        <v>46020</v>
      </c>
      <c r="N4055" s="43">
        <f>IF(Gastos[[#This Row],[Fecha_Cheque]]&gt;0,WEEKNUM(Gastos[[#This Row],[Fecha_Cheque]]),MID(Gastos[[#This Row],[Semana]],6,2))</f>
        <v>53</v>
      </c>
      <c r="O4055" t="s">
        <v>2323</v>
      </c>
      <c r="P4055" t="s">
        <v>27</v>
      </c>
    </row>
    <row r="4056" spans="1:16" hidden="1" x14ac:dyDescent="0.25">
      <c r="A4056" s="3" t="s">
        <v>79</v>
      </c>
      <c r="B4056" t="s">
        <v>2321</v>
      </c>
      <c r="C4056" t="s">
        <v>2322</v>
      </c>
      <c r="D4056" t="s">
        <v>26</v>
      </c>
      <c r="E4056" t="s">
        <v>31</v>
      </c>
      <c r="F4056">
        <v>2</v>
      </c>
      <c r="G4056" s="3" t="s">
        <v>32</v>
      </c>
      <c r="H4056" s="46" t="s">
        <v>15</v>
      </c>
      <c r="I4056" s="17">
        <v>700000</v>
      </c>
      <c r="J4056" s="17">
        <f>IF(Gastos[[#This Row],[Divisa]]="$", I4056*1, IF(Gastos[[#This Row],[Divisa]]="U$D", I4056*$N$1, IF(Gastos[[#This Row],[Divisa]]="EUR", I4056*$N$2, 0)))</f>
        <v>700000</v>
      </c>
      <c r="K4056" s="54">
        <f>Gastos[[#This Row],[Importe AR$]]/$N$1</f>
        <v>448.71794871794873</v>
      </c>
      <c r="M4056" s="69">
        <v>46015</v>
      </c>
      <c r="N4056" s="43">
        <f>IF(Gastos[[#This Row],[Fecha_Cheque]]&gt;0,WEEKNUM(Gastos[[#This Row],[Fecha_Cheque]]),MID(Gastos[[#This Row],[Semana]],6,2))</f>
        <v>52</v>
      </c>
      <c r="O4056" t="s">
        <v>2323</v>
      </c>
      <c r="P4056" t="s">
        <v>27</v>
      </c>
    </row>
    <row r="4057" spans="1:16" hidden="1" x14ac:dyDescent="0.25">
      <c r="A4057" s="3" t="s">
        <v>79</v>
      </c>
      <c r="B4057" t="s">
        <v>2321</v>
      </c>
      <c r="C4057" t="s">
        <v>2322</v>
      </c>
      <c r="D4057" t="s">
        <v>26</v>
      </c>
      <c r="E4057" t="s">
        <v>31</v>
      </c>
      <c r="F4057">
        <v>2</v>
      </c>
      <c r="G4057" s="3" t="s">
        <v>32</v>
      </c>
      <c r="H4057" s="46" t="s">
        <v>15</v>
      </c>
      <c r="I4057" s="17">
        <v>700000</v>
      </c>
      <c r="J4057" s="17">
        <f>IF(Gastos[[#This Row],[Divisa]]="$", I4057*1, IF(Gastos[[#This Row],[Divisa]]="U$D", I4057*$N$1, IF(Gastos[[#This Row],[Divisa]]="EUR", I4057*$N$2, 0)))</f>
        <v>700000</v>
      </c>
      <c r="K4057" s="54">
        <f>Gastos[[#This Row],[Importe AR$]]/$N$1</f>
        <v>448.71794871794873</v>
      </c>
      <c r="M4057" s="69">
        <v>46011</v>
      </c>
      <c r="N4057" s="43">
        <f>IF(Gastos[[#This Row],[Fecha_Cheque]]&gt;0,WEEKNUM(Gastos[[#This Row],[Fecha_Cheque]]),MID(Gastos[[#This Row],[Semana]],6,2))</f>
        <v>51</v>
      </c>
      <c r="O4057" t="s">
        <v>2323</v>
      </c>
      <c r="P4057" t="s">
        <v>27</v>
      </c>
    </row>
    <row r="4058" spans="1:16" hidden="1" x14ac:dyDescent="0.25">
      <c r="A4058" s="3" t="s">
        <v>79</v>
      </c>
      <c r="B4058" t="s">
        <v>2321</v>
      </c>
      <c r="C4058" t="s">
        <v>2322</v>
      </c>
      <c r="D4058" t="s">
        <v>26</v>
      </c>
      <c r="E4058" t="s">
        <v>31</v>
      </c>
      <c r="F4058">
        <v>2</v>
      </c>
      <c r="G4058" s="3" t="s">
        <v>32</v>
      </c>
      <c r="H4058" s="46" t="s">
        <v>15</v>
      </c>
      <c r="I4058" s="17">
        <v>700000</v>
      </c>
      <c r="J4058" s="17">
        <f>IF(Gastos[[#This Row],[Divisa]]="$", I4058*1, IF(Gastos[[#This Row],[Divisa]]="U$D", I4058*$N$1, IF(Gastos[[#This Row],[Divisa]]="EUR", I4058*$N$2, 0)))</f>
        <v>700000</v>
      </c>
      <c r="K4058" s="54">
        <f>Gastos[[#This Row],[Importe AR$]]/$N$1</f>
        <v>448.71794871794873</v>
      </c>
      <c r="M4058" s="69">
        <v>46018</v>
      </c>
      <c r="N4058" s="43">
        <f>IF(Gastos[[#This Row],[Fecha_Cheque]]&gt;0,WEEKNUM(Gastos[[#This Row],[Fecha_Cheque]]),MID(Gastos[[#This Row],[Semana]],6,2))</f>
        <v>52</v>
      </c>
      <c r="O4058" t="s">
        <v>2323</v>
      </c>
      <c r="P4058" t="s">
        <v>27</v>
      </c>
    </row>
    <row r="4059" spans="1:16" hidden="1" x14ac:dyDescent="0.25">
      <c r="A4059" s="3" t="s">
        <v>79</v>
      </c>
      <c r="B4059" t="s">
        <v>2321</v>
      </c>
      <c r="C4059" t="s">
        <v>2322</v>
      </c>
      <c r="D4059" t="s">
        <v>26</v>
      </c>
      <c r="E4059" t="s">
        <v>31</v>
      </c>
      <c r="F4059">
        <v>2</v>
      </c>
      <c r="G4059" s="3" t="s">
        <v>32</v>
      </c>
      <c r="H4059" s="46" t="s">
        <v>15</v>
      </c>
      <c r="I4059" s="17">
        <v>750000</v>
      </c>
      <c r="J4059" s="17">
        <f>IF(Gastos[[#This Row],[Divisa]]="$", I4059*1, IF(Gastos[[#This Row],[Divisa]]="U$D", I4059*$N$1, IF(Gastos[[#This Row],[Divisa]]="EUR", I4059*$N$2, 0)))</f>
        <v>750000</v>
      </c>
      <c r="K4059" s="54">
        <f>Gastos[[#This Row],[Importe AR$]]/$N$1</f>
        <v>480.76923076923077</v>
      </c>
      <c r="M4059" s="69">
        <v>46017</v>
      </c>
      <c r="N4059" s="43">
        <f>IF(Gastos[[#This Row],[Fecha_Cheque]]&gt;0,WEEKNUM(Gastos[[#This Row],[Fecha_Cheque]]),MID(Gastos[[#This Row],[Semana]],6,2))</f>
        <v>52</v>
      </c>
      <c r="O4059" t="s">
        <v>2323</v>
      </c>
      <c r="P4059" t="s">
        <v>27</v>
      </c>
    </row>
    <row r="4060" spans="1:16" hidden="1" x14ac:dyDescent="0.25">
      <c r="A4060" s="3" t="s">
        <v>79</v>
      </c>
      <c r="B4060" t="s">
        <v>2321</v>
      </c>
      <c r="C4060" t="s">
        <v>2322</v>
      </c>
      <c r="D4060" t="s">
        <v>26</v>
      </c>
      <c r="E4060" t="s">
        <v>31</v>
      </c>
      <c r="F4060">
        <v>2</v>
      </c>
      <c r="G4060" s="3" t="s">
        <v>32</v>
      </c>
      <c r="H4060" s="46" t="s">
        <v>15</v>
      </c>
      <c r="I4060" s="17">
        <v>964000</v>
      </c>
      <c r="J4060" s="17">
        <f>IF(Gastos[[#This Row],[Divisa]]="$", I4060*1, IF(Gastos[[#This Row],[Divisa]]="U$D", I4060*$N$1, IF(Gastos[[#This Row],[Divisa]]="EUR", I4060*$N$2, 0)))</f>
        <v>964000</v>
      </c>
      <c r="K4060" s="54">
        <f>Gastos[[#This Row],[Importe AR$]]/$N$1</f>
        <v>617.9487179487179</v>
      </c>
      <c r="M4060" s="69">
        <v>46015</v>
      </c>
      <c r="N4060" s="43">
        <f>IF(Gastos[[#This Row],[Fecha_Cheque]]&gt;0,WEEKNUM(Gastos[[#This Row],[Fecha_Cheque]]),MID(Gastos[[#This Row],[Semana]],6,2))</f>
        <v>52</v>
      </c>
      <c r="O4060" t="s">
        <v>2323</v>
      </c>
      <c r="P4060" t="s">
        <v>27</v>
      </c>
    </row>
    <row r="4061" spans="1:16" hidden="1" x14ac:dyDescent="0.25">
      <c r="A4061" s="3" t="s">
        <v>79</v>
      </c>
      <c r="B4061" t="s">
        <v>2321</v>
      </c>
      <c r="C4061" t="s">
        <v>2322</v>
      </c>
      <c r="D4061" t="s">
        <v>26</v>
      </c>
      <c r="E4061" t="s">
        <v>31</v>
      </c>
      <c r="F4061">
        <v>2</v>
      </c>
      <c r="G4061" s="3" t="s">
        <v>32</v>
      </c>
      <c r="H4061" s="46" t="s">
        <v>15</v>
      </c>
      <c r="I4061" s="17">
        <v>964500</v>
      </c>
      <c r="J4061" s="17">
        <f>IF(Gastos[[#This Row],[Divisa]]="$", I4061*1, IF(Gastos[[#This Row],[Divisa]]="U$D", I4061*$N$1, IF(Gastos[[#This Row],[Divisa]]="EUR", I4061*$N$2, 0)))</f>
        <v>964500</v>
      </c>
      <c r="K4061" s="54">
        <f>Gastos[[#This Row],[Importe AR$]]/$N$1</f>
        <v>618.26923076923072</v>
      </c>
      <c r="M4061" s="69">
        <v>46018</v>
      </c>
      <c r="N4061" s="43">
        <f>IF(Gastos[[#This Row],[Fecha_Cheque]]&gt;0,WEEKNUM(Gastos[[#This Row],[Fecha_Cheque]]),MID(Gastos[[#This Row],[Semana]],6,2))</f>
        <v>52</v>
      </c>
      <c r="O4061" t="s">
        <v>2323</v>
      </c>
      <c r="P4061" t="s">
        <v>27</v>
      </c>
    </row>
    <row r="4062" spans="1:16" hidden="1" x14ac:dyDescent="0.25">
      <c r="A4062" s="3" t="s">
        <v>79</v>
      </c>
      <c r="B4062" t="s">
        <v>2321</v>
      </c>
      <c r="C4062" t="s">
        <v>2322</v>
      </c>
      <c r="D4062" t="s">
        <v>26</v>
      </c>
      <c r="E4062" t="s">
        <v>31</v>
      </c>
      <c r="F4062">
        <v>2</v>
      </c>
      <c r="G4062" s="3" t="s">
        <v>32</v>
      </c>
      <c r="H4062" s="46" t="s">
        <v>15</v>
      </c>
      <c r="I4062" s="17">
        <v>2000000</v>
      </c>
      <c r="J4062" s="17">
        <f>IF(Gastos[[#This Row],[Divisa]]="$", I4062*1, IF(Gastos[[#This Row],[Divisa]]="U$D", I4062*$N$1, IF(Gastos[[#This Row],[Divisa]]="EUR", I4062*$N$2, 0)))</f>
        <v>2000000</v>
      </c>
      <c r="K4062" s="54">
        <f>Gastos[[#This Row],[Importe AR$]]/$N$1</f>
        <v>1282.051282051282</v>
      </c>
      <c r="M4062" s="69">
        <v>45982</v>
      </c>
      <c r="N4062" s="43">
        <f>IF(Gastos[[#This Row],[Fecha_Cheque]]&gt;0,WEEKNUM(Gastos[[#This Row],[Fecha_Cheque]]),MID(Gastos[[#This Row],[Semana]],6,2))</f>
        <v>47</v>
      </c>
      <c r="O4062" t="s">
        <v>2323</v>
      </c>
      <c r="P4062" t="s">
        <v>27</v>
      </c>
    </row>
    <row r="4063" spans="1:16" hidden="1" x14ac:dyDescent="0.25">
      <c r="A4063" s="3" t="s">
        <v>93</v>
      </c>
      <c r="B4063" t="s">
        <v>2321</v>
      </c>
      <c r="C4063" t="s">
        <v>2324</v>
      </c>
      <c r="D4063" t="s">
        <v>26</v>
      </c>
      <c r="E4063" t="s">
        <v>62</v>
      </c>
      <c r="F4063">
        <v>1</v>
      </c>
      <c r="G4063" s="3" t="s">
        <v>32</v>
      </c>
      <c r="H4063" s="46" t="s">
        <v>15</v>
      </c>
      <c r="I4063" s="17">
        <v>1144833.03</v>
      </c>
      <c r="J4063" s="17">
        <f>IF(Gastos[[#This Row],[Divisa]]="$", I4063*1, IF(Gastos[[#This Row],[Divisa]]="U$D", I4063*$N$1, IF(Gastos[[#This Row],[Divisa]]="EUR", I4063*$N$2, 0)))</f>
        <v>1144833.03</v>
      </c>
      <c r="K4063" s="54">
        <f>Gastos[[#This Row],[Importe AR$]]/$N$1</f>
        <v>733.86732692307692</v>
      </c>
      <c r="M4063" s="69">
        <v>46038</v>
      </c>
      <c r="N4063" s="43">
        <f>IF(Gastos[[#This Row],[Fecha_Cheque]]&gt;0,WEEKNUM(Gastos[[#This Row],[Fecha_Cheque]]),MID(Gastos[[#This Row],[Semana]],6,2))</f>
        <v>3</v>
      </c>
      <c r="O4063" t="s">
        <v>2325</v>
      </c>
      <c r="P4063" t="s">
        <v>27</v>
      </c>
    </row>
    <row r="4064" spans="1:16" hidden="1" x14ac:dyDescent="0.25">
      <c r="A4064" s="3" t="s">
        <v>93</v>
      </c>
      <c r="B4064" t="s">
        <v>2321</v>
      </c>
      <c r="C4064" t="s">
        <v>2324</v>
      </c>
      <c r="D4064" t="s">
        <v>26</v>
      </c>
      <c r="E4064" t="s">
        <v>62</v>
      </c>
      <c r="F4064">
        <v>1</v>
      </c>
      <c r="G4064" s="3" t="s">
        <v>32</v>
      </c>
      <c r="H4064" s="46" t="s">
        <v>15</v>
      </c>
      <c r="I4064" s="17">
        <v>1950000</v>
      </c>
      <c r="J4064" s="17">
        <f>IF(Gastos[[#This Row],[Divisa]]="$", I4064*1, IF(Gastos[[#This Row],[Divisa]]="U$D", I4064*$N$1, IF(Gastos[[#This Row],[Divisa]]="EUR", I4064*$N$2, 0)))</f>
        <v>1950000</v>
      </c>
      <c r="K4064" s="54">
        <f>Gastos[[#This Row],[Importe AR$]]/$N$1</f>
        <v>1250</v>
      </c>
      <c r="M4064" s="69">
        <v>46042</v>
      </c>
      <c r="N4064" s="43">
        <f>IF(Gastos[[#This Row],[Fecha_Cheque]]&gt;0,WEEKNUM(Gastos[[#This Row],[Fecha_Cheque]]),MID(Gastos[[#This Row],[Semana]],6,2))</f>
        <v>4</v>
      </c>
      <c r="O4064" t="s">
        <v>2325</v>
      </c>
      <c r="P4064" t="s">
        <v>27</v>
      </c>
    </row>
    <row r="4065" spans="1:16" hidden="1" x14ac:dyDescent="0.25">
      <c r="A4065" s="3" t="s">
        <v>93</v>
      </c>
      <c r="B4065" t="s">
        <v>2321</v>
      </c>
      <c r="C4065" t="s">
        <v>2324</v>
      </c>
      <c r="D4065" t="s">
        <v>26</v>
      </c>
      <c r="E4065" t="s">
        <v>42</v>
      </c>
      <c r="F4065">
        <v>1</v>
      </c>
      <c r="G4065" s="3" t="s">
        <v>4</v>
      </c>
      <c r="H4065" s="46" t="s">
        <v>15</v>
      </c>
      <c r="I4065" s="17">
        <v>2623.58</v>
      </c>
      <c r="J4065" s="17">
        <f>IF(Gastos[[#This Row],[Divisa]]="$", I4065*1, IF(Gastos[[#This Row],[Divisa]]="U$D", I4065*$N$1, IF(Gastos[[#This Row],[Divisa]]="EUR", I4065*$N$2, 0)))</f>
        <v>2623.58</v>
      </c>
      <c r="K4065" s="54">
        <f>Gastos[[#This Row],[Importe AR$]]/$N$1</f>
        <v>1.6817820512820512</v>
      </c>
      <c r="M4065" s="69"/>
      <c r="N4065" s="43" t="str">
        <f>IF(Gastos[[#This Row],[Fecha_Cheque]]&gt;0,WEEKNUM(Gastos[[#This Row],[Fecha_Cheque]]),MID(Gastos[[#This Row],[Semana]],6,2))</f>
        <v>50</v>
      </c>
      <c r="O4065" t="s">
        <v>2325</v>
      </c>
      <c r="P4065" t="s">
        <v>27</v>
      </c>
    </row>
    <row r="4066" spans="1:16" hidden="1" x14ac:dyDescent="0.25">
      <c r="A4066" s="3" t="s">
        <v>3439</v>
      </c>
      <c r="B4066" t="s">
        <v>2321</v>
      </c>
      <c r="C4066" t="s">
        <v>125</v>
      </c>
      <c r="D4066" t="s">
        <v>26</v>
      </c>
      <c r="E4066" t="s">
        <v>62</v>
      </c>
      <c r="F4066">
        <v>1</v>
      </c>
      <c r="G4066" s="3" t="s">
        <v>5</v>
      </c>
      <c r="H4066" s="44" t="s">
        <v>15</v>
      </c>
      <c r="I4066" s="17">
        <v>964500</v>
      </c>
      <c r="J4066" s="17">
        <f>IF(Gastos[[#This Row],[Divisa]]="$", I4066*1, IF(Gastos[[#This Row],[Divisa]]="U$D", I4066*$N$1, IF(Gastos[[#This Row],[Divisa]]="EUR", I4066*$N$2, 0)))</f>
        <v>964500</v>
      </c>
      <c r="K4066" s="54">
        <f>Gastos[[#This Row],[Importe AR$]]/$N$1</f>
        <v>618.26923076923072</v>
      </c>
      <c r="M4066" s="69"/>
      <c r="N4066" s="43" t="str">
        <f>IF(Gastos[[#This Row],[Fecha_Cheque]]&gt;0,WEEKNUM(Gastos[[#This Row],[Fecha_Cheque]]),MID(Gastos[[#This Row],[Semana]],6,2))</f>
        <v>25</v>
      </c>
      <c r="O4066" t="s">
        <v>3566</v>
      </c>
      <c r="P4066" t="s">
        <v>27</v>
      </c>
    </row>
    <row r="4067" spans="1:16" hidden="1" x14ac:dyDescent="0.25">
      <c r="A4067" s="3" t="s">
        <v>3439</v>
      </c>
      <c r="B4067" t="s">
        <v>2321</v>
      </c>
      <c r="C4067" t="s">
        <v>125</v>
      </c>
      <c r="D4067" t="s">
        <v>26</v>
      </c>
      <c r="E4067" t="s">
        <v>62</v>
      </c>
      <c r="F4067">
        <v>1</v>
      </c>
      <c r="G4067" s="3" t="s">
        <v>5</v>
      </c>
      <c r="H4067" s="44" t="s">
        <v>15</v>
      </c>
      <c r="I4067" s="17">
        <v>48400</v>
      </c>
      <c r="J4067" s="17">
        <f>IF(Gastos[[#This Row],[Divisa]]="$", I4067*1, IF(Gastos[[#This Row],[Divisa]]="U$D", I4067*$N$1, IF(Gastos[[#This Row],[Divisa]]="EUR", I4067*$N$2, 0)))</f>
        <v>48400</v>
      </c>
      <c r="K4067" s="54">
        <f>Gastos[[#This Row],[Importe AR$]]/$N$1</f>
        <v>31.025641025641026</v>
      </c>
      <c r="M4067" s="69"/>
      <c r="N4067" s="43" t="str">
        <f>IF(Gastos[[#This Row],[Fecha_Cheque]]&gt;0,WEEKNUM(Gastos[[#This Row],[Fecha_Cheque]]),MID(Gastos[[#This Row],[Semana]],6,2))</f>
        <v>25</v>
      </c>
      <c r="O4067" t="s">
        <v>3566</v>
      </c>
      <c r="P4067" t="s">
        <v>27</v>
      </c>
    </row>
    <row r="4068" spans="1:16" hidden="1" x14ac:dyDescent="0.25">
      <c r="A4068" s="3" t="s">
        <v>378</v>
      </c>
      <c r="B4068" t="s">
        <v>2326</v>
      </c>
      <c r="C4068" t="s">
        <v>2327</v>
      </c>
      <c r="D4068" t="s">
        <v>26</v>
      </c>
      <c r="E4068" t="s">
        <v>31</v>
      </c>
      <c r="F4068">
        <v>1</v>
      </c>
      <c r="G4068" s="3" t="s">
        <v>5</v>
      </c>
      <c r="H4068" s="46" t="s">
        <v>15</v>
      </c>
      <c r="I4068" s="17">
        <v>152218</v>
      </c>
      <c r="J4068" s="17">
        <f>IF(Gastos[[#This Row],[Divisa]]="$", I4068*1, IF(Gastos[[#This Row],[Divisa]]="U$D", I4068*$N$1, IF(Gastos[[#This Row],[Divisa]]="EUR", I4068*$N$2, 0)))</f>
        <v>152218</v>
      </c>
      <c r="K4068" s="54">
        <f>Gastos[[#This Row],[Importe AR$]]/$N$1</f>
        <v>97.575641025641019</v>
      </c>
      <c r="M4068" s="69"/>
      <c r="N4068" s="43" t="str">
        <f>IF(Gastos[[#This Row],[Fecha_Cheque]]&gt;0,WEEKNUM(Gastos[[#This Row],[Fecha_Cheque]]),MID(Gastos[[#This Row],[Semana]],6,2))</f>
        <v>03</v>
      </c>
      <c r="O4068" t="s">
        <v>2328</v>
      </c>
      <c r="P4068" t="s">
        <v>27</v>
      </c>
    </row>
    <row r="4069" spans="1:16" hidden="1" x14ac:dyDescent="0.25">
      <c r="A4069" s="3" t="s">
        <v>68</v>
      </c>
      <c r="B4069" t="s">
        <v>2305</v>
      </c>
      <c r="C4069" t="s">
        <v>2306</v>
      </c>
      <c r="D4069" t="s">
        <v>26</v>
      </c>
      <c r="E4069" t="s">
        <v>62</v>
      </c>
      <c r="F4069">
        <v>1</v>
      </c>
      <c r="G4069" s="3" t="s">
        <v>32</v>
      </c>
      <c r="H4069" s="46" t="s">
        <v>15</v>
      </c>
      <c r="I4069" s="17">
        <v>1615435</v>
      </c>
      <c r="J4069" s="17">
        <f>IF(Gastos[[#This Row],[Divisa]]="$", I4069*1, IF(Gastos[[#This Row],[Divisa]]="U$D", I4069*$N$1, IF(Gastos[[#This Row],[Divisa]]="EUR", I4069*$N$2, 0)))</f>
        <v>1615435</v>
      </c>
      <c r="K4069" s="54">
        <f>Gastos[[#This Row],[Importe AR$]]/$N$1</f>
        <v>1035.5352564102564</v>
      </c>
      <c r="M4069" s="69">
        <v>46074</v>
      </c>
      <c r="N4069" s="43">
        <f>IF(Gastos[[#This Row],[Fecha_Cheque]]&gt;0,WEEKNUM(Gastos[[#This Row],[Fecha_Cheque]]),MID(Gastos[[#This Row],[Semana]],6,2))</f>
        <v>8</v>
      </c>
      <c r="O4069" t="s">
        <v>2307</v>
      </c>
      <c r="P4069" t="s">
        <v>27</v>
      </c>
    </row>
    <row r="4070" spans="1:16" hidden="1" x14ac:dyDescent="0.25">
      <c r="A4070" s="3" t="s">
        <v>68</v>
      </c>
      <c r="B4070" t="s">
        <v>2305</v>
      </c>
      <c r="C4070" t="s">
        <v>2306</v>
      </c>
      <c r="D4070" t="s">
        <v>26</v>
      </c>
      <c r="E4070" t="s">
        <v>62</v>
      </c>
      <c r="F4070">
        <v>1</v>
      </c>
      <c r="G4070" s="3" t="s">
        <v>32</v>
      </c>
      <c r="H4070" s="46" t="s">
        <v>15</v>
      </c>
      <c r="I4070" s="17">
        <v>3589008.88</v>
      </c>
      <c r="J4070" s="17">
        <f>IF(Gastos[[#This Row],[Divisa]]="$", I4070*1, IF(Gastos[[#This Row],[Divisa]]="U$D", I4070*$N$1, IF(Gastos[[#This Row],[Divisa]]="EUR", I4070*$N$2, 0)))</f>
        <v>3589008.88</v>
      </c>
      <c r="K4070" s="54">
        <f>Gastos[[#This Row],[Importe AR$]]/$N$1</f>
        <v>2300.6467179487177</v>
      </c>
      <c r="M4070" s="69">
        <v>46080</v>
      </c>
      <c r="N4070" s="43">
        <f>IF(Gastos[[#This Row],[Fecha_Cheque]]&gt;0,WEEKNUM(Gastos[[#This Row],[Fecha_Cheque]]),MID(Gastos[[#This Row],[Semana]],6,2))</f>
        <v>9</v>
      </c>
      <c r="O4070" t="s">
        <v>2307</v>
      </c>
      <c r="P4070" t="s">
        <v>27</v>
      </c>
    </row>
    <row r="4071" spans="1:16" hidden="1" x14ac:dyDescent="0.25">
      <c r="A4071" s="3" t="s">
        <v>206</v>
      </c>
      <c r="B4071" t="s">
        <v>2305</v>
      </c>
      <c r="C4071" t="s">
        <v>2308</v>
      </c>
      <c r="D4071" t="s">
        <v>26</v>
      </c>
      <c r="E4071" t="s">
        <v>62</v>
      </c>
      <c r="F4071">
        <v>1</v>
      </c>
      <c r="G4071" s="3" t="s">
        <v>5</v>
      </c>
      <c r="H4071" s="46" t="s">
        <v>15</v>
      </c>
      <c r="I4071" s="17">
        <v>4582328.2</v>
      </c>
      <c r="J4071" s="17">
        <f>IF(Gastos[[#This Row],[Divisa]]="$", I4071*1, IF(Gastos[[#This Row],[Divisa]]="U$D", I4071*$N$1, IF(Gastos[[#This Row],[Divisa]]="EUR", I4071*$N$2, 0)))</f>
        <v>4582328.2</v>
      </c>
      <c r="K4071" s="54">
        <f>Gastos[[#This Row],[Importe AR$]]/$N$1</f>
        <v>2937.3898717948719</v>
      </c>
      <c r="M4071" s="69"/>
      <c r="N4071" s="43" t="str">
        <f>IF(Gastos[[#This Row],[Fecha_Cheque]]&gt;0,WEEKNUM(Gastos[[#This Row],[Fecha_Cheque]]),MID(Gastos[[#This Row],[Semana]],6,2))</f>
        <v>06</v>
      </c>
      <c r="O4071" t="s">
        <v>2309</v>
      </c>
      <c r="P4071" t="s">
        <v>27</v>
      </c>
    </row>
    <row r="4072" spans="1:16" hidden="1" x14ac:dyDescent="0.25">
      <c r="A4072" s="3" t="s">
        <v>75</v>
      </c>
      <c r="B4072" t="s">
        <v>2305</v>
      </c>
      <c r="C4072" t="s">
        <v>2306</v>
      </c>
      <c r="D4072" t="s">
        <v>26</v>
      </c>
      <c r="E4072" t="s">
        <v>62</v>
      </c>
      <c r="F4072">
        <v>1</v>
      </c>
      <c r="G4072" s="3" t="s">
        <v>32</v>
      </c>
      <c r="H4072" s="46" t="s">
        <v>15</v>
      </c>
      <c r="I4072" s="17">
        <v>2061076.88</v>
      </c>
      <c r="J4072" s="17">
        <f>IF(Gastos[[#This Row],[Divisa]]="$", I4072*1, IF(Gastos[[#This Row],[Divisa]]="U$D", I4072*$N$1, IF(Gastos[[#This Row],[Divisa]]="EUR", I4072*$N$2, 0)))</f>
        <v>2061076.88</v>
      </c>
      <c r="K4072" s="54">
        <f>Gastos[[#This Row],[Importe AR$]]/$N$1</f>
        <v>1321.2031282051282</v>
      </c>
      <c r="M4072" s="69"/>
      <c r="N4072" s="43" t="str">
        <f>IF(Gastos[[#This Row],[Fecha_Cheque]]&gt;0,WEEKNUM(Gastos[[#This Row],[Fecha_Cheque]]),MID(Gastos[[#This Row],[Semana]],6,2))</f>
        <v>07</v>
      </c>
      <c r="O4072" t="s">
        <v>2310</v>
      </c>
      <c r="P4072" t="s">
        <v>27</v>
      </c>
    </row>
    <row r="4073" spans="1:16" hidden="1" x14ac:dyDescent="0.25">
      <c r="A4073" s="3" t="s">
        <v>53</v>
      </c>
      <c r="B4073" t="s">
        <v>2305</v>
      </c>
      <c r="C4073" t="s">
        <v>2329</v>
      </c>
      <c r="D4073" t="s">
        <v>26</v>
      </c>
      <c r="E4073" t="s">
        <v>31</v>
      </c>
      <c r="F4073">
        <v>1</v>
      </c>
      <c r="G4073" s="3" t="s">
        <v>32</v>
      </c>
      <c r="H4073" s="46" t="s">
        <v>15</v>
      </c>
      <c r="I4073" s="17">
        <v>2540161.14</v>
      </c>
      <c r="J4073" s="17">
        <f>IF(Gastos[[#This Row],[Divisa]]="$", I4073*1, IF(Gastos[[#This Row],[Divisa]]="U$D", I4073*$N$1, IF(Gastos[[#This Row],[Divisa]]="EUR", I4073*$N$2, 0)))</f>
        <v>2540161.14</v>
      </c>
      <c r="K4073" s="54">
        <f>Gastos[[#This Row],[Importe AR$]]/$N$1</f>
        <v>1628.3084230769232</v>
      </c>
      <c r="M4073" s="69">
        <v>45918</v>
      </c>
      <c r="N4073" s="43">
        <f>IF(Gastos[[#This Row],[Fecha_Cheque]]&gt;0,WEEKNUM(Gastos[[#This Row],[Fecha_Cheque]]),MID(Gastos[[#This Row],[Semana]],6,2))</f>
        <v>38</v>
      </c>
      <c r="O4073" t="s">
        <v>123</v>
      </c>
      <c r="P4073" t="s">
        <v>27</v>
      </c>
    </row>
    <row r="4074" spans="1:16" hidden="1" x14ac:dyDescent="0.25">
      <c r="A4074" s="3" t="s">
        <v>53</v>
      </c>
      <c r="B4074" t="s">
        <v>2305</v>
      </c>
      <c r="C4074" t="s">
        <v>2329</v>
      </c>
      <c r="D4074" t="s">
        <v>26</v>
      </c>
      <c r="E4074" t="s">
        <v>31</v>
      </c>
      <c r="F4074">
        <v>1</v>
      </c>
      <c r="G4074" s="3" t="s">
        <v>32</v>
      </c>
      <c r="H4074" s="46" t="s">
        <v>15</v>
      </c>
      <c r="I4074" s="17">
        <v>5327130.3600000003</v>
      </c>
      <c r="J4074" s="17">
        <f>IF(Gastos[[#This Row],[Divisa]]="$", I4074*1, IF(Gastos[[#This Row],[Divisa]]="U$D", I4074*$N$1, IF(Gastos[[#This Row],[Divisa]]="EUR", I4074*$N$2, 0)))</f>
        <v>5327130.3600000003</v>
      </c>
      <c r="K4074" s="54">
        <f>Gastos[[#This Row],[Importe AR$]]/$N$1</f>
        <v>3414.827153846154</v>
      </c>
      <c r="M4074" s="69">
        <v>45911</v>
      </c>
      <c r="N4074" s="43">
        <f>IF(Gastos[[#This Row],[Fecha_Cheque]]&gt;0,WEEKNUM(Gastos[[#This Row],[Fecha_Cheque]]),MID(Gastos[[#This Row],[Semana]],6,2))</f>
        <v>37</v>
      </c>
      <c r="O4074" t="s">
        <v>123</v>
      </c>
      <c r="P4074" t="s">
        <v>27</v>
      </c>
    </row>
    <row r="4075" spans="1:16" hidden="1" x14ac:dyDescent="0.25">
      <c r="A4075" s="3" t="s">
        <v>53</v>
      </c>
      <c r="B4075" t="s">
        <v>2305</v>
      </c>
      <c r="C4075" t="s">
        <v>2329</v>
      </c>
      <c r="D4075" t="s">
        <v>26</v>
      </c>
      <c r="E4075" t="s">
        <v>31</v>
      </c>
      <c r="F4075">
        <v>1</v>
      </c>
      <c r="G4075" s="3" t="s">
        <v>2330</v>
      </c>
      <c r="H4075" s="46" t="s">
        <v>15</v>
      </c>
      <c r="I4075" s="17">
        <v>2010472.6</v>
      </c>
      <c r="J4075" s="17">
        <f>IF(Gastos[[#This Row],[Divisa]]="$", I4075*1, IF(Gastos[[#This Row],[Divisa]]="U$D", I4075*$N$1, IF(Gastos[[#This Row],[Divisa]]="EUR", I4075*$N$2, 0)))</f>
        <v>2010472.6</v>
      </c>
      <c r="K4075" s="54">
        <f>Gastos[[#This Row],[Importe AR$]]/$N$1</f>
        <v>1288.7644871794873</v>
      </c>
      <c r="M4075" s="69"/>
      <c r="N4075" s="43" t="str">
        <f>IF(Gastos[[#This Row],[Fecha_Cheque]]&gt;0,WEEKNUM(Gastos[[#This Row],[Fecha_Cheque]]),MID(Gastos[[#This Row],[Semana]],6,2))</f>
        <v>34</v>
      </c>
      <c r="O4075" t="s">
        <v>123</v>
      </c>
      <c r="P4075" t="s">
        <v>27</v>
      </c>
    </row>
    <row r="4076" spans="1:16" hidden="1" x14ac:dyDescent="0.25">
      <c r="A4076" s="3" t="s">
        <v>128</v>
      </c>
      <c r="B4076" t="s">
        <v>2305</v>
      </c>
      <c r="C4076" t="s">
        <v>2331</v>
      </c>
      <c r="D4076" t="s">
        <v>26</v>
      </c>
      <c r="E4076" t="s">
        <v>31</v>
      </c>
      <c r="F4076">
        <v>1</v>
      </c>
      <c r="G4076" s="3" t="s">
        <v>5</v>
      </c>
      <c r="H4076" s="46" t="s">
        <v>15</v>
      </c>
      <c r="I4076" s="17">
        <v>4000000</v>
      </c>
      <c r="J4076" s="17">
        <f>IF(Gastos[[#This Row],[Divisa]]="$", I4076*1, IF(Gastos[[#This Row],[Divisa]]="U$D", I4076*$N$1, IF(Gastos[[#This Row],[Divisa]]="EUR", I4076*$N$2, 0)))</f>
        <v>4000000</v>
      </c>
      <c r="K4076" s="54">
        <f>Gastos[[#This Row],[Importe AR$]]/$N$1</f>
        <v>2564.102564102564</v>
      </c>
      <c r="M4076" s="69"/>
      <c r="N4076" s="43" t="str">
        <f>IF(Gastos[[#This Row],[Fecha_Cheque]]&gt;0,WEEKNUM(Gastos[[#This Row],[Fecha_Cheque]]),MID(Gastos[[#This Row],[Semana]],6,2))</f>
        <v>43</v>
      </c>
      <c r="O4076" t="s">
        <v>2332</v>
      </c>
      <c r="P4076" t="s">
        <v>27</v>
      </c>
    </row>
    <row r="4077" spans="1:16" hidden="1" x14ac:dyDescent="0.25">
      <c r="A4077" s="3" t="s">
        <v>72</v>
      </c>
      <c r="B4077" t="s">
        <v>2305</v>
      </c>
      <c r="C4077" t="s">
        <v>2331</v>
      </c>
      <c r="D4077" t="s">
        <v>26</v>
      </c>
      <c r="E4077" t="s">
        <v>62</v>
      </c>
      <c r="F4077">
        <v>1</v>
      </c>
      <c r="G4077" s="3" t="s">
        <v>5</v>
      </c>
      <c r="H4077" s="46" t="s">
        <v>15</v>
      </c>
      <c r="I4077" s="17">
        <v>6000000</v>
      </c>
      <c r="J4077" s="17">
        <f>IF(Gastos[[#This Row],[Divisa]]="$", I4077*1, IF(Gastos[[#This Row],[Divisa]]="U$D", I4077*$N$1, IF(Gastos[[#This Row],[Divisa]]="EUR", I4077*$N$2, 0)))</f>
        <v>6000000</v>
      </c>
      <c r="K4077" s="54">
        <f>Gastos[[#This Row],[Importe AR$]]/$N$1</f>
        <v>3846.1538461538462</v>
      </c>
      <c r="M4077" s="69"/>
      <c r="N4077" s="43" t="str">
        <f>IF(Gastos[[#This Row],[Fecha_Cheque]]&gt;0,WEEKNUM(Gastos[[#This Row],[Fecha_Cheque]]),MID(Gastos[[#This Row],[Semana]],6,2))</f>
        <v>48</v>
      </c>
      <c r="O4077" t="s">
        <v>2333</v>
      </c>
      <c r="P4077" t="s">
        <v>27</v>
      </c>
    </row>
    <row r="4078" spans="1:16" hidden="1" x14ac:dyDescent="0.25">
      <c r="A4078" s="3" t="s">
        <v>72</v>
      </c>
      <c r="B4078" t="s">
        <v>2305</v>
      </c>
      <c r="C4078" t="s">
        <v>2331</v>
      </c>
      <c r="D4078" t="s">
        <v>26</v>
      </c>
      <c r="E4078" t="s">
        <v>62</v>
      </c>
      <c r="F4078">
        <v>1</v>
      </c>
      <c r="G4078" s="3" t="s">
        <v>32</v>
      </c>
      <c r="H4078" s="46" t="s">
        <v>15</v>
      </c>
      <c r="I4078" s="17">
        <v>1200000</v>
      </c>
      <c r="J4078" s="17">
        <f>IF(Gastos[[#This Row],[Divisa]]="$", I4078*1, IF(Gastos[[#This Row],[Divisa]]="U$D", I4078*$N$1, IF(Gastos[[#This Row],[Divisa]]="EUR", I4078*$N$2, 0)))</f>
        <v>1200000</v>
      </c>
      <c r="K4078" s="54">
        <f>Gastos[[#This Row],[Importe AR$]]/$N$1</f>
        <v>769.23076923076928</v>
      </c>
      <c r="M4078" s="69">
        <v>46006</v>
      </c>
      <c r="N4078" s="43">
        <f>IF(Gastos[[#This Row],[Fecha_Cheque]]&gt;0,WEEKNUM(Gastos[[#This Row],[Fecha_Cheque]]),MID(Gastos[[#This Row],[Semana]],6,2))</f>
        <v>51</v>
      </c>
      <c r="O4078" t="s">
        <v>2333</v>
      </c>
      <c r="P4078" t="s">
        <v>27</v>
      </c>
    </row>
    <row r="4079" spans="1:16" hidden="1" x14ac:dyDescent="0.25">
      <c r="A4079" s="3" t="s">
        <v>72</v>
      </c>
      <c r="B4079" t="s">
        <v>2305</v>
      </c>
      <c r="C4079" t="s">
        <v>2331</v>
      </c>
      <c r="D4079" t="s">
        <v>26</v>
      </c>
      <c r="E4079" t="s">
        <v>62</v>
      </c>
      <c r="F4079">
        <v>1</v>
      </c>
      <c r="G4079" s="3" t="s">
        <v>32</v>
      </c>
      <c r="H4079" s="46" t="s">
        <v>15</v>
      </c>
      <c r="I4079" s="17">
        <v>1200000</v>
      </c>
      <c r="J4079" s="17">
        <f>IF(Gastos[[#This Row],[Divisa]]="$", I4079*1, IF(Gastos[[#This Row],[Divisa]]="U$D", I4079*$N$1, IF(Gastos[[#This Row],[Divisa]]="EUR", I4079*$N$2, 0)))</f>
        <v>1200000</v>
      </c>
      <c r="K4079" s="54">
        <f>Gastos[[#This Row],[Importe AR$]]/$N$1</f>
        <v>769.23076923076928</v>
      </c>
      <c r="M4079" s="69">
        <v>46007</v>
      </c>
      <c r="N4079" s="43">
        <f>IF(Gastos[[#This Row],[Fecha_Cheque]]&gt;0,WEEKNUM(Gastos[[#This Row],[Fecha_Cheque]]),MID(Gastos[[#This Row],[Semana]],6,2))</f>
        <v>51</v>
      </c>
      <c r="O4079" t="s">
        <v>2333</v>
      </c>
      <c r="P4079" t="s">
        <v>27</v>
      </c>
    </row>
    <row r="4080" spans="1:16" hidden="1" x14ac:dyDescent="0.25">
      <c r="A4080" s="3" t="s">
        <v>72</v>
      </c>
      <c r="B4080" t="s">
        <v>2305</v>
      </c>
      <c r="C4080" t="s">
        <v>2331</v>
      </c>
      <c r="D4080" t="s">
        <v>26</v>
      </c>
      <c r="E4080" t="s">
        <v>62</v>
      </c>
      <c r="F4080">
        <v>1</v>
      </c>
      <c r="G4080" s="3" t="s">
        <v>32</v>
      </c>
      <c r="H4080" s="46" t="s">
        <v>15</v>
      </c>
      <c r="I4080" s="17">
        <v>1447897.81</v>
      </c>
      <c r="J4080" s="17">
        <f>IF(Gastos[[#This Row],[Divisa]]="$", I4080*1, IF(Gastos[[#This Row],[Divisa]]="U$D", I4080*$N$1, IF(Gastos[[#This Row],[Divisa]]="EUR", I4080*$N$2, 0)))</f>
        <v>1447897.81</v>
      </c>
      <c r="K4080" s="54">
        <f>Gastos[[#This Row],[Importe AR$]]/$N$1</f>
        <v>928.1396217948718</v>
      </c>
      <c r="M4080" s="69">
        <v>46024</v>
      </c>
      <c r="N4080" s="43">
        <f>IF(Gastos[[#This Row],[Fecha_Cheque]]&gt;0,WEEKNUM(Gastos[[#This Row],[Fecha_Cheque]]),MID(Gastos[[#This Row],[Semana]],6,2))</f>
        <v>1</v>
      </c>
      <c r="O4080" t="s">
        <v>2333</v>
      </c>
      <c r="P4080" t="s">
        <v>27</v>
      </c>
    </row>
    <row r="4081" spans="1:16" hidden="1" x14ac:dyDescent="0.25">
      <c r="A4081" s="3" t="s">
        <v>93</v>
      </c>
      <c r="B4081" t="s">
        <v>2305</v>
      </c>
      <c r="C4081" t="s">
        <v>2331</v>
      </c>
      <c r="D4081" t="s">
        <v>26</v>
      </c>
      <c r="E4081" t="s">
        <v>62</v>
      </c>
      <c r="F4081">
        <v>1</v>
      </c>
      <c r="G4081" s="3" t="s">
        <v>32</v>
      </c>
      <c r="H4081" s="46" t="s">
        <v>15</v>
      </c>
      <c r="I4081" s="17">
        <v>2500000</v>
      </c>
      <c r="J4081" s="17">
        <f>IF(Gastos[[#This Row],[Divisa]]="$", I4081*1, IF(Gastos[[#This Row],[Divisa]]="U$D", I4081*$N$1, IF(Gastos[[#This Row],[Divisa]]="EUR", I4081*$N$2, 0)))</f>
        <v>2500000</v>
      </c>
      <c r="K4081" s="54">
        <f>Gastos[[#This Row],[Importe AR$]]/$N$1</f>
        <v>1602.5641025641025</v>
      </c>
      <c r="M4081" s="69">
        <v>46046</v>
      </c>
      <c r="N4081" s="43">
        <f>IF(Gastos[[#This Row],[Fecha_Cheque]]&gt;0,WEEKNUM(Gastos[[#This Row],[Fecha_Cheque]]),MID(Gastos[[#This Row],[Semana]],6,2))</f>
        <v>4</v>
      </c>
      <c r="O4081" t="s">
        <v>2334</v>
      </c>
      <c r="P4081" t="s">
        <v>27</v>
      </c>
    </row>
    <row r="4082" spans="1:16" hidden="1" x14ac:dyDescent="0.25">
      <c r="A4082" s="3" t="s">
        <v>93</v>
      </c>
      <c r="B4082" t="s">
        <v>2305</v>
      </c>
      <c r="C4082" t="s">
        <v>2331</v>
      </c>
      <c r="D4082" t="s">
        <v>26</v>
      </c>
      <c r="E4082" t="s">
        <v>62</v>
      </c>
      <c r="F4082">
        <v>1</v>
      </c>
      <c r="G4082" s="3" t="s">
        <v>32</v>
      </c>
      <c r="H4082" s="46" t="s">
        <v>15</v>
      </c>
      <c r="I4082" s="17">
        <v>2500000</v>
      </c>
      <c r="J4082" s="17">
        <f>IF(Gastos[[#This Row],[Divisa]]="$", I4082*1, IF(Gastos[[#This Row],[Divisa]]="U$D", I4082*$N$1, IF(Gastos[[#This Row],[Divisa]]="EUR", I4082*$N$2, 0)))</f>
        <v>2500000</v>
      </c>
      <c r="K4082" s="54">
        <f>Gastos[[#This Row],[Importe AR$]]/$N$1</f>
        <v>1602.5641025641025</v>
      </c>
      <c r="M4082" s="69">
        <v>46050</v>
      </c>
      <c r="N4082" s="43">
        <f>IF(Gastos[[#This Row],[Fecha_Cheque]]&gt;0,WEEKNUM(Gastos[[#This Row],[Fecha_Cheque]]),MID(Gastos[[#This Row],[Semana]],6,2))</f>
        <v>5</v>
      </c>
      <c r="O4082" t="s">
        <v>2334</v>
      </c>
      <c r="P4082" t="s">
        <v>27</v>
      </c>
    </row>
    <row r="4083" spans="1:16" hidden="1" x14ac:dyDescent="0.25">
      <c r="A4083" s="3" t="s">
        <v>93</v>
      </c>
      <c r="B4083" t="s">
        <v>2305</v>
      </c>
      <c r="C4083" t="s">
        <v>2331</v>
      </c>
      <c r="D4083" t="s">
        <v>26</v>
      </c>
      <c r="E4083" t="s">
        <v>62</v>
      </c>
      <c r="F4083">
        <v>1</v>
      </c>
      <c r="G4083" s="3" t="s">
        <v>32</v>
      </c>
      <c r="H4083" s="46" t="s">
        <v>15</v>
      </c>
      <c r="I4083" s="17">
        <v>2500000</v>
      </c>
      <c r="J4083" s="17">
        <f>IF(Gastos[[#This Row],[Divisa]]="$", I4083*1, IF(Gastos[[#This Row],[Divisa]]="U$D", I4083*$N$1, IF(Gastos[[#This Row],[Divisa]]="EUR", I4083*$N$2, 0)))</f>
        <v>2500000</v>
      </c>
      <c r="K4083" s="54">
        <f>Gastos[[#This Row],[Importe AR$]]/$N$1</f>
        <v>1602.5641025641025</v>
      </c>
      <c r="M4083" s="69">
        <v>46044</v>
      </c>
      <c r="N4083" s="43">
        <f>IF(Gastos[[#This Row],[Fecha_Cheque]]&gt;0,WEEKNUM(Gastos[[#This Row],[Fecha_Cheque]]),MID(Gastos[[#This Row],[Semana]],6,2))</f>
        <v>4</v>
      </c>
      <c r="O4083" t="s">
        <v>2334</v>
      </c>
      <c r="P4083" t="s">
        <v>27</v>
      </c>
    </row>
    <row r="4084" spans="1:16" hidden="1" x14ac:dyDescent="0.25">
      <c r="A4084" s="3" t="s">
        <v>93</v>
      </c>
      <c r="B4084" t="s">
        <v>2305</v>
      </c>
      <c r="C4084" t="s">
        <v>2331</v>
      </c>
      <c r="D4084" t="s">
        <v>26</v>
      </c>
      <c r="E4084" t="s">
        <v>62</v>
      </c>
      <c r="F4084">
        <v>1</v>
      </c>
      <c r="G4084" s="3" t="s">
        <v>5</v>
      </c>
      <c r="H4084" s="46" t="s">
        <v>15</v>
      </c>
      <c r="I4084" s="17">
        <v>53343.69</v>
      </c>
      <c r="J4084" s="17">
        <f>IF(Gastos[[#This Row],[Divisa]]="$", I4084*1, IF(Gastos[[#This Row],[Divisa]]="U$D", I4084*$N$1, IF(Gastos[[#This Row],[Divisa]]="EUR", I4084*$N$2, 0)))</f>
        <v>53343.69</v>
      </c>
      <c r="K4084" s="54">
        <f>Gastos[[#This Row],[Importe AR$]]/$N$1</f>
        <v>34.194673076923081</v>
      </c>
      <c r="M4084" s="69"/>
      <c r="N4084" s="43" t="str">
        <f>IF(Gastos[[#This Row],[Fecha_Cheque]]&gt;0,WEEKNUM(Gastos[[#This Row],[Fecha_Cheque]]),MID(Gastos[[#This Row],[Semana]],6,2))</f>
        <v>50</v>
      </c>
      <c r="O4084" t="s">
        <v>2334</v>
      </c>
      <c r="P4084" t="s">
        <v>27</v>
      </c>
    </row>
    <row r="4085" spans="1:16" hidden="1" x14ac:dyDescent="0.25">
      <c r="A4085" s="3" t="s">
        <v>75</v>
      </c>
      <c r="B4085" t="s">
        <v>2305</v>
      </c>
      <c r="D4085" t="s">
        <v>26</v>
      </c>
      <c r="E4085" t="s">
        <v>91</v>
      </c>
      <c r="F4085">
        <v>1</v>
      </c>
      <c r="G4085" s="3" t="s">
        <v>5</v>
      </c>
      <c r="H4085" s="46" t="s">
        <v>15</v>
      </c>
      <c r="I4085" s="17">
        <v>2061076.88</v>
      </c>
      <c r="J4085" s="17">
        <f>IF(Gastos[[#This Row],[Divisa]]="$", I4085*1, IF(Gastos[[#This Row],[Divisa]]="U$D", I4085*$N$1, IF(Gastos[[#This Row],[Divisa]]="EUR", I4085*$N$2, 0)))</f>
        <v>2061076.88</v>
      </c>
      <c r="K4085" s="54">
        <f>Gastos[[#This Row],[Importe AR$]]/$N$1</f>
        <v>1321.2031282051282</v>
      </c>
      <c r="M4085" s="69"/>
      <c r="N4085" s="43" t="str">
        <f>IF(Gastos[[#This Row],[Fecha_Cheque]]&gt;0,WEEKNUM(Gastos[[#This Row],[Fecha_Cheque]]),MID(Gastos[[#This Row],[Semana]],6,2))</f>
        <v>07</v>
      </c>
      <c r="O4085" t="s">
        <v>2310</v>
      </c>
      <c r="P4085" t="s">
        <v>27</v>
      </c>
    </row>
    <row r="4086" spans="1:16" hidden="1" x14ac:dyDescent="0.25">
      <c r="A4086" s="3" t="s">
        <v>180</v>
      </c>
      <c r="B4086" t="s">
        <v>2305</v>
      </c>
      <c r="C4086" t="s">
        <v>2306</v>
      </c>
      <c r="D4086" t="s">
        <v>26</v>
      </c>
      <c r="E4086" t="s">
        <v>62</v>
      </c>
      <c r="F4086">
        <v>1</v>
      </c>
      <c r="G4086" s="3" t="s">
        <v>5</v>
      </c>
      <c r="H4086" s="46" t="s">
        <v>15</v>
      </c>
      <c r="I4086" s="17">
        <v>9241217.6999999993</v>
      </c>
      <c r="J4086" s="17">
        <f>IF(Gastos[[#This Row],[Divisa]]="$", I4086*1, IF(Gastos[[#This Row],[Divisa]]="U$D", I4086*$N$1, IF(Gastos[[#This Row],[Divisa]]="EUR", I4086*$N$2, 0)))</f>
        <v>9241217.6999999993</v>
      </c>
      <c r="K4086" s="54">
        <f>Gastos[[#This Row],[Importe AR$]]/$N$1</f>
        <v>5923.8574999999992</v>
      </c>
      <c r="M4086" s="69"/>
      <c r="N4086" s="43" t="str">
        <f>IF(Gastos[[#This Row],[Fecha_Cheque]]&gt;0,WEEKNUM(Gastos[[#This Row],[Fecha_Cheque]]),MID(Gastos[[#This Row],[Semana]],6,2))</f>
        <v>09</v>
      </c>
      <c r="O4086" t="s">
        <v>2608</v>
      </c>
      <c r="P4086" t="s">
        <v>27</v>
      </c>
    </row>
    <row r="4087" spans="1:16" hidden="1" x14ac:dyDescent="0.25">
      <c r="A4087" s="3" t="s">
        <v>180</v>
      </c>
      <c r="B4087" t="s">
        <v>2305</v>
      </c>
      <c r="C4087" t="s">
        <v>2306</v>
      </c>
      <c r="D4087" t="s">
        <v>26</v>
      </c>
      <c r="E4087" t="s">
        <v>62</v>
      </c>
      <c r="F4087">
        <v>1</v>
      </c>
      <c r="G4087" s="3" t="s">
        <v>5</v>
      </c>
      <c r="H4087" s="46" t="s">
        <v>15</v>
      </c>
      <c r="I4087" s="17">
        <v>4672064</v>
      </c>
      <c r="J4087" s="17">
        <f>IF(Gastos[[#This Row],[Divisa]]="$", I4087*1, IF(Gastos[[#This Row],[Divisa]]="U$D", I4087*$N$1, IF(Gastos[[#This Row],[Divisa]]="EUR", I4087*$N$2, 0)))</f>
        <v>4672064</v>
      </c>
      <c r="K4087" s="54">
        <f>Gastos[[#This Row],[Importe AR$]]/$N$1</f>
        <v>2994.9128205128204</v>
      </c>
      <c r="M4087" s="69"/>
      <c r="N4087" s="43" t="str">
        <f>IF(Gastos[[#This Row],[Fecha_Cheque]]&gt;0,WEEKNUM(Gastos[[#This Row],[Fecha_Cheque]]),MID(Gastos[[#This Row],[Semana]],6,2))</f>
        <v>09</v>
      </c>
      <c r="O4087" t="s">
        <v>2609</v>
      </c>
      <c r="P4087" t="s">
        <v>27</v>
      </c>
    </row>
    <row r="4088" spans="1:16" hidden="1" x14ac:dyDescent="0.25">
      <c r="A4088" s="3" t="s">
        <v>2740</v>
      </c>
      <c r="B4088" t="s">
        <v>2305</v>
      </c>
      <c r="C4088" t="s">
        <v>2306</v>
      </c>
      <c r="D4088" t="s">
        <v>26</v>
      </c>
      <c r="E4088" t="s">
        <v>62</v>
      </c>
      <c r="F4088">
        <v>1</v>
      </c>
      <c r="G4088" s="3" t="s">
        <v>5</v>
      </c>
      <c r="H4088" s="44" t="s">
        <v>15</v>
      </c>
      <c r="I4088" s="17">
        <v>5196927.97</v>
      </c>
      <c r="J4088" s="17">
        <f>IF(Gastos[[#This Row],[Divisa]]="$", I4088*1, IF(Gastos[[#This Row],[Divisa]]="U$D", I4088*$N$1, IF(Gastos[[#This Row],[Divisa]]="EUR", I4088*$N$2, 0)))</f>
        <v>5196927.97</v>
      </c>
      <c r="K4088" s="54">
        <f>Gastos[[#This Row],[Importe AR$]]/$N$1</f>
        <v>3331.3640833333334</v>
      </c>
      <c r="M4088" s="69">
        <v>46151</v>
      </c>
      <c r="N4088" s="43">
        <f>IF(Gastos[[#This Row],[Fecha_Cheque]]&gt;0,WEEKNUM(Gastos[[#This Row],[Fecha_Cheque]]),MID(Gastos[[#This Row],[Semana]],6,2))</f>
        <v>19</v>
      </c>
      <c r="O4088" t="s">
        <v>3066</v>
      </c>
      <c r="P4088" t="s">
        <v>27</v>
      </c>
    </row>
    <row r="4089" spans="1:16" hidden="1" x14ac:dyDescent="0.25">
      <c r="A4089" s="3" t="s">
        <v>2740</v>
      </c>
      <c r="B4089" t="s">
        <v>2305</v>
      </c>
      <c r="C4089" t="s">
        <v>2306</v>
      </c>
      <c r="D4089" t="s">
        <v>26</v>
      </c>
      <c r="E4089" t="s">
        <v>62</v>
      </c>
      <c r="F4089">
        <v>1</v>
      </c>
      <c r="G4089" s="3" t="s">
        <v>5</v>
      </c>
      <c r="H4089" s="44" t="s">
        <v>15</v>
      </c>
      <c r="I4089" s="17">
        <v>84556.24</v>
      </c>
      <c r="J4089" s="17">
        <f>IF(Gastos[[#This Row],[Divisa]]="$", I4089*1, IF(Gastos[[#This Row],[Divisa]]="U$D", I4089*$N$1, IF(Gastos[[#This Row],[Divisa]]="EUR", I4089*$N$2, 0)))</f>
        <v>84556.24</v>
      </c>
      <c r="K4089" s="54">
        <f>Gastos[[#This Row],[Importe AR$]]/$N$1</f>
        <v>54.202717948717954</v>
      </c>
      <c r="L4089" t="s">
        <v>340</v>
      </c>
      <c r="M4089" s="69"/>
      <c r="N4089" s="43" t="str">
        <f>IF(Gastos[[#This Row],[Fecha_Cheque]]&gt;0,WEEKNUM(Gastos[[#This Row],[Fecha_Cheque]]),MID(Gastos[[#This Row],[Semana]],6,2))</f>
        <v>16</v>
      </c>
      <c r="O4089" t="s">
        <v>3066</v>
      </c>
      <c r="P4089" t="s">
        <v>27</v>
      </c>
    </row>
    <row r="4090" spans="1:16" hidden="1" x14ac:dyDescent="0.25">
      <c r="A4090" s="3" t="s">
        <v>2804</v>
      </c>
      <c r="B4090" t="s">
        <v>2305</v>
      </c>
      <c r="C4090" t="s">
        <v>2306</v>
      </c>
      <c r="D4090" t="s">
        <v>26</v>
      </c>
      <c r="E4090" t="s">
        <v>62</v>
      </c>
      <c r="F4090">
        <v>1</v>
      </c>
      <c r="G4090" s="3" t="s">
        <v>5</v>
      </c>
      <c r="H4090" s="46" t="s">
        <v>15</v>
      </c>
      <c r="I4090" s="17">
        <v>1874781.77</v>
      </c>
      <c r="J4090" s="17">
        <f>IF(Gastos[[#This Row],[Divisa]]="$", I4090*1, IF(Gastos[[#This Row],[Divisa]]="U$D", I4090*$N$1, IF(Gastos[[#This Row],[Divisa]]="EUR", I4090*$N$2, 0)))</f>
        <v>1874781.77</v>
      </c>
      <c r="K4090" s="54">
        <f>Gastos[[#This Row],[Importe AR$]]/$N$1</f>
        <v>1201.7831858974359</v>
      </c>
      <c r="M4090" s="69">
        <v>46183</v>
      </c>
      <c r="N4090" s="43">
        <f>IF(Gastos[[#This Row],[Fecha_Cheque]]&gt;0,WEEKNUM(Gastos[[#This Row],[Fecha_Cheque]]),MID(Gastos[[#This Row],[Semana]],6,2))</f>
        <v>24</v>
      </c>
      <c r="O4090" t="s">
        <v>3203</v>
      </c>
      <c r="P4090" t="s">
        <v>27</v>
      </c>
    </row>
    <row r="4091" spans="1:16" hidden="1" x14ac:dyDescent="0.25">
      <c r="A4091" s="3" t="s">
        <v>2804</v>
      </c>
      <c r="B4091" t="s">
        <v>2305</v>
      </c>
      <c r="C4091" t="s">
        <v>2306</v>
      </c>
      <c r="D4091" t="s">
        <v>26</v>
      </c>
      <c r="E4091" t="s">
        <v>62</v>
      </c>
      <c r="F4091">
        <v>1</v>
      </c>
      <c r="G4091" s="3" t="s">
        <v>5</v>
      </c>
      <c r="H4091" s="46" t="s">
        <v>15</v>
      </c>
      <c r="I4091" s="17">
        <v>29644.73</v>
      </c>
      <c r="J4091" s="17">
        <f>IF(Gastos[[#This Row],[Divisa]]="$", I4091*1, IF(Gastos[[#This Row],[Divisa]]="U$D", I4091*$N$1, IF(Gastos[[#This Row],[Divisa]]="EUR", I4091*$N$2, 0)))</f>
        <v>29644.73</v>
      </c>
      <c r="K4091" s="54">
        <f>Gastos[[#This Row],[Importe AR$]]/$N$1</f>
        <v>19.003032051282052</v>
      </c>
      <c r="L4091" t="s">
        <v>340</v>
      </c>
      <c r="M4091" s="69"/>
      <c r="N4091" s="43" t="str">
        <f>IF(Gastos[[#This Row],[Fecha_Cheque]]&gt;0,WEEKNUM(Gastos[[#This Row],[Fecha_Cheque]]),MID(Gastos[[#This Row],[Semana]],6,2))</f>
        <v>19</v>
      </c>
      <c r="O4091" t="s">
        <v>3203</v>
      </c>
      <c r="P4091" t="s">
        <v>27</v>
      </c>
    </row>
    <row r="4092" spans="1:16" hidden="1" x14ac:dyDescent="0.25">
      <c r="A4092" s="3" t="s">
        <v>2763</v>
      </c>
      <c r="B4092" t="s">
        <v>2305</v>
      </c>
      <c r="C4092" t="s">
        <v>2306</v>
      </c>
      <c r="D4092" t="s">
        <v>26</v>
      </c>
      <c r="E4092" t="s">
        <v>62</v>
      </c>
      <c r="F4092">
        <v>1</v>
      </c>
      <c r="G4092" s="3" t="s">
        <v>5</v>
      </c>
      <c r="H4092" s="46" t="s">
        <v>15</v>
      </c>
      <c r="I4092" s="17">
        <v>2002136.78</v>
      </c>
      <c r="J4092" s="17">
        <f>IF(Gastos[[#This Row],[Divisa]]="$", I4092*1, IF(Gastos[[#This Row],[Divisa]]="U$D", I4092*$N$1, IF(Gastos[[#This Row],[Divisa]]="EUR", I4092*$N$2, 0)))</f>
        <v>2002136.78</v>
      </c>
      <c r="K4092" s="54">
        <f>Gastos[[#This Row],[Importe AR$]]/$N$1</f>
        <v>1283.4210128205129</v>
      </c>
      <c r="M4092" s="69"/>
      <c r="N4092" s="43" t="str">
        <f>IF(Gastos[[#This Row],[Fecha_Cheque]]&gt;0,WEEKNUM(Gastos[[#This Row],[Fecha_Cheque]]),MID(Gastos[[#This Row],[Semana]],6,2))</f>
        <v>23</v>
      </c>
      <c r="O4092" t="s">
        <v>3408</v>
      </c>
      <c r="P4092" t="s">
        <v>27</v>
      </c>
    </row>
    <row r="4093" spans="1:16" hidden="1" x14ac:dyDescent="0.25">
      <c r="A4093" s="3" t="s">
        <v>2763</v>
      </c>
      <c r="B4093" t="s">
        <v>2305</v>
      </c>
      <c r="C4093" t="s">
        <v>2306</v>
      </c>
      <c r="D4093" t="s">
        <v>26</v>
      </c>
      <c r="E4093" t="s">
        <v>62</v>
      </c>
      <c r="F4093">
        <v>1</v>
      </c>
      <c r="G4093" s="3" t="s">
        <v>5</v>
      </c>
      <c r="H4093" s="46" t="s">
        <v>15</v>
      </c>
      <c r="I4093" s="17">
        <v>34147.589999999997</v>
      </c>
      <c r="J4093" s="17">
        <f>IF(Gastos[[#This Row],[Divisa]]="$", I4093*1, IF(Gastos[[#This Row],[Divisa]]="U$D", I4093*$N$1, IF(Gastos[[#This Row],[Divisa]]="EUR", I4093*$N$2, 0)))</f>
        <v>34147.589999999997</v>
      </c>
      <c r="K4093" s="54">
        <f>Gastos[[#This Row],[Importe AR$]]/$N$1</f>
        <v>21.889480769230769</v>
      </c>
      <c r="L4093" t="s">
        <v>340</v>
      </c>
      <c r="M4093" s="69"/>
      <c r="N4093" s="43" t="str">
        <f>IF(Gastos[[#This Row],[Fecha_Cheque]]&gt;0,WEEKNUM(Gastos[[#This Row],[Fecha_Cheque]]),MID(Gastos[[#This Row],[Semana]],6,2))</f>
        <v>23</v>
      </c>
      <c r="O4093" t="s">
        <v>3408</v>
      </c>
      <c r="P4093" t="s">
        <v>27</v>
      </c>
    </row>
    <row r="4094" spans="1:16" hidden="1" x14ac:dyDescent="0.25">
      <c r="A4094" s="3" t="s">
        <v>3693</v>
      </c>
      <c r="B4094" t="s">
        <v>2305</v>
      </c>
      <c r="C4094" t="s">
        <v>2306</v>
      </c>
      <c r="D4094" t="s">
        <v>26</v>
      </c>
      <c r="E4094" t="s">
        <v>62</v>
      </c>
      <c r="F4094">
        <v>1</v>
      </c>
      <c r="G4094" s="3" t="s">
        <v>32</v>
      </c>
      <c r="H4094" s="46" t="s">
        <v>15</v>
      </c>
      <c r="I4094" s="17">
        <v>2618473</v>
      </c>
      <c r="J4094" s="17">
        <f>IF(Gastos[[#This Row],[Divisa]]="$", I4094*1, IF(Gastos[[#This Row],[Divisa]]="U$D", I4094*$N$1, IF(Gastos[[#This Row],[Divisa]]="EUR", I4094*$N$2, 0)))</f>
        <v>2618473</v>
      </c>
      <c r="K4094" s="54">
        <f>Gastos[[#This Row],[Importe AR$]]/$N$1</f>
        <v>1678.5083333333334</v>
      </c>
      <c r="M4094" s="69">
        <v>46237</v>
      </c>
      <c r="N4094" s="43">
        <f>IF(Gastos[[#This Row],[Fecha_Cheque]]&gt;0,WEEKNUM(Gastos[[#This Row],[Fecha_Cheque]]),MID(Gastos[[#This Row],[Semana]],6,2))</f>
        <v>32</v>
      </c>
      <c r="O4094" t="s">
        <v>3716</v>
      </c>
      <c r="P4094" t="s">
        <v>27</v>
      </c>
    </row>
    <row r="4095" spans="1:16" hidden="1" x14ac:dyDescent="0.25">
      <c r="A4095" s="3" t="s">
        <v>3693</v>
      </c>
      <c r="B4095" t="s">
        <v>2305</v>
      </c>
      <c r="C4095" t="s">
        <v>2306</v>
      </c>
      <c r="D4095" t="s">
        <v>26</v>
      </c>
      <c r="E4095" t="s">
        <v>62</v>
      </c>
      <c r="F4095">
        <v>1</v>
      </c>
      <c r="G4095" s="3" t="s">
        <v>32</v>
      </c>
      <c r="H4095" s="46" t="s">
        <v>15</v>
      </c>
      <c r="I4095" s="17">
        <v>2618473</v>
      </c>
      <c r="J4095" s="17">
        <f>IF(Gastos[[#This Row],[Divisa]]="$", I4095*1, IF(Gastos[[#This Row],[Divisa]]="U$D", I4095*$N$1, IF(Gastos[[#This Row],[Divisa]]="EUR", I4095*$N$2, 0)))</f>
        <v>2618473</v>
      </c>
      <c r="K4095" s="54">
        <f>Gastos[[#This Row],[Importe AR$]]/$N$1</f>
        <v>1678.5083333333334</v>
      </c>
      <c r="M4095" s="69">
        <v>46234</v>
      </c>
      <c r="N4095" s="43">
        <f>IF(Gastos[[#This Row],[Fecha_Cheque]]&gt;0,WEEKNUM(Gastos[[#This Row],[Fecha_Cheque]]),MID(Gastos[[#This Row],[Semana]],6,2))</f>
        <v>31</v>
      </c>
      <c r="O4095" t="s">
        <v>3716</v>
      </c>
      <c r="P4095" t="s">
        <v>27</v>
      </c>
    </row>
    <row r="4096" spans="1:16" hidden="1" x14ac:dyDescent="0.25">
      <c r="A4096" s="3" t="s">
        <v>3693</v>
      </c>
      <c r="B4096" t="s">
        <v>2305</v>
      </c>
      <c r="C4096" t="s">
        <v>2306</v>
      </c>
      <c r="D4096" t="s">
        <v>26</v>
      </c>
      <c r="E4096" t="s">
        <v>62</v>
      </c>
      <c r="F4096">
        <v>1</v>
      </c>
      <c r="G4096" s="3" t="s">
        <v>32</v>
      </c>
      <c r="H4096" s="46" t="s">
        <v>15</v>
      </c>
      <c r="I4096" s="17">
        <v>85217.69</v>
      </c>
      <c r="J4096" s="17">
        <f>IF(Gastos[[#This Row],[Divisa]]="$", I4096*1, IF(Gastos[[#This Row],[Divisa]]="U$D", I4096*$N$1, IF(Gastos[[#This Row],[Divisa]]="EUR", I4096*$N$2, 0)))</f>
        <v>85217.69</v>
      </c>
      <c r="K4096" s="54">
        <f>Gastos[[#This Row],[Importe AR$]]/$N$1</f>
        <v>54.626724358974357</v>
      </c>
      <c r="L4096" t="s">
        <v>340</v>
      </c>
      <c r="M4096" s="69"/>
      <c r="N4096" s="43" t="str">
        <f>IF(Gastos[[#This Row],[Fecha_Cheque]]&gt;0,WEEKNUM(Gastos[[#This Row],[Fecha_Cheque]]),MID(Gastos[[#This Row],[Semana]],6,2))</f>
        <v>28</v>
      </c>
      <c r="O4096" t="s">
        <v>3716</v>
      </c>
      <c r="P4096" t="s">
        <v>27</v>
      </c>
    </row>
    <row r="4097" spans="1:16" hidden="1" x14ac:dyDescent="0.25">
      <c r="A4097" s="3" t="s">
        <v>4157</v>
      </c>
      <c r="B4097" t="s">
        <v>2305</v>
      </c>
      <c r="C4097" t="s">
        <v>2306</v>
      </c>
      <c r="D4097" t="s">
        <v>26</v>
      </c>
      <c r="E4097" t="s">
        <v>62</v>
      </c>
      <c r="F4097">
        <v>1</v>
      </c>
      <c r="G4097" s="3" t="s">
        <v>5</v>
      </c>
      <c r="H4097" s="46" t="s">
        <v>15</v>
      </c>
      <c r="I4097" s="17">
        <v>3703000</v>
      </c>
      <c r="J4097" s="17">
        <f>IF(Gastos[[#This Row],[Divisa]]="$", I4097*1, IF(Gastos[[#This Row],[Divisa]]="U$D", I4097*$N$1, IF(Gastos[[#This Row],[Divisa]]="EUR", I4097*$N$2, 0)))</f>
        <v>3703000</v>
      </c>
      <c r="K4097" s="54">
        <f>Gastos[[#This Row],[Importe AR$]]/$N$1</f>
        <v>2373.7179487179487</v>
      </c>
      <c r="M4097" s="69">
        <v>46288</v>
      </c>
      <c r="N4097" s="43">
        <f>IF(Gastos[[#This Row],[Fecha_Cheque]]&gt;0,WEEKNUM(Gastos[[#This Row],[Fecha_Cheque]]),MID(Gastos[[#This Row],[Semana]],6,2))</f>
        <v>39</v>
      </c>
      <c r="O4097" t="s">
        <v>4191</v>
      </c>
      <c r="P4097" t="s">
        <v>27</v>
      </c>
    </row>
    <row r="4098" spans="1:16" hidden="1" x14ac:dyDescent="0.25">
      <c r="A4098" s="3" t="s">
        <v>4157</v>
      </c>
      <c r="B4098" t="s">
        <v>2305</v>
      </c>
      <c r="C4098" t="s">
        <v>2306</v>
      </c>
      <c r="D4098" t="s">
        <v>26</v>
      </c>
      <c r="E4098" t="s">
        <v>62</v>
      </c>
      <c r="F4098">
        <v>1</v>
      </c>
      <c r="G4098" s="3" t="s">
        <v>5</v>
      </c>
      <c r="H4098" s="46" t="s">
        <v>15</v>
      </c>
      <c r="I4098" s="17">
        <v>3703000</v>
      </c>
      <c r="J4098" s="17">
        <f>IF(Gastos[[#This Row],[Divisa]]="$", I4098*1, IF(Gastos[[#This Row],[Divisa]]="U$D", I4098*$N$1, IF(Gastos[[#This Row],[Divisa]]="EUR", I4098*$N$2, 0)))</f>
        <v>3703000</v>
      </c>
      <c r="K4098" s="54">
        <f>Gastos[[#This Row],[Importe AR$]]/$N$1</f>
        <v>2373.7179487179487</v>
      </c>
      <c r="M4098" s="69">
        <v>46318</v>
      </c>
      <c r="N4098" s="43">
        <f>IF(Gastos[[#This Row],[Fecha_Cheque]]&gt;0,WEEKNUM(Gastos[[#This Row],[Fecha_Cheque]]),MID(Gastos[[#This Row],[Semana]],6,2))</f>
        <v>43</v>
      </c>
      <c r="O4098" t="s">
        <v>4191</v>
      </c>
      <c r="P4098" t="s">
        <v>27</v>
      </c>
    </row>
    <row r="4099" spans="1:16" hidden="1" x14ac:dyDescent="0.25">
      <c r="A4099" s="3" t="s">
        <v>4157</v>
      </c>
      <c r="B4099" t="s">
        <v>2305</v>
      </c>
      <c r="C4099" t="s">
        <v>2306</v>
      </c>
      <c r="D4099" t="s">
        <v>26</v>
      </c>
      <c r="E4099" t="s">
        <v>62</v>
      </c>
      <c r="F4099">
        <v>1</v>
      </c>
      <c r="G4099" s="3" t="s">
        <v>5</v>
      </c>
      <c r="H4099" s="46" t="s">
        <v>15</v>
      </c>
      <c r="I4099" s="17">
        <v>3703655</v>
      </c>
      <c r="J4099" s="17">
        <f>IF(Gastos[[#This Row],[Divisa]]="$", I4099*1, IF(Gastos[[#This Row],[Divisa]]="U$D", I4099*$N$1, IF(Gastos[[#This Row],[Divisa]]="EUR", I4099*$N$2, 0)))</f>
        <v>3703655</v>
      </c>
      <c r="K4099" s="54">
        <f>Gastos[[#This Row],[Importe AR$]]/$N$1</f>
        <v>2374.1378205128203</v>
      </c>
      <c r="M4099" s="69">
        <v>46292</v>
      </c>
      <c r="N4099" s="43">
        <f>IF(Gastos[[#This Row],[Fecha_Cheque]]&gt;0,WEEKNUM(Gastos[[#This Row],[Fecha_Cheque]]),MID(Gastos[[#This Row],[Semana]],6,2))</f>
        <v>40</v>
      </c>
      <c r="O4099" t="s">
        <v>4191</v>
      </c>
      <c r="P4099" t="s">
        <v>27</v>
      </c>
    </row>
    <row r="4100" spans="1:16" hidden="1" x14ac:dyDescent="0.25">
      <c r="A4100" s="3" t="s">
        <v>4157</v>
      </c>
      <c r="B4100" t="s">
        <v>2305</v>
      </c>
      <c r="C4100" t="s">
        <v>2306</v>
      </c>
      <c r="D4100" t="s">
        <v>26</v>
      </c>
      <c r="E4100" t="s">
        <v>62</v>
      </c>
      <c r="F4100">
        <v>1</v>
      </c>
      <c r="G4100" s="3" t="s">
        <v>5</v>
      </c>
      <c r="H4100" s="46" t="s">
        <v>15</v>
      </c>
      <c r="I4100" s="17">
        <v>182287.26</v>
      </c>
      <c r="J4100" s="17">
        <f>IF(Gastos[[#This Row],[Divisa]]="$", I4100*1, IF(Gastos[[#This Row],[Divisa]]="U$D", I4100*$N$1, IF(Gastos[[#This Row],[Divisa]]="EUR", I4100*$N$2, 0)))</f>
        <v>182287.26</v>
      </c>
      <c r="K4100" s="54">
        <f>Gastos[[#This Row],[Importe AR$]]/$N$1</f>
        <v>116.8508076923077</v>
      </c>
      <c r="L4100" t="s">
        <v>340</v>
      </c>
      <c r="M4100" s="69"/>
      <c r="N4100" s="43" t="str">
        <f>IF(Gastos[[#This Row],[Fecha_Cheque]]&gt;0,WEEKNUM(Gastos[[#This Row],[Fecha_Cheque]]),MID(Gastos[[#This Row],[Semana]],6,2))</f>
        <v>36</v>
      </c>
      <c r="O4100" t="s">
        <v>4191</v>
      </c>
      <c r="P4100" t="s">
        <v>27</v>
      </c>
    </row>
    <row r="4101" spans="1:16" x14ac:dyDescent="0.25">
      <c r="A4101" s="3" t="s">
        <v>4655</v>
      </c>
      <c r="B4101" t="s">
        <v>3703</v>
      </c>
      <c r="C4101" t="s">
        <v>2667</v>
      </c>
      <c r="D4101" t="s">
        <v>26</v>
      </c>
      <c r="E4101" t="s">
        <v>3928</v>
      </c>
      <c r="F4101">
        <v>2</v>
      </c>
      <c r="G4101" s="3" t="s">
        <v>32</v>
      </c>
      <c r="H4101" s="44" t="s">
        <v>2</v>
      </c>
      <c r="I4101" s="17">
        <v>33157.376990553261</v>
      </c>
      <c r="J4101" s="17">
        <f>IF(Gastos[[#This Row],[Divisa]]="$", I4101*1, IF(Gastos[[#This Row],[Divisa]]="U$D", I4101*$N$1, IF(Gastos[[#This Row],[Divisa]]="EUR", I4101*$N$2, 0)))</f>
        <v>51725508.105263084</v>
      </c>
      <c r="K4101" s="54">
        <f>Gastos[[#This Row],[Importe AR$]]/$N$1</f>
        <v>33157.376990553261</v>
      </c>
      <c r="M4101" s="69"/>
      <c r="N4101" s="43" t="str">
        <f>IF(Gastos[[#This Row],[Fecha_Cheque]]&gt;0,WEEKNUM(Gastos[[#This Row],[Fecha_Cheque]]),MID(Gastos[[#This Row],[Semana]],6,2))</f>
        <v>44</v>
      </c>
    </row>
    <row r="4102" spans="1:16" hidden="1" x14ac:dyDescent="0.25">
      <c r="A4102" s="3" t="s">
        <v>75</v>
      </c>
      <c r="B4102" t="s">
        <v>2335</v>
      </c>
      <c r="D4102" t="s">
        <v>26</v>
      </c>
      <c r="E4102" t="s">
        <v>91</v>
      </c>
      <c r="F4102">
        <v>1</v>
      </c>
      <c r="G4102" s="3" t="s">
        <v>5</v>
      </c>
      <c r="H4102" s="46" t="s">
        <v>15</v>
      </c>
      <c r="I4102" s="17">
        <v>235000</v>
      </c>
      <c r="J4102" s="17">
        <f>IF(Gastos[[#This Row],[Divisa]]="$", I4102*1, IF(Gastos[[#This Row],[Divisa]]="U$D", I4102*$N$1, IF(Gastos[[#This Row],[Divisa]]="EUR", I4102*$N$2, 0)))</f>
        <v>235000</v>
      </c>
      <c r="K4102" s="54">
        <f>Gastos[[#This Row],[Importe AR$]]/$N$1</f>
        <v>150.64102564102564</v>
      </c>
      <c r="M4102" s="69"/>
      <c r="N4102" s="43" t="str">
        <f>IF(Gastos[[#This Row],[Fecha_Cheque]]&gt;0,WEEKNUM(Gastos[[#This Row],[Fecha_Cheque]]),MID(Gastos[[#This Row],[Semana]],6,2))</f>
        <v>07</v>
      </c>
      <c r="O4102" t="s">
        <v>667</v>
      </c>
      <c r="P4102" t="s">
        <v>27</v>
      </c>
    </row>
    <row r="4103" spans="1:16" hidden="1" x14ac:dyDescent="0.25">
      <c r="A4103" s="3" t="s">
        <v>44</v>
      </c>
      <c r="B4103" t="s">
        <v>2335</v>
      </c>
      <c r="C4103" t="s">
        <v>2336</v>
      </c>
      <c r="D4103" t="s">
        <v>26</v>
      </c>
      <c r="E4103" t="s">
        <v>42</v>
      </c>
      <c r="F4103">
        <v>1</v>
      </c>
      <c r="G4103" s="3" t="s">
        <v>4</v>
      </c>
      <c r="H4103" s="46" t="s">
        <v>15</v>
      </c>
      <c r="I4103" s="17">
        <v>30000</v>
      </c>
      <c r="J4103" s="17">
        <f>IF(Gastos[[#This Row],[Divisa]]="$", I4103*1, IF(Gastos[[#This Row],[Divisa]]="U$D", I4103*$N$1, IF(Gastos[[#This Row],[Divisa]]="EUR", I4103*$N$2, 0)))</f>
        <v>30000</v>
      </c>
      <c r="K4103" s="54">
        <f>Gastos[[#This Row],[Importe AR$]]/$N$1</f>
        <v>19.23076923076923</v>
      </c>
      <c r="M4103" s="69"/>
      <c r="N4103" s="43" t="str">
        <f>IF(Gastos[[#This Row],[Fecha_Cheque]]&gt;0,WEEKNUM(Gastos[[#This Row],[Fecha_Cheque]]),MID(Gastos[[#This Row],[Semana]],6,2))</f>
        <v>51</v>
      </c>
      <c r="O4103" t="s">
        <v>2337</v>
      </c>
      <c r="P4103" t="s">
        <v>27</v>
      </c>
    </row>
    <row r="4104" spans="1:16" hidden="1" x14ac:dyDescent="0.25">
      <c r="A4104" s="3" t="s">
        <v>50</v>
      </c>
      <c r="B4104" t="s">
        <v>2335</v>
      </c>
      <c r="D4104" t="s">
        <v>26</v>
      </c>
      <c r="E4104" t="s">
        <v>91</v>
      </c>
      <c r="F4104">
        <v>1</v>
      </c>
      <c r="G4104" s="3" t="s">
        <v>5</v>
      </c>
      <c r="H4104" s="46" t="s">
        <v>15</v>
      </c>
      <c r="I4104" s="17">
        <v>195100.02</v>
      </c>
      <c r="J4104" s="17">
        <f>IF(Gastos[[#This Row],[Divisa]]="$", I4104*1, IF(Gastos[[#This Row],[Divisa]]="U$D", I4104*$N$1, IF(Gastos[[#This Row],[Divisa]]="EUR", I4104*$N$2, 0)))</f>
        <v>195100.02</v>
      </c>
      <c r="K4104" s="54">
        <f>Gastos[[#This Row],[Importe AR$]]/$N$1</f>
        <v>125.06411538461538</v>
      </c>
      <c r="M4104" s="69"/>
      <c r="N4104" s="43" t="str">
        <f>IF(Gastos[[#This Row],[Fecha_Cheque]]&gt;0,WEEKNUM(Gastos[[#This Row],[Fecha_Cheque]]),MID(Gastos[[#This Row],[Semana]],6,2))</f>
        <v>25</v>
      </c>
      <c r="O4104" t="s">
        <v>2338</v>
      </c>
      <c r="P4104" t="s">
        <v>27</v>
      </c>
    </row>
    <row r="4105" spans="1:16" hidden="1" x14ac:dyDescent="0.25">
      <c r="A4105" s="3" t="s">
        <v>85</v>
      </c>
      <c r="B4105" t="s">
        <v>2335</v>
      </c>
      <c r="C4105" t="s">
        <v>2339</v>
      </c>
      <c r="D4105" t="s">
        <v>26</v>
      </c>
      <c r="E4105" t="s">
        <v>91</v>
      </c>
      <c r="F4105">
        <v>1</v>
      </c>
      <c r="G4105" s="3" t="s">
        <v>5</v>
      </c>
      <c r="H4105" s="46" t="s">
        <v>15</v>
      </c>
      <c r="I4105" s="17">
        <v>101780.81</v>
      </c>
      <c r="J4105" s="17">
        <f>IF(Gastos[[#This Row],[Divisa]]="$", I4105*1, IF(Gastos[[#This Row],[Divisa]]="U$D", I4105*$N$1, IF(Gastos[[#This Row],[Divisa]]="EUR", I4105*$N$2, 0)))</f>
        <v>101780.81</v>
      </c>
      <c r="K4105" s="54">
        <f>Gastos[[#This Row],[Importe AR$]]/$N$1</f>
        <v>65.24410897435898</v>
      </c>
      <c r="M4105" s="69"/>
      <c r="N4105" s="43" t="str">
        <f>IF(Gastos[[#This Row],[Fecha_Cheque]]&gt;0,WEEKNUM(Gastos[[#This Row],[Fecha_Cheque]]),MID(Gastos[[#This Row],[Semana]],6,2))</f>
        <v>26</v>
      </c>
      <c r="O4105" t="s">
        <v>2338</v>
      </c>
      <c r="P4105" t="s">
        <v>27</v>
      </c>
    </row>
    <row r="4106" spans="1:16" hidden="1" x14ac:dyDescent="0.25">
      <c r="A4106" s="3" t="s">
        <v>114</v>
      </c>
      <c r="B4106" t="s">
        <v>2335</v>
      </c>
      <c r="C4106" t="s">
        <v>91</v>
      </c>
      <c r="D4106" t="s">
        <v>26</v>
      </c>
      <c r="E4106" t="s">
        <v>91</v>
      </c>
      <c r="F4106">
        <v>1</v>
      </c>
      <c r="G4106" s="3" t="s">
        <v>5</v>
      </c>
      <c r="H4106" s="46" t="s">
        <v>15</v>
      </c>
      <c r="I4106" s="17">
        <v>195100.02</v>
      </c>
      <c r="J4106" s="17">
        <f>IF(Gastos[[#This Row],[Divisa]]="$", I4106*1, IF(Gastos[[#This Row],[Divisa]]="U$D", I4106*$N$1, IF(Gastos[[#This Row],[Divisa]]="EUR", I4106*$N$2, 0)))</f>
        <v>195100.02</v>
      </c>
      <c r="K4106" s="54">
        <f>Gastos[[#This Row],[Importe AR$]]/$N$1</f>
        <v>125.06411538461538</v>
      </c>
      <c r="M4106" s="69"/>
      <c r="N4106" s="43" t="str">
        <f>IF(Gastos[[#This Row],[Fecha_Cheque]]&gt;0,WEEKNUM(Gastos[[#This Row],[Fecha_Cheque]]),MID(Gastos[[#This Row],[Semana]],6,2))</f>
        <v>29</v>
      </c>
      <c r="O4106" t="s">
        <v>2340</v>
      </c>
      <c r="P4106" t="s">
        <v>27</v>
      </c>
    </row>
    <row r="4107" spans="1:16" hidden="1" x14ac:dyDescent="0.25">
      <c r="A4107" s="3" t="s">
        <v>114</v>
      </c>
      <c r="B4107" t="s">
        <v>2335</v>
      </c>
      <c r="C4107" t="s">
        <v>2341</v>
      </c>
      <c r="D4107" t="s">
        <v>26</v>
      </c>
      <c r="E4107" t="s">
        <v>91</v>
      </c>
      <c r="F4107">
        <v>1</v>
      </c>
      <c r="G4107" s="3" t="s">
        <v>5</v>
      </c>
      <c r="H4107" s="46" t="s">
        <v>15</v>
      </c>
      <c r="I4107" s="17">
        <v>160000</v>
      </c>
      <c r="J4107" s="17">
        <f>IF(Gastos[[#This Row],[Divisa]]="$", I4107*1, IF(Gastos[[#This Row],[Divisa]]="U$D", I4107*$N$1, IF(Gastos[[#This Row],[Divisa]]="EUR", I4107*$N$2, 0)))</f>
        <v>160000</v>
      </c>
      <c r="K4107" s="54">
        <f>Gastos[[#This Row],[Importe AR$]]/$N$1</f>
        <v>102.56410256410257</v>
      </c>
      <c r="M4107" s="69"/>
      <c r="N4107" s="43" t="str">
        <f>IF(Gastos[[#This Row],[Fecha_Cheque]]&gt;0,WEEKNUM(Gastos[[#This Row],[Fecha_Cheque]]),MID(Gastos[[#This Row],[Semana]],6,2))</f>
        <v>29</v>
      </c>
      <c r="O4107" t="s">
        <v>2340</v>
      </c>
      <c r="P4107" t="s">
        <v>27</v>
      </c>
    </row>
    <row r="4108" spans="1:16" hidden="1" x14ac:dyDescent="0.25">
      <c r="A4108" s="3" t="s">
        <v>114</v>
      </c>
      <c r="B4108" t="s">
        <v>2335</v>
      </c>
      <c r="C4108" t="s">
        <v>2342</v>
      </c>
      <c r="D4108" t="s">
        <v>26</v>
      </c>
      <c r="E4108" t="s">
        <v>91</v>
      </c>
      <c r="F4108">
        <v>1</v>
      </c>
      <c r="G4108" s="3" t="s">
        <v>5</v>
      </c>
      <c r="H4108" s="46" t="s">
        <v>15</v>
      </c>
      <c r="I4108" s="17">
        <v>35100</v>
      </c>
      <c r="J4108" s="17">
        <f>IF(Gastos[[#This Row],[Divisa]]="$", I4108*1, IF(Gastos[[#This Row],[Divisa]]="U$D", I4108*$N$1, IF(Gastos[[#This Row],[Divisa]]="EUR", I4108*$N$2, 0)))</f>
        <v>35100</v>
      </c>
      <c r="K4108" s="54">
        <f>Gastos[[#This Row],[Importe AR$]]/$N$1</f>
        <v>22.5</v>
      </c>
      <c r="M4108" s="69"/>
      <c r="N4108" s="43" t="str">
        <f>IF(Gastos[[#This Row],[Fecha_Cheque]]&gt;0,WEEKNUM(Gastos[[#This Row],[Fecha_Cheque]]),MID(Gastos[[#This Row],[Semana]],6,2))</f>
        <v>29</v>
      </c>
      <c r="O4108" t="s">
        <v>2340</v>
      </c>
      <c r="P4108" t="s">
        <v>27</v>
      </c>
    </row>
    <row r="4109" spans="1:16" hidden="1" x14ac:dyDescent="0.25">
      <c r="A4109" s="3" t="s">
        <v>53</v>
      </c>
      <c r="B4109" t="s">
        <v>2335</v>
      </c>
      <c r="C4109" t="s">
        <v>2343</v>
      </c>
      <c r="D4109" t="s">
        <v>26</v>
      </c>
      <c r="E4109" t="s">
        <v>91</v>
      </c>
      <c r="F4109">
        <v>1</v>
      </c>
      <c r="G4109" s="3" t="s">
        <v>5</v>
      </c>
      <c r="H4109" s="46" t="s">
        <v>15</v>
      </c>
      <c r="I4109" s="17">
        <v>305342.42</v>
      </c>
      <c r="J4109" s="17">
        <f>IF(Gastos[[#This Row],[Divisa]]="$", I4109*1, IF(Gastos[[#This Row],[Divisa]]="U$D", I4109*$N$1, IF(Gastos[[#This Row],[Divisa]]="EUR", I4109*$N$2, 0)))</f>
        <v>305342.42</v>
      </c>
      <c r="K4109" s="54">
        <f>Gastos[[#This Row],[Importe AR$]]/$N$1</f>
        <v>195.73232051282051</v>
      </c>
      <c r="M4109" s="69"/>
      <c r="N4109" s="43" t="str">
        <f>IF(Gastos[[#This Row],[Fecha_Cheque]]&gt;0,WEEKNUM(Gastos[[#This Row],[Fecha_Cheque]]),MID(Gastos[[#This Row],[Semana]],6,2))</f>
        <v>34</v>
      </c>
      <c r="O4109" t="s">
        <v>123</v>
      </c>
      <c r="P4109" t="s">
        <v>27</v>
      </c>
    </row>
    <row r="4110" spans="1:16" hidden="1" x14ac:dyDescent="0.25">
      <c r="A4110" s="3" t="s">
        <v>117</v>
      </c>
      <c r="B4110" t="s">
        <v>2335</v>
      </c>
      <c r="C4110" t="s">
        <v>2344</v>
      </c>
      <c r="D4110" t="s">
        <v>26</v>
      </c>
      <c r="E4110" t="s">
        <v>91</v>
      </c>
      <c r="F4110">
        <v>1</v>
      </c>
      <c r="G4110" s="3" t="s">
        <v>5</v>
      </c>
      <c r="H4110" s="46" t="s">
        <v>15</v>
      </c>
      <c r="I4110" s="17">
        <v>231115.7</v>
      </c>
      <c r="J4110" s="17">
        <f>IF(Gastos[[#This Row],[Divisa]]="$", I4110*1, IF(Gastos[[#This Row],[Divisa]]="U$D", I4110*$N$1, IF(Gastos[[#This Row],[Divisa]]="EUR", I4110*$N$2, 0)))</f>
        <v>231115.7</v>
      </c>
      <c r="K4110" s="54">
        <f>Gastos[[#This Row],[Importe AR$]]/$N$1</f>
        <v>148.15108974358975</v>
      </c>
      <c r="M4110" s="69"/>
      <c r="N4110" s="43" t="str">
        <f>IF(Gastos[[#This Row],[Fecha_Cheque]]&gt;0,WEEKNUM(Gastos[[#This Row],[Fecha_Cheque]]),MID(Gastos[[#This Row],[Semana]],6,2))</f>
        <v>35</v>
      </c>
      <c r="O4110" t="s">
        <v>2345</v>
      </c>
      <c r="P4110" t="s">
        <v>27</v>
      </c>
    </row>
    <row r="4111" spans="1:16" hidden="1" x14ac:dyDescent="0.25">
      <c r="A4111" s="3" t="s">
        <v>89</v>
      </c>
      <c r="B4111" t="s">
        <v>2335</v>
      </c>
      <c r="C4111" t="s">
        <v>2344</v>
      </c>
      <c r="D4111" t="s">
        <v>26</v>
      </c>
      <c r="E4111" t="s">
        <v>91</v>
      </c>
      <c r="F4111">
        <v>1</v>
      </c>
      <c r="G4111" s="3" t="s">
        <v>5</v>
      </c>
      <c r="H4111" s="46" t="s">
        <v>15</v>
      </c>
      <c r="I4111" s="17">
        <v>235000</v>
      </c>
      <c r="J4111" s="17">
        <f>IF(Gastos[[#This Row],[Divisa]]="$", I4111*1, IF(Gastos[[#This Row],[Divisa]]="U$D", I4111*$N$1, IF(Gastos[[#This Row],[Divisa]]="EUR", I4111*$N$2, 0)))</f>
        <v>235000</v>
      </c>
      <c r="K4111" s="54">
        <f>Gastos[[#This Row],[Importe AR$]]/$N$1</f>
        <v>150.64102564102564</v>
      </c>
      <c r="M4111" s="69"/>
      <c r="N4111" s="43" t="str">
        <f>IF(Gastos[[#This Row],[Fecha_Cheque]]&gt;0,WEEKNUM(Gastos[[#This Row],[Fecha_Cheque]]),MID(Gastos[[#This Row],[Semana]],6,2))</f>
        <v>39</v>
      </c>
      <c r="O4111" t="s">
        <v>2346</v>
      </c>
      <c r="P4111" t="s">
        <v>27</v>
      </c>
    </row>
    <row r="4112" spans="1:16" hidden="1" x14ac:dyDescent="0.25">
      <c r="A4112" s="3" t="s">
        <v>60</v>
      </c>
      <c r="B4112" t="s">
        <v>2335</v>
      </c>
      <c r="D4112" t="s">
        <v>26</v>
      </c>
      <c r="E4112" t="s">
        <v>91</v>
      </c>
      <c r="F4112">
        <v>1</v>
      </c>
      <c r="G4112" s="3" t="s">
        <v>5</v>
      </c>
      <c r="H4112" s="46" t="s">
        <v>15</v>
      </c>
      <c r="I4112" s="17">
        <v>235000</v>
      </c>
      <c r="J4112" s="17">
        <f>IF(Gastos[[#This Row],[Divisa]]="$", I4112*1, IF(Gastos[[#This Row],[Divisa]]="U$D", I4112*$N$1, IF(Gastos[[#This Row],[Divisa]]="EUR", I4112*$N$2, 0)))</f>
        <v>235000</v>
      </c>
      <c r="K4112" s="54">
        <f>Gastos[[#This Row],[Importe AR$]]/$N$1</f>
        <v>150.64102564102564</v>
      </c>
      <c r="M4112" s="69"/>
      <c r="N4112" s="43" t="str">
        <f>IF(Gastos[[#This Row],[Fecha_Cheque]]&gt;0,WEEKNUM(Gastos[[#This Row],[Fecha_Cheque]]),MID(Gastos[[#This Row],[Semana]],6,2))</f>
        <v>46</v>
      </c>
      <c r="O4112" t="s">
        <v>2347</v>
      </c>
      <c r="P4112" t="s">
        <v>27</v>
      </c>
    </row>
    <row r="4113" spans="1:16" hidden="1" x14ac:dyDescent="0.25">
      <c r="A4113" s="3" t="s">
        <v>79</v>
      </c>
      <c r="B4113" t="s">
        <v>2335</v>
      </c>
      <c r="C4113" t="s">
        <v>2348</v>
      </c>
      <c r="D4113" t="s">
        <v>26</v>
      </c>
      <c r="E4113" t="s">
        <v>91</v>
      </c>
      <c r="F4113">
        <v>1</v>
      </c>
      <c r="G4113" s="3" t="s">
        <v>5</v>
      </c>
      <c r="H4113" s="46" t="s">
        <v>15</v>
      </c>
      <c r="I4113" s="17">
        <v>101780.81</v>
      </c>
      <c r="J4113" s="17">
        <f>IF(Gastos[[#This Row],[Divisa]]="$", I4113*1, IF(Gastos[[#This Row],[Divisa]]="U$D", I4113*$N$1, IF(Gastos[[#This Row],[Divisa]]="EUR", I4113*$N$2, 0)))</f>
        <v>101780.81</v>
      </c>
      <c r="K4113" s="54">
        <f>Gastos[[#This Row],[Importe AR$]]/$N$1</f>
        <v>65.24410897435898</v>
      </c>
      <c r="M4113" s="69"/>
      <c r="N4113" s="43" t="str">
        <f>IF(Gastos[[#This Row],[Fecha_Cheque]]&gt;0,WEEKNUM(Gastos[[#This Row],[Fecha_Cheque]]),MID(Gastos[[#This Row],[Semana]],6,2))</f>
        <v>47</v>
      </c>
      <c r="O4113" t="s">
        <v>2349</v>
      </c>
      <c r="P4113" t="s">
        <v>27</v>
      </c>
    </row>
    <row r="4114" spans="1:16" hidden="1" x14ac:dyDescent="0.25">
      <c r="A4114" s="3" t="s">
        <v>93</v>
      </c>
      <c r="B4114" t="s">
        <v>2335</v>
      </c>
      <c r="D4114" t="s">
        <v>26</v>
      </c>
      <c r="E4114" t="s">
        <v>91</v>
      </c>
      <c r="F4114">
        <v>1</v>
      </c>
      <c r="G4114" s="3" t="s">
        <v>5</v>
      </c>
      <c r="H4114" s="46" t="s">
        <v>15</v>
      </c>
      <c r="I4114" s="17">
        <v>232459.1</v>
      </c>
      <c r="J4114" s="17">
        <f>IF(Gastos[[#This Row],[Divisa]]="$", I4114*1, IF(Gastos[[#This Row],[Divisa]]="U$D", I4114*$N$1, IF(Gastos[[#This Row],[Divisa]]="EUR", I4114*$N$2, 0)))</f>
        <v>232459.1</v>
      </c>
      <c r="K4114" s="54">
        <f>Gastos[[#This Row],[Importe AR$]]/$N$1</f>
        <v>149.0122435897436</v>
      </c>
      <c r="M4114" s="69"/>
      <c r="N4114" s="43" t="str">
        <f>IF(Gastos[[#This Row],[Fecha_Cheque]]&gt;0,WEEKNUM(Gastos[[#This Row],[Fecha_Cheque]]),MID(Gastos[[#This Row],[Semana]],6,2))</f>
        <v>50</v>
      </c>
      <c r="O4114" t="s">
        <v>2350</v>
      </c>
      <c r="P4114" t="s">
        <v>27</v>
      </c>
    </row>
    <row r="4115" spans="1:16" hidden="1" x14ac:dyDescent="0.25">
      <c r="A4115" s="3" t="s">
        <v>378</v>
      </c>
      <c r="B4115" t="s">
        <v>2335</v>
      </c>
      <c r="C4115" t="s">
        <v>2344</v>
      </c>
      <c r="D4115" t="s">
        <v>26</v>
      </c>
      <c r="E4115" t="s">
        <v>91</v>
      </c>
      <c r="F4115">
        <v>1</v>
      </c>
      <c r="G4115" s="3" t="s">
        <v>5</v>
      </c>
      <c r="H4115" s="46" t="s">
        <v>15</v>
      </c>
      <c r="I4115" s="17">
        <v>43000</v>
      </c>
      <c r="J4115" s="17">
        <f>IF(Gastos[[#This Row],[Divisa]]="$", I4115*1, IF(Gastos[[#This Row],[Divisa]]="U$D", I4115*$N$1, IF(Gastos[[#This Row],[Divisa]]="EUR", I4115*$N$2, 0)))</f>
        <v>43000</v>
      </c>
      <c r="K4115" s="54">
        <f>Gastos[[#This Row],[Importe AR$]]/$N$1</f>
        <v>27.564102564102566</v>
      </c>
      <c r="M4115" s="69"/>
      <c r="N4115" s="43" t="str">
        <f>IF(Gastos[[#This Row],[Fecha_Cheque]]&gt;0,WEEKNUM(Gastos[[#This Row],[Fecha_Cheque]]),MID(Gastos[[#This Row],[Semana]],6,2))</f>
        <v>03</v>
      </c>
      <c r="O4115" t="s">
        <v>2351</v>
      </c>
      <c r="P4115" t="s">
        <v>27</v>
      </c>
    </row>
    <row r="4116" spans="1:16" hidden="1" x14ac:dyDescent="0.25">
      <c r="A4116" s="3" t="s">
        <v>378</v>
      </c>
      <c r="B4116" t="s">
        <v>2335</v>
      </c>
      <c r="C4116" t="s">
        <v>2341</v>
      </c>
      <c r="D4116" t="s">
        <v>26</v>
      </c>
      <c r="E4116" t="s">
        <v>91</v>
      </c>
      <c r="F4116">
        <v>1</v>
      </c>
      <c r="G4116" s="3" t="s">
        <v>5</v>
      </c>
      <c r="H4116" s="46" t="s">
        <v>15</v>
      </c>
      <c r="I4116" s="17">
        <v>192000</v>
      </c>
      <c r="J4116" s="17">
        <f>IF(Gastos[[#This Row],[Divisa]]="$", I4116*1, IF(Gastos[[#This Row],[Divisa]]="U$D", I4116*$N$1, IF(Gastos[[#This Row],[Divisa]]="EUR", I4116*$N$2, 0)))</f>
        <v>192000</v>
      </c>
      <c r="K4116" s="54">
        <f>Gastos[[#This Row],[Importe AR$]]/$N$1</f>
        <v>123.07692307692308</v>
      </c>
      <c r="M4116" s="69"/>
      <c r="N4116" s="43" t="str">
        <f>IF(Gastos[[#This Row],[Fecha_Cheque]]&gt;0,WEEKNUM(Gastos[[#This Row],[Fecha_Cheque]]),MID(Gastos[[#This Row],[Semana]],6,2))</f>
        <v>03</v>
      </c>
      <c r="O4116" t="s">
        <v>2351</v>
      </c>
      <c r="P4116" t="s">
        <v>27</v>
      </c>
    </row>
    <row r="4117" spans="1:16" hidden="1" x14ac:dyDescent="0.25">
      <c r="A4117" s="3" t="s">
        <v>39</v>
      </c>
      <c r="B4117" t="s">
        <v>2335</v>
      </c>
      <c r="C4117" t="s">
        <v>2685</v>
      </c>
      <c r="D4117" t="s">
        <v>26</v>
      </c>
      <c r="E4117" t="s">
        <v>42</v>
      </c>
      <c r="F4117">
        <v>1</v>
      </c>
      <c r="G4117" s="3" t="s">
        <v>4</v>
      </c>
      <c r="H4117" s="44" t="s">
        <v>15</v>
      </c>
      <c r="I4117" s="17">
        <v>30000</v>
      </c>
      <c r="J4117" s="17">
        <f>IF(Gastos[[#This Row],[Divisa]]="$", I4117*1, IF(Gastos[[#This Row],[Divisa]]="U$D", I4117*$N$1, IF(Gastos[[#This Row],[Divisa]]="EUR", I4117*$N$2, 0)))</f>
        <v>30000</v>
      </c>
      <c r="K4117" s="54">
        <f>Gastos[[#This Row],[Importe AR$]]/$N$1</f>
        <v>19.23076923076923</v>
      </c>
      <c r="M4117" s="69"/>
      <c r="N4117" s="43" t="str">
        <f>IF(Gastos[[#This Row],[Fecha_Cheque]]&gt;0,WEEKNUM(Gastos[[#This Row],[Fecha_Cheque]]),MID(Gastos[[#This Row],[Semana]],6,2))</f>
        <v>14</v>
      </c>
      <c r="O4117" t="s">
        <v>2686</v>
      </c>
      <c r="P4117" t="s">
        <v>27</v>
      </c>
    </row>
    <row r="4118" spans="1:16" hidden="1" x14ac:dyDescent="0.25">
      <c r="A4118" s="3" t="s">
        <v>397</v>
      </c>
      <c r="B4118" t="s">
        <v>2335</v>
      </c>
      <c r="C4118" t="s">
        <v>2685</v>
      </c>
      <c r="D4118" t="s">
        <v>26</v>
      </c>
      <c r="E4118" t="s">
        <v>31</v>
      </c>
      <c r="F4118">
        <v>1</v>
      </c>
      <c r="G4118" s="3" t="s">
        <v>5</v>
      </c>
      <c r="H4118" s="44" t="s">
        <v>15</v>
      </c>
      <c r="I4118" s="17">
        <v>55000</v>
      </c>
      <c r="J4118" s="17">
        <f>IF(Gastos[[#This Row],[Divisa]]="$", I4118*1, IF(Gastos[[#This Row],[Divisa]]="U$D", I4118*$N$1, IF(Gastos[[#This Row],[Divisa]]="EUR", I4118*$N$2, 0)))</f>
        <v>55000</v>
      </c>
      <c r="K4118" s="54">
        <f>Gastos[[#This Row],[Importe AR$]]/$N$1</f>
        <v>35.256410256410255</v>
      </c>
      <c r="M4118" s="69"/>
      <c r="N4118" s="43" t="str">
        <f>IF(Gastos[[#This Row],[Fecha_Cheque]]&gt;0,WEEKNUM(Gastos[[#This Row],[Fecha_Cheque]]),MID(Gastos[[#This Row],[Semana]],6,2))</f>
        <v>11</v>
      </c>
      <c r="O4118" t="s">
        <v>2697</v>
      </c>
      <c r="P4118" t="s">
        <v>27</v>
      </c>
    </row>
    <row r="4119" spans="1:16" hidden="1" x14ac:dyDescent="0.25">
      <c r="A4119" s="3" t="s">
        <v>2711</v>
      </c>
      <c r="B4119" t="s">
        <v>2335</v>
      </c>
      <c r="D4119" t="s">
        <v>26</v>
      </c>
      <c r="E4119" t="s">
        <v>91</v>
      </c>
      <c r="F4119">
        <v>1</v>
      </c>
      <c r="G4119" s="3" t="s">
        <v>5</v>
      </c>
      <c r="H4119" s="44" t="s">
        <v>15</v>
      </c>
      <c r="I4119" s="17">
        <v>231963.23</v>
      </c>
      <c r="J4119" s="17">
        <f>IF(Gastos[[#This Row],[Divisa]]="$", I4119*1, IF(Gastos[[#This Row],[Divisa]]="U$D", I4119*$N$1, IF(Gastos[[#This Row],[Divisa]]="EUR", I4119*$N$2, 0)))</f>
        <v>231963.23</v>
      </c>
      <c r="K4119" s="54">
        <f>Gastos[[#This Row],[Importe AR$]]/$N$1</f>
        <v>148.6943782051282</v>
      </c>
      <c r="M4119" s="69"/>
      <c r="N4119" s="43" t="str">
        <f>IF(Gastos[[#This Row],[Fecha_Cheque]]&gt;0,WEEKNUM(Gastos[[#This Row],[Fecha_Cheque]]),MID(Gastos[[#This Row],[Semana]],6,2))</f>
        <v>15</v>
      </c>
      <c r="O4119" t="s">
        <v>2969</v>
      </c>
      <c r="P4119" t="s">
        <v>27</v>
      </c>
    </row>
    <row r="4120" spans="1:16" hidden="1" x14ac:dyDescent="0.25">
      <c r="A4120" s="3" t="s">
        <v>2711</v>
      </c>
      <c r="B4120" t="s">
        <v>2335</v>
      </c>
      <c r="D4120" t="s">
        <v>26</v>
      </c>
      <c r="E4120" t="s">
        <v>91</v>
      </c>
      <c r="F4120">
        <v>1</v>
      </c>
      <c r="G4120" s="3" t="s">
        <v>5</v>
      </c>
      <c r="H4120" s="44" t="s">
        <v>15</v>
      </c>
      <c r="I4120" s="17">
        <v>3036.77</v>
      </c>
      <c r="J4120" s="17">
        <f>IF(Gastos[[#This Row],[Divisa]]="$", I4120*1, IF(Gastos[[#This Row],[Divisa]]="U$D", I4120*$N$1, IF(Gastos[[#This Row],[Divisa]]="EUR", I4120*$N$2, 0)))</f>
        <v>3036.77</v>
      </c>
      <c r="K4120" s="54">
        <f>Gastos[[#This Row],[Importe AR$]]/$N$1</f>
        <v>1.9466474358974359</v>
      </c>
      <c r="L4120" t="s">
        <v>340</v>
      </c>
      <c r="M4120" s="69"/>
      <c r="N4120" s="43" t="str">
        <f>IF(Gastos[[#This Row],[Fecha_Cheque]]&gt;0,WEEKNUM(Gastos[[#This Row],[Fecha_Cheque]]),MID(Gastos[[#This Row],[Semana]],6,2))</f>
        <v>15</v>
      </c>
      <c r="O4120" t="s">
        <v>2969</v>
      </c>
      <c r="P4120" t="s">
        <v>27</v>
      </c>
    </row>
    <row r="4121" spans="1:16" hidden="1" x14ac:dyDescent="0.25">
      <c r="A4121" s="3" t="s">
        <v>2751</v>
      </c>
      <c r="B4121" t="s">
        <v>2335</v>
      </c>
      <c r="C4121" t="s">
        <v>3157</v>
      </c>
      <c r="D4121" t="s">
        <v>26</v>
      </c>
      <c r="E4121" t="s">
        <v>91</v>
      </c>
      <c r="F4121">
        <v>1</v>
      </c>
      <c r="G4121" s="3" t="s">
        <v>5</v>
      </c>
      <c r="H4121" s="44" t="s">
        <v>15</v>
      </c>
      <c r="I4121" s="17">
        <v>140000.01</v>
      </c>
      <c r="J4121" s="17">
        <f>IF(Gastos[[#This Row],[Divisa]]="$", I4121*1, IF(Gastos[[#This Row],[Divisa]]="U$D", I4121*$N$1, IF(Gastos[[#This Row],[Divisa]]="EUR", I4121*$N$2, 0)))</f>
        <v>140000.01</v>
      </c>
      <c r="K4121" s="54">
        <f>Gastos[[#This Row],[Importe AR$]]/$N$1</f>
        <v>89.743596153846156</v>
      </c>
      <c r="M4121" s="69"/>
      <c r="N4121" s="43" t="str">
        <f>IF(Gastos[[#This Row],[Fecha_Cheque]]&gt;0,WEEKNUM(Gastos[[#This Row],[Fecha_Cheque]]),MID(Gastos[[#This Row],[Semana]],6,2))</f>
        <v>18</v>
      </c>
      <c r="O4121" t="s">
        <v>3158</v>
      </c>
      <c r="P4121" t="s">
        <v>27</v>
      </c>
    </row>
    <row r="4122" spans="1:16" hidden="1" x14ac:dyDescent="0.25">
      <c r="A4122" s="3" t="s">
        <v>2763</v>
      </c>
      <c r="B4122" t="s">
        <v>2335</v>
      </c>
      <c r="C4122" t="s">
        <v>3409</v>
      </c>
      <c r="D4122" t="s">
        <v>26</v>
      </c>
      <c r="E4122" t="s">
        <v>91</v>
      </c>
      <c r="F4122">
        <v>1</v>
      </c>
      <c r="G4122" s="3" t="s">
        <v>5</v>
      </c>
      <c r="H4122" s="44" t="s">
        <v>15</v>
      </c>
      <c r="I4122" s="17">
        <v>80000</v>
      </c>
      <c r="J4122" s="17">
        <f>IF(Gastos[[#This Row],[Divisa]]="$", I4122*1, IF(Gastos[[#This Row],[Divisa]]="U$D", I4122*$N$1, IF(Gastos[[#This Row],[Divisa]]="EUR", I4122*$N$2, 0)))</f>
        <v>80000</v>
      </c>
      <c r="K4122" s="54">
        <f>Gastos[[#This Row],[Importe AR$]]/$N$1</f>
        <v>51.282051282051285</v>
      </c>
      <c r="M4122" s="69"/>
      <c r="N4122" s="43" t="str">
        <f>IF(Gastos[[#This Row],[Fecha_Cheque]]&gt;0,WEEKNUM(Gastos[[#This Row],[Fecha_Cheque]]),MID(Gastos[[#This Row],[Semana]],6,2))</f>
        <v>23</v>
      </c>
      <c r="O4122" t="s">
        <v>3410</v>
      </c>
      <c r="P4122" t="s">
        <v>27</v>
      </c>
    </row>
    <row r="4123" spans="1:16" hidden="1" x14ac:dyDescent="0.25">
      <c r="A4123" s="3" t="s">
        <v>2763</v>
      </c>
      <c r="B4123" t="s">
        <v>2335</v>
      </c>
      <c r="C4123" t="s">
        <v>3411</v>
      </c>
      <c r="D4123" t="s">
        <v>26</v>
      </c>
      <c r="E4123" t="s">
        <v>91</v>
      </c>
      <c r="F4123">
        <v>1</v>
      </c>
      <c r="G4123" s="3" t="s">
        <v>5</v>
      </c>
      <c r="H4123" s="44" t="s">
        <v>15</v>
      </c>
      <c r="I4123" s="17">
        <v>232459.1</v>
      </c>
      <c r="J4123" s="17">
        <f>IF(Gastos[[#This Row],[Divisa]]="$", I4123*1, IF(Gastos[[#This Row],[Divisa]]="U$D", I4123*$N$1, IF(Gastos[[#This Row],[Divisa]]="EUR", I4123*$N$2, 0)))</f>
        <v>232459.1</v>
      </c>
      <c r="K4123" s="54">
        <f>Gastos[[#This Row],[Importe AR$]]/$N$1</f>
        <v>149.0122435897436</v>
      </c>
      <c r="M4123" s="69"/>
      <c r="N4123" s="43" t="str">
        <f>IF(Gastos[[#This Row],[Fecha_Cheque]]&gt;0,WEEKNUM(Gastos[[#This Row],[Fecha_Cheque]]),MID(Gastos[[#This Row],[Semana]],6,2))</f>
        <v>23</v>
      </c>
      <c r="O4123" t="s">
        <v>3412</v>
      </c>
      <c r="P4123" t="s">
        <v>27</v>
      </c>
    </row>
    <row r="4124" spans="1:16" hidden="1" x14ac:dyDescent="0.25">
      <c r="A4124" s="3" t="s">
        <v>2763</v>
      </c>
      <c r="B4124" t="s">
        <v>2335</v>
      </c>
      <c r="C4124" t="s">
        <v>3411</v>
      </c>
      <c r="D4124" t="s">
        <v>26</v>
      </c>
      <c r="E4124" t="s">
        <v>91</v>
      </c>
      <c r="F4124">
        <v>1</v>
      </c>
      <c r="G4124" s="3" t="s">
        <v>5</v>
      </c>
      <c r="H4124" s="44" t="s">
        <v>15</v>
      </c>
      <c r="I4124" s="17">
        <v>2540.9</v>
      </c>
      <c r="J4124" s="17">
        <f>IF(Gastos[[#This Row],[Divisa]]="$", I4124*1, IF(Gastos[[#This Row],[Divisa]]="U$D", I4124*$N$1, IF(Gastos[[#This Row],[Divisa]]="EUR", I4124*$N$2, 0)))</f>
        <v>2540.9</v>
      </c>
      <c r="K4124" s="54">
        <f>Gastos[[#This Row],[Importe AR$]]/$N$1</f>
        <v>1.6287820512820514</v>
      </c>
      <c r="L4124" t="s">
        <v>340</v>
      </c>
      <c r="M4124" s="69"/>
      <c r="N4124" s="43" t="str">
        <f>IF(Gastos[[#This Row],[Fecha_Cheque]]&gt;0,WEEKNUM(Gastos[[#This Row],[Fecha_Cheque]]),MID(Gastos[[#This Row],[Semana]],6,2))</f>
        <v>23</v>
      </c>
      <c r="O4124" t="s">
        <v>3412</v>
      </c>
      <c r="P4124" t="s">
        <v>27</v>
      </c>
    </row>
    <row r="4125" spans="1:16" x14ac:dyDescent="0.25">
      <c r="A4125" s="3" t="s">
        <v>4655</v>
      </c>
      <c r="B4125" t="s">
        <v>3703</v>
      </c>
      <c r="C4125" t="s">
        <v>2667</v>
      </c>
      <c r="D4125" t="s">
        <v>26</v>
      </c>
      <c r="E4125" t="s">
        <v>3928</v>
      </c>
      <c r="F4125">
        <v>1</v>
      </c>
      <c r="G4125" s="3" t="s">
        <v>4</v>
      </c>
      <c r="H4125" s="44" t="s">
        <v>15</v>
      </c>
      <c r="I4125" s="49">
        <v>1000000</v>
      </c>
      <c r="J4125" s="17">
        <f>IF(Gastos[[#This Row],[Divisa]]="$", I4125*1, IF(Gastos[[#This Row],[Divisa]]="U$D", I4125*$N$1, IF(Gastos[[#This Row],[Divisa]]="EUR", I4125*$N$2, 0)))</f>
        <v>1000000</v>
      </c>
      <c r="K4125" s="54">
        <f>Gastos[[#This Row],[Importe AR$]]/$N$1</f>
        <v>641.02564102564099</v>
      </c>
      <c r="L4125" t="s">
        <v>4686</v>
      </c>
      <c r="M4125" s="69"/>
      <c r="N4125" s="43" t="str">
        <f>IF(Gastos[[#This Row],[Fecha_Cheque]]&gt;0,WEEKNUM(Gastos[[#This Row],[Fecha_Cheque]]),MID(Gastos[[#This Row],[Semana]],6,2))</f>
        <v>44</v>
      </c>
      <c r="O4125" t="s">
        <v>4687</v>
      </c>
      <c r="P4125" t="s">
        <v>27</v>
      </c>
    </row>
    <row r="4126" spans="1:16" hidden="1" x14ac:dyDescent="0.25">
      <c r="A4126" s="3" t="s">
        <v>4569</v>
      </c>
      <c r="B4126" t="s">
        <v>3500</v>
      </c>
      <c r="C4126" t="s">
        <v>4651</v>
      </c>
      <c r="D4126" t="s">
        <v>26</v>
      </c>
      <c r="E4126" t="s">
        <v>62</v>
      </c>
      <c r="F4126">
        <v>1</v>
      </c>
      <c r="G4126" s="3" t="s">
        <v>5</v>
      </c>
      <c r="H4126" s="44" t="s">
        <v>15</v>
      </c>
      <c r="I4126" s="17">
        <v>694690.51</v>
      </c>
      <c r="J4126" s="17">
        <f>IF(Gastos[[#This Row],[Divisa]]="$", I4126*1, IF(Gastos[[#This Row],[Divisa]]="U$D", I4126*$N$1, IF(Gastos[[#This Row],[Divisa]]="EUR", I4126*$N$2, 0)))</f>
        <v>694690.51</v>
      </c>
      <c r="K4126" s="54">
        <f>Gastos[[#This Row],[Importe AR$]]/$N$1</f>
        <v>445.3144294871795</v>
      </c>
      <c r="M4126" s="69"/>
      <c r="N4126" s="43" t="str">
        <f>IF(Gastos[[#This Row],[Fecha_Cheque]]&gt;0,WEEKNUM(Gastos[[#This Row],[Fecha_Cheque]]),MID(Gastos[[#This Row],[Semana]],6,2))</f>
        <v>43</v>
      </c>
      <c r="O4126" t="s">
        <v>4652</v>
      </c>
      <c r="P4126" t="s">
        <v>27</v>
      </c>
    </row>
    <row r="4127" spans="1:16" hidden="1" x14ac:dyDescent="0.25">
      <c r="A4127" s="3" t="s">
        <v>4569</v>
      </c>
      <c r="B4127" t="s">
        <v>3500</v>
      </c>
      <c r="C4127" t="s">
        <v>4651</v>
      </c>
      <c r="D4127" t="s">
        <v>26</v>
      </c>
      <c r="E4127" t="s">
        <v>62</v>
      </c>
      <c r="F4127">
        <v>1</v>
      </c>
      <c r="G4127" s="3" t="s">
        <v>5</v>
      </c>
      <c r="H4127" s="44" t="s">
        <v>15</v>
      </c>
      <c r="I4127" s="17">
        <v>10309.49</v>
      </c>
      <c r="J4127" s="17">
        <f>IF(Gastos[[#This Row],[Divisa]]="$", I4127*1, IF(Gastos[[#This Row],[Divisa]]="U$D", I4127*$N$1, IF(Gastos[[#This Row],[Divisa]]="EUR", I4127*$N$2, 0)))</f>
        <v>10309.49</v>
      </c>
      <c r="K4127" s="54">
        <f>Gastos[[#This Row],[Importe AR$]]/$N$1</f>
        <v>6.6086474358974359</v>
      </c>
      <c r="L4127" t="s">
        <v>340</v>
      </c>
      <c r="M4127" s="69"/>
      <c r="N4127" s="43" t="str">
        <f>IF(Gastos[[#This Row],[Fecha_Cheque]]&gt;0,WEEKNUM(Gastos[[#This Row],[Fecha_Cheque]]),MID(Gastos[[#This Row],[Semana]],6,2))</f>
        <v>43</v>
      </c>
      <c r="O4127" t="s">
        <v>4652</v>
      </c>
      <c r="P4127" t="s">
        <v>27</v>
      </c>
    </row>
    <row r="4128" spans="1:16" hidden="1" x14ac:dyDescent="0.25">
      <c r="A4128" s="3" t="s">
        <v>332</v>
      </c>
      <c r="B4128" t="s">
        <v>2755</v>
      </c>
      <c r="C4128" t="s">
        <v>693</v>
      </c>
      <c r="D4128" t="s">
        <v>26</v>
      </c>
      <c r="E4128" t="s">
        <v>31</v>
      </c>
      <c r="F4128">
        <v>1</v>
      </c>
      <c r="G4128" s="3" t="s">
        <v>5</v>
      </c>
      <c r="H4128" s="44" t="s">
        <v>15</v>
      </c>
      <c r="I4128" s="17">
        <v>280000</v>
      </c>
      <c r="J4128" s="17">
        <f>IF(Gastos[[#This Row],[Divisa]]="$", I4128*1, IF(Gastos[[#This Row],[Divisa]]="U$D", I4128*$N$1, IF(Gastos[[#This Row],[Divisa]]="EUR", I4128*$N$2, 0)))</f>
        <v>280000</v>
      </c>
      <c r="K4128" s="54">
        <f>Gastos[[#This Row],[Importe AR$]]/$N$1</f>
        <v>179.48717948717947</v>
      </c>
      <c r="M4128" s="69"/>
      <c r="N4128" s="43" t="str">
        <f>IF(Gastos[[#This Row],[Fecha_Cheque]]&gt;0,WEEKNUM(Gastos[[#This Row],[Fecha_Cheque]]),MID(Gastos[[#This Row],[Semana]],6,2))</f>
        <v>12</v>
      </c>
      <c r="O4128" t="s">
        <v>2756</v>
      </c>
      <c r="P4128" t="s">
        <v>27</v>
      </c>
    </row>
    <row r="4129" spans="1:16" hidden="1" x14ac:dyDescent="0.25">
      <c r="A4129" s="3" t="s">
        <v>130</v>
      </c>
      <c r="B4129" t="s">
        <v>2352</v>
      </c>
      <c r="C4129" t="s">
        <v>2353</v>
      </c>
      <c r="D4129" t="s">
        <v>26</v>
      </c>
      <c r="E4129" t="s">
        <v>31</v>
      </c>
      <c r="F4129">
        <v>1</v>
      </c>
      <c r="G4129" s="3" t="s">
        <v>32</v>
      </c>
      <c r="H4129" s="46" t="s">
        <v>15</v>
      </c>
      <c r="I4129" s="17">
        <v>2474473.2799999998</v>
      </c>
      <c r="J4129" s="17">
        <f>IF(Gastos[[#This Row],[Divisa]]="$", I4129*1, IF(Gastos[[#This Row],[Divisa]]="U$D", I4129*$N$1, IF(Gastos[[#This Row],[Divisa]]="EUR", I4129*$N$2, 0)))</f>
        <v>2474473.2799999998</v>
      </c>
      <c r="K4129" s="54">
        <f>Gastos[[#This Row],[Importe AR$]]/$N$1</f>
        <v>1586.2008205128204</v>
      </c>
      <c r="M4129" s="69">
        <v>45996</v>
      </c>
      <c r="N4129" s="43">
        <f>IF(Gastos[[#This Row],[Fecha_Cheque]]&gt;0,WEEKNUM(Gastos[[#This Row],[Fecha_Cheque]]),MID(Gastos[[#This Row],[Semana]],6,2))</f>
        <v>49</v>
      </c>
      <c r="O4129" t="s">
        <v>2354</v>
      </c>
      <c r="P4129" t="s">
        <v>27</v>
      </c>
    </row>
    <row r="4130" spans="1:16" hidden="1" x14ac:dyDescent="0.25">
      <c r="A4130" s="3" t="s">
        <v>130</v>
      </c>
      <c r="B4130" t="s">
        <v>2352</v>
      </c>
      <c r="C4130" t="s">
        <v>2353</v>
      </c>
      <c r="D4130" t="s">
        <v>26</v>
      </c>
      <c r="E4130" t="s">
        <v>31</v>
      </c>
      <c r="F4130">
        <v>1</v>
      </c>
      <c r="G4130" s="3" t="s">
        <v>32</v>
      </c>
      <c r="H4130" s="46" t="s">
        <v>15</v>
      </c>
      <c r="I4130" s="17">
        <v>2500000</v>
      </c>
      <c r="J4130" s="17">
        <f>IF(Gastos[[#This Row],[Divisa]]="$", I4130*1, IF(Gastos[[#This Row],[Divisa]]="U$D", I4130*$N$1, IF(Gastos[[#This Row],[Divisa]]="EUR", I4130*$N$2, 0)))</f>
        <v>2500000</v>
      </c>
      <c r="K4130" s="54">
        <f>Gastos[[#This Row],[Importe AR$]]/$N$1</f>
        <v>1602.5641025641025</v>
      </c>
      <c r="M4130" s="69">
        <v>45995</v>
      </c>
      <c r="N4130" s="43">
        <f>IF(Gastos[[#This Row],[Fecha_Cheque]]&gt;0,WEEKNUM(Gastos[[#This Row],[Fecha_Cheque]]),MID(Gastos[[#This Row],[Semana]],6,2))</f>
        <v>49</v>
      </c>
      <c r="O4130" t="s">
        <v>2354</v>
      </c>
      <c r="P4130" t="s">
        <v>27</v>
      </c>
    </row>
    <row r="4131" spans="1:16" hidden="1" x14ac:dyDescent="0.25">
      <c r="A4131" s="3" t="s">
        <v>130</v>
      </c>
      <c r="B4131" t="s">
        <v>2352</v>
      </c>
      <c r="C4131" t="s">
        <v>2353</v>
      </c>
      <c r="D4131" t="s">
        <v>26</v>
      </c>
      <c r="E4131" t="s">
        <v>31</v>
      </c>
      <c r="F4131">
        <v>1</v>
      </c>
      <c r="G4131" s="3" t="s">
        <v>32</v>
      </c>
      <c r="H4131" s="46" t="s">
        <v>15</v>
      </c>
      <c r="I4131" s="17">
        <v>2134182.25</v>
      </c>
      <c r="J4131" s="17">
        <f>IF(Gastos[[#This Row],[Divisa]]="$", I4131*1, IF(Gastos[[#This Row],[Divisa]]="U$D", I4131*$N$1, IF(Gastos[[#This Row],[Divisa]]="EUR", I4131*$N$2, 0)))</f>
        <v>2134182.25</v>
      </c>
      <c r="K4131" s="54">
        <f>Gastos[[#This Row],[Importe AR$]]/$N$1</f>
        <v>1368.0655448717948</v>
      </c>
      <c r="M4131" s="69">
        <v>45996</v>
      </c>
      <c r="N4131" s="43">
        <f>IF(Gastos[[#This Row],[Fecha_Cheque]]&gt;0,WEEKNUM(Gastos[[#This Row],[Fecha_Cheque]]),MID(Gastos[[#This Row],[Semana]],6,2))</f>
        <v>49</v>
      </c>
      <c r="O4131" t="s">
        <v>2354</v>
      </c>
      <c r="P4131" t="s">
        <v>27</v>
      </c>
    </row>
    <row r="4132" spans="1:16" hidden="1" x14ac:dyDescent="0.25">
      <c r="A4132" s="3" t="s">
        <v>50</v>
      </c>
      <c r="B4132" t="s">
        <v>2355</v>
      </c>
      <c r="C4132" t="s">
        <v>2356</v>
      </c>
      <c r="D4132" t="s">
        <v>61</v>
      </c>
      <c r="E4132" t="s">
        <v>91</v>
      </c>
      <c r="F4132">
        <v>1</v>
      </c>
      <c r="G4132" s="3" t="s">
        <v>32</v>
      </c>
      <c r="H4132" s="46" t="s">
        <v>15</v>
      </c>
      <c r="I4132" s="17">
        <v>894177.9</v>
      </c>
      <c r="J4132" s="17">
        <f>IF(Gastos[[#This Row],[Divisa]]="$", I4132*1, IF(Gastos[[#This Row],[Divisa]]="U$D", I4132*$N$1, IF(Gastos[[#This Row],[Divisa]]="EUR", I4132*$N$2, 0)))</f>
        <v>894177.9</v>
      </c>
      <c r="K4132" s="54">
        <f>Gastos[[#This Row],[Importe AR$]]/$N$1</f>
        <v>573.19096153846158</v>
      </c>
      <c r="L4132" t="s">
        <v>215</v>
      </c>
      <c r="M4132" s="69">
        <v>45857</v>
      </c>
      <c r="N4132" s="43">
        <f>IF(Gastos[[#This Row],[Fecha_Cheque]]&gt;0,WEEKNUM(Gastos[[#This Row],[Fecha_Cheque]]),MID(Gastos[[#This Row],[Semana]],6,2))</f>
        <v>29</v>
      </c>
      <c r="O4132" t="s">
        <v>500</v>
      </c>
      <c r="P4132" t="s">
        <v>27</v>
      </c>
    </row>
    <row r="4133" spans="1:16" hidden="1" x14ac:dyDescent="0.25">
      <c r="A4133" s="3" t="s">
        <v>53</v>
      </c>
      <c r="B4133" t="s">
        <v>2355</v>
      </c>
      <c r="C4133" t="s">
        <v>2357</v>
      </c>
      <c r="D4133" t="s">
        <v>26</v>
      </c>
      <c r="E4133" t="s">
        <v>91</v>
      </c>
      <c r="F4133">
        <v>1</v>
      </c>
      <c r="G4133" s="3" t="s">
        <v>5</v>
      </c>
      <c r="H4133" s="46" t="s">
        <v>15</v>
      </c>
      <c r="I4133" s="17">
        <v>1500000</v>
      </c>
      <c r="J4133" s="17">
        <f>IF(Gastos[[#This Row],[Divisa]]="$", I4133*1, IF(Gastos[[#This Row],[Divisa]]="U$D", I4133*$N$1, IF(Gastos[[#This Row],[Divisa]]="EUR", I4133*$N$2, 0)))</f>
        <v>1500000</v>
      </c>
      <c r="K4133" s="54">
        <f>Gastos[[#This Row],[Importe AR$]]/$N$1</f>
        <v>961.53846153846155</v>
      </c>
      <c r="M4133" s="69"/>
      <c r="N4133" s="43" t="str">
        <f>IF(Gastos[[#This Row],[Fecha_Cheque]]&gt;0,WEEKNUM(Gastos[[#This Row],[Fecha_Cheque]]),MID(Gastos[[#This Row],[Semana]],6,2))</f>
        <v>34</v>
      </c>
      <c r="O4133" t="s">
        <v>123</v>
      </c>
      <c r="P4133" t="s">
        <v>27</v>
      </c>
    </row>
    <row r="4134" spans="1:16" hidden="1" x14ac:dyDescent="0.25">
      <c r="A4134" s="3" t="s">
        <v>53</v>
      </c>
      <c r="B4134" t="s">
        <v>2355</v>
      </c>
      <c r="C4134" t="s">
        <v>2357</v>
      </c>
      <c r="D4134" t="s">
        <v>26</v>
      </c>
      <c r="E4134" t="s">
        <v>91</v>
      </c>
      <c r="F4134">
        <v>1</v>
      </c>
      <c r="G4134" s="3" t="s">
        <v>32</v>
      </c>
      <c r="H4134" s="46" t="s">
        <v>15</v>
      </c>
      <c r="I4134" s="17">
        <v>491314.95</v>
      </c>
      <c r="J4134" s="17">
        <f>IF(Gastos[[#This Row],[Divisa]]="$", I4134*1, IF(Gastos[[#This Row],[Divisa]]="U$D", I4134*$N$1, IF(Gastos[[#This Row],[Divisa]]="EUR", I4134*$N$2, 0)))</f>
        <v>491314.95</v>
      </c>
      <c r="K4134" s="54">
        <f>Gastos[[#This Row],[Importe AR$]]/$N$1</f>
        <v>314.94548076923076</v>
      </c>
      <c r="L4134" t="s">
        <v>215</v>
      </c>
      <c r="M4134" s="69">
        <v>45921</v>
      </c>
      <c r="N4134" s="43">
        <f>IF(Gastos[[#This Row],[Fecha_Cheque]]&gt;0,WEEKNUM(Gastos[[#This Row],[Fecha_Cheque]]),MID(Gastos[[#This Row],[Semana]],6,2))</f>
        <v>39</v>
      </c>
      <c r="O4134" t="s">
        <v>123</v>
      </c>
      <c r="P4134" t="s">
        <v>27</v>
      </c>
    </row>
    <row r="4135" spans="1:16" hidden="1" x14ac:dyDescent="0.25">
      <c r="A4135" s="3" t="s">
        <v>89</v>
      </c>
      <c r="B4135" t="s">
        <v>2355</v>
      </c>
      <c r="C4135" t="s">
        <v>2357</v>
      </c>
      <c r="D4135" t="s">
        <v>26</v>
      </c>
      <c r="E4135" t="s">
        <v>91</v>
      </c>
      <c r="F4135">
        <v>1</v>
      </c>
      <c r="G4135" s="3" t="s">
        <v>32</v>
      </c>
      <c r="H4135" s="46" t="s">
        <v>15</v>
      </c>
      <c r="I4135" s="17">
        <v>703604.01</v>
      </c>
      <c r="J4135" s="17">
        <f>IF(Gastos[[#This Row],[Divisa]]="$", I4135*1, IF(Gastos[[#This Row],[Divisa]]="U$D", I4135*$N$1, IF(Gastos[[#This Row],[Divisa]]="EUR", I4135*$N$2, 0)))</f>
        <v>703604.01</v>
      </c>
      <c r="K4135" s="54">
        <f>Gastos[[#This Row],[Importe AR$]]/$N$1</f>
        <v>451.02821153846156</v>
      </c>
      <c r="M4135" s="69">
        <v>45959</v>
      </c>
      <c r="N4135" s="43">
        <f>IF(Gastos[[#This Row],[Fecha_Cheque]]&gt;0,WEEKNUM(Gastos[[#This Row],[Fecha_Cheque]]),MID(Gastos[[#This Row],[Semana]],6,2))</f>
        <v>44</v>
      </c>
      <c r="O4135" t="s">
        <v>2358</v>
      </c>
      <c r="P4135" t="s">
        <v>27</v>
      </c>
    </row>
    <row r="4136" spans="1:16" hidden="1" x14ac:dyDescent="0.25">
      <c r="A4136" s="3" t="s">
        <v>89</v>
      </c>
      <c r="B4136" t="s">
        <v>2355</v>
      </c>
      <c r="C4136" t="s">
        <v>2357</v>
      </c>
      <c r="D4136" t="s">
        <v>26</v>
      </c>
      <c r="E4136" t="s">
        <v>91</v>
      </c>
      <c r="F4136">
        <v>1</v>
      </c>
      <c r="G4136" s="3" t="s">
        <v>32</v>
      </c>
      <c r="H4136" s="46" t="s">
        <v>15</v>
      </c>
      <c r="I4136" s="17">
        <v>208223.84</v>
      </c>
      <c r="J4136" s="17">
        <f>IF(Gastos[[#This Row],[Divisa]]="$", I4136*1, IF(Gastos[[#This Row],[Divisa]]="U$D", I4136*$N$1, IF(Gastos[[#This Row],[Divisa]]="EUR", I4136*$N$2, 0)))</f>
        <v>208223.84</v>
      </c>
      <c r="K4136" s="54">
        <f>Gastos[[#This Row],[Importe AR$]]/$N$1</f>
        <v>133.47682051282052</v>
      </c>
      <c r="M4136" s="69">
        <v>45960</v>
      </c>
      <c r="N4136" s="43">
        <f>IF(Gastos[[#This Row],[Fecha_Cheque]]&gt;0,WEEKNUM(Gastos[[#This Row],[Fecha_Cheque]]),MID(Gastos[[#This Row],[Semana]],6,2))</f>
        <v>44</v>
      </c>
      <c r="O4136" t="s">
        <v>2358</v>
      </c>
      <c r="P4136" t="s">
        <v>27</v>
      </c>
    </row>
    <row r="4137" spans="1:16" hidden="1" x14ac:dyDescent="0.25">
      <c r="A4137" s="3" t="s">
        <v>89</v>
      </c>
      <c r="B4137" t="s">
        <v>2355</v>
      </c>
      <c r="C4137" t="s">
        <v>2357</v>
      </c>
      <c r="D4137" t="s">
        <v>26</v>
      </c>
      <c r="E4137" t="s">
        <v>91</v>
      </c>
      <c r="F4137">
        <v>1</v>
      </c>
      <c r="G4137" s="3" t="s">
        <v>32</v>
      </c>
      <c r="H4137" s="46" t="s">
        <v>15</v>
      </c>
      <c r="I4137" s="17">
        <v>90557.75</v>
      </c>
      <c r="J4137" s="17">
        <f>IF(Gastos[[#This Row],[Divisa]]="$", I4137*1, IF(Gastos[[#This Row],[Divisa]]="U$D", I4137*$N$1, IF(Gastos[[#This Row],[Divisa]]="EUR", I4137*$N$2, 0)))</f>
        <v>90557.75</v>
      </c>
      <c r="K4137" s="54">
        <f>Gastos[[#This Row],[Importe AR$]]/$N$1</f>
        <v>58.049839743589743</v>
      </c>
      <c r="M4137" s="69">
        <v>45944</v>
      </c>
      <c r="N4137" s="43">
        <f>IF(Gastos[[#This Row],[Fecha_Cheque]]&gt;0,WEEKNUM(Gastos[[#This Row],[Fecha_Cheque]]),MID(Gastos[[#This Row],[Semana]],6,2))</f>
        <v>42</v>
      </c>
      <c r="O4137" t="s">
        <v>2358</v>
      </c>
      <c r="P4137" t="s">
        <v>27</v>
      </c>
    </row>
    <row r="4138" spans="1:16" hidden="1" x14ac:dyDescent="0.25">
      <c r="A4138" s="3" t="s">
        <v>89</v>
      </c>
      <c r="B4138" t="s">
        <v>2355</v>
      </c>
      <c r="C4138" t="s">
        <v>2357</v>
      </c>
      <c r="D4138" t="s">
        <v>26</v>
      </c>
      <c r="E4138" t="s">
        <v>91</v>
      </c>
      <c r="F4138">
        <v>1</v>
      </c>
      <c r="G4138" s="3" t="s">
        <v>5</v>
      </c>
      <c r="H4138" s="46" t="s">
        <v>15</v>
      </c>
      <c r="I4138" s="17">
        <v>2640.8</v>
      </c>
      <c r="J4138" s="17">
        <f>IF(Gastos[[#This Row],[Divisa]]="$", I4138*1, IF(Gastos[[#This Row],[Divisa]]="U$D", I4138*$N$1, IF(Gastos[[#This Row],[Divisa]]="EUR", I4138*$N$2, 0)))</f>
        <v>2640.8</v>
      </c>
      <c r="K4138" s="54">
        <f>Gastos[[#This Row],[Importe AR$]]/$N$1</f>
        <v>1.6928205128205129</v>
      </c>
      <c r="M4138" s="69"/>
      <c r="N4138" s="43" t="str">
        <f>IF(Gastos[[#This Row],[Fecha_Cheque]]&gt;0,WEEKNUM(Gastos[[#This Row],[Fecha_Cheque]]),MID(Gastos[[#This Row],[Semana]],6,2))</f>
        <v>39</v>
      </c>
      <c r="O4138" t="s">
        <v>2358</v>
      </c>
      <c r="P4138" t="s">
        <v>27</v>
      </c>
    </row>
    <row r="4139" spans="1:16" hidden="1" x14ac:dyDescent="0.25">
      <c r="A4139" s="3" t="s">
        <v>232</v>
      </c>
      <c r="B4139" t="s">
        <v>2355</v>
      </c>
      <c r="D4139" t="s">
        <v>26</v>
      </c>
      <c r="E4139" t="s">
        <v>91</v>
      </c>
      <c r="F4139">
        <v>1</v>
      </c>
      <c r="G4139" s="3" t="s">
        <v>32</v>
      </c>
      <c r="H4139" s="46" t="s">
        <v>15</v>
      </c>
      <c r="I4139" s="17">
        <v>1021917.6</v>
      </c>
      <c r="J4139" s="17">
        <f>IF(Gastos[[#This Row],[Divisa]]="$", I4139*1, IF(Gastos[[#This Row],[Divisa]]="U$D", I4139*$N$1, IF(Gastos[[#This Row],[Divisa]]="EUR", I4139*$N$2, 0)))</f>
        <v>1021917.6</v>
      </c>
      <c r="K4139" s="54">
        <f>Gastos[[#This Row],[Importe AR$]]/$N$1</f>
        <v>655.07538461538456</v>
      </c>
      <c r="M4139" s="69"/>
      <c r="N4139" s="43" t="str">
        <f>IF(Gastos[[#This Row],[Fecha_Cheque]]&gt;0,WEEKNUM(Gastos[[#This Row],[Fecha_Cheque]]),MID(Gastos[[#This Row],[Semana]],6,2))</f>
        <v>44</v>
      </c>
      <c r="O4139" t="s">
        <v>2359</v>
      </c>
      <c r="P4139" t="s">
        <v>27</v>
      </c>
    </row>
    <row r="4140" spans="1:16" hidden="1" x14ac:dyDescent="0.25">
      <c r="A4140" s="3" t="s">
        <v>60</v>
      </c>
      <c r="B4140" t="s">
        <v>2355</v>
      </c>
      <c r="C4140" t="s">
        <v>2360</v>
      </c>
      <c r="D4140" t="s">
        <v>26</v>
      </c>
      <c r="E4140" t="s">
        <v>91</v>
      </c>
      <c r="F4140">
        <v>1</v>
      </c>
      <c r="G4140" s="3" t="s">
        <v>5</v>
      </c>
      <c r="H4140" s="46" t="s">
        <v>15</v>
      </c>
      <c r="I4140" s="17">
        <v>1091353.6499999999</v>
      </c>
      <c r="J4140" s="17">
        <f>IF(Gastos[[#This Row],[Divisa]]="$", I4140*1, IF(Gastos[[#This Row],[Divisa]]="U$D", I4140*$N$1, IF(Gastos[[#This Row],[Divisa]]="EUR", I4140*$N$2, 0)))</f>
        <v>1091353.6499999999</v>
      </c>
      <c r="K4140" s="54">
        <f>Gastos[[#This Row],[Importe AR$]]/$N$1</f>
        <v>699.58567307692306</v>
      </c>
      <c r="M4140" s="69"/>
      <c r="N4140" s="43" t="str">
        <f>IF(Gastos[[#This Row],[Fecha_Cheque]]&gt;0,WEEKNUM(Gastos[[#This Row],[Fecha_Cheque]]),MID(Gastos[[#This Row],[Semana]],6,2))</f>
        <v>46</v>
      </c>
      <c r="O4140" t="s">
        <v>1534</v>
      </c>
      <c r="P4140" t="s">
        <v>27</v>
      </c>
    </row>
    <row r="4141" spans="1:16" hidden="1" x14ac:dyDescent="0.25">
      <c r="A4141" s="3" t="s">
        <v>93</v>
      </c>
      <c r="B4141" t="s">
        <v>2355</v>
      </c>
      <c r="D4141" t="s">
        <v>26</v>
      </c>
      <c r="E4141" t="s">
        <v>91</v>
      </c>
      <c r="F4141">
        <v>1</v>
      </c>
      <c r="G4141" s="3" t="s">
        <v>5</v>
      </c>
      <c r="H4141" s="46" t="s">
        <v>15</v>
      </c>
      <c r="I4141" s="17">
        <v>1091353.6499999999</v>
      </c>
      <c r="J4141" s="17">
        <f>IF(Gastos[[#This Row],[Divisa]]="$", I4141*1, IF(Gastos[[#This Row],[Divisa]]="U$D", I4141*$N$1, IF(Gastos[[#This Row],[Divisa]]="EUR", I4141*$N$2, 0)))</f>
        <v>1091353.6499999999</v>
      </c>
      <c r="K4141" s="54">
        <f>Gastos[[#This Row],[Importe AR$]]/$N$1</f>
        <v>699.58567307692306</v>
      </c>
      <c r="M4141" s="69"/>
      <c r="N4141" s="43" t="str">
        <f>IF(Gastos[[#This Row],[Fecha_Cheque]]&gt;0,WEEKNUM(Gastos[[#This Row],[Fecha_Cheque]]),MID(Gastos[[#This Row],[Semana]],6,2))</f>
        <v>50</v>
      </c>
      <c r="O4141" t="s">
        <v>2361</v>
      </c>
      <c r="P4141" t="s">
        <v>27</v>
      </c>
    </row>
    <row r="4142" spans="1:16" hidden="1" x14ac:dyDescent="0.25">
      <c r="A4142" s="3" t="s">
        <v>378</v>
      </c>
      <c r="B4142" t="s">
        <v>2355</v>
      </c>
      <c r="C4142" t="s">
        <v>2357</v>
      </c>
      <c r="D4142" t="s">
        <v>26</v>
      </c>
      <c r="E4142" t="s">
        <v>91</v>
      </c>
      <c r="F4142">
        <v>1</v>
      </c>
      <c r="G4142" s="3" t="s">
        <v>32</v>
      </c>
      <c r="H4142" s="46" t="s">
        <v>15</v>
      </c>
      <c r="I4142" s="17">
        <v>1138948.8</v>
      </c>
      <c r="J4142" s="17">
        <f>IF(Gastos[[#This Row],[Divisa]]="$", I4142*1, IF(Gastos[[#This Row],[Divisa]]="U$D", I4142*$N$1, IF(Gastos[[#This Row],[Divisa]]="EUR", I4142*$N$2, 0)))</f>
        <v>1138948.8</v>
      </c>
      <c r="K4142" s="54">
        <f>Gastos[[#This Row],[Importe AR$]]/$N$1</f>
        <v>730.09538461538466</v>
      </c>
      <c r="M4142" s="69">
        <v>46055</v>
      </c>
      <c r="N4142" s="43">
        <f>IF(Gastos[[#This Row],[Fecha_Cheque]]&gt;0,WEEKNUM(Gastos[[#This Row],[Fecha_Cheque]]),MID(Gastos[[#This Row],[Semana]],6,2))</f>
        <v>6</v>
      </c>
      <c r="O4142" t="s">
        <v>2362</v>
      </c>
      <c r="P4142" t="s">
        <v>27</v>
      </c>
    </row>
    <row r="4143" spans="1:16" hidden="1" x14ac:dyDescent="0.25">
      <c r="A4143" s="3" t="s">
        <v>75</v>
      </c>
      <c r="B4143" t="s">
        <v>2355</v>
      </c>
      <c r="D4143" t="s">
        <v>26</v>
      </c>
      <c r="E4143" t="s">
        <v>91</v>
      </c>
      <c r="F4143">
        <v>1</v>
      </c>
      <c r="G4143" s="3" t="s">
        <v>5</v>
      </c>
      <c r="H4143" s="46" t="s">
        <v>15</v>
      </c>
      <c r="I4143" s="17">
        <v>1127405.3999999999</v>
      </c>
      <c r="J4143" s="17">
        <f>IF(Gastos[[#This Row],[Divisa]]="$", I4143*1, IF(Gastos[[#This Row],[Divisa]]="U$D", I4143*$N$1, IF(Gastos[[#This Row],[Divisa]]="EUR", I4143*$N$2, 0)))</f>
        <v>1127405.3999999999</v>
      </c>
      <c r="K4143" s="54">
        <f>Gastos[[#This Row],[Importe AR$]]/$N$1</f>
        <v>722.6957692307692</v>
      </c>
      <c r="M4143" s="69"/>
      <c r="N4143" s="43" t="str">
        <f>IF(Gastos[[#This Row],[Fecha_Cheque]]&gt;0,WEEKNUM(Gastos[[#This Row],[Fecha_Cheque]]),MID(Gastos[[#This Row],[Semana]],6,2))</f>
        <v>07</v>
      </c>
      <c r="O4143" t="s">
        <v>2363</v>
      </c>
      <c r="P4143" t="s">
        <v>27</v>
      </c>
    </row>
    <row r="4144" spans="1:16" hidden="1" x14ac:dyDescent="0.25">
      <c r="A4144" s="3" t="s">
        <v>39</v>
      </c>
      <c r="B4144" t="s">
        <v>2355</v>
      </c>
      <c r="C4144" t="s">
        <v>2357</v>
      </c>
      <c r="D4144" t="s">
        <v>26</v>
      </c>
      <c r="E4144" t="s">
        <v>91</v>
      </c>
      <c r="F4144">
        <v>1</v>
      </c>
      <c r="G4144" s="3" t="s">
        <v>32</v>
      </c>
      <c r="H4144" s="44" t="s">
        <v>15</v>
      </c>
      <c r="I4144" s="71">
        <v>1076056.2</v>
      </c>
      <c r="J4144" s="17">
        <f>IF(Gastos[[#This Row],[Divisa]]="$", I4144*1, IF(Gastos[[#This Row],[Divisa]]="U$D", I4144*$N$1, IF(Gastos[[#This Row],[Divisa]]="EUR", I4144*$N$2, 0)))</f>
        <v>1076056.2</v>
      </c>
      <c r="K4144" s="54">
        <f>Gastos[[#This Row],[Importe AR$]]/$N$1</f>
        <v>689.77961538461534</v>
      </c>
      <c r="M4144" s="69">
        <v>46131</v>
      </c>
      <c r="N4144" s="43">
        <f>IF(Gastos[[#This Row],[Fecha_Cheque]]&gt;0,WEEKNUM(Gastos[[#This Row],[Fecha_Cheque]]),MID(Gastos[[#This Row],[Semana]],6,2))</f>
        <v>17</v>
      </c>
      <c r="O4144" t="s">
        <v>2699</v>
      </c>
      <c r="P4144" t="s">
        <v>27</v>
      </c>
    </row>
    <row r="4145" spans="1:16" hidden="1" x14ac:dyDescent="0.25">
      <c r="A4145" s="3" t="s">
        <v>39</v>
      </c>
      <c r="B4145" t="s">
        <v>2355</v>
      </c>
      <c r="C4145" t="s">
        <v>2357</v>
      </c>
      <c r="D4145" t="s">
        <v>26</v>
      </c>
      <c r="E4145" t="s">
        <v>91</v>
      </c>
      <c r="F4145">
        <v>1</v>
      </c>
      <c r="G4145" s="3" t="s">
        <v>32</v>
      </c>
      <c r="H4145" s="44" t="s">
        <v>15</v>
      </c>
      <c r="I4145" s="17">
        <v>16719</v>
      </c>
      <c r="J4145" s="17">
        <f>IF(Gastos[[#This Row],[Divisa]]="$", I4145*1, IF(Gastos[[#This Row],[Divisa]]="U$D", I4145*$N$1, IF(Gastos[[#This Row],[Divisa]]="EUR", I4145*$N$2, 0)))</f>
        <v>16719</v>
      </c>
      <c r="K4145" s="54">
        <f>Gastos[[#This Row],[Importe AR$]]/$N$1</f>
        <v>10.717307692307692</v>
      </c>
      <c r="L4145" t="s">
        <v>340</v>
      </c>
      <c r="M4145" s="69"/>
      <c r="N4145" s="43" t="str">
        <f>IF(Gastos[[#This Row],[Fecha_Cheque]]&gt;0,WEEKNUM(Gastos[[#This Row],[Fecha_Cheque]]),MID(Gastos[[#This Row],[Semana]],6,2))</f>
        <v>14</v>
      </c>
      <c r="O4145" t="s">
        <v>2699</v>
      </c>
      <c r="P4145" t="s">
        <v>27</v>
      </c>
    </row>
    <row r="4146" spans="1:16" hidden="1" x14ac:dyDescent="0.25">
      <c r="A4146" s="3" t="s">
        <v>2711</v>
      </c>
      <c r="B4146" t="s">
        <v>2355</v>
      </c>
      <c r="C4146" t="s">
        <v>2867</v>
      </c>
      <c r="D4146" t="s">
        <v>26</v>
      </c>
      <c r="E4146" t="s">
        <v>91</v>
      </c>
      <c r="F4146">
        <v>1</v>
      </c>
      <c r="G4146" s="3" t="s">
        <v>32</v>
      </c>
      <c r="H4146" s="44" t="s">
        <v>15</v>
      </c>
      <c r="I4146" s="17">
        <v>1072272</v>
      </c>
      <c r="J4146" s="17">
        <f>IF(Gastos[[#This Row],[Divisa]]="$", I4146*1, IF(Gastos[[#This Row],[Divisa]]="U$D", I4146*$N$1, IF(Gastos[[#This Row],[Divisa]]="EUR", I4146*$N$2, 0)))</f>
        <v>1072272</v>
      </c>
      <c r="K4146" s="54">
        <f>Gastos[[#This Row],[Importe AR$]]/$N$1</f>
        <v>687.35384615384612</v>
      </c>
      <c r="M4146" s="69">
        <v>46151</v>
      </c>
      <c r="N4146" s="43">
        <f>IF(Gastos[[#This Row],[Fecha_Cheque]]&gt;0,WEEKNUM(Gastos[[#This Row],[Fecha_Cheque]]),MID(Gastos[[#This Row],[Semana]],6,2))</f>
        <v>19</v>
      </c>
      <c r="O4146" t="s">
        <v>2970</v>
      </c>
      <c r="P4146" t="s">
        <v>27</v>
      </c>
    </row>
    <row r="4147" spans="1:16" hidden="1" x14ac:dyDescent="0.25">
      <c r="A4147" s="3" t="s">
        <v>2711</v>
      </c>
      <c r="B4147" t="s">
        <v>2355</v>
      </c>
      <c r="C4147" t="s">
        <v>2867</v>
      </c>
      <c r="D4147" t="s">
        <v>26</v>
      </c>
      <c r="E4147" t="s">
        <v>91</v>
      </c>
      <c r="F4147">
        <v>1</v>
      </c>
      <c r="G4147" s="3" t="s">
        <v>5</v>
      </c>
      <c r="H4147" s="44" t="s">
        <v>15</v>
      </c>
      <c r="I4147" s="17">
        <v>16655.400000000001</v>
      </c>
      <c r="J4147" s="17">
        <f>IF(Gastos[[#This Row],[Divisa]]="$", I4147*1, IF(Gastos[[#This Row],[Divisa]]="U$D", I4147*$N$1, IF(Gastos[[#This Row],[Divisa]]="EUR", I4147*$N$2, 0)))</f>
        <v>16655.400000000001</v>
      </c>
      <c r="K4147" s="54">
        <f>Gastos[[#This Row],[Importe AR$]]/$N$1</f>
        <v>10.676538461538463</v>
      </c>
      <c r="L4147" t="s">
        <v>340</v>
      </c>
      <c r="M4147" s="69"/>
      <c r="N4147" s="43" t="str">
        <f>IF(Gastos[[#This Row],[Fecha_Cheque]]&gt;0,WEEKNUM(Gastos[[#This Row],[Fecha_Cheque]]),MID(Gastos[[#This Row],[Semana]],6,2))</f>
        <v>15</v>
      </c>
      <c r="O4147" t="s">
        <v>2970</v>
      </c>
      <c r="P4147" t="s">
        <v>27</v>
      </c>
    </row>
    <row r="4148" spans="1:16" hidden="1" x14ac:dyDescent="0.25">
      <c r="A4148" s="3" t="s">
        <v>2841</v>
      </c>
      <c r="B4148" t="s">
        <v>2355</v>
      </c>
      <c r="C4148" t="s">
        <v>2357</v>
      </c>
      <c r="D4148" t="s">
        <v>26</v>
      </c>
      <c r="E4148" t="s">
        <v>91</v>
      </c>
      <c r="F4148">
        <v>1</v>
      </c>
      <c r="G4148" s="3" t="s">
        <v>32</v>
      </c>
      <c r="H4148" s="44" t="s">
        <v>15</v>
      </c>
      <c r="I4148" s="17">
        <v>1072272</v>
      </c>
      <c r="J4148" s="17">
        <f>IF(Gastos[[#This Row],[Divisa]]="$", I4148*1, IF(Gastos[[#This Row],[Divisa]]="U$D", I4148*$N$1, IF(Gastos[[#This Row],[Divisa]]="EUR", I4148*$N$2, 0)))</f>
        <v>1072272</v>
      </c>
      <c r="K4148" s="54">
        <f>Gastos[[#This Row],[Importe AR$]]/$N$1</f>
        <v>687.35384615384612</v>
      </c>
      <c r="M4148" s="69"/>
      <c r="N4148" s="43" t="str">
        <f>IF(Gastos[[#This Row],[Fecha_Cheque]]&gt;0,WEEKNUM(Gastos[[#This Row],[Fecha_Cheque]]),MID(Gastos[[#This Row],[Semana]],6,2))</f>
        <v>22</v>
      </c>
      <c r="O4148" t="s">
        <v>3383</v>
      </c>
      <c r="P4148" t="s">
        <v>27</v>
      </c>
    </row>
    <row r="4149" spans="1:16" hidden="1" x14ac:dyDescent="0.25">
      <c r="A4149" s="3" t="s">
        <v>2841</v>
      </c>
      <c r="B4149" t="s">
        <v>2355</v>
      </c>
      <c r="C4149" t="s">
        <v>2357</v>
      </c>
      <c r="D4149" t="s">
        <v>26</v>
      </c>
      <c r="E4149" t="s">
        <v>91</v>
      </c>
      <c r="F4149">
        <v>1</v>
      </c>
      <c r="G4149" s="3" t="s">
        <v>32</v>
      </c>
      <c r="H4149" s="44" t="s">
        <v>15</v>
      </c>
      <c r="I4149" s="17">
        <v>16655.400000000001</v>
      </c>
      <c r="J4149" s="17">
        <f>IF(Gastos[[#This Row],[Divisa]]="$", I4149*1, IF(Gastos[[#This Row],[Divisa]]="U$D", I4149*$N$1, IF(Gastos[[#This Row],[Divisa]]="EUR", I4149*$N$2, 0)))</f>
        <v>16655.400000000001</v>
      </c>
      <c r="K4149" s="54">
        <f>Gastos[[#This Row],[Importe AR$]]/$N$1</f>
        <v>10.676538461538463</v>
      </c>
      <c r="L4149" t="s">
        <v>340</v>
      </c>
      <c r="M4149" s="69"/>
      <c r="N4149" s="43" t="str">
        <f>IF(Gastos[[#This Row],[Fecha_Cheque]]&gt;0,WEEKNUM(Gastos[[#This Row],[Fecha_Cheque]]),MID(Gastos[[#This Row],[Semana]],6,2))</f>
        <v>22</v>
      </c>
      <c r="O4149" t="s">
        <v>3383</v>
      </c>
      <c r="P4149" t="s">
        <v>27</v>
      </c>
    </row>
    <row r="4150" spans="1:16" hidden="1" x14ac:dyDescent="0.25">
      <c r="A4150" s="3" t="s">
        <v>3617</v>
      </c>
      <c r="B4150" t="s">
        <v>2355</v>
      </c>
      <c r="C4150" t="s">
        <v>3644</v>
      </c>
      <c r="D4150" t="s">
        <v>26</v>
      </c>
      <c r="E4150" t="s">
        <v>31</v>
      </c>
      <c r="F4150">
        <v>1</v>
      </c>
      <c r="G4150" s="3" t="s">
        <v>5</v>
      </c>
      <c r="H4150" s="44" t="s">
        <v>15</v>
      </c>
      <c r="I4150" s="17">
        <v>1072272</v>
      </c>
      <c r="J4150" s="17">
        <f>IF(Gastos[[#This Row],[Divisa]]="$", I4150*1, IF(Gastos[[#This Row],[Divisa]]="U$D", I4150*$N$1, IF(Gastos[[#This Row],[Divisa]]="EUR", I4150*$N$2, 0)))</f>
        <v>1072272</v>
      </c>
      <c r="K4150" s="54">
        <f>Gastos[[#This Row],[Importe AR$]]/$N$1</f>
        <v>687.35384615384612</v>
      </c>
      <c r="M4150" s="69"/>
      <c r="N4150" s="43" t="str">
        <f>IF(Gastos[[#This Row],[Fecha_Cheque]]&gt;0,WEEKNUM(Gastos[[#This Row],[Fecha_Cheque]]),MID(Gastos[[#This Row],[Semana]],6,2))</f>
        <v>27</v>
      </c>
      <c r="O4150" t="s">
        <v>3660</v>
      </c>
      <c r="P4150" t="s">
        <v>27</v>
      </c>
    </row>
    <row r="4151" spans="1:16" hidden="1" x14ac:dyDescent="0.25">
      <c r="A4151" s="3" t="s">
        <v>3693</v>
      </c>
      <c r="B4151" t="s">
        <v>2355</v>
      </c>
      <c r="C4151" t="s">
        <v>2360</v>
      </c>
      <c r="D4151" t="s">
        <v>26</v>
      </c>
      <c r="E4151" t="s">
        <v>91</v>
      </c>
      <c r="F4151">
        <v>1</v>
      </c>
      <c r="G4151" s="3" t="s">
        <v>32</v>
      </c>
      <c r="H4151" s="44" t="s">
        <v>15</v>
      </c>
      <c r="I4151" s="17">
        <v>2218884.6</v>
      </c>
      <c r="J4151" s="17">
        <f>IF(Gastos[[#This Row],[Divisa]]="$", I4151*1, IF(Gastos[[#This Row],[Divisa]]="U$D", I4151*$N$1, IF(Gastos[[#This Row],[Divisa]]="EUR", I4151*$N$2, 0)))</f>
        <v>2218884.6</v>
      </c>
      <c r="K4151" s="54">
        <f>Gastos[[#This Row],[Importe AR$]]/$N$1</f>
        <v>1422.3619230769232</v>
      </c>
      <c r="M4151" s="69">
        <v>46241</v>
      </c>
      <c r="N4151" s="43">
        <f>IF(Gastos[[#This Row],[Fecha_Cheque]]&gt;0,WEEKNUM(Gastos[[#This Row],[Fecha_Cheque]]),MID(Gastos[[#This Row],[Semana]],6,2))</f>
        <v>32</v>
      </c>
      <c r="O4151" t="s">
        <v>3718</v>
      </c>
      <c r="P4151" t="s">
        <v>27</v>
      </c>
    </row>
    <row r="4152" spans="1:16" hidden="1" x14ac:dyDescent="0.25">
      <c r="A4152" s="3" t="s">
        <v>3693</v>
      </c>
      <c r="B4152" t="s">
        <v>2355</v>
      </c>
      <c r="C4152" t="s">
        <v>2360</v>
      </c>
      <c r="D4152" t="s">
        <v>26</v>
      </c>
      <c r="E4152" t="s">
        <v>91</v>
      </c>
      <c r="F4152">
        <v>1</v>
      </c>
      <c r="G4152" s="3" t="s">
        <v>32</v>
      </c>
      <c r="H4152" s="44" t="s">
        <v>15</v>
      </c>
      <c r="I4152" s="17">
        <v>35926.199999999997</v>
      </c>
      <c r="J4152" s="17">
        <f>IF(Gastos[[#This Row],[Divisa]]="$", I4152*1, IF(Gastos[[#This Row],[Divisa]]="U$D", I4152*$N$1, IF(Gastos[[#This Row],[Divisa]]="EUR", I4152*$N$2, 0)))</f>
        <v>35926.199999999997</v>
      </c>
      <c r="K4152" s="54">
        <f>Gastos[[#This Row],[Importe AR$]]/$N$1</f>
        <v>23.029615384615383</v>
      </c>
      <c r="L4152" t="s">
        <v>340</v>
      </c>
      <c r="M4152" s="69"/>
      <c r="N4152" s="43" t="str">
        <f>IF(Gastos[[#This Row],[Fecha_Cheque]]&gt;0,WEEKNUM(Gastos[[#This Row],[Fecha_Cheque]]),MID(Gastos[[#This Row],[Semana]],6,2))</f>
        <v>28</v>
      </c>
      <c r="O4152" t="s">
        <v>3718</v>
      </c>
      <c r="P4152" t="s">
        <v>27</v>
      </c>
    </row>
    <row r="4153" spans="1:16" hidden="1" x14ac:dyDescent="0.25">
      <c r="A4153" s="3" t="s">
        <v>4322</v>
      </c>
      <c r="B4153" t="s">
        <v>2355</v>
      </c>
      <c r="C4153" t="s">
        <v>422</v>
      </c>
      <c r="D4153" t="s">
        <v>26</v>
      </c>
      <c r="E4153" t="s">
        <v>91</v>
      </c>
      <c r="F4153">
        <v>1</v>
      </c>
      <c r="G4153" s="3" t="s">
        <v>32</v>
      </c>
      <c r="H4153" s="44" t="s">
        <v>15</v>
      </c>
      <c r="I4153" s="17">
        <v>1077255.93</v>
      </c>
      <c r="J4153" s="17">
        <f>IF(Gastos[[#This Row],[Divisa]]="$", I4153*1, IF(Gastos[[#This Row],[Divisa]]="U$D", I4153*$N$1, IF(Gastos[[#This Row],[Divisa]]="EUR", I4153*$N$2, 0)))</f>
        <v>1077255.93</v>
      </c>
      <c r="K4153" s="54">
        <f>Gastos[[#This Row],[Importe AR$]]/$N$1</f>
        <v>690.54867307692302</v>
      </c>
      <c r="M4153" s="69">
        <v>46312</v>
      </c>
      <c r="N4153" s="43">
        <f>IF(Gastos[[#This Row],[Fecha_Cheque]]&gt;0,WEEKNUM(Gastos[[#This Row],[Fecha_Cheque]]),MID(Gastos[[#This Row],[Semana]],6,2))</f>
        <v>42</v>
      </c>
      <c r="O4153" t="s">
        <v>4333</v>
      </c>
      <c r="P4153" t="s">
        <v>27</v>
      </c>
    </row>
    <row r="4154" spans="1:16" hidden="1" x14ac:dyDescent="0.25">
      <c r="A4154" s="3" t="s">
        <v>4322</v>
      </c>
      <c r="B4154" t="s">
        <v>2355</v>
      </c>
      <c r="C4154" t="s">
        <v>422</v>
      </c>
      <c r="D4154" t="s">
        <v>26</v>
      </c>
      <c r="E4154" t="s">
        <v>91</v>
      </c>
      <c r="F4154">
        <v>1</v>
      </c>
      <c r="G4154" s="3" t="s">
        <v>5</v>
      </c>
      <c r="H4154" s="44" t="s">
        <v>15</v>
      </c>
      <c r="I4154" s="17">
        <v>70700.070000000007</v>
      </c>
      <c r="J4154" s="17">
        <f>IF(Gastos[[#This Row],[Divisa]]="$", I4154*1, IF(Gastos[[#This Row],[Divisa]]="U$D", I4154*$N$1, IF(Gastos[[#This Row],[Divisa]]="EUR", I4154*$N$2, 0)))</f>
        <v>70700.070000000007</v>
      </c>
      <c r="K4154" s="54">
        <f>Gastos[[#This Row],[Importe AR$]]/$N$1</f>
        <v>45.320557692307695</v>
      </c>
      <c r="M4154" s="69"/>
      <c r="N4154" s="43" t="str">
        <f>IF(Gastos[[#This Row],[Fecha_Cheque]]&gt;0,WEEKNUM(Gastos[[#This Row],[Fecha_Cheque]]),MID(Gastos[[#This Row],[Semana]],6,2))</f>
        <v>38</v>
      </c>
      <c r="O4154" t="s">
        <v>4333</v>
      </c>
      <c r="P4154" t="s">
        <v>27</v>
      </c>
    </row>
    <row r="4155" spans="1:16" hidden="1" x14ac:dyDescent="0.25">
      <c r="A4155" s="3" t="s">
        <v>4322</v>
      </c>
      <c r="B4155" t="s">
        <v>2355</v>
      </c>
      <c r="C4155" t="s">
        <v>422</v>
      </c>
      <c r="D4155" t="s">
        <v>26</v>
      </c>
      <c r="E4155" t="s">
        <v>91</v>
      </c>
      <c r="F4155">
        <v>1</v>
      </c>
      <c r="G4155" s="3" t="s">
        <v>5</v>
      </c>
      <c r="H4155" s="44" t="s">
        <v>15</v>
      </c>
      <c r="I4155" s="17">
        <v>17927.400000000001</v>
      </c>
      <c r="J4155" s="17">
        <f>IF(Gastos[[#This Row],[Divisa]]="$", I4155*1, IF(Gastos[[#This Row],[Divisa]]="U$D", I4155*$N$1, IF(Gastos[[#This Row],[Divisa]]="EUR", I4155*$N$2, 0)))</f>
        <v>17927.400000000001</v>
      </c>
      <c r="K4155" s="54">
        <f>Gastos[[#This Row],[Importe AR$]]/$N$1</f>
        <v>11.491923076923078</v>
      </c>
      <c r="L4155" t="s">
        <v>340</v>
      </c>
      <c r="M4155" s="69"/>
      <c r="N4155" s="43" t="str">
        <f>IF(Gastos[[#This Row],[Fecha_Cheque]]&gt;0,WEEKNUM(Gastos[[#This Row],[Fecha_Cheque]]),MID(Gastos[[#This Row],[Semana]],6,2))</f>
        <v>38</v>
      </c>
      <c r="O4155" t="s">
        <v>4333</v>
      </c>
      <c r="P4155" t="s">
        <v>27</v>
      </c>
    </row>
    <row r="4156" spans="1:16" x14ac:dyDescent="0.25">
      <c r="A4156" s="3" t="s">
        <v>4655</v>
      </c>
      <c r="B4156" t="s">
        <v>3703</v>
      </c>
      <c r="C4156" t="s">
        <v>2667</v>
      </c>
      <c r="D4156" t="s">
        <v>26</v>
      </c>
      <c r="E4156" t="s">
        <v>3928</v>
      </c>
      <c r="F4156">
        <v>1</v>
      </c>
      <c r="G4156" s="3" t="s">
        <v>4</v>
      </c>
      <c r="H4156" s="44" t="s">
        <v>15</v>
      </c>
      <c r="I4156" s="17">
        <v>20993.4</v>
      </c>
      <c r="J4156" s="17">
        <f>IF(Gastos[[#This Row],[Divisa]]="$", I4156*1, IF(Gastos[[#This Row],[Divisa]]="U$D", I4156*$N$1, IF(Gastos[[#This Row],[Divisa]]="EUR", I4156*$N$2, 0)))</f>
        <v>20993.4</v>
      </c>
      <c r="K4156" s="54">
        <f>Gastos[[#This Row],[Importe AR$]]/$N$1</f>
        <v>13.457307692307694</v>
      </c>
      <c r="L4156" s="100" t="s">
        <v>340</v>
      </c>
      <c r="M4156" s="101"/>
      <c r="N4156" s="102" t="str">
        <f>IF(Gastos[[#This Row],[Fecha_Cheque]]&gt;0,WEEKNUM(Gastos[[#This Row],[Fecha_Cheque]]),MID(Gastos[[#This Row],[Semana]],6,2))</f>
        <v>44</v>
      </c>
      <c r="O4156" t="s">
        <v>4687</v>
      </c>
      <c r="P4156" t="s">
        <v>27</v>
      </c>
    </row>
    <row r="4157" spans="1:16" x14ac:dyDescent="0.25">
      <c r="A4157" s="3" t="s">
        <v>4655</v>
      </c>
      <c r="B4157" t="s">
        <v>2153</v>
      </c>
      <c r="C4157" t="s">
        <v>155</v>
      </c>
      <c r="D4157" t="s">
        <v>26</v>
      </c>
      <c r="E4157" t="s">
        <v>42</v>
      </c>
      <c r="F4157">
        <v>1</v>
      </c>
      <c r="G4157" s="3" t="s">
        <v>4</v>
      </c>
      <c r="H4157" s="44" t="s">
        <v>15</v>
      </c>
      <c r="I4157" s="49">
        <v>198009.4</v>
      </c>
      <c r="J4157" s="17">
        <f>IF(Gastos[[#This Row],[Divisa]]="$", I4157*1, IF(Gastos[[#This Row],[Divisa]]="U$D", I4157*$N$1, IF(Gastos[[#This Row],[Divisa]]="EUR", I4157*$N$2, 0)))</f>
        <v>198009.4</v>
      </c>
      <c r="K4157" s="54">
        <f>Gastos[[#This Row],[Importe AR$]]/$N$1</f>
        <v>126.92910256410256</v>
      </c>
      <c r="M4157" s="69"/>
      <c r="N4157" s="43" t="str">
        <f>IF(Gastos[[#This Row],[Fecha_Cheque]]&gt;0,WEEKNUM(Gastos[[#This Row],[Fecha_Cheque]]),MID(Gastos[[#This Row],[Semana]],6,2))</f>
        <v>44</v>
      </c>
      <c r="O4157" t="s">
        <v>4684</v>
      </c>
      <c r="P4157" t="s">
        <v>7</v>
      </c>
    </row>
    <row r="4158" spans="1:16" hidden="1" x14ac:dyDescent="0.25">
      <c r="A4158" s="3" t="s">
        <v>52</v>
      </c>
      <c r="B4158" t="s">
        <v>2364</v>
      </c>
      <c r="C4158" t="s">
        <v>1767</v>
      </c>
      <c r="D4158" t="s">
        <v>26</v>
      </c>
      <c r="E4158" t="s">
        <v>31</v>
      </c>
      <c r="F4158">
        <v>1</v>
      </c>
      <c r="G4158" s="3" t="s">
        <v>4</v>
      </c>
      <c r="H4158" s="46" t="s">
        <v>15</v>
      </c>
      <c r="I4158" s="19">
        <v>100000</v>
      </c>
      <c r="J4158" s="17">
        <f>IF(Gastos[[#This Row],[Divisa]]="$", I4158*1, IF(Gastos[[#This Row],[Divisa]]="U$D", I4158*$N$1, IF(Gastos[[#This Row],[Divisa]]="EUR", I4158*$N$2, 0)))</f>
        <v>100000</v>
      </c>
      <c r="K4158" s="55">
        <f>Gastos[[#This Row],[Importe AR$]]/$N$1</f>
        <v>64.102564102564102</v>
      </c>
      <c r="M4158" s="69"/>
      <c r="N4158" s="43" t="str">
        <f>IF(Gastos[[#This Row],[Fecha_Cheque]]&gt;0,WEEKNUM(Gastos[[#This Row],[Fecha_Cheque]]),MID(Gastos[[#This Row],[Semana]],6,2))</f>
        <v>12</v>
      </c>
      <c r="P4158" t="s">
        <v>27</v>
      </c>
    </row>
    <row r="4159" spans="1:16" hidden="1" x14ac:dyDescent="0.25">
      <c r="A4159" s="3" t="s">
        <v>52</v>
      </c>
      <c r="B4159" t="s">
        <v>2365</v>
      </c>
      <c r="C4159" t="s">
        <v>2366</v>
      </c>
      <c r="D4159" t="s">
        <v>26</v>
      </c>
      <c r="E4159" t="s">
        <v>31</v>
      </c>
      <c r="F4159">
        <v>2</v>
      </c>
      <c r="G4159" s="3" t="s">
        <v>4</v>
      </c>
      <c r="H4159" s="46" t="s">
        <v>15</v>
      </c>
      <c r="I4159" s="19">
        <v>600000</v>
      </c>
      <c r="J4159" s="17">
        <f>IF(Gastos[[#This Row],[Divisa]]="$", I4159*1, IF(Gastos[[#This Row],[Divisa]]="U$D", I4159*$N$1, IF(Gastos[[#This Row],[Divisa]]="EUR", I4159*$N$2, 0)))</f>
        <v>600000</v>
      </c>
      <c r="K4159" s="55">
        <f>Gastos[[#This Row],[Importe AR$]]/$N$1</f>
        <v>384.61538461538464</v>
      </c>
      <c r="M4159" s="69"/>
      <c r="N4159" s="43" t="str">
        <f>IF(Gastos[[#This Row],[Fecha_Cheque]]&gt;0,WEEKNUM(Gastos[[#This Row],[Fecha_Cheque]]),MID(Gastos[[#This Row],[Semana]],6,2))</f>
        <v>12</v>
      </c>
      <c r="P4159" t="s">
        <v>27</v>
      </c>
    </row>
    <row r="4160" spans="1:16" hidden="1" x14ac:dyDescent="0.25">
      <c r="A4160" s="3" t="s">
        <v>290</v>
      </c>
      <c r="B4160" t="s">
        <v>2367</v>
      </c>
      <c r="D4160" t="s">
        <v>26</v>
      </c>
      <c r="E4160" t="s">
        <v>91</v>
      </c>
      <c r="F4160">
        <v>1</v>
      </c>
      <c r="G4160" s="3" t="s">
        <v>5</v>
      </c>
      <c r="H4160" s="46" t="s">
        <v>15</v>
      </c>
      <c r="I4160" s="17">
        <v>500000</v>
      </c>
      <c r="J4160" s="17">
        <f>IF(Gastos[[#This Row],[Divisa]]="$", I4160*1, IF(Gastos[[#This Row],[Divisa]]="U$D", I4160*$N$1, IF(Gastos[[#This Row],[Divisa]]="EUR", I4160*$N$2, 0)))</f>
        <v>500000</v>
      </c>
      <c r="K4160" s="54">
        <f>Gastos[[#This Row],[Importe AR$]]/$N$1</f>
        <v>320.5128205128205</v>
      </c>
      <c r="M4160" s="69"/>
      <c r="N4160" s="43" t="str">
        <f>IF(Gastos[[#This Row],[Fecha_Cheque]]&gt;0,WEEKNUM(Gastos[[#This Row],[Fecha_Cheque]]),MID(Gastos[[#This Row],[Semana]],6,2))</f>
        <v>23</v>
      </c>
      <c r="P4160" t="s">
        <v>27</v>
      </c>
    </row>
    <row r="4161" spans="1:16" hidden="1" x14ac:dyDescent="0.25">
      <c r="A4161" s="3" t="s">
        <v>99</v>
      </c>
      <c r="B4161" t="s">
        <v>2368</v>
      </c>
      <c r="C4161" t="s">
        <v>2369</v>
      </c>
      <c r="D4161" t="s">
        <v>26</v>
      </c>
      <c r="E4161" t="s">
        <v>31</v>
      </c>
      <c r="F4161">
        <v>1</v>
      </c>
      <c r="G4161" s="3" t="s">
        <v>32</v>
      </c>
      <c r="H4161" s="46" t="s">
        <v>15</v>
      </c>
      <c r="I4161" s="17">
        <v>2866757.89</v>
      </c>
      <c r="J4161" s="17">
        <f>IF(Gastos[[#This Row],[Divisa]]="$", I4161*1, IF(Gastos[[#This Row],[Divisa]]="U$D", I4161*$N$1, IF(Gastos[[#This Row],[Divisa]]="EUR", I4161*$N$2, 0)))</f>
        <v>2866757.89</v>
      </c>
      <c r="K4161" s="54">
        <f>Gastos[[#This Row],[Importe AR$]]/$N$1</f>
        <v>1837.6653141025643</v>
      </c>
      <c r="L4161" t="s">
        <v>215</v>
      </c>
      <c r="M4161" s="69">
        <v>45895</v>
      </c>
      <c r="N4161" s="43">
        <f>IF(Gastos[[#This Row],[Fecha_Cheque]]&gt;0,WEEKNUM(Gastos[[#This Row],[Fecha_Cheque]]),MID(Gastos[[#This Row],[Semana]],6,2))</f>
        <v>35</v>
      </c>
      <c r="O4161" t="s">
        <v>2370</v>
      </c>
      <c r="P4161" t="s">
        <v>27</v>
      </c>
    </row>
    <row r="4162" spans="1:16" hidden="1" x14ac:dyDescent="0.25">
      <c r="A4162" s="3" t="s">
        <v>99</v>
      </c>
      <c r="B4162" t="s">
        <v>2368</v>
      </c>
      <c r="C4162" t="s">
        <v>2369</v>
      </c>
      <c r="D4162" t="s">
        <v>26</v>
      </c>
      <c r="E4162" t="s">
        <v>31</v>
      </c>
      <c r="F4162">
        <v>1</v>
      </c>
      <c r="G4162" s="3" t="s">
        <v>32</v>
      </c>
      <c r="H4162" s="46" t="s">
        <v>15</v>
      </c>
      <c r="I4162" s="17">
        <v>2866757.89</v>
      </c>
      <c r="J4162" s="17">
        <f>IF(Gastos[[#This Row],[Divisa]]="$", I4162*1, IF(Gastos[[#This Row],[Divisa]]="U$D", I4162*$N$1, IF(Gastos[[#This Row],[Divisa]]="EUR", I4162*$N$2, 0)))</f>
        <v>2866757.89</v>
      </c>
      <c r="K4162" s="54">
        <f>Gastos[[#This Row],[Importe AR$]]/$N$1</f>
        <v>1837.6653141025643</v>
      </c>
      <c r="M4162" s="69">
        <v>45880</v>
      </c>
      <c r="N4162" s="43">
        <f>IF(Gastos[[#This Row],[Fecha_Cheque]]&gt;0,WEEKNUM(Gastos[[#This Row],[Fecha_Cheque]]),MID(Gastos[[#This Row],[Semana]],6,2))</f>
        <v>33</v>
      </c>
      <c r="O4162" t="s">
        <v>2370</v>
      </c>
      <c r="P4162" t="s">
        <v>27</v>
      </c>
    </row>
    <row r="4163" spans="1:16" hidden="1" x14ac:dyDescent="0.25">
      <c r="A4163" s="3" t="s">
        <v>124</v>
      </c>
      <c r="B4163" t="s">
        <v>2368</v>
      </c>
      <c r="C4163" t="s">
        <v>2371</v>
      </c>
      <c r="D4163" t="s">
        <v>26</v>
      </c>
      <c r="E4163" t="s">
        <v>31</v>
      </c>
      <c r="F4163">
        <v>1</v>
      </c>
      <c r="G4163" s="3" t="s">
        <v>4</v>
      </c>
      <c r="H4163" s="46" t="s">
        <v>15</v>
      </c>
      <c r="I4163" s="17">
        <v>12282304.65</v>
      </c>
      <c r="J4163" s="17">
        <f>IF(Gastos[[#This Row],[Divisa]]="$", I4163*1, IF(Gastos[[#This Row],[Divisa]]="U$D", I4163*$N$1, IF(Gastos[[#This Row],[Divisa]]="EUR", I4163*$N$2, 0)))</f>
        <v>12282304.65</v>
      </c>
      <c r="K4163" s="54">
        <f>Gastos[[#This Row],[Importe AR$]]/$N$1</f>
        <v>7873.2722115384622</v>
      </c>
      <c r="M4163" s="69"/>
      <c r="N4163" s="43" t="str">
        <f>IF(Gastos[[#This Row],[Fecha_Cheque]]&gt;0,WEEKNUM(Gastos[[#This Row],[Fecha_Cheque]]),MID(Gastos[[#This Row],[Semana]],6,2))</f>
        <v>42</v>
      </c>
      <c r="O4163" t="s">
        <v>2372</v>
      </c>
      <c r="P4163" t="s">
        <v>27</v>
      </c>
    </row>
    <row r="4164" spans="1:16" hidden="1" x14ac:dyDescent="0.25">
      <c r="A4164" s="3" t="s">
        <v>128</v>
      </c>
      <c r="B4164" t="s">
        <v>2368</v>
      </c>
      <c r="C4164" t="s">
        <v>2373</v>
      </c>
      <c r="D4164" t="s">
        <v>26</v>
      </c>
      <c r="E4164" t="s">
        <v>31</v>
      </c>
      <c r="F4164">
        <v>1</v>
      </c>
      <c r="G4164" s="3" t="s">
        <v>32</v>
      </c>
      <c r="H4164" s="46" t="s">
        <v>15</v>
      </c>
      <c r="I4164" s="17">
        <v>19669299.34</v>
      </c>
      <c r="J4164" s="17">
        <f>IF(Gastos[[#This Row],[Divisa]]="$", I4164*1, IF(Gastos[[#This Row],[Divisa]]="U$D", I4164*$N$1, IF(Gastos[[#This Row],[Divisa]]="EUR", I4164*$N$2, 0)))</f>
        <v>19669299.34</v>
      </c>
      <c r="K4164" s="54">
        <f>Gastos[[#This Row],[Importe AR$]]/$N$1</f>
        <v>12608.525217948718</v>
      </c>
      <c r="M4164" s="69">
        <v>45978</v>
      </c>
      <c r="N4164" s="43">
        <f>IF(Gastos[[#This Row],[Fecha_Cheque]]&gt;0,WEEKNUM(Gastos[[#This Row],[Fecha_Cheque]]),MID(Gastos[[#This Row],[Semana]],6,2))</f>
        <v>47</v>
      </c>
      <c r="O4164" t="s">
        <v>2374</v>
      </c>
      <c r="P4164" t="s">
        <v>27</v>
      </c>
    </row>
    <row r="4165" spans="1:16" hidden="1" x14ac:dyDescent="0.25">
      <c r="A4165" s="3" t="s">
        <v>828</v>
      </c>
      <c r="B4165" t="s">
        <v>2368</v>
      </c>
      <c r="C4165" t="s">
        <v>2373</v>
      </c>
      <c r="D4165" t="s">
        <v>26</v>
      </c>
      <c r="E4165" t="s">
        <v>62</v>
      </c>
      <c r="F4165">
        <v>1</v>
      </c>
      <c r="G4165" s="3" t="s">
        <v>32</v>
      </c>
      <c r="H4165" s="46" t="s">
        <v>15</v>
      </c>
      <c r="I4165" s="17">
        <v>4000000</v>
      </c>
      <c r="J4165" s="17">
        <f>IF(Gastos[[#This Row],[Divisa]]="$", I4165*1, IF(Gastos[[#This Row],[Divisa]]="U$D", I4165*$N$1, IF(Gastos[[#This Row],[Divisa]]="EUR", I4165*$N$2, 0)))</f>
        <v>4000000</v>
      </c>
      <c r="K4165" s="54">
        <f>Gastos[[#This Row],[Importe AR$]]/$N$1</f>
        <v>2564.102564102564</v>
      </c>
      <c r="M4165" s="69"/>
      <c r="N4165" s="43" t="str">
        <f>IF(Gastos[[#This Row],[Fecha_Cheque]]&gt;0,WEEKNUM(Gastos[[#This Row],[Fecha_Cheque]]),MID(Gastos[[#This Row],[Semana]],6,2))</f>
        <v>13</v>
      </c>
      <c r="O4165" t="s">
        <v>2791</v>
      </c>
      <c r="P4165" t="s">
        <v>27</v>
      </c>
    </row>
    <row r="4166" spans="1:16" hidden="1" x14ac:dyDescent="0.25">
      <c r="A4166" s="3" t="s">
        <v>4119</v>
      </c>
      <c r="B4166" t="s">
        <v>2368</v>
      </c>
      <c r="C4166" t="s">
        <v>2373</v>
      </c>
      <c r="D4166" t="s">
        <v>26</v>
      </c>
      <c r="E4166" t="s">
        <v>62</v>
      </c>
      <c r="F4166">
        <v>1</v>
      </c>
      <c r="G4166" s="3" t="s">
        <v>32</v>
      </c>
      <c r="H4166" s="46" t="s">
        <v>15</v>
      </c>
      <c r="I4166" s="17">
        <v>3500000</v>
      </c>
      <c r="J4166" s="17">
        <f>IF(Gastos[[#This Row],[Divisa]]="$", I4166*1, IF(Gastos[[#This Row],[Divisa]]="U$D", I4166*$N$1, IF(Gastos[[#This Row],[Divisa]]="EUR", I4166*$N$2, 0)))</f>
        <v>3500000</v>
      </c>
      <c r="K4166" s="54">
        <f>Gastos[[#This Row],[Importe AR$]]/$N$1</f>
        <v>2243.5897435897436</v>
      </c>
      <c r="L4166" t="s">
        <v>4128</v>
      </c>
      <c r="M4166" s="69"/>
      <c r="N4166" s="43" t="str">
        <f>IF(Gastos[[#This Row],[Fecha_Cheque]]&gt;0,WEEKNUM(Gastos[[#This Row],[Fecha_Cheque]]),MID(Gastos[[#This Row],[Semana]],6,2))</f>
        <v>35</v>
      </c>
      <c r="O4166" t="s">
        <v>4127</v>
      </c>
      <c r="P4166" t="s">
        <v>27</v>
      </c>
    </row>
    <row r="4167" spans="1:16" x14ac:dyDescent="0.25">
      <c r="A4167" s="3" t="s">
        <v>4655</v>
      </c>
      <c r="B4167" t="s">
        <v>2171</v>
      </c>
      <c r="C4167" t="s">
        <v>2181</v>
      </c>
      <c r="D4167" t="s">
        <v>61</v>
      </c>
      <c r="E4167" t="s">
        <v>62</v>
      </c>
      <c r="F4167">
        <v>1</v>
      </c>
      <c r="G4167" s="3" t="s">
        <v>32</v>
      </c>
      <c r="H4167" s="46" t="s">
        <v>15</v>
      </c>
      <c r="I4167" s="17">
        <v>8498294.4499999993</v>
      </c>
      <c r="J4167" s="17">
        <f>IF(Gastos[[#This Row],[Divisa]]="$", I4167*1, IF(Gastos[[#This Row],[Divisa]]="U$D", I4167*$N$1, IF(Gastos[[#This Row],[Divisa]]="EUR", I4167*$N$2, 0)))</f>
        <v>8498294.4499999993</v>
      </c>
      <c r="K4167" s="54">
        <f>Gastos[[#This Row],[Importe AR$]]/$N$1</f>
        <v>5447.6246474358968</v>
      </c>
      <c r="M4167" s="69"/>
      <c r="N4167" s="43" t="str">
        <f>IF(Gastos[[#This Row],[Fecha_Cheque]]&gt;0,WEEKNUM(Gastos[[#This Row],[Fecha_Cheque]]),MID(Gastos[[#This Row],[Semana]],6,2))</f>
        <v>44</v>
      </c>
    </row>
    <row r="4168" spans="1:16" hidden="1" x14ac:dyDescent="0.25">
      <c r="A4168" s="3" t="s">
        <v>50</v>
      </c>
      <c r="B4168" t="s">
        <v>2377</v>
      </c>
      <c r="C4168" t="s">
        <v>2378</v>
      </c>
      <c r="D4168" t="s">
        <v>61</v>
      </c>
      <c r="E4168" t="s">
        <v>31</v>
      </c>
      <c r="F4168">
        <v>1</v>
      </c>
      <c r="G4168" s="3" t="s">
        <v>32</v>
      </c>
      <c r="H4168" s="46" t="s">
        <v>15</v>
      </c>
      <c r="I4168" s="17">
        <f>14876388.5/3</f>
        <v>4958796.166666667</v>
      </c>
      <c r="J4168" s="17">
        <f>IF(Gastos[[#This Row],[Divisa]]="$", I4168*1, IF(Gastos[[#This Row],[Divisa]]="U$D", I4168*$N$1, IF(Gastos[[#This Row],[Divisa]]="EUR", I4168*$N$2, 0)))</f>
        <v>4958796.166666667</v>
      </c>
      <c r="K4168" s="54">
        <f>Gastos[[#This Row],[Importe AR$]]/$N$1</f>
        <v>3178.7154914529915</v>
      </c>
      <c r="L4168" t="s">
        <v>361</v>
      </c>
      <c r="M4168" s="69">
        <v>45840</v>
      </c>
      <c r="N4168" s="43">
        <f>IF(Gastos[[#This Row],[Fecha_Cheque]]&gt;0,WEEKNUM(Gastos[[#This Row],[Fecha_Cheque]]),MID(Gastos[[#This Row],[Semana]],6,2))</f>
        <v>27</v>
      </c>
      <c r="O4168" t="s">
        <v>2379</v>
      </c>
      <c r="P4168" t="s">
        <v>27</v>
      </c>
    </row>
    <row r="4169" spans="1:16" hidden="1" x14ac:dyDescent="0.25">
      <c r="A4169" s="3" t="s">
        <v>50</v>
      </c>
      <c r="B4169" t="s">
        <v>2377</v>
      </c>
      <c r="C4169" t="s">
        <v>2378</v>
      </c>
      <c r="D4169" t="s">
        <v>61</v>
      </c>
      <c r="E4169" t="s">
        <v>31</v>
      </c>
      <c r="F4169">
        <v>1</v>
      </c>
      <c r="G4169" s="3" t="s">
        <v>32</v>
      </c>
      <c r="H4169" s="46" t="s">
        <v>15</v>
      </c>
      <c r="I4169" s="17">
        <v>4958796.166666667</v>
      </c>
      <c r="J4169" s="17">
        <f>IF(Gastos[[#This Row],[Divisa]]="$", I4169*1, IF(Gastos[[#This Row],[Divisa]]="U$D", I4169*$N$1, IF(Gastos[[#This Row],[Divisa]]="EUR", I4169*$N$2, 0)))</f>
        <v>4958796.166666667</v>
      </c>
      <c r="K4169" s="54">
        <f>Gastos[[#This Row],[Importe AR$]]/$N$1</f>
        <v>3178.7154914529915</v>
      </c>
      <c r="L4169" t="s">
        <v>215</v>
      </c>
      <c r="M4169" s="69">
        <v>45855</v>
      </c>
      <c r="N4169" s="43">
        <f>IF(Gastos[[#This Row],[Fecha_Cheque]]&gt;0,WEEKNUM(Gastos[[#This Row],[Fecha_Cheque]]),MID(Gastos[[#This Row],[Semana]],6,2))</f>
        <v>29</v>
      </c>
      <c r="O4169" t="s">
        <v>2379</v>
      </c>
      <c r="P4169" t="s">
        <v>27</v>
      </c>
    </row>
    <row r="4170" spans="1:16" hidden="1" x14ac:dyDescent="0.25">
      <c r="A4170" s="3" t="s">
        <v>50</v>
      </c>
      <c r="B4170" t="s">
        <v>2377</v>
      </c>
      <c r="C4170" t="s">
        <v>2378</v>
      </c>
      <c r="D4170" t="s">
        <v>61</v>
      </c>
      <c r="E4170" t="s">
        <v>31</v>
      </c>
      <c r="F4170">
        <v>1</v>
      </c>
      <c r="G4170" s="3" t="s">
        <v>32</v>
      </c>
      <c r="H4170" s="46" t="s">
        <v>15</v>
      </c>
      <c r="I4170" s="17">
        <v>4958796.166666667</v>
      </c>
      <c r="J4170" s="17">
        <f>IF(Gastos[[#This Row],[Divisa]]="$", I4170*1, IF(Gastos[[#This Row],[Divisa]]="U$D", I4170*$N$1, IF(Gastos[[#This Row],[Divisa]]="EUR", I4170*$N$2, 0)))</f>
        <v>4958796.166666667</v>
      </c>
      <c r="K4170" s="54">
        <f>Gastos[[#This Row],[Importe AR$]]/$N$1</f>
        <v>3178.7154914529915</v>
      </c>
      <c r="L4170" t="s">
        <v>289</v>
      </c>
      <c r="M4170" s="69">
        <v>45870</v>
      </c>
      <c r="N4170" s="43">
        <f>IF(Gastos[[#This Row],[Fecha_Cheque]]&gt;0,WEEKNUM(Gastos[[#This Row],[Fecha_Cheque]]),MID(Gastos[[#This Row],[Semana]],6,2))</f>
        <v>31</v>
      </c>
      <c r="O4170" t="s">
        <v>2379</v>
      </c>
      <c r="P4170" t="s">
        <v>27</v>
      </c>
    </row>
    <row r="4171" spans="1:16" hidden="1" x14ac:dyDescent="0.25">
      <c r="A4171" s="3" t="s">
        <v>171</v>
      </c>
      <c r="B4171" t="s">
        <v>2377</v>
      </c>
      <c r="C4171" t="s">
        <v>2380</v>
      </c>
      <c r="D4171" t="s">
        <v>26</v>
      </c>
      <c r="E4171" t="s">
        <v>31</v>
      </c>
      <c r="F4171">
        <v>1</v>
      </c>
      <c r="G4171" s="3" t="s">
        <v>32</v>
      </c>
      <c r="H4171" s="46" t="s">
        <v>15</v>
      </c>
      <c r="I4171" s="17">
        <v>5000000</v>
      </c>
      <c r="J4171" s="17">
        <f>IF(Gastos[[#This Row],[Divisa]]="$", I4171*1, IF(Gastos[[#This Row],[Divisa]]="U$D", I4171*$N$1, IF(Gastos[[#This Row],[Divisa]]="EUR", I4171*$N$2, 0)))</f>
        <v>5000000</v>
      </c>
      <c r="K4171" s="54">
        <f>Gastos[[#This Row],[Importe AR$]]/$N$1</f>
        <v>3205.1282051282051</v>
      </c>
      <c r="M4171" s="69">
        <v>45908</v>
      </c>
      <c r="N4171" s="43">
        <f>IF(Gastos[[#This Row],[Fecha_Cheque]]&gt;0,WEEKNUM(Gastos[[#This Row],[Fecha_Cheque]]),MID(Gastos[[#This Row],[Semana]],6,2))</f>
        <v>37</v>
      </c>
      <c r="O4171" t="s">
        <v>2381</v>
      </c>
      <c r="P4171" t="s">
        <v>27</v>
      </c>
    </row>
    <row r="4172" spans="1:16" hidden="1" x14ac:dyDescent="0.25">
      <c r="A4172" s="3" t="s">
        <v>171</v>
      </c>
      <c r="B4172" t="s">
        <v>2377</v>
      </c>
      <c r="C4172" t="s">
        <v>2380</v>
      </c>
      <c r="D4172" t="s">
        <v>26</v>
      </c>
      <c r="E4172" t="s">
        <v>31</v>
      </c>
      <c r="F4172">
        <v>1</v>
      </c>
      <c r="G4172" s="3" t="s">
        <v>32</v>
      </c>
      <c r="H4172" s="46" t="s">
        <v>15</v>
      </c>
      <c r="I4172" s="17">
        <v>1232659.02</v>
      </c>
      <c r="J4172" s="17">
        <f>IF(Gastos[[#This Row],[Divisa]]="$", I4172*1, IF(Gastos[[#This Row],[Divisa]]="U$D", I4172*$N$1, IF(Gastos[[#This Row],[Divisa]]="EUR", I4172*$N$2, 0)))</f>
        <v>1232659.02</v>
      </c>
      <c r="K4172" s="54">
        <f>Gastos[[#This Row],[Importe AR$]]/$N$1</f>
        <v>790.16603846153851</v>
      </c>
      <c r="M4172" s="69">
        <v>45890</v>
      </c>
      <c r="N4172" s="43">
        <f>IF(Gastos[[#This Row],[Fecha_Cheque]]&gt;0,WEEKNUM(Gastos[[#This Row],[Fecha_Cheque]]),MID(Gastos[[#This Row],[Semana]],6,2))</f>
        <v>34</v>
      </c>
      <c r="O4172" t="s">
        <v>2381</v>
      </c>
      <c r="P4172" t="s">
        <v>27</v>
      </c>
    </row>
    <row r="4173" spans="1:16" hidden="1" x14ac:dyDescent="0.25">
      <c r="A4173" s="3" t="s">
        <v>171</v>
      </c>
      <c r="B4173" t="s">
        <v>2377</v>
      </c>
      <c r="C4173" t="s">
        <v>2380</v>
      </c>
      <c r="D4173" t="s">
        <v>26</v>
      </c>
      <c r="E4173" t="s">
        <v>31</v>
      </c>
      <c r="F4173">
        <v>1</v>
      </c>
      <c r="G4173" s="3" t="s">
        <v>5</v>
      </c>
      <c r="H4173" s="46" t="s">
        <v>15</v>
      </c>
      <c r="I4173" s="17">
        <v>2000000</v>
      </c>
      <c r="J4173" s="17">
        <f>IF(Gastos[[#This Row],[Divisa]]="$", I4173*1, IF(Gastos[[#This Row],[Divisa]]="U$D", I4173*$N$1, IF(Gastos[[#This Row],[Divisa]]="EUR", I4173*$N$2, 0)))</f>
        <v>2000000</v>
      </c>
      <c r="K4173" s="54">
        <f>Gastos[[#This Row],[Importe AR$]]/$N$1</f>
        <v>1282.051282051282</v>
      </c>
      <c r="M4173" s="69"/>
      <c r="N4173" s="43" t="str">
        <f>IF(Gastos[[#This Row],[Fecha_Cheque]]&gt;0,WEEKNUM(Gastos[[#This Row],[Fecha_Cheque]]),MID(Gastos[[#This Row],[Semana]],6,2))</f>
        <v>38</v>
      </c>
      <c r="O4173" t="s">
        <v>2381</v>
      </c>
      <c r="P4173" t="s">
        <v>27</v>
      </c>
    </row>
    <row r="4174" spans="1:16" hidden="1" x14ac:dyDescent="0.25">
      <c r="A4174" s="3" t="s">
        <v>89</v>
      </c>
      <c r="B4174" t="s">
        <v>2377</v>
      </c>
      <c r="C4174" t="s">
        <v>2380</v>
      </c>
      <c r="D4174" t="s">
        <v>26</v>
      </c>
      <c r="E4174" t="s">
        <v>31</v>
      </c>
      <c r="F4174">
        <v>1</v>
      </c>
      <c r="G4174" s="3" t="s">
        <v>32</v>
      </c>
      <c r="H4174" s="46" t="s">
        <v>15</v>
      </c>
      <c r="I4174" s="17">
        <v>3600000</v>
      </c>
      <c r="J4174" s="17">
        <f>IF(Gastos[[#This Row],[Divisa]]="$", I4174*1, IF(Gastos[[#This Row],[Divisa]]="U$D", I4174*$N$1, IF(Gastos[[#This Row],[Divisa]]="EUR", I4174*$N$2, 0)))</f>
        <v>3600000</v>
      </c>
      <c r="K4174" s="54">
        <f>Gastos[[#This Row],[Importe AR$]]/$N$1</f>
        <v>2307.6923076923076</v>
      </c>
      <c r="M4174" s="69">
        <v>45922</v>
      </c>
      <c r="N4174" s="43">
        <f>IF(Gastos[[#This Row],[Fecha_Cheque]]&gt;0,WEEKNUM(Gastos[[#This Row],[Fecha_Cheque]]),MID(Gastos[[#This Row],[Semana]],6,2))</f>
        <v>39</v>
      </c>
      <c r="O4174" t="s">
        <v>2382</v>
      </c>
      <c r="P4174" t="s">
        <v>27</v>
      </c>
    </row>
    <row r="4175" spans="1:16" hidden="1" x14ac:dyDescent="0.25">
      <c r="A4175" s="3" t="s">
        <v>232</v>
      </c>
      <c r="B4175" t="s">
        <v>2377</v>
      </c>
      <c r="C4175" t="s">
        <v>2380</v>
      </c>
      <c r="D4175" t="s">
        <v>61</v>
      </c>
      <c r="E4175" t="s">
        <v>62</v>
      </c>
      <c r="F4175">
        <v>1</v>
      </c>
      <c r="G4175" s="3" t="s">
        <v>32</v>
      </c>
      <c r="H4175" s="46" t="s">
        <v>15</v>
      </c>
      <c r="I4175" s="17">
        <v>4882779.1500000004</v>
      </c>
      <c r="J4175" s="17">
        <f>IF(Gastos[[#This Row],[Divisa]]="$", I4175*1, IF(Gastos[[#This Row],[Divisa]]="U$D", I4175*$N$1, IF(Gastos[[#This Row],[Divisa]]="EUR", I4175*$N$2, 0)))</f>
        <v>4882779.1500000004</v>
      </c>
      <c r="K4175" s="54">
        <f>Gastos[[#This Row],[Importe AR$]]/$N$1</f>
        <v>3129.9866346153849</v>
      </c>
      <c r="M4175" s="69"/>
      <c r="N4175" s="43" t="str">
        <f>IF(Gastos[[#This Row],[Fecha_Cheque]]&gt;0,WEEKNUM(Gastos[[#This Row],[Fecha_Cheque]]),MID(Gastos[[#This Row],[Semana]],6,2))</f>
        <v>44</v>
      </c>
      <c r="O4175" t="s">
        <v>2383</v>
      </c>
      <c r="P4175" t="s">
        <v>27</v>
      </c>
    </row>
    <row r="4176" spans="1:16" hidden="1" x14ac:dyDescent="0.25">
      <c r="A4176" s="3" t="s">
        <v>79</v>
      </c>
      <c r="B4176" t="s">
        <v>2377</v>
      </c>
      <c r="C4176" t="s">
        <v>2380</v>
      </c>
      <c r="D4176" t="s">
        <v>61</v>
      </c>
      <c r="E4176" t="s">
        <v>62</v>
      </c>
      <c r="F4176">
        <v>1</v>
      </c>
      <c r="G4176" s="3" t="s">
        <v>32</v>
      </c>
      <c r="H4176" s="46" t="s">
        <v>15</v>
      </c>
      <c r="I4176" s="17">
        <v>1950000</v>
      </c>
      <c r="J4176" s="17">
        <f>IF(Gastos[[#This Row],[Divisa]]="$", I4176*1, IF(Gastos[[#This Row],[Divisa]]="U$D", I4176*$N$1, IF(Gastos[[#This Row],[Divisa]]="EUR", I4176*$N$2, 0)))</f>
        <v>1950000</v>
      </c>
      <c r="K4176" s="54">
        <f>Gastos[[#This Row],[Importe AR$]]/$N$1</f>
        <v>1250</v>
      </c>
      <c r="M4176" s="69">
        <v>46010</v>
      </c>
      <c r="N4176" s="43">
        <f>IF(Gastos[[#This Row],[Fecha_Cheque]]&gt;0,WEEKNUM(Gastos[[#This Row],[Fecha_Cheque]]),MID(Gastos[[#This Row],[Semana]],6,2))</f>
        <v>51</v>
      </c>
      <c r="O4176" t="s">
        <v>2384</v>
      </c>
      <c r="P4176" t="s">
        <v>27</v>
      </c>
    </row>
    <row r="4177" spans="1:16" hidden="1" x14ac:dyDescent="0.25">
      <c r="A4177" s="3" t="s">
        <v>79</v>
      </c>
      <c r="B4177" t="s">
        <v>2377</v>
      </c>
      <c r="C4177" t="s">
        <v>2380</v>
      </c>
      <c r="D4177" t="s">
        <v>61</v>
      </c>
      <c r="E4177" t="s">
        <v>62</v>
      </c>
      <c r="F4177">
        <v>1</v>
      </c>
      <c r="G4177" s="3" t="s">
        <v>32</v>
      </c>
      <c r="H4177" s="46" t="s">
        <v>15</v>
      </c>
      <c r="I4177" s="17">
        <v>1950000</v>
      </c>
      <c r="J4177" s="17">
        <f>IF(Gastos[[#This Row],[Divisa]]="$", I4177*1, IF(Gastos[[#This Row],[Divisa]]="U$D", I4177*$N$1, IF(Gastos[[#This Row],[Divisa]]="EUR", I4177*$N$2, 0)))</f>
        <v>1950000</v>
      </c>
      <c r="K4177" s="54">
        <f>Gastos[[#This Row],[Importe AR$]]/$N$1</f>
        <v>1250</v>
      </c>
      <c r="M4177" s="69">
        <v>46037</v>
      </c>
      <c r="N4177" s="43">
        <f>IF(Gastos[[#This Row],[Fecha_Cheque]]&gt;0,WEEKNUM(Gastos[[#This Row],[Fecha_Cheque]]),MID(Gastos[[#This Row],[Semana]],6,2))</f>
        <v>3</v>
      </c>
      <c r="O4177" t="s">
        <v>2384</v>
      </c>
      <c r="P4177" t="s">
        <v>27</v>
      </c>
    </row>
    <row r="4178" spans="1:16" hidden="1" x14ac:dyDescent="0.25">
      <c r="A4178" s="3" t="s">
        <v>79</v>
      </c>
      <c r="B4178" t="s">
        <v>2377</v>
      </c>
      <c r="C4178" t="s">
        <v>2380</v>
      </c>
      <c r="D4178" t="s">
        <v>61</v>
      </c>
      <c r="E4178" t="s">
        <v>62</v>
      </c>
      <c r="F4178">
        <v>1</v>
      </c>
      <c r="G4178" s="3" t="s">
        <v>32</v>
      </c>
      <c r="H4178" s="46" t="s">
        <v>15</v>
      </c>
      <c r="I4178" s="17">
        <v>2063973.82</v>
      </c>
      <c r="J4178" s="17">
        <f>IF(Gastos[[#This Row],[Divisa]]="$", I4178*1, IF(Gastos[[#This Row],[Divisa]]="U$D", I4178*$N$1, IF(Gastos[[#This Row],[Divisa]]="EUR", I4178*$N$2, 0)))</f>
        <v>2063973.82</v>
      </c>
      <c r="K4178" s="54">
        <f>Gastos[[#This Row],[Importe AR$]]/$N$1</f>
        <v>1323.0601410256411</v>
      </c>
      <c r="M4178" s="69">
        <v>46045</v>
      </c>
      <c r="N4178" s="43">
        <f>IF(Gastos[[#This Row],[Fecha_Cheque]]&gt;0,WEEKNUM(Gastos[[#This Row],[Fecha_Cheque]]),MID(Gastos[[#This Row],[Semana]],6,2))</f>
        <v>4</v>
      </c>
      <c r="O4178" t="s">
        <v>2384</v>
      </c>
      <c r="P4178" t="s">
        <v>27</v>
      </c>
    </row>
    <row r="4179" spans="1:16" hidden="1" x14ac:dyDescent="0.25">
      <c r="A4179" s="3" t="s">
        <v>79</v>
      </c>
      <c r="B4179" t="s">
        <v>2377</v>
      </c>
      <c r="C4179" t="s">
        <v>2380</v>
      </c>
      <c r="D4179" t="s">
        <v>61</v>
      </c>
      <c r="E4179" t="s">
        <v>62</v>
      </c>
      <c r="F4179">
        <v>1</v>
      </c>
      <c r="G4179" s="3" t="s">
        <v>32</v>
      </c>
      <c r="H4179" s="46" t="s">
        <v>15</v>
      </c>
      <c r="I4179" s="17">
        <v>1950000</v>
      </c>
      <c r="J4179" s="17">
        <f>IF(Gastos[[#This Row],[Divisa]]="$", I4179*1, IF(Gastos[[#This Row],[Divisa]]="U$D", I4179*$N$1, IF(Gastos[[#This Row],[Divisa]]="EUR", I4179*$N$2, 0)))</f>
        <v>1950000</v>
      </c>
      <c r="K4179" s="54">
        <f>Gastos[[#This Row],[Importe AR$]]/$N$1</f>
        <v>1250</v>
      </c>
      <c r="M4179" s="69">
        <v>46030</v>
      </c>
      <c r="N4179" s="43">
        <f>IF(Gastos[[#This Row],[Fecha_Cheque]]&gt;0,WEEKNUM(Gastos[[#This Row],[Fecha_Cheque]]),MID(Gastos[[#This Row],[Semana]],6,2))</f>
        <v>2</v>
      </c>
      <c r="O4179" t="s">
        <v>2384</v>
      </c>
      <c r="P4179" t="s">
        <v>27</v>
      </c>
    </row>
    <row r="4180" spans="1:16" hidden="1" x14ac:dyDescent="0.25">
      <c r="A4180" s="3" t="s">
        <v>79</v>
      </c>
      <c r="B4180" t="s">
        <v>2377</v>
      </c>
      <c r="C4180" t="s">
        <v>2380</v>
      </c>
      <c r="D4180" t="s">
        <v>61</v>
      </c>
      <c r="E4180" t="s">
        <v>62</v>
      </c>
      <c r="F4180">
        <v>1</v>
      </c>
      <c r="G4180" s="3" t="s">
        <v>32</v>
      </c>
      <c r="H4180" s="46" t="s">
        <v>15</v>
      </c>
      <c r="I4180" s="17">
        <v>1950000</v>
      </c>
      <c r="J4180" s="17">
        <f>IF(Gastos[[#This Row],[Divisa]]="$", I4180*1, IF(Gastos[[#This Row],[Divisa]]="U$D", I4180*$N$1, IF(Gastos[[#This Row],[Divisa]]="EUR", I4180*$N$2, 0)))</f>
        <v>1950000</v>
      </c>
      <c r="K4180" s="54">
        <f>Gastos[[#This Row],[Importe AR$]]/$N$1</f>
        <v>1250</v>
      </c>
      <c r="M4180" s="69">
        <v>46030</v>
      </c>
      <c r="N4180" s="43">
        <f>IF(Gastos[[#This Row],[Fecha_Cheque]]&gt;0,WEEKNUM(Gastos[[#This Row],[Fecha_Cheque]]),MID(Gastos[[#This Row],[Semana]],6,2))</f>
        <v>2</v>
      </c>
      <c r="O4180" t="s">
        <v>2384</v>
      </c>
      <c r="P4180" t="s">
        <v>27</v>
      </c>
    </row>
    <row r="4181" spans="1:16" hidden="1" x14ac:dyDescent="0.25">
      <c r="A4181" s="3" t="s">
        <v>332</v>
      </c>
      <c r="B4181" t="s">
        <v>2377</v>
      </c>
      <c r="C4181" t="s">
        <v>2767</v>
      </c>
      <c r="D4181" t="s">
        <v>26</v>
      </c>
      <c r="E4181" t="s">
        <v>31</v>
      </c>
      <c r="F4181">
        <v>1</v>
      </c>
      <c r="G4181" s="3" t="s">
        <v>32</v>
      </c>
      <c r="H4181" s="46" t="s">
        <v>15</v>
      </c>
      <c r="I4181" s="17">
        <v>3706710</v>
      </c>
      <c r="J4181" s="17">
        <f>IF(Gastos[[#This Row],[Divisa]]="$", I4181*1, IF(Gastos[[#This Row],[Divisa]]="U$D", I4181*$N$1, IF(Gastos[[#This Row],[Divisa]]="EUR", I4181*$N$2, 0)))</f>
        <v>3706710</v>
      </c>
      <c r="K4181" s="54">
        <f>Gastos[[#This Row],[Importe AR$]]/$N$1</f>
        <v>2376.0961538461538</v>
      </c>
      <c r="L4181" t="s">
        <v>2768</v>
      </c>
      <c r="M4181" s="69">
        <v>46144</v>
      </c>
      <c r="N4181" s="43">
        <f>IF(Gastos[[#This Row],[Fecha_Cheque]]&gt;0,WEEKNUM(Gastos[[#This Row],[Fecha_Cheque]]),MID(Gastos[[#This Row],[Semana]],6,2))</f>
        <v>18</v>
      </c>
      <c r="O4181" t="s">
        <v>2769</v>
      </c>
      <c r="P4181" t="s">
        <v>27</v>
      </c>
    </row>
    <row r="4182" spans="1:16" hidden="1" x14ac:dyDescent="0.25">
      <c r="A4182" s="3" t="s">
        <v>332</v>
      </c>
      <c r="B4182" t="s">
        <v>2377</v>
      </c>
      <c r="C4182" t="s">
        <v>2767</v>
      </c>
      <c r="D4182" t="s">
        <v>26</v>
      </c>
      <c r="E4182" t="s">
        <v>31</v>
      </c>
      <c r="F4182">
        <v>1</v>
      </c>
      <c r="G4182" s="3" t="s">
        <v>32</v>
      </c>
      <c r="H4182" s="46" t="s">
        <v>15</v>
      </c>
      <c r="I4182" s="17">
        <v>3706710</v>
      </c>
      <c r="J4182" s="17">
        <f>IF(Gastos[[#This Row],[Divisa]]="$", I4182*1, IF(Gastos[[#This Row],[Divisa]]="U$D", I4182*$N$1, IF(Gastos[[#This Row],[Divisa]]="EUR", I4182*$N$2, 0)))</f>
        <v>3706710</v>
      </c>
      <c r="K4182" s="54">
        <f>Gastos[[#This Row],[Importe AR$]]/$N$1</f>
        <v>2376.0961538461538</v>
      </c>
      <c r="M4182" s="69">
        <v>46150</v>
      </c>
      <c r="N4182" s="43">
        <f>IF(Gastos[[#This Row],[Fecha_Cheque]]&gt;0,WEEKNUM(Gastos[[#This Row],[Fecha_Cheque]]),MID(Gastos[[#This Row],[Semana]],6,2))</f>
        <v>19</v>
      </c>
      <c r="O4182" t="s">
        <v>2769</v>
      </c>
      <c r="P4182" t="s">
        <v>27</v>
      </c>
    </row>
    <row r="4183" spans="1:16" hidden="1" x14ac:dyDescent="0.25">
      <c r="A4183" s="3" t="s">
        <v>332</v>
      </c>
      <c r="B4183" t="s">
        <v>2377</v>
      </c>
      <c r="C4183" t="s">
        <v>2767</v>
      </c>
      <c r="D4183" t="s">
        <v>26</v>
      </c>
      <c r="E4183" t="s">
        <v>31</v>
      </c>
      <c r="F4183">
        <v>1</v>
      </c>
      <c r="G4183" s="3" t="s">
        <v>32</v>
      </c>
      <c r="H4183" s="46" t="s">
        <v>15</v>
      </c>
      <c r="I4183" s="17">
        <v>120040</v>
      </c>
      <c r="J4183" s="17">
        <f>IF(Gastos[[#This Row],[Divisa]]="$", I4183*1, IF(Gastos[[#This Row],[Divisa]]="U$D", I4183*$N$1, IF(Gastos[[#This Row],[Divisa]]="EUR", I4183*$N$2, 0)))</f>
        <v>120040</v>
      </c>
      <c r="K4183" s="54">
        <f>Gastos[[#This Row],[Importe AR$]]/$N$1</f>
        <v>76.948717948717942</v>
      </c>
      <c r="M4183" s="69"/>
      <c r="N4183" s="43" t="str">
        <f>IF(Gastos[[#This Row],[Fecha_Cheque]]&gt;0,WEEKNUM(Gastos[[#This Row],[Fecha_Cheque]]),MID(Gastos[[#This Row],[Semana]],6,2))</f>
        <v>12</v>
      </c>
      <c r="O4183" t="s">
        <v>2769</v>
      </c>
      <c r="P4183" t="s">
        <v>27</v>
      </c>
    </row>
    <row r="4184" spans="1:16" hidden="1" x14ac:dyDescent="0.25">
      <c r="A4184" s="3" t="s">
        <v>2804</v>
      </c>
      <c r="B4184" t="s">
        <v>2377</v>
      </c>
      <c r="C4184" t="s">
        <v>3208</v>
      </c>
      <c r="D4184" t="s">
        <v>26</v>
      </c>
      <c r="E4184" t="s">
        <v>62</v>
      </c>
      <c r="F4184">
        <v>1</v>
      </c>
      <c r="G4184" s="3" t="s">
        <v>32</v>
      </c>
      <c r="H4184" s="46" t="s">
        <v>15</v>
      </c>
      <c r="I4184" s="17">
        <v>3732890</v>
      </c>
      <c r="J4184" s="17">
        <f>IF(Gastos[[#This Row],[Divisa]]="$", I4184*1, IF(Gastos[[#This Row],[Divisa]]="U$D", I4184*$N$1, IF(Gastos[[#This Row],[Divisa]]="EUR", I4184*$N$2, 0)))</f>
        <v>3732890</v>
      </c>
      <c r="K4184" s="54">
        <f>Gastos[[#This Row],[Importe AR$]]/$N$1</f>
        <v>2392.8782051282051</v>
      </c>
      <c r="M4184" s="69">
        <v>46191</v>
      </c>
      <c r="N4184" s="43">
        <f>IF(Gastos[[#This Row],[Fecha_Cheque]]&gt;0,WEEKNUM(Gastos[[#This Row],[Fecha_Cheque]]),MID(Gastos[[#This Row],[Semana]],6,2))</f>
        <v>25</v>
      </c>
      <c r="O4184" t="s">
        <v>3209</v>
      </c>
      <c r="P4184" t="s">
        <v>27</v>
      </c>
    </row>
    <row r="4185" spans="1:16" hidden="1" x14ac:dyDescent="0.25">
      <c r="A4185" s="3" t="s">
        <v>2804</v>
      </c>
      <c r="B4185" t="s">
        <v>2377</v>
      </c>
      <c r="C4185" t="s">
        <v>3208</v>
      </c>
      <c r="D4185" t="s">
        <v>26</v>
      </c>
      <c r="E4185" t="s">
        <v>62</v>
      </c>
      <c r="F4185">
        <v>1</v>
      </c>
      <c r="G4185" s="3" t="s">
        <v>32</v>
      </c>
      <c r="H4185" s="46" t="s">
        <v>15</v>
      </c>
      <c r="I4185" s="17">
        <v>3732780</v>
      </c>
      <c r="J4185" s="17">
        <f>IF(Gastos[[#This Row],[Divisa]]="$", I4185*1, IF(Gastos[[#This Row],[Divisa]]="U$D", I4185*$N$1, IF(Gastos[[#This Row],[Divisa]]="EUR", I4185*$N$2, 0)))</f>
        <v>3732780</v>
      </c>
      <c r="K4185" s="54">
        <f>Gastos[[#This Row],[Importe AR$]]/$N$1</f>
        <v>2392.8076923076924</v>
      </c>
      <c r="M4185" s="69">
        <v>46206</v>
      </c>
      <c r="N4185" s="43">
        <f>IF(Gastos[[#This Row],[Fecha_Cheque]]&gt;0,WEEKNUM(Gastos[[#This Row],[Fecha_Cheque]]),MID(Gastos[[#This Row],[Semana]],6,2))</f>
        <v>27</v>
      </c>
      <c r="O4185" t="s">
        <v>3209</v>
      </c>
      <c r="P4185" t="s">
        <v>27</v>
      </c>
    </row>
    <row r="4186" spans="1:16" hidden="1" x14ac:dyDescent="0.25">
      <c r="A4186" s="3" t="s">
        <v>2804</v>
      </c>
      <c r="B4186" t="s">
        <v>2377</v>
      </c>
      <c r="C4186" t="s">
        <v>3208</v>
      </c>
      <c r="D4186" t="s">
        <v>26</v>
      </c>
      <c r="E4186" t="s">
        <v>62</v>
      </c>
      <c r="F4186">
        <v>1</v>
      </c>
      <c r="G4186" s="3" t="s">
        <v>32</v>
      </c>
      <c r="H4186" s="46" t="s">
        <v>15</v>
      </c>
      <c r="I4186" s="17">
        <v>120920</v>
      </c>
      <c r="J4186" s="17">
        <f>IF(Gastos[[#This Row],[Divisa]]="$", I4186*1, IF(Gastos[[#This Row],[Divisa]]="U$D", I4186*$N$1, IF(Gastos[[#This Row],[Divisa]]="EUR", I4186*$N$2, 0)))</f>
        <v>120920</v>
      </c>
      <c r="K4186" s="54">
        <f>Gastos[[#This Row],[Importe AR$]]/$N$1</f>
        <v>77.512820512820511</v>
      </c>
      <c r="L4186" t="s">
        <v>340</v>
      </c>
      <c r="M4186" s="69"/>
      <c r="N4186" s="43" t="str">
        <f>IF(Gastos[[#This Row],[Fecha_Cheque]]&gt;0,WEEKNUM(Gastos[[#This Row],[Fecha_Cheque]]),MID(Gastos[[#This Row],[Semana]],6,2))</f>
        <v>19</v>
      </c>
      <c r="O4186" t="s">
        <v>3209</v>
      </c>
      <c r="P4186" t="s">
        <v>27</v>
      </c>
    </row>
    <row r="4187" spans="1:16" hidden="1" x14ac:dyDescent="0.25">
      <c r="A4187" s="3" t="s">
        <v>2841</v>
      </c>
      <c r="B4187" t="s">
        <v>2377</v>
      </c>
      <c r="C4187" t="s">
        <v>3336</v>
      </c>
      <c r="D4187" t="s">
        <v>61</v>
      </c>
      <c r="E4187" t="s">
        <v>62</v>
      </c>
      <c r="F4187">
        <v>1</v>
      </c>
      <c r="G4187" s="3" t="s">
        <v>32</v>
      </c>
      <c r="H4187" s="46" t="s">
        <v>15</v>
      </c>
      <c r="I4187" s="17">
        <v>355985</v>
      </c>
      <c r="J4187" s="17">
        <f>IF(Gastos[[#This Row],[Divisa]]="$", I4187*1, IF(Gastos[[#This Row],[Divisa]]="U$D", I4187*$N$1, IF(Gastos[[#This Row],[Divisa]]="EUR", I4187*$N$2, 0)))</f>
        <v>355985</v>
      </c>
      <c r="K4187" s="54">
        <f>Gastos[[#This Row],[Importe AR$]]/$N$1</f>
        <v>228.19551282051282</v>
      </c>
      <c r="M4187" s="69">
        <v>46192</v>
      </c>
      <c r="N4187" s="43">
        <f>IF(Gastos[[#This Row],[Fecha_Cheque]]&gt;0,WEEKNUM(Gastos[[#This Row],[Fecha_Cheque]]),MID(Gastos[[#This Row],[Semana]],6,2))</f>
        <v>25</v>
      </c>
      <c r="O4187" t="s">
        <v>3337</v>
      </c>
      <c r="P4187" t="s">
        <v>27</v>
      </c>
    </row>
    <row r="4188" spans="1:16" hidden="1" x14ac:dyDescent="0.25">
      <c r="A4188" s="3" t="s">
        <v>2841</v>
      </c>
      <c r="B4188" t="s">
        <v>2377</v>
      </c>
      <c r="C4188" t="s">
        <v>3336</v>
      </c>
      <c r="D4188" t="s">
        <v>61</v>
      </c>
      <c r="E4188" t="s">
        <v>62</v>
      </c>
      <c r="F4188">
        <v>1</v>
      </c>
      <c r="G4188" s="3" t="s">
        <v>32</v>
      </c>
      <c r="H4188" s="46" t="s">
        <v>15</v>
      </c>
      <c r="I4188" s="17">
        <v>1524000</v>
      </c>
      <c r="J4188" s="17">
        <f>IF(Gastos[[#This Row],[Divisa]]="$", I4188*1, IF(Gastos[[#This Row],[Divisa]]="U$D", I4188*$N$1, IF(Gastos[[#This Row],[Divisa]]="EUR", I4188*$N$2, 0)))</f>
        <v>1524000</v>
      </c>
      <c r="K4188" s="54">
        <f>Gastos[[#This Row],[Importe AR$]]/$N$1</f>
        <v>976.92307692307691</v>
      </c>
      <c r="M4188" s="69">
        <v>46193</v>
      </c>
      <c r="N4188" s="43">
        <f>IF(Gastos[[#This Row],[Fecha_Cheque]]&gt;0,WEEKNUM(Gastos[[#This Row],[Fecha_Cheque]]),MID(Gastos[[#This Row],[Semana]],6,2))</f>
        <v>25</v>
      </c>
      <c r="O4188" t="s">
        <v>3337</v>
      </c>
      <c r="P4188" t="s">
        <v>27</v>
      </c>
    </row>
    <row r="4189" spans="1:16" hidden="1" x14ac:dyDescent="0.25">
      <c r="A4189" s="3" t="s">
        <v>2841</v>
      </c>
      <c r="B4189" t="s">
        <v>2377</v>
      </c>
      <c r="C4189" t="s">
        <v>3336</v>
      </c>
      <c r="D4189" t="s">
        <v>61</v>
      </c>
      <c r="E4189" t="s">
        <v>62</v>
      </c>
      <c r="F4189">
        <v>1</v>
      </c>
      <c r="G4189" s="3" t="s">
        <v>32</v>
      </c>
      <c r="H4189" s="46" t="s">
        <v>15</v>
      </c>
      <c r="I4189" s="17">
        <v>26594.13</v>
      </c>
      <c r="J4189" s="17">
        <f>IF(Gastos[[#This Row],[Divisa]]="$", I4189*1, IF(Gastos[[#This Row],[Divisa]]="U$D", I4189*$N$1, IF(Gastos[[#This Row],[Divisa]]="EUR", I4189*$N$2, 0)))</f>
        <v>26594.13</v>
      </c>
      <c r="K4189" s="54">
        <f>Gastos[[#This Row],[Importe AR$]]/$N$1</f>
        <v>17.047519230769232</v>
      </c>
      <c r="L4189" t="s">
        <v>340</v>
      </c>
      <c r="M4189" s="69"/>
      <c r="N4189" s="43" t="str">
        <f>IF(Gastos[[#This Row],[Fecha_Cheque]]&gt;0,WEEKNUM(Gastos[[#This Row],[Fecha_Cheque]]),MID(Gastos[[#This Row],[Semana]],6,2))</f>
        <v>22</v>
      </c>
      <c r="O4189" t="s">
        <v>3337</v>
      </c>
      <c r="P4189" t="s">
        <v>27</v>
      </c>
    </row>
    <row r="4190" spans="1:16" hidden="1" x14ac:dyDescent="0.25">
      <c r="A4190" s="3" t="s">
        <v>2726</v>
      </c>
      <c r="B4190" t="s">
        <v>2377</v>
      </c>
      <c r="C4190" t="s">
        <v>3339</v>
      </c>
      <c r="D4190" t="s">
        <v>61</v>
      </c>
      <c r="E4190" t="s">
        <v>31</v>
      </c>
      <c r="F4190">
        <v>1</v>
      </c>
      <c r="G4190" s="3" t="s">
        <v>32</v>
      </c>
      <c r="H4190" s="46" t="s">
        <v>15</v>
      </c>
      <c r="I4190" s="17">
        <v>2075080</v>
      </c>
      <c r="J4190" s="17">
        <f>IF(Gastos[[#This Row],[Divisa]]="$", I4190*1, IF(Gastos[[#This Row],[Divisa]]="U$D", I4190*$N$1, IF(Gastos[[#This Row],[Divisa]]="EUR", I4190*$N$2, 0)))</f>
        <v>2075080</v>
      </c>
      <c r="K4190" s="54">
        <f>Gastos[[#This Row],[Importe AR$]]/$N$1</f>
        <v>1330.1794871794871</v>
      </c>
      <c r="M4190" s="69">
        <v>46215</v>
      </c>
      <c r="N4190" s="43">
        <f>IF(Gastos[[#This Row],[Fecha_Cheque]]&gt;0,WEEKNUM(Gastos[[#This Row],[Fecha_Cheque]]),MID(Gastos[[#This Row],[Semana]],6,2))</f>
        <v>29</v>
      </c>
      <c r="O4190" t="s">
        <v>3447</v>
      </c>
      <c r="P4190" t="s">
        <v>27</v>
      </c>
    </row>
    <row r="4191" spans="1:16" hidden="1" x14ac:dyDescent="0.25">
      <c r="A4191" s="3" t="s">
        <v>2726</v>
      </c>
      <c r="B4191" t="s">
        <v>2377</v>
      </c>
      <c r="C4191" t="s">
        <v>3339</v>
      </c>
      <c r="D4191" t="s">
        <v>61</v>
      </c>
      <c r="E4191" t="s">
        <v>31</v>
      </c>
      <c r="F4191">
        <v>1</v>
      </c>
      <c r="G4191" s="3" t="s">
        <v>32</v>
      </c>
      <c r="H4191" s="46" t="s">
        <v>15</v>
      </c>
      <c r="I4191" s="17">
        <v>30320</v>
      </c>
      <c r="J4191" s="17">
        <f>IF(Gastos[[#This Row],[Divisa]]="$", I4191*1, IF(Gastos[[#This Row],[Divisa]]="U$D", I4191*$N$1, IF(Gastos[[#This Row],[Divisa]]="EUR", I4191*$N$2, 0)))</f>
        <v>30320</v>
      </c>
      <c r="K4191" s="54">
        <f>Gastos[[#This Row],[Importe AR$]]/$N$1</f>
        <v>19.435897435897434</v>
      </c>
      <c r="L4191" t="s">
        <v>340</v>
      </c>
      <c r="M4191" s="69"/>
      <c r="N4191" s="43" t="str">
        <f>IF(Gastos[[#This Row],[Fecha_Cheque]]&gt;0,WEEKNUM(Gastos[[#This Row],[Fecha_Cheque]]),MID(Gastos[[#This Row],[Semana]],6,2))</f>
        <v>24</v>
      </c>
      <c r="O4191" t="s">
        <v>3447</v>
      </c>
      <c r="P4191" t="s">
        <v>27</v>
      </c>
    </row>
    <row r="4192" spans="1:16" hidden="1" x14ac:dyDescent="0.25">
      <c r="A4192" s="3" t="s">
        <v>3693</v>
      </c>
      <c r="B4192" t="s">
        <v>2377</v>
      </c>
      <c r="C4192" t="s">
        <v>3756</v>
      </c>
      <c r="D4192" t="s">
        <v>26</v>
      </c>
      <c r="E4192" t="s">
        <v>62</v>
      </c>
      <c r="F4192">
        <v>1</v>
      </c>
      <c r="G4192" s="3" t="s">
        <v>32</v>
      </c>
      <c r="H4192" s="44" t="s">
        <v>15</v>
      </c>
      <c r="I4192" s="17">
        <v>2618473</v>
      </c>
      <c r="J4192" s="17">
        <f>IF(Gastos[[#This Row],[Divisa]]="$", I4192*1, IF(Gastos[[#This Row],[Divisa]]="U$D", I4192*$N$1, IF(Gastos[[#This Row],[Divisa]]="EUR", I4192*$N$2, 0)))</f>
        <v>2618473</v>
      </c>
      <c r="K4192" s="54">
        <f>Gastos[[#This Row],[Importe AR$]]/$N$1</f>
        <v>1678.5083333333334</v>
      </c>
      <c r="M4192" s="69">
        <v>46230</v>
      </c>
      <c r="N4192" s="43">
        <f>IF(Gastos[[#This Row],[Fecha_Cheque]]&gt;0,WEEKNUM(Gastos[[#This Row],[Fecha_Cheque]]),MID(Gastos[[#This Row],[Semana]],6,2))</f>
        <v>31</v>
      </c>
      <c r="O4192" t="s">
        <v>3757</v>
      </c>
      <c r="P4192" t="s">
        <v>27</v>
      </c>
    </row>
    <row r="4193" spans="1:16" hidden="1" x14ac:dyDescent="0.25">
      <c r="A4193" s="3" t="s">
        <v>3693</v>
      </c>
      <c r="B4193" t="s">
        <v>2377</v>
      </c>
      <c r="C4193" t="s">
        <v>3756</v>
      </c>
      <c r="D4193" t="s">
        <v>26</v>
      </c>
      <c r="E4193" t="s">
        <v>62</v>
      </c>
      <c r="F4193">
        <v>1</v>
      </c>
      <c r="G4193" s="3" t="s">
        <v>32</v>
      </c>
      <c r="H4193" s="44" t="s">
        <v>15</v>
      </c>
      <c r="I4193" s="17">
        <v>1148379.3999999999</v>
      </c>
      <c r="J4193" s="17">
        <f>IF(Gastos[[#This Row],[Divisa]]="$", I4193*1, IF(Gastos[[#This Row],[Divisa]]="U$D", I4193*$N$1, IF(Gastos[[#This Row],[Divisa]]="EUR", I4193*$N$2, 0)))</f>
        <v>1148379.3999999999</v>
      </c>
      <c r="K4193" s="54">
        <f>Gastos[[#This Row],[Importe AR$]]/$N$1</f>
        <v>736.140641025641</v>
      </c>
      <c r="M4193" s="69">
        <v>46231</v>
      </c>
      <c r="N4193" s="43">
        <f>IF(Gastos[[#This Row],[Fecha_Cheque]]&gt;0,WEEKNUM(Gastos[[#This Row],[Fecha_Cheque]]),MID(Gastos[[#This Row],[Semana]],6,2))</f>
        <v>31</v>
      </c>
      <c r="O4193" t="s">
        <v>3757</v>
      </c>
      <c r="P4193" t="s">
        <v>27</v>
      </c>
    </row>
    <row r="4194" spans="1:16" hidden="1" x14ac:dyDescent="0.25">
      <c r="A4194" s="3" t="s">
        <v>3693</v>
      </c>
      <c r="B4194" t="s">
        <v>2377</v>
      </c>
      <c r="C4194" t="s">
        <v>3756</v>
      </c>
      <c r="D4194" t="s">
        <v>26</v>
      </c>
      <c r="E4194" t="s">
        <v>62</v>
      </c>
      <c r="F4194">
        <v>1</v>
      </c>
      <c r="G4194" s="3" t="s">
        <v>32</v>
      </c>
      <c r="H4194" s="44" t="s">
        <v>15</v>
      </c>
      <c r="I4194" s="17">
        <v>57782.02</v>
      </c>
      <c r="J4194" s="17">
        <f>IF(Gastos[[#This Row],[Divisa]]="$", I4194*1, IF(Gastos[[#This Row],[Divisa]]="U$D", I4194*$N$1, IF(Gastos[[#This Row],[Divisa]]="EUR", I4194*$N$2, 0)))</f>
        <v>57782.02</v>
      </c>
      <c r="K4194" s="54">
        <f>Gastos[[#This Row],[Importe AR$]]/$N$1</f>
        <v>37.039756410256409</v>
      </c>
      <c r="L4194" t="s">
        <v>340</v>
      </c>
      <c r="M4194" s="69"/>
      <c r="N4194" s="43" t="str">
        <f>IF(Gastos[[#This Row],[Fecha_Cheque]]&gt;0,WEEKNUM(Gastos[[#This Row],[Fecha_Cheque]]),MID(Gastos[[#This Row],[Semana]],6,2))</f>
        <v>28</v>
      </c>
      <c r="O4194" t="s">
        <v>3757</v>
      </c>
      <c r="P4194" t="s">
        <v>27</v>
      </c>
    </row>
    <row r="4195" spans="1:16" hidden="1" x14ac:dyDescent="0.25">
      <c r="A4195" s="3" t="s">
        <v>4157</v>
      </c>
      <c r="B4195" t="s">
        <v>2377</v>
      </c>
      <c r="C4195" t="s">
        <v>3887</v>
      </c>
      <c r="D4195" t="s">
        <v>26</v>
      </c>
      <c r="E4195" t="s">
        <v>62</v>
      </c>
      <c r="F4195">
        <v>1</v>
      </c>
      <c r="G4195" s="3" t="s">
        <v>32</v>
      </c>
      <c r="H4195" s="44" t="s">
        <v>15</v>
      </c>
      <c r="I4195" s="17">
        <v>4304308.8</v>
      </c>
      <c r="J4195" s="17">
        <f>IF(Gastos[[#This Row],[Divisa]]="$", I4195*1, IF(Gastos[[#This Row],[Divisa]]="U$D", I4195*$N$1, IF(Gastos[[#This Row],[Divisa]]="EUR", I4195*$N$2, 0)))</f>
        <v>4304308.8</v>
      </c>
      <c r="K4195" s="54">
        <f>Gastos[[#This Row],[Importe AR$]]/$N$1</f>
        <v>2759.1723076923076</v>
      </c>
      <c r="M4195" s="69">
        <v>46293</v>
      </c>
      <c r="N4195" s="43">
        <f>IF(Gastos[[#This Row],[Fecha_Cheque]]&gt;0,WEEKNUM(Gastos[[#This Row],[Fecha_Cheque]]),MID(Gastos[[#This Row],[Semana]],6,2))</f>
        <v>40</v>
      </c>
      <c r="O4195" t="s">
        <v>4190</v>
      </c>
      <c r="P4195" t="s">
        <v>27</v>
      </c>
    </row>
    <row r="4196" spans="1:16" hidden="1" x14ac:dyDescent="0.25">
      <c r="A4196" s="3" t="s">
        <v>4157</v>
      </c>
      <c r="B4196" t="s">
        <v>2377</v>
      </c>
      <c r="C4196" t="s">
        <v>3887</v>
      </c>
      <c r="D4196" t="s">
        <v>26</v>
      </c>
      <c r="E4196" t="s">
        <v>62</v>
      </c>
      <c r="F4196">
        <v>1</v>
      </c>
      <c r="G4196" s="3" t="s">
        <v>32</v>
      </c>
      <c r="H4196" s="44" t="s">
        <v>15</v>
      </c>
      <c r="I4196" s="17">
        <v>81606.179999999993</v>
      </c>
      <c r="J4196" s="17">
        <f>IF(Gastos[[#This Row],[Divisa]]="$", I4196*1, IF(Gastos[[#This Row],[Divisa]]="U$D", I4196*$N$1, IF(Gastos[[#This Row],[Divisa]]="EUR", I4196*$N$2, 0)))</f>
        <v>81606.179999999993</v>
      </c>
      <c r="K4196" s="54">
        <f>Gastos[[#This Row],[Importe AR$]]/$N$1</f>
        <v>52.311653846153838</v>
      </c>
      <c r="L4196" t="s">
        <v>340</v>
      </c>
      <c r="M4196" s="69"/>
      <c r="N4196" s="43" t="str">
        <f>IF(Gastos[[#This Row],[Fecha_Cheque]]&gt;0,WEEKNUM(Gastos[[#This Row],[Fecha_Cheque]]),MID(Gastos[[#This Row],[Semana]],6,2))</f>
        <v>36</v>
      </c>
      <c r="O4196" t="s">
        <v>4190</v>
      </c>
      <c r="P4196" t="s">
        <v>27</v>
      </c>
    </row>
    <row r="4197" spans="1:16" hidden="1" x14ac:dyDescent="0.25">
      <c r="A4197" s="3" t="s">
        <v>4513</v>
      </c>
      <c r="B4197" t="s">
        <v>2377</v>
      </c>
      <c r="C4197" t="s">
        <v>3886</v>
      </c>
      <c r="D4197" t="s">
        <v>26</v>
      </c>
      <c r="E4197" t="s">
        <v>62</v>
      </c>
      <c r="F4197">
        <v>1</v>
      </c>
      <c r="G4197" s="3" t="s">
        <v>32</v>
      </c>
      <c r="H4197" s="46" t="s">
        <v>15</v>
      </c>
      <c r="I4197" s="17">
        <v>2400000</v>
      </c>
      <c r="J4197" s="17">
        <f>IF(Gastos[[#This Row],[Divisa]]="$", I4197*1, IF(Gastos[[#This Row],[Divisa]]="U$D", I4197*$N$1, IF(Gastos[[#This Row],[Divisa]]="EUR", I4197*$N$2, 0)))</f>
        <v>2400000</v>
      </c>
      <c r="K4197" s="54">
        <f>Gastos[[#This Row],[Importe AR$]]/$N$1</f>
        <v>1538.4615384615386</v>
      </c>
      <c r="M4197" s="69">
        <v>46365</v>
      </c>
      <c r="N4197" s="43">
        <f>IF(Gastos[[#This Row],[Fecha_Cheque]]&gt;0,WEEKNUM(Gastos[[#This Row],[Fecha_Cheque]]),MID(Gastos[[#This Row],[Semana]],6,2))</f>
        <v>50</v>
      </c>
      <c r="O4197" t="s">
        <v>4565</v>
      </c>
      <c r="P4197" t="s">
        <v>27</v>
      </c>
    </row>
    <row r="4198" spans="1:16" hidden="1" x14ac:dyDescent="0.25">
      <c r="A4198" s="3" t="s">
        <v>4513</v>
      </c>
      <c r="B4198" t="s">
        <v>2377</v>
      </c>
      <c r="C4198" t="s">
        <v>3886</v>
      </c>
      <c r="D4198" t="s">
        <v>26</v>
      </c>
      <c r="E4198" t="s">
        <v>62</v>
      </c>
      <c r="F4198">
        <v>1</v>
      </c>
      <c r="G4198" s="3" t="s">
        <v>32</v>
      </c>
      <c r="H4198" s="46" t="s">
        <v>15</v>
      </c>
      <c r="I4198" s="17">
        <v>2400000</v>
      </c>
      <c r="J4198" s="17">
        <f>IF(Gastos[[#This Row],[Divisa]]="$", I4198*1, IF(Gastos[[#This Row],[Divisa]]="U$D", I4198*$N$1, IF(Gastos[[#This Row],[Divisa]]="EUR", I4198*$N$2, 0)))</f>
        <v>2400000</v>
      </c>
      <c r="K4198" s="54">
        <f>Gastos[[#This Row],[Importe AR$]]/$N$1</f>
        <v>1538.4615384615386</v>
      </c>
      <c r="M4198" s="69">
        <v>46370</v>
      </c>
      <c r="N4198" s="43">
        <f>IF(Gastos[[#This Row],[Fecha_Cheque]]&gt;0,WEEKNUM(Gastos[[#This Row],[Fecha_Cheque]]),MID(Gastos[[#This Row],[Semana]],6,2))</f>
        <v>51</v>
      </c>
      <c r="O4198" t="s">
        <v>4565</v>
      </c>
      <c r="P4198" t="s">
        <v>27</v>
      </c>
    </row>
    <row r="4199" spans="1:16" hidden="1" x14ac:dyDescent="0.25">
      <c r="A4199" s="3" t="s">
        <v>4513</v>
      </c>
      <c r="B4199" t="s">
        <v>2377</v>
      </c>
      <c r="C4199" t="s">
        <v>3886</v>
      </c>
      <c r="D4199" t="s">
        <v>26</v>
      </c>
      <c r="E4199" t="s">
        <v>62</v>
      </c>
      <c r="F4199">
        <v>1</v>
      </c>
      <c r="G4199" s="3" t="s">
        <v>32</v>
      </c>
      <c r="H4199" s="46" t="s">
        <v>15</v>
      </c>
      <c r="I4199" s="17">
        <v>91520</v>
      </c>
      <c r="J4199" s="17">
        <f>IF(Gastos[[#This Row],[Divisa]]="$", I4199*1, IF(Gastos[[#This Row],[Divisa]]="U$D", I4199*$N$1, IF(Gastos[[#This Row],[Divisa]]="EUR", I4199*$N$2, 0)))</f>
        <v>91520</v>
      </c>
      <c r="K4199" s="54">
        <f>Gastos[[#This Row],[Importe AR$]]/$N$1</f>
        <v>58.666666666666664</v>
      </c>
      <c r="L4199" t="s">
        <v>340</v>
      </c>
      <c r="M4199" s="69"/>
      <c r="N4199" s="43" t="str">
        <f>IF(Gastos[[#This Row],[Fecha_Cheque]]&gt;0,WEEKNUM(Gastos[[#This Row],[Fecha_Cheque]]),MID(Gastos[[#This Row],[Semana]],6,2))</f>
        <v>42</v>
      </c>
      <c r="O4199" t="s">
        <v>4565</v>
      </c>
      <c r="P4199" t="s">
        <v>27</v>
      </c>
    </row>
    <row r="4200" spans="1:16" x14ac:dyDescent="0.25">
      <c r="A4200" s="3" t="s">
        <v>4655</v>
      </c>
      <c r="B4200" t="s">
        <v>2198</v>
      </c>
      <c r="C4200" t="s">
        <v>3446</v>
      </c>
      <c r="D4200" t="s">
        <v>26</v>
      </c>
      <c r="E4200" t="s">
        <v>62</v>
      </c>
      <c r="F4200">
        <v>2</v>
      </c>
      <c r="G4200" s="3" t="s">
        <v>32</v>
      </c>
      <c r="H4200" s="44" t="s">
        <v>15</v>
      </c>
      <c r="I4200" s="17">
        <v>2500000</v>
      </c>
      <c r="J4200" s="17">
        <f>IF(Gastos[[#This Row],[Divisa]]="$", I4200*1, IF(Gastos[[#This Row],[Divisa]]="U$D", I4200*$N$1, IF(Gastos[[#This Row],[Divisa]]="EUR", I4200*$N$2, 0)))</f>
        <v>2500000</v>
      </c>
      <c r="K4200" s="54">
        <f>Gastos[[#This Row],[Importe AR$]]/$N$1</f>
        <v>1602.5641025641025</v>
      </c>
      <c r="M4200" s="69"/>
      <c r="N4200" s="43" t="str">
        <f>IF(Gastos[[#This Row],[Fecha_Cheque]]&gt;0,WEEKNUM(Gastos[[#This Row],[Fecha_Cheque]]),MID(Gastos[[#This Row],[Semana]],6,2))</f>
        <v>44</v>
      </c>
    </row>
    <row r="4201" spans="1:16" hidden="1" x14ac:dyDescent="0.25">
      <c r="A4201" s="3" t="s">
        <v>99</v>
      </c>
      <c r="B4201" t="s">
        <v>2392</v>
      </c>
      <c r="C4201" t="s">
        <v>2393</v>
      </c>
      <c r="D4201" t="s">
        <v>26</v>
      </c>
      <c r="E4201" t="s">
        <v>31</v>
      </c>
      <c r="F4201">
        <v>1</v>
      </c>
      <c r="G4201" s="3" t="s">
        <v>5</v>
      </c>
      <c r="H4201" s="46" t="s">
        <v>15</v>
      </c>
      <c r="I4201" s="17">
        <f>445000+143999.99</f>
        <v>588999.99</v>
      </c>
      <c r="J4201" s="17">
        <f>IF(Gastos[[#This Row],[Divisa]]="$", I4201*1, IF(Gastos[[#This Row],[Divisa]]="U$D", I4201*$N$1, IF(Gastos[[#This Row],[Divisa]]="EUR", I4201*$N$2, 0)))</f>
        <v>588999.99</v>
      </c>
      <c r="K4201" s="54">
        <f>Gastos[[#This Row],[Importe AR$]]/$N$1</f>
        <v>377.56409615384615</v>
      </c>
      <c r="M4201" s="69"/>
      <c r="N4201" s="43" t="str">
        <f>IF(Gastos[[#This Row],[Fecha_Cheque]]&gt;0,WEEKNUM(Gastos[[#This Row],[Fecha_Cheque]]),MID(Gastos[[#This Row],[Semana]],6,2))</f>
        <v>28</v>
      </c>
      <c r="O4201" t="s">
        <v>2394</v>
      </c>
      <c r="P4201" t="s">
        <v>27</v>
      </c>
    </row>
    <row r="4202" spans="1:16" hidden="1" x14ac:dyDescent="0.25">
      <c r="A4202" s="3" t="s">
        <v>232</v>
      </c>
      <c r="B4202" t="s">
        <v>2395</v>
      </c>
      <c r="C4202" t="s">
        <v>2396</v>
      </c>
      <c r="D4202" t="s">
        <v>26</v>
      </c>
      <c r="E4202" t="s">
        <v>42</v>
      </c>
      <c r="F4202">
        <v>2</v>
      </c>
      <c r="G4202" s="3" t="s">
        <v>4</v>
      </c>
      <c r="H4202" s="46" t="s">
        <v>15</v>
      </c>
      <c r="I4202" s="17">
        <v>250000</v>
      </c>
      <c r="J4202" s="17">
        <f>IF(Gastos[[#This Row],[Divisa]]="$", I4202*1, IF(Gastos[[#This Row],[Divisa]]="U$D", I4202*$N$1, IF(Gastos[[#This Row],[Divisa]]="EUR", I4202*$N$2, 0)))</f>
        <v>250000</v>
      </c>
      <c r="K4202" s="54">
        <f>Gastos[[#This Row],[Importe AR$]]/$N$1</f>
        <v>160.25641025641025</v>
      </c>
      <c r="M4202" s="69"/>
      <c r="N4202" s="43" t="str">
        <f>IF(Gastos[[#This Row],[Fecha_Cheque]]&gt;0,WEEKNUM(Gastos[[#This Row],[Fecha_Cheque]]),MID(Gastos[[#This Row],[Semana]],6,2))</f>
        <v>44</v>
      </c>
      <c r="O4202" t="s">
        <v>2397</v>
      </c>
      <c r="P4202" t="s">
        <v>27</v>
      </c>
    </row>
    <row r="4203" spans="1:16" hidden="1" x14ac:dyDescent="0.25">
      <c r="A4203" s="3" t="s">
        <v>44</v>
      </c>
      <c r="B4203" t="s">
        <v>2395</v>
      </c>
      <c r="C4203" t="s">
        <v>2398</v>
      </c>
      <c r="D4203" t="s">
        <v>26</v>
      </c>
      <c r="E4203" t="s">
        <v>42</v>
      </c>
      <c r="F4203">
        <v>2</v>
      </c>
      <c r="G4203" s="3" t="s">
        <v>4</v>
      </c>
      <c r="H4203" s="46" t="s">
        <v>15</v>
      </c>
      <c r="I4203" s="17">
        <v>120000</v>
      </c>
      <c r="J4203" s="17">
        <f>IF(Gastos[[#This Row],[Divisa]]="$", I4203*1, IF(Gastos[[#This Row],[Divisa]]="U$D", I4203*$N$1, IF(Gastos[[#This Row],[Divisa]]="EUR", I4203*$N$2, 0)))</f>
        <v>120000</v>
      </c>
      <c r="K4203" s="54">
        <f>Gastos[[#This Row],[Importe AR$]]/$N$1</f>
        <v>76.92307692307692</v>
      </c>
      <c r="M4203" s="69"/>
      <c r="N4203" s="43" t="str">
        <f>IF(Gastos[[#This Row],[Fecha_Cheque]]&gt;0,WEEKNUM(Gastos[[#This Row],[Fecha_Cheque]]),MID(Gastos[[#This Row],[Semana]],6,2))</f>
        <v>51</v>
      </c>
      <c r="O4203" t="s">
        <v>2399</v>
      </c>
      <c r="P4203" t="s">
        <v>27</v>
      </c>
    </row>
    <row r="4204" spans="1:16" hidden="1" x14ac:dyDescent="0.25">
      <c r="A4204" s="3" t="s">
        <v>68</v>
      </c>
      <c r="B4204" t="s">
        <v>2395</v>
      </c>
      <c r="C4204" t="s">
        <v>2400</v>
      </c>
      <c r="D4204" t="s">
        <v>26</v>
      </c>
      <c r="E4204" t="s">
        <v>42</v>
      </c>
      <c r="F4204">
        <v>2</v>
      </c>
      <c r="G4204" s="3" t="s">
        <v>4</v>
      </c>
      <c r="H4204" s="46" t="s">
        <v>15</v>
      </c>
      <c r="I4204" s="17">
        <v>150000</v>
      </c>
      <c r="J4204" s="17">
        <f>IF(Gastos[[#This Row],[Divisa]]="$", I4204*1, IF(Gastos[[#This Row],[Divisa]]="U$D", I4204*$N$1, IF(Gastos[[#This Row],[Divisa]]="EUR", I4204*$N$2, 0)))</f>
        <v>150000</v>
      </c>
      <c r="K4204" s="54">
        <f>Gastos[[#This Row],[Importe AR$]]/$N$1</f>
        <v>96.15384615384616</v>
      </c>
      <c r="M4204" s="69"/>
      <c r="N4204" s="43" t="str">
        <f>IF(Gastos[[#This Row],[Fecha_Cheque]]&gt;0,WEEKNUM(Gastos[[#This Row],[Fecha_Cheque]]),MID(Gastos[[#This Row],[Semana]],6,2))</f>
        <v>05</v>
      </c>
      <c r="O4204" t="s">
        <v>2401</v>
      </c>
      <c r="P4204" t="s">
        <v>27</v>
      </c>
    </row>
    <row r="4205" spans="1:16" hidden="1" x14ac:dyDescent="0.25">
      <c r="A4205" s="3" t="s">
        <v>719</v>
      </c>
      <c r="B4205" t="s">
        <v>2402</v>
      </c>
      <c r="D4205" t="s">
        <v>26</v>
      </c>
      <c r="E4205" t="s">
        <v>31</v>
      </c>
      <c r="F4205">
        <v>2</v>
      </c>
      <c r="G4205" s="3" t="s">
        <v>4</v>
      </c>
      <c r="H4205" s="46" t="s">
        <v>15</v>
      </c>
      <c r="I4205" s="17">
        <v>51036.6</v>
      </c>
      <c r="J4205" s="17">
        <f>IF(Gastos[[#This Row],[Divisa]]="$", I4205*1, IF(Gastos[[#This Row],[Divisa]]="U$D", I4205*$N$1, IF(Gastos[[#This Row],[Divisa]]="EUR", I4205*$N$2, 0)))</f>
        <v>51036.6</v>
      </c>
      <c r="K4205" s="54">
        <f>Gastos[[#This Row],[Importe AR$]]/$N$1</f>
        <v>32.715769230769233</v>
      </c>
      <c r="M4205" s="69"/>
      <c r="N4205" s="43" t="str">
        <f>IF(Gastos[[#This Row],[Fecha_Cheque]]&gt;0,WEEKNUM(Gastos[[#This Row],[Fecha_Cheque]]),MID(Gastos[[#This Row],[Semana]],6,2))</f>
        <v>20</v>
      </c>
      <c r="P4205" t="s">
        <v>27</v>
      </c>
    </row>
    <row r="4206" spans="1:16" hidden="1" x14ac:dyDescent="0.25">
      <c r="A4206" s="3" t="s">
        <v>2804</v>
      </c>
      <c r="B4206" t="s">
        <v>3220</v>
      </c>
      <c r="C4206" t="s">
        <v>2331</v>
      </c>
      <c r="D4206" t="s">
        <v>26</v>
      </c>
      <c r="E4206" t="s">
        <v>62</v>
      </c>
      <c r="F4206">
        <v>1</v>
      </c>
      <c r="G4206" s="3" t="s">
        <v>32</v>
      </c>
      <c r="H4206" s="44" t="s">
        <v>15</v>
      </c>
      <c r="I4206" s="17">
        <v>183902</v>
      </c>
      <c r="J4206" s="17">
        <f>IF(Gastos[[#This Row],[Divisa]]="$", I4206*1, IF(Gastos[[#This Row],[Divisa]]="U$D", I4206*$N$1, IF(Gastos[[#This Row],[Divisa]]="EUR", I4206*$N$2, 0)))</f>
        <v>183902</v>
      </c>
      <c r="K4206" s="54">
        <f>Gastos[[#This Row],[Importe AR$]]/$N$1</f>
        <v>117.88589743589743</v>
      </c>
      <c r="M4206" s="69">
        <v>46196</v>
      </c>
      <c r="N4206" s="43">
        <f>IF(Gastos[[#This Row],[Fecha_Cheque]]&gt;0,WEEKNUM(Gastos[[#This Row],[Fecha_Cheque]]),MID(Gastos[[#This Row],[Semana]],6,2))</f>
        <v>26</v>
      </c>
      <c r="O4206" t="s">
        <v>3221</v>
      </c>
      <c r="P4206" t="s">
        <v>27</v>
      </c>
    </row>
    <row r="4207" spans="1:16" hidden="1" x14ac:dyDescent="0.25">
      <c r="A4207" s="3" t="s">
        <v>4569</v>
      </c>
      <c r="B4207" t="s">
        <v>4627</v>
      </c>
      <c r="C4207" t="s">
        <v>4628</v>
      </c>
      <c r="D4207" t="s">
        <v>26</v>
      </c>
      <c r="E4207" t="s">
        <v>31</v>
      </c>
      <c r="F4207">
        <v>1</v>
      </c>
      <c r="G4207" s="3" t="s">
        <v>5</v>
      </c>
      <c r="H4207" s="44" t="s">
        <v>15</v>
      </c>
      <c r="I4207" s="17">
        <v>17000</v>
      </c>
      <c r="J4207" s="17">
        <f>IF(Gastos[[#This Row],[Divisa]]="$", I4207*1, IF(Gastos[[#This Row],[Divisa]]="U$D", I4207*$N$1, IF(Gastos[[#This Row],[Divisa]]="EUR", I4207*$N$2, 0)))</f>
        <v>17000</v>
      </c>
      <c r="K4207" s="54">
        <f>Gastos[[#This Row],[Importe AR$]]/$N$1</f>
        <v>10.897435897435898</v>
      </c>
      <c r="M4207" s="69"/>
      <c r="N4207" s="43" t="str">
        <f>IF(Gastos[[#This Row],[Fecha_Cheque]]&gt;0,WEEKNUM(Gastos[[#This Row],[Fecha_Cheque]]),MID(Gastos[[#This Row],[Semana]],6,2))</f>
        <v>43</v>
      </c>
      <c r="O4207" t="s">
        <v>4629</v>
      </c>
      <c r="P4207" t="s">
        <v>27</v>
      </c>
    </row>
    <row r="4208" spans="1:16" hidden="1" x14ac:dyDescent="0.25">
      <c r="A4208" s="3" t="s">
        <v>75</v>
      </c>
      <c r="B4208" t="s">
        <v>2403</v>
      </c>
      <c r="C4208" t="s">
        <v>1267</v>
      </c>
      <c r="D4208" t="s">
        <v>26</v>
      </c>
      <c r="E4208" t="s">
        <v>31</v>
      </c>
      <c r="F4208">
        <v>1</v>
      </c>
      <c r="G4208" s="3" t="s">
        <v>5</v>
      </c>
      <c r="H4208" s="46" t="s">
        <v>15</v>
      </c>
      <c r="I4208" s="17">
        <v>240000</v>
      </c>
      <c r="J4208" s="17">
        <f>IF(Gastos[[#This Row],[Divisa]]="$", I4208*1, IF(Gastos[[#This Row],[Divisa]]="U$D", I4208*$N$1, IF(Gastos[[#This Row],[Divisa]]="EUR", I4208*$N$2, 0)))</f>
        <v>240000</v>
      </c>
      <c r="K4208" s="54">
        <f>Gastos[[#This Row],[Importe AR$]]/$N$1</f>
        <v>153.84615384615384</v>
      </c>
      <c r="M4208" s="69"/>
      <c r="N4208" s="43" t="str">
        <f>IF(Gastos[[#This Row],[Fecha_Cheque]]&gt;0,WEEKNUM(Gastos[[#This Row],[Fecha_Cheque]]),MID(Gastos[[#This Row],[Semana]],6,2))</f>
        <v>07</v>
      </c>
      <c r="O4208" t="s">
        <v>2404</v>
      </c>
      <c r="P4208" t="s">
        <v>27</v>
      </c>
    </row>
    <row r="4209" spans="1:16" hidden="1" x14ac:dyDescent="0.25">
      <c r="A4209" s="3" t="s">
        <v>4211</v>
      </c>
      <c r="B4209" t="s">
        <v>4301</v>
      </c>
      <c r="C4209" t="s">
        <v>155</v>
      </c>
      <c r="D4209" t="s">
        <v>26</v>
      </c>
      <c r="E4209" t="s">
        <v>42</v>
      </c>
      <c r="F4209">
        <v>1</v>
      </c>
      <c r="G4209" s="3" t="s">
        <v>4</v>
      </c>
      <c r="H4209" s="44" t="s">
        <v>15</v>
      </c>
      <c r="I4209" s="17">
        <v>10000.81</v>
      </c>
      <c r="J4209" s="17">
        <f>IF(Gastos[[#This Row],[Divisa]]="$", I4209*1, IF(Gastos[[#This Row],[Divisa]]="U$D", I4209*$N$1, IF(Gastos[[#This Row],[Divisa]]="EUR", I4209*$N$2, 0)))</f>
        <v>10000.81</v>
      </c>
      <c r="K4209" s="54">
        <f>Gastos[[#This Row],[Importe AR$]]/$N$1</f>
        <v>6.4107756410256407</v>
      </c>
      <c r="M4209" s="69"/>
      <c r="N4209" s="43" t="str">
        <f>IF(Gastos[[#This Row],[Fecha_Cheque]]&gt;0,WEEKNUM(Gastos[[#This Row],[Fecha_Cheque]]),MID(Gastos[[#This Row],[Semana]],6,2))</f>
        <v>37</v>
      </c>
      <c r="O4209" t="s">
        <v>4302</v>
      </c>
      <c r="P4209" t="s">
        <v>27</v>
      </c>
    </row>
    <row r="4210" spans="1:16" hidden="1" x14ac:dyDescent="0.25">
      <c r="A4210" s="3" t="s">
        <v>2726</v>
      </c>
      <c r="B4210" t="s">
        <v>3448</v>
      </c>
      <c r="C4210" t="s">
        <v>3449</v>
      </c>
      <c r="D4210" t="s">
        <v>26</v>
      </c>
      <c r="E4210" t="s">
        <v>42</v>
      </c>
      <c r="F4210">
        <v>1</v>
      </c>
      <c r="G4210" s="3" t="s">
        <v>4</v>
      </c>
      <c r="H4210" s="44" t="s">
        <v>15</v>
      </c>
      <c r="I4210" s="17">
        <v>3500</v>
      </c>
      <c r="J4210" s="17">
        <f>IF(Gastos[[#This Row],[Divisa]]="$", I4210*1, IF(Gastos[[#This Row],[Divisa]]="U$D", I4210*$N$1, IF(Gastos[[#This Row],[Divisa]]="EUR", I4210*$N$2, 0)))</f>
        <v>3500</v>
      </c>
      <c r="K4210" s="54">
        <f>Gastos[[#This Row],[Importe AR$]]/$N$1</f>
        <v>2.2435897435897436</v>
      </c>
      <c r="M4210" s="69"/>
      <c r="N4210" s="43" t="str">
        <f>IF(Gastos[[#This Row],[Fecha_Cheque]]&gt;0,WEEKNUM(Gastos[[#This Row],[Fecha_Cheque]]),MID(Gastos[[#This Row],[Semana]],6,2))</f>
        <v>24</v>
      </c>
      <c r="O4210" t="s">
        <v>3450</v>
      </c>
      <c r="P4210" t="s">
        <v>27</v>
      </c>
    </row>
    <row r="4211" spans="1:16" hidden="1" x14ac:dyDescent="0.25">
      <c r="A4211" s="3" t="s">
        <v>85</v>
      </c>
      <c r="B4211" t="s">
        <v>2405</v>
      </c>
      <c r="C4211" t="s">
        <v>574</v>
      </c>
      <c r="D4211" t="s">
        <v>26</v>
      </c>
      <c r="E4211" t="s">
        <v>31</v>
      </c>
      <c r="F4211">
        <v>1</v>
      </c>
      <c r="G4211" s="3" t="s">
        <v>32</v>
      </c>
      <c r="H4211" s="46" t="s">
        <v>15</v>
      </c>
      <c r="I4211" s="17">
        <v>1000000</v>
      </c>
      <c r="J4211" s="17">
        <f>IF(Gastos[[#This Row],[Divisa]]="$", I4211*1, IF(Gastos[[#This Row],[Divisa]]="U$D", I4211*$N$1, IF(Gastos[[#This Row],[Divisa]]="EUR", I4211*$N$2, 0)))</f>
        <v>1000000</v>
      </c>
      <c r="K4211" s="54">
        <f>Gastos[[#This Row],[Importe AR$]]/$N$1</f>
        <v>641.02564102564099</v>
      </c>
      <c r="L4211" t="s">
        <v>983</v>
      </c>
      <c r="M4211" s="69">
        <v>45851</v>
      </c>
      <c r="N4211" s="43">
        <f>IF(Gastos[[#This Row],[Fecha_Cheque]]&gt;0,WEEKNUM(Gastos[[#This Row],[Fecha_Cheque]]),MID(Gastos[[#This Row],[Semana]],6,2))</f>
        <v>29</v>
      </c>
      <c r="O4211" t="s">
        <v>2406</v>
      </c>
      <c r="P4211" t="s">
        <v>27</v>
      </c>
    </row>
    <row r="4212" spans="1:16" hidden="1" x14ac:dyDescent="0.25">
      <c r="A4212" s="3" t="s">
        <v>85</v>
      </c>
      <c r="B4212" t="s">
        <v>2405</v>
      </c>
      <c r="C4212" t="s">
        <v>574</v>
      </c>
      <c r="D4212" t="s">
        <v>26</v>
      </c>
      <c r="E4212" t="s">
        <v>31</v>
      </c>
      <c r="F4212">
        <v>1</v>
      </c>
      <c r="G4212" s="3" t="s">
        <v>5</v>
      </c>
      <c r="H4212" s="46" t="s">
        <v>15</v>
      </c>
      <c r="I4212" s="17">
        <v>901595.71</v>
      </c>
      <c r="J4212" s="17">
        <f>IF(Gastos[[#This Row],[Divisa]]="$", I4212*1, IF(Gastos[[#This Row],[Divisa]]="U$D", I4212*$N$1, IF(Gastos[[#This Row],[Divisa]]="EUR", I4212*$N$2, 0)))</f>
        <v>901595.71</v>
      </c>
      <c r="K4212" s="54">
        <f>Gastos[[#This Row],[Importe AR$]]/$N$1</f>
        <v>577.94596794871791</v>
      </c>
      <c r="M4212" s="69"/>
      <c r="N4212" s="43" t="str">
        <f>IF(Gastos[[#This Row],[Fecha_Cheque]]&gt;0,WEEKNUM(Gastos[[#This Row],[Fecha_Cheque]]),MID(Gastos[[#This Row],[Semana]],6,2))</f>
        <v>26</v>
      </c>
      <c r="O4212" t="s">
        <v>2406</v>
      </c>
      <c r="P4212" t="s">
        <v>27</v>
      </c>
    </row>
    <row r="4213" spans="1:16" hidden="1" x14ac:dyDescent="0.25">
      <c r="A4213" s="3" t="s">
        <v>89</v>
      </c>
      <c r="B4213" t="s">
        <v>2407</v>
      </c>
      <c r="C4213" t="s">
        <v>2188</v>
      </c>
      <c r="D4213" t="s">
        <v>26</v>
      </c>
      <c r="E4213" t="s">
        <v>31</v>
      </c>
      <c r="F4213">
        <v>1</v>
      </c>
      <c r="G4213" s="3" t="s">
        <v>5</v>
      </c>
      <c r="H4213" s="46" t="s">
        <v>15</v>
      </c>
      <c r="I4213" s="17">
        <v>72004.97</v>
      </c>
      <c r="J4213" s="17">
        <f>IF(Gastos[[#This Row],[Divisa]]="$", I4213*1, IF(Gastos[[#This Row],[Divisa]]="U$D", I4213*$N$1, IF(Gastos[[#This Row],[Divisa]]="EUR", I4213*$N$2, 0)))</f>
        <v>72004.97</v>
      </c>
      <c r="K4213" s="54">
        <f>Gastos[[#This Row],[Importe AR$]]/$N$1</f>
        <v>46.157032051282052</v>
      </c>
      <c r="M4213" s="69"/>
      <c r="N4213" s="43" t="str">
        <f>IF(Gastos[[#This Row],[Fecha_Cheque]]&gt;0,WEEKNUM(Gastos[[#This Row],[Fecha_Cheque]]),MID(Gastos[[#This Row],[Semana]],6,2))</f>
        <v>39</v>
      </c>
      <c r="O4213" t="s">
        <v>2408</v>
      </c>
      <c r="P4213" t="s">
        <v>27</v>
      </c>
    </row>
    <row r="4214" spans="1:16" hidden="1" x14ac:dyDescent="0.25">
      <c r="A4214" s="3" t="s">
        <v>305</v>
      </c>
      <c r="B4214" t="s">
        <v>2409</v>
      </c>
      <c r="C4214" t="s">
        <v>2410</v>
      </c>
      <c r="D4214" t="s">
        <v>26</v>
      </c>
      <c r="E4214" t="s">
        <v>31</v>
      </c>
      <c r="F4214">
        <v>1</v>
      </c>
      <c r="G4214" s="3" t="s">
        <v>5</v>
      </c>
      <c r="H4214" s="46" t="s">
        <v>15</v>
      </c>
      <c r="I4214" s="17">
        <v>2900</v>
      </c>
      <c r="J4214" s="17">
        <f>IF(Gastos[[#This Row],[Divisa]]="$", I4214*1, IF(Gastos[[#This Row],[Divisa]]="U$D", I4214*$N$1, IF(Gastos[[#This Row],[Divisa]]="EUR", I4214*$N$2, 0)))</f>
        <v>2900</v>
      </c>
      <c r="K4214" s="54">
        <f>Gastos[[#This Row],[Importe AR$]]/$N$1</f>
        <v>1.858974358974359</v>
      </c>
      <c r="M4214" s="69"/>
      <c r="N4214" s="43" t="str">
        <f>IF(Gastos[[#This Row],[Fecha_Cheque]]&gt;0,WEEKNUM(Gastos[[#This Row],[Fecha_Cheque]]),MID(Gastos[[#This Row],[Semana]],6,2))</f>
        <v>31</v>
      </c>
      <c r="O4214" t="s">
        <v>123</v>
      </c>
      <c r="P4214" t="s">
        <v>27</v>
      </c>
    </row>
    <row r="4215" spans="1:16" hidden="1" x14ac:dyDescent="0.25">
      <c r="A4215" s="3" t="s">
        <v>4447</v>
      </c>
      <c r="B4215" t="s">
        <v>4136</v>
      </c>
      <c r="C4215" t="s">
        <v>4137</v>
      </c>
      <c r="D4215" t="s">
        <v>26</v>
      </c>
      <c r="E4215" t="s">
        <v>31</v>
      </c>
      <c r="F4215">
        <v>1</v>
      </c>
      <c r="G4215" s="3" t="s">
        <v>32</v>
      </c>
      <c r="H4215" s="44" t="s">
        <v>15</v>
      </c>
      <c r="I4215" s="17">
        <v>1509012.74</v>
      </c>
      <c r="J4215" s="17">
        <f>IF(Gastos[[#This Row],[Divisa]]="$", I4215*1, IF(Gastos[[#This Row],[Divisa]]="U$D", I4215*$N$1, IF(Gastos[[#This Row],[Divisa]]="EUR", I4215*$N$2, 0)))</f>
        <v>1509012.74</v>
      </c>
      <c r="K4215" s="54">
        <f>Gastos[[#This Row],[Importe AR$]]/$N$1</f>
        <v>967.315858974359</v>
      </c>
      <c r="M4215" s="69">
        <v>46346</v>
      </c>
      <c r="N4215" s="43">
        <f>IF(Gastos[[#This Row],[Fecha_Cheque]]&gt;0,WEEKNUM(Gastos[[#This Row],[Fecha_Cheque]]),MID(Gastos[[#This Row],[Semana]],6,2))</f>
        <v>47</v>
      </c>
      <c r="O4215" t="s">
        <v>4481</v>
      </c>
      <c r="P4215" t="s">
        <v>27</v>
      </c>
    </row>
    <row r="4216" spans="1:16" hidden="1" x14ac:dyDescent="0.25">
      <c r="A4216" s="3" t="s">
        <v>4447</v>
      </c>
      <c r="B4216" t="s">
        <v>4136</v>
      </c>
      <c r="C4216" t="s">
        <v>4137</v>
      </c>
      <c r="D4216" t="s">
        <v>26</v>
      </c>
      <c r="E4216" t="s">
        <v>31</v>
      </c>
      <c r="F4216">
        <v>1</v>
      </c>
      <c r="G4216" s="3" t="s">
        <v>32</v>
      </c>
      <c r="H4216" s="44" t="s">
        <v>15</v>
      </c>
      <c r="I4216" s="17">
        <v>25700.25</v>
      </c>
      <c r="J4216" s="17">
        <f>IF(Gastos[[#This Row],[Divisa]]="$", I4216*1, IF(Gastos[[#This Row],[Divisa]]="U$D", I4216*$N$1, IF(Gastos[[#This Row],[Divisa]]="EUR", I4216*$N$2, 0)))</f>
        <v>25700.25</v>
      </c>
      <c r="K4216" s="54">
        <f>Gastos[[#This Row],[Importe AR$]]/$N$1</f>
        <v>16.474519230769232</v>
      </c>
      <c r="L4216" t="s">
        <v>340</v>
      </c>
      <c r="M4216" s="69"/>
      <c r="N4216" s="43" t="str">
        <f>IF(Gastos[[#This Row],[Fecha_Cheque]]&gt;0,WEEKNUM(Gastos[[#This Row],[Fecha_Cheque]]),MID(Gastos[[#This Row],[Semana]],6,2))</f>
        <v>41</v>
      </c>
      <c r="O4216" t="s">
        <v>4481</v>
      </c>
      <c r="P4216" t="s">
        <v>27</v>
      </c>
    </row>
    <row r="4217" spans="1:16" hidden="1" x14ac:dyDescent="0.25">
      <c r="A4217" s="3" t="s">
        <v>4513</v>
      </c>
      <c r="B4217" t="s">
        <v>4136</v>
      </c>
      <c r="C4217" t="s">
        <v>4558</v>
      </c>
      <c r="D4217" t="s">
        <v>26</v>
      </c>
      <c r="E4217" t="s">
        <v>31</v>
      </c>
      <c r="F4217">
        <v>1</v>
      </c>
      <c r="G4217" s="3" t="s">
        <v>5</v>
      </c>
      <c r="H4217" s="44" t="s">
        <v>15</v>
      </c>
      <c r="I4217" s="17">
        <v>135116.17000000001</v>
      </c>
      <c r="J4217" s="17">
        <f>IF(Gastos[[#This Row],[Divisa]]="$", I4217*1, IF(Gastos[[#This Row],[Divisa]]="U$D", I4217*$N$1, IF(Gastos[[#This Row],[Divisa]]="EUR", I4217*$N$2, 0)))</f>
        <v>135116.17000000001</v>
      </c>
      <c r="K4217" s="54">
        <f>Gastos[[#This Row],[Importe AR$]]/$N$1</f>
        <v>86.6129294871795</v>
      </c>
      <c r="M4217" s="69"/>
      <c r="N4217" s="43" t="str">
        <f>IF(Gastos[[#This Row],[Fecha_Cheque]]&gt;0,WEEKNUM(Gastos[[#This Row],[Fecha_Cheque]]),MID(Gastos[[#This Row],[Semana]],6,2))</f>
        <v>42</v>
      </c>
      <c r="O4217" t="s">
        <v>4559</v>
      </c>
      <c r="P4217" t="s">
        <v>27</v>
      </c>
    </row>
    <row r="4218" spans="1:16" hidden="1" x14ac:dyDescent="0.25">
      <c r="A4218" s="3" t="s">
        <v>1193</v>
      </c>
      <c r="B4218" t="s">
        <v>2411</v>
      </c>
      <c r="C4218" t="s">
        <v>2412</v>
      </c>
      <c r="D4218" t="s">
        <v>26</v>
      </c>
      <c r="E4218" t="s">
        <v>31</v>
      </c>
      <c r="F4218">
        <v>1</v>
      </c>
      <c r="G4218" s="3" t="s">
        <v>5</v>
      </c>
      <c r="H4218" s="46" t="s">
        <v>15</v>
      </c>
      <c r="I4218" s="17">
        <v>43600</v>
      </c>
      <c r="J4218" s="17">
        <f>IF(Gastos[[#This Row],[Divisa]]="$", I4218*1, IF(Gastos[[#This Row],[Divisa]]="U$D", I4218*$N$1, IF(Gastos[[#This Row],[Divisa]]="EUR", I4218*$N$2, 0)))</f>
        <v>43600</v>
      </c>
      <c r="K4218" s="54">
        <f>Gastos[[#This Row],[Importe AR$]]/$N$1</f>
        <v>27.948717948717949</v>
      </c>
      <c r="M4218" s="69"/>
      <c r="N4218" s="43" t="str">
        <f>IF(Gastos[[#This Row],[Fecha_Cheque]]&gt;0,WEEKNUM(Gastos[[#This Row],[Fecha_Cheque]]),MID(Gastos[[#This Row],[Semana]],6,2))</f>
        <v>05</v>
      </c>
      <c r="O4218" t="s">
        <v>2413</v>
      </c>
      <c r="P4218" t="s">
        <v>27</v>
      </c>
    </row>
    <row r="4219" spans="1:16" hidden="1" x14ac:dyDescent="0.25">
      <c r="A4219" s="3" t="s">
        <v>130</v>
      </c>
      <c r="B4219" t="s">
        <v>2411</v>
      </c>
      <c r="C4219" t="s">
        <v>2414</v>
      </c>
      <c r="D4219" t="s">
        <v>26</v>
      </c>
      <c r="E4219" t="s">
        <v>31</v>
      </c>
      <c r="F4219">
        <v>1</v>
      </c>
      <c r="G4219" s="3" t="s">
        <v>32</v>
      </c>
      <c r="H4219" s="46" t="s">
        <v>15</v>
      </c>
      <c r="I4219" s="17">
        <v>913010.59</v>
      </c>
      <c r="J4219" s="17">
        <f>IF(Gastos[[#This Row],[Divisa]]="$", I4219*1, IF(Gastos[[#This Row],[Divisa]]="U$D", I4219*$N$1, IF(Gastos[[#This Row],[Divisa]]="EUR", I4219*$N$2, 0)))</f>
        <v>913010.59</v>
      </c>
      <c r="K4219" s="54">
        <f>Gastos[[#This Row],[Importe AR$]]/$N$1</f>
        <v>585.26319871794874</v>
      </c>
      <c r="M4219" s="69">
        <v>45981</v>
      </c>
      <c r="N4219" s="43">
        <f>IF(Gastos[[#This Row],[Fecha_Cheque]]&gt;0,WEEKNUM(Gastos[[#This Row],[Fecha_Cheque]]),MID(Gastos[[#This Row],[Semana]],6,2))</f>
        <v>47</v>
      </c>
      <c r="O4219" t="s">
        <v>2415</v>
      </c>
      <c r="P4219" t="s">
        <v>27</v>
      </c>
    </row>
    <row r="4220" spans="1:16" hidden="1" x14ac:dyDescent="0.25">
      <c r="A4220" s="3" t="s">
        <v>79</v>
      </c>
      <c r="B4220" t="s">
        <v>2411</v>
      </c>
      <c r="C4220" t="s">
        <v>2416</v>
      </c>
      <c r="D4220" t="s">
        <v>26</v>
      </c>
      <c r="E4220" t="s">
        <v>31</v>
      </c>
      <c r="F4220">
        <v>1</v>
      </c>
      <c r="G4220" s="3" t="s">
        <v>32</v>
      </c>
      <c r="H4220" s="46" t="s">
        <v>15</v>
      </c>
      <c r="I4220" s="17">
        <v>391814.66</v>
      </c>
      <c r="J4220" s="17">
        <f>IF(Gastos[[#This Row],[Divisa]]="$", I4220*1, IF(Gastos[[#This Row],[Divisa]]="U$D", I4220*$N$1, IF(Gastos[[#This Row],[Divisa]]="EUR", I4220*$N$2, 0)))</f>
        <v>391814.66</v>
      </c>
      <c r="K4220" s="54">
        <f>Gastos[[#This Row],[Importe AR$]]/$N$1</f>
        <v>251.16324358974359</v>
      </c>
      <c r="M4220" s="69">
        <v>46008</v>
      </c>
      <c r="N4220" s="43">
        <f>IF(Gastos[[#This Row],[Fecha_Cheque]]&gt;0,WEEKNUM(Gastos[[#This Row],[Fecha_Cheque]]),MID(Gastos[[#This Row],[Semana]],6,2))</f>
        <v>51</v>
      </c>
      <c r="O4220" t="s">
        <v>2417</v>
      </c>
      <c r="P4220" t="s">
        <v>27</v>
      </c>
    </row>
    <row r="4221" spans="1:16" hidden="1" x14ac:dyDescent="0.25">
      <c r="A4221" s="3" t="s">
        <v>144</v>
      </c>
      <c r="B4221" t="s">
        <v>2418</v>
      </c>
      <c r="C4221" t="s">
        <v>1297</v>
      </c>
      <c r="D4221" t="s">
        <v>26</v>
      </c>
      <c r="E4221" t="s">
        <v>31</v>
      </c>
      <c r="F4221">
        <v>1</v>
      </c>
      <c r="G4221" s="3" t="s">
        <v>5</v>
      </c>
      <c r="H4221" s="46" t="s">
        <v>15</v>
      </c>
      <c r="I4221" s="17">
        <v>245500</v>
      </c>
      <c r="J4221" s="17">
        <f>IF(Gastos[[#This Row],[Divisa]]="$", I4221*1, IF(Gastos[[#This Row],[Divisa]]="U$D", I4221*$N$1, IF(Gastos[[#This Row],[Divisa]]="EUR", I4221*$N$2, 0)))</f>
        <v>245500</v>
      </c>
      <c r="K4221" s="54">
        <f>Gastos[[#This Row],[Importe AR$]]/$N$1</f>
        <v>157.37179487179486</v>
      </c>
      <c r="M4221" s="69"/>
      <c r="N4221" s="43" t="str">
        <f>IF(Gastos[[#This Row],[Fecha_Cheque]]&gt;0,WEEKNUM(Gastos[[#This Row],[Fecha_Cheque]]),MID(Gastos[[#This Row],[Semana]],6,2))</f>
        <v>16</v>
      </c>
      <c r="O4221" t="s">
        <v>2419</v>
      </c>
      <c r="P4221" t="s">
        <v>27</v>
      </c>
    </row>
    <row r="4222" spans="1:16" hidden="1" x14ac:dyDescent="0.25">
      <c r="A4222" s="3" t="s">
        <v>144</v>
      </c>
      <c r="B4222" t="s">
        <v>2418</v>
      </c>
      <c r="C4222" t="s">
        <v>1297</v>
      </c>
      <c r="D4222" t="s">
        <v>26</v>
      </c>
      <c r="E4222" t="s">
        <v>31</v>
      </c>
      <c r="F4222">
        <v>1</v>
      </c>
      <c r="G4222" s="3" t="s">
        <v>5</v>
      </c>
      <c r="H4222" s="46" t="s">
        <v>15</v>
      </c>
      <c r="I4222" s="17">
        <v>103400</v>
      </c>
      <c r="J4222" s="17">
        <f>IF(Gastos[[#This Row],[Divisa]]="$", I4222*1, IF(Gastos[[#This Row],[Divisa]]="U$D", I4222*$N$1, IF(Gastos[[#This Row],[Divisa]]="EUR", I4222*$N$2, 0)))</f>
        <v>103400</v>
      </c>
      <c r="K4222" s="54">
        <f>Gastos[[#This Row],[Importe AR$]]/$N$1</f>
        <v>66.282051282051285</v>
      </c>
      <c r="M4222" s="69"/>
      <c r="N4222" s="43" t="str">
        <f>IF(Gastos[[#This Row],[Fecha_Cheque]]&gt;0,WEEKNUM(Gastos[[#This Row],[Fecha_Cheque]]),MID(Gastos[[#This Row],[Semana]],6,2))</f>
        <v>16</v>
      </c>
      <c r="O4222" t="s">
        <v>2419</v>
      </c>
      <c r="P4222" t="s">
        <v>27</v>
      </c>
    </row>
    <row r="4223" spans="1:16" hidden="1" x14ac:dyDescent="0.25">
      <c r="A4223" s="3" t="s">
        <v>210</v>
      </c>
      <c r="B4223" t="s">
        <v>2418</v>
      </c>
      <c r="C4223" t="s">
        <v>1297</v>
      </c>
      <c r="D4223" t="s">
        <v>26</v>
      </c>
      <c r="E4223" t="s">
        <v>31</v>
      </c>
      <c r="F4223">
        <v>1</v>
      </c>
      <c r="G4223" s="3" t="s">
        <v>5</v>
      </c>
      <c r="H4223" s="46" t="s">
        <v>15</v>
      </c>
      <c r="I4223" s="17">
        <v>2700</v>
      </c>
      <c r="J4223" s="17">
        <f>IF(Gastos[[#This Row],[Divisa]]="$", I4223*1, IF(Gastos[[#This Row],[Divisa]]="U$D", I4223*$N$1, IF(Gastos[[#This Row],[Divisa]]="EUR", I4223*$N$2, 0)))</f>
        <v>2700</v>
      </c>
      <c r="K4223" s="54">
        <f>Gastos[[#This Row],[Importe AR$]]/$N$1</f>
        <v>1.7307692307692308</v>
      </c>
      <c r="M4223" s="69"/>
      <c r="N4223" s="43" t="str">
        <f>IF(Gastos[[#This Row],[Fecha_Cheque]]&gt;0,WEEKNUM(Gastos[[#This Row],[Fecha_Cheque]]),MID(Gastos[[#This Row],[Semana]],6,2))</f>
        <v>37</v>
      </c>
      <c r="O4223" t="s">
        <v>2420</v>
      </c>
      <c r="P4223" t="s">
        <v>27</v>
      </c>
    </row>
    <row r="4224" spans="1:16" hidden="1" x14ac:dyDescent="0.25">
      <c r="A4224" s="3" t="s">
        <v>122</v>
      </c>
      <c r="B4224" t="s">
        <v>2418</v>
      </c>
      <c r="C4224" t="s">
        <v>2421</v>
      </c>
      <c r="D4224" t="s">
        <v>26</v>
      </c>
      <c r="E4224" t="s">
        <v>31</v>
      </c>
      <c r="F4224">
        <v>1</v>
      </c>
      <c r="G4224" s="3" t="s">
        <v>5</v>
      </c>
      <c r="H4224" s="46" t="s">
        <v>15</v>
      </c>
      <c r="I4224" s="17">
        <v>47300</v>
      </c>
      <c r="J4224" s="17">
        <f>IF(Gastos[[#This Row],[Divisa]]="$", I4224*1, IF(Gastos[[#This Row],[Divisa]]="U$D", I4224*$N$1, IF(Gastos[[#This Row],[Divisa]]="EUR", I4224*$N$2, 0)))</f>
        <v>47300</v>
      </c>
      <c r="K4224" s="54">
        <f>Gastos[[#This Row],[Importe AR$]]/$N$1</f>
        <v>30.320512820512821</v>
      </c>
      <c r="M4224" s="69"/>
      <c r="N4224" s="43" t="str">
        <f>IF(Gastos[[#This Row],[Fecha_Cheque]]&gt;0,WEEKNUM(Gastos[[#This Row],[Fecha_Cheque]]),MID(Gastos[[#This Row],[Semana]],6,2))</f>
        <v>40</v>
      </c>
      <c r="O4224" t="s">
        <v>2422</v>
      </c>
      <c r="P4224" t="s">
        <v>27</v>
      </c>
    </row>
    <row r="4225" spans="1:16" hidden="1" x14ac:dyDescent="0.25">
      <c r="A4225" s="3" t="s">
        <v>232</v>
      </c>
      <c r="B4225" t="s">
        <v>2418</v>
      </c>
      <c r="C4225" t="s">
        <v>2423</v>
      </c>
      <c r="D4225" t="s">
        <v>26</v>
      </c>
      <c r="E4225" t="s">
        <v>31</v>
      </c>
      <c r="F4225">
        <v>1</v>
      </c>
      <c r="G4225" s="3" t="s">
        <v>5</v>
      </c>
      <c r="H4225" s="46" t="s">
        <v>15</v>
      </c>
      <c r="I4225" s="17">
        <f>353000+110400</f>
        <v>463400</v>
      </c>
      <c r="J4225" s="17">
        <f>IF(Gastos[[#This Row],[Divisa]]="$", I4225*1, IF(Gastos[[#This Row],[Divisa]]="U$D", I4225*$N$1, IF(Gastos[[#This Row],[Divisa]]="EUR", I4225*$N$2, 0)))</f>
        <v>463400</v>
      </c>
      <c r="K4225" s="54">
        <f>Gastos[[#This Row],[Importe AR$]]/$N$1</f>
        <v>297.05128205128204</v>
      </c>
      <c r="M4225" s="69"/>
      <c r="N4225" s="43" t="str">
        <f>IF(Gastos[[#This Row],[Fecha_Cheque]]&gt;0,WEEKNUM(Gastos[[#This Row],[Fecha_Cheque]]),MID(Gastos[[#This Row],[Semana]],6,2))</f>
        <v>44</v>
      </c>
      <c r="O4225" t="s">
        <v>2424</v>
      </c>
      <c r="P4225" t="s">
        <v>27</v>
      </c>
    </row>
    <row r="4226" spans="1:16" hidden="1" x14ac:dyDescent="0.25">
      <c r="A4226" s="3" t="s">
        <v>2804</v>
      </c>
      <c r="B4226" t="s">
        <v>3212</v>
      </c>
      <c r="C4226" t="s">
        <v>3213</v>
      </c>
      <c r="D4226" t="s">
        <v>26</v>
      </c>
      <c r="E4226" t="s">
        <v>31</v>
      </c>
      <c r="F4226">
        <v>1</v>
      </c>
      <c r="G4226" s="3" t="s">
        <v>32</v>
      </c>
      <c r="H4226" s="44" t="s">
        <v>15</v>
      </c>
      <c r="I4226" s="17">
        <v>614232.06999999995</v>
      </c>
      <c r="J4226" s="17">
        <f>IF(Gastos[[#This Row],[Divisa]]="$", I4226*1, IF(Gastos[[#This Row],[Divisa]]="U$D", I4226*$N$1, IF(Gastos[[#This Row],[Divisa]]="EUR", I4226*$N$2, 0)))</f>
        <v>614232.06999999995</v>
      </c>
      <c r="K4226" s="54">
        <f>Gastos[[#This Row],[Importe AR$]]/$N$1</f>
        <v>393.73850641025638</v>
      </c>
      <c r="M4226" s="69">
        <v>46167</v>
      </c>
      <c r="N4226" s="43">
        <f>IF(Gastos[[#This Row],[Fecha_Cheque]]&gt;0,WEEKNUM(Gastos[[#This Row],[Fecha_Cheque]]),MID(Gastos[[#This Row],[Semana]],6,2))</f>
        <v>22</v>
      </c>
      <c r="O4226" t="s">
        <v>3214</v>
      </c>
      <c r="P4226" t="s">
        <v>27</v>
      </c>
    </row>
    <row r="4227" spans="1:16" hidden="1" x14ac:dyDescent="0.25">
      <c r="A4227" s="3" t="s">
        <v>2804</v>
      </c>
      <c r="B4227" t="s">
        <v>3212</v>
      </c>
      <c r="C4227" t="s">
        <v>3213</v>
      </c>
      <c r="D4227" t="s">
        <v>26</v>
      </c>
      <c r="E4227" t="s">
        <v>31</v>
      </c>
      <c r="F4227">
        <v>1</v>
      </c>
      <c r="G4227" s="3" t="s">
        <v>32</v>
      </c>
      <c r="H4227" s="44" t="s">
        <v>15</v>
      </c>
      <c r="I4227" s="17">
        <v>5767.93</v>
      </c>
      <c r="J4227" s="17">
        <f>IF(Gastos[[#This Row],[Divisa]]="$", I4227*1, IF(Gastos[[#This Row],[Divisa]]="U$D", I4227*$N$1, IF(Gastos[[#This Row],[Divisa]]="EUR", I4227*$N$2, 0)))</f>
        <v>5767.93</v>
      </c>
      <c r="K4227" s="54">
        <f>Gastos[[#This Row],[Importe AR$]]/$N$1</f>
        <v>3.6973910256410258</v>
      </c>
      <c r="L4227" t="s">
        <v>340</v>
      </c>
      <c r="M4227" s="69"/>
      <c r="N4227" s="43" t="str">
        <f>IF(Gastos[[#This Row],[Fecha_Cheque]]&gt;0,WEEKNUM(Gastos[[#This Row],[Fecha_Cheque]]),MID(Gastos[[#This Row],[Semana]],6,2))</f>
        <v>19</v>
      </c>
      <c r="O4227" t="s">
        <v>3214</v>
      </c>
      <c r="P4227" t="s">
        <v>27</v>
      </c>
    </row>
    <row r="4228" spans="1:16" hidden="1" x14ac:dyDescent="0.25">
      <c r="A4228" s="3" t="s">
        <v>719</v>
      </c>
      <c r="B4228" t="s">
        <v>2425</v>
      </c>
      <c r="C4228" t="s">
        <v>2426</v>
      </c>
      <c r="D4228" t="s">
        <v>26</v>
      </c>
      <c r="E4228" t="s">
        <v>31</v>
      </c>
      <c r="F4228">
        <v>1</v>
      </c>
      <c r="G4228" s="3" t="s">
        <v>32</v>
      </c>
      <c r="H4228" s="46" t="s">
        <v>15</v>
      </c>
      <c r="I4228" s="17">
        <v>362000</v>
      </c>
      <c r="J4228" s="17">
        <f>IF(Gastos[[#This Row],[Divisa]]="$", I4228*1, IF(Gastos[[#This Row],[Divisa]]="U$D", I4228*$N$1, IF(Gastos[[#This Row],[Divisa]]="EUR", I4228*$N$2, 0)))</f>
        <v>362000</v>
      </c>
      <c r="K4228" s="54">
        <f>Gastos[[#This Row],[Importe AR$]]/$N$1</f>
        <v>232.05128205128204</v>
      </c>
      <c r="L4228" t="s">
        <v>361</v>
      </c>
      <c r="M4228" s="69"/>
      <c r="N4228" s="43" t="str">
        <f>IF(Gastos[[#This Row],[Fecha_Cheque]]&gt;0,WEEKNUM(Gastos[[#This Row],[Fecha_Cheque]]),MID(Gastos[[#This Row],[Semana]],6,2))</f>
        <v>20</v>
      </c>
      <c r="O4228" t="s">
        <v>2427</v>
      </c>
      <c r="P4228" t="s">
        <v>27</v>
      </c>
    </row>
    <row r="4229" spans="1:16" hidden="1" x14ac:dyDescent="0.25">
      <c r="A4229" s="3" t="s">
        <v>85</v>
      </c>
      <c r="B4229" t="s">
        <v>2425</v>
      </c>
      <c r="C4229" t="s">
        <v>2428</v>
      </c>
      <c r="D4229" t="s">
        <v>26</v>
      </c>
      <c r="E4229" t="s">
        <v>31</v>
      </c>
      <c r="F4229">
        <v>1</v>
      </c>
      <c r="G4229" s="3" t="s">
        <v>32</v>
      </c>
      <c r="H4229" s="46" t="s">
        <v>15</v>
      </c>
      <c r="I4229" s="17">
        <v>520000</v>
      </c>
      <c r="J4229" s="17">
        <f>IF(Gastos[[#This Row],[Divisa]]="$", I4229*1, IF(Gastos[[#This Row],[Divisa]]="U$D", I4229*$N$1, IF(Gastos[[#This Row],[Divisa]]="EUR", I4229*$N$2, 0)))</f>
        <v>520000</v>
      </c>
      <c r="K4229" s="54">
        <f>Gastos[[#This Row],[Importe AR$]]/$N$1</f>
        <v>333.33333333333331</v>
      </c>
      <c r="L4229" t="s">
        <v>361</v>
      </c>
      <c r="M4229" s="69">
        <v>45850</v>
      </c>
      <c r="N4229" s="43">
        <f>IF(Gastos[[#This Row],[Fecha_Cheque]]&gt;0,WEEKNUM(Gastos[[#This Row],[Fecha_Cheque]]),MID(Gastos[[#This Row],[Semana]],6,2))</f>
        <v>28</v>
      </c>
      <c r="O4229" t="s">
        <v>2429</v>
      </c>
      <c r="P4229" t="s">
        <v>27</v>
      </c>
    </row>
    <row r="4230" spans="1:16" hidden="1" x14ac:dyDescent="0.25">
      <c r="A4230" s="3" t="s">
        <v>232</v>
      </c>
      <c r="B4230" t="s">
        <v>2425</v>
      </c>
      <c r="C4230" t="s">
        <v>2430</v>
      </c>
      <c r="D4230" t="s">
        <v>26</v>
      </c>
      <c r="E4230" t="s">
        <v>31</v>
      </c>
      <c r="F4230">
        <v>1</v>
      </c>
      <c r="G4230" s="3" t="s">
        <v>5</v>
      </c>
      <c r="H4230" s="46" t="s">
        <v>15</v>
      </c>
      <c r="I4230" s="17">
        <v>276920</v>
      </c>
      <c r="J4230" s="17">
        <f>IF(Gastos[[#This Row],[Divisa]]="$", I4230*1, IF(Gastos[[#This Row],[Divisa]]="U$D", I4230*$N$1, IF(Gastos[[#This Row],[Divisa]]="EUR", I4230*$N$2, 0)))</f>
        <v>276920</v>
      </c>
      <c r="K4230" s="54">
        <f>Gastos[[#This Row],[Importe AR$]]/$N$1</f>
        <v>177.51282051282053</v>
      </c>
      <c r="M4230" s="69"/>
      <c r="N4230" s="43" t="str">
        <f>IF(Gastos[[#This Row],[Fecha_Cheque]]&gt;0,WEEKNUM(Gastos[[#This Row],[Fecha_Cheque]]),MID(Gastos[[#This Row],[Semana]],6,2))</f>
        <v>44</v>
      </c>
      <c r="O4230" t="s">
        <v>2431</v>
      </c>
      <c r="P4230" t="s">
        <v>27</v>
      </c>
    </row>
    <row r="4231" spans="1:16" hidden="1" x14ac:dyDescent="0.25">
      <c r="A4231" s="3" t="s">
        <v>206</v>
      </c>
      <c r="B4231" t="s">
        <v>2425</v>
      </c>
      <c r="C4231" t="s">
        <v>2432</v>
      </c>
      <c r="D4231" t="s">
        <v>26</v>
      </c>
      <c r="E4231" t="s">
        <v>31</v>
      </c>
      <c r="F4231">
        <v>1</v>
      </c>
      <c r="G4231" s="3" t="s">
        <v>32</v>
      </c>
      <c r="H4231" s="46" t="s">
        <v>15</v>
      </c>
      <c r="I4231" s="17">
        <v>646413.55000000005</v>
      </c>
      <c r="J4231" s="17">
        <f>IF(Gastos[[#This Row],[Divisa]]="$", I4231*1, IF(Gastos[[#This Row],[Divisa]]="U$D", I4231*$N$1, IF(Gastos[[#This Row],[Divisa]]="EUR", I4231*$N$2, 0)))</f>
        <v>646413.55000000005</v>
      </c>
      <c r="K4231" s="54">
        <f>Gastos[[#This Row],[Importe AR$]]/$N$1</f>
        <v>414.36766025641026</v>
      </c>
      <c r="M4231" s="69">
        <v>46087</v>
      </c>
      <c r="N4231" s="43">
        <f>IF(Gastos[[#This Row],[Fecha_Cheque]]&gt;0,WEEKNUM(Gastos[[#This Row],[Fecha_Cheque]]),MID(Gastos[[#This Row],[Semana]],6,2))</f>
        <v>10</v>
      </c>
      <c r="O4231" t="s">
        <v>2433</v>
      </c>
      <c r="P4231" t="s">
        <v>27</v>
      </c>
    </row>
    <row r="4232" spans="1:16" hidden="1" x14ac:dyDescent="0.25">
      <c r="A4232" s="3" t="s">
        <v>206</v>
      </c>
      <c r="B4232" t="s">
        <v>2425</v>
      </c>
      <c r="C4232" t="s">
        <v>2432</v>
      </c>
      <c r="D4232" t="s">
        <v>26</v>
      </c>
      <c r="E4232" t="s">
        <v>31</v>
      </c>
      <c r="F4232">
        <v>1</v>
      </c>
      <c r="G4232" s="3" t="s">
        <v>32</v>
      </c>
      <c r="H4232" s="46" t="s">
        <v>15</v>
      </c>
      <c r="I4232" s="17">
        <v>646413.56000000006</v>
      </c>
      <c r="J4232" s="17">
        <f>IF(Gastos[[#This Row],[Divisa]]="$", I4232*1, IF(Gastos[[#This Row],[Divisa]]="U$D", I4232*$N$1, IF(Gastos[[#This Row],[Divisa]]="EUR", I4232*$N$2, 0)))</f>
        <v>646413.56000000006</v>
      </c>
      <c r="K4232" s="54">
        <f>Gastos[[#This Row],[Importe AR$]]/$N$1</f>
        <v>414.36766666666671</v>
      </c>
      <c r="M4232" s="69">
        <v>46072</v>
      </c>
      <c r="N4232" s="43">
        <f>IF(Gastos[[#This Row],[Fecha_Cheque]]&gt;0,WEEKNUM(Gastos[[#This Row],[Fecha_Cheque]]),MID(Gastos[[#This Row],[Semana]],6,2))</f>
        <v>8</v>
      </c>
      <c r="O4232" t="s">
        <v>2433</v>
      </c>
      <c r="P4232" t="s">
        <v>27</v>
      </c>
    </row>
    <row r="4233" spans="1:16" hidden="1" x14ac:dyDescent="0.25">
      <c r="A4233" s="3" t="s">
        <v>290</v>
      </c>
      <c r="B4233" t="s">
        <v>2434</v>
      </c>
      <c r="C4233" t="s">
        <v>2435</v>
      </c>
      <c r="D4233" t="s">
        <v>26</v>
      </c>
      <c r="E4233" t="s">
        <v>91</v>
      </c>
      <c r="F4233">
        <v>1</v>
      </c>
      <c r="G4233" s="3" t="s">
        <v>32</v>
      </c>
      <c r="H4233" s="46" t="s">
        <v>15</v>
      </c>
      <c r="I4233" s="17">
        <v>400000</v>
      </c>
      <c r="J4233" s="17">
        <f>IF(Gastos[[#This Row],[Divisa]]="$", I4233*1, IF(Gastos[[#This Row],[Divisa]]="U$D", I4233*$N$1, IF(Gastos[[#This Row],[Divisa]]="EUR", I4233*$N$2, 0)))</f>
        <v>400000</v>
      </c>
      <c r="K4233" s="54">
        <f>Gastos[[#This Row],[Importe AR$]]/$N$1</f>
        <v>256.41025641025641</v>
      </c>
      <c r="M4233" s="69">
        <v>45862</v>
      </c>
      <c r="N4233" s="43">
        <f>IF(Gastos[[#This Row],[Fecha_Cheque]]&gt;0,WEEKNUM(Gastos[[#This Row],[Fecha_Cheque]]),MID(Gastos[[#This Row],[Semana]],6,2))</f>
        <v>30</v>
      </c>
      <c r="O4233" t="s">
        <v>123</v>
      </c>
      <c r="P4233" t="s">
        <v>27</v>
      </c>
    </row>
    <row r="4234" spans="1:16" hidden="1" x14ac:dyDescent="0.25">
      <c r="A4234" s="3" t="s">
        <v>50</v>
      </c>
      <c r="B4234" t="s">
        <v>2436</v>
      </c>
      <c r="C4234" t="s">
        <v>115</v>
      </c>
      <c r="D4234" t="s">
        <v>26</v>
      </c>
      <c r="E4234" t="s">
        <v>132</v>
      </c>
      <c r="F4234">
        <v>1</v>
      </c>
      <c r="G4234" s="3" t="s">
        <v>5</v>
      </c>
      <c r="H4234" s="46" t="s">
        <v>15</v>
      </c>
      <c r="I4234" s="17">
        <v>10000000</v>
      </c>
      <c r="J4234" s="17">
        <f>IF(Gastos[[#This Row],[Divisa]]="$", I4234*1, IF(Gastos[[#This Row],[Divisa]]="U$D", I4234*$N$1, IF(Gastos[[#This Row],[Divisa]]="EUR", I4234*$N$2, 0)))</f>
        <v>10000000</v>
      </c>
      <c r="K4234" s="54">
        <f>Gastos[[#This Row],[Importe AR$]]/$N$1</f>
        <v>6410.2564102564102</v>
      </c>
      <c r="M4234" s="69"/>
      <c r="N4234" s="43" t="str">
        <f>IF(Gastos[[#This Row],[Fecha_Cheque]]&gt;0,WEEKNUM(Gastos[[#This Row],[Fecha_Cheque]]),MID(Gastos[[#This Row],[Semana]],6,2))</f>
        <v>25</v>
      </c>
      <c r="O4234" t="s">
        <v>2437</v>
      </c>
      <c r="P4234" t="s">
        <v>27</v>
      </c>
    </row>
    <row r="4235" spans="1:16" hidden="1" x14ac:dyDescent="0.25">
      <c r="A4235" s="3" t="s">
        <v>290</v>
      </c>
      <c r="B4235" t="s">
        <v>2436</v>
      </c>
      <c r="C4235" t="s">
        <v>115</v>
      </c>
      <c r="D4235" t="s">
        <v>26</v>
      </c>
      <c r="E4235" t="s">
        <v>132</v>
      </c>
      <c r="F4235">
        <v>1</v>
      </c>
      <c r="G4235" s="3" t="s">
        <v>32</v>
      </c>
      <c r="H4235" s="46" t="s">
        <v>15</v>
      </c>
      <c r="I4235" s="17">
        <f>246965748.6/3</f>
        <v>82321916.200000003</v>
      </c>
      <c r="J4235" s="17">
        <f>IF(Gastos[[#This Row],[Divisa]]="$", I4235*1, IF(Gastos[[#This Row],[Divisa]]="U$D", I4235*$N$1, IF(Gastos[[#This Row],[Divisa]]="EUR", I4235*$N$2, 0)))</f>
        <v>82321916.200000003</v>
      </c>
      <c r="K4235" s="54">
        <f>Gastos[[#This Row],[Importe AR$]]/$N$1</f>
        <v>52770.459102564106</v>
      </c>
      <c r="L4235" t="s">
        <v>2438</v>
      </c>
      <c r="M4235" s="69">
        <v>45821</v>
      </c>
      <c r="N4235" s="43">
        <f>IF(Gastos[[#This Row],[Fecha_Cheque]]&gt;0,WEEKNUM(Gastos[[#This Row],[Fecha_Cheque]]),MID(Gastos[[#This Row],[Semana]],6,2))</f>
        <v>24</v>
      </c>
      <c r="O4235" t="s">
        <v>2439</v>
      </c>
      <c r="P4235" t="s">
        <v>27</v>
      </c>
    </row>
    <row r="4236" spans="1:16" hidden="1" x14ac:dyDescent="0.25">
      <c r="A4236" s="3" t="s">
        <v>290</v>
      </c>
      <c r="B4236" t="s">
        <v>2436</v>
      </c>
      <c r="C4236" t="s">
        <v>115</v>
      </c>
      <c r="D4236" t="s">
        <v>26</v>
      </c>
      <c r="E4236" t="s">
        <v>132</v>
      </c>
      <c r="F4236">
        <v>1</v>
      </c>
      <c r="G4236" s="3" t="s">
        <v>32</v>
      </c>
      <c r="H4236" s="46" t="s">
        <v>15</v>
      </c>
      <c r="I4236" s="17">
        <f>246965748.6/3</f>
        <v>82321916.200000003</v>
      </c>
      <c r="J4236" s="17">
        <f>IF(Gastos[[#This Row],[Divisa]]="$", I4236*1, IF(Gastos[[#This Row],[Divisa]]="U$D", I4236*$N$1, IF(Gastos[[#This Row],[Divisa]]="EUR", I4236*$N$2, 0)))</f>
        <v>82321916.200000003</v>
      </c>
      <c r="K4236" s="54">
        <f>Gastos[[#This Row],[Importe AR$]]/$N$1</f>
        <v>52770.459102564106</v>
      </c>
      <c r="L4236" t="s">
        <v>2438</v>
      </c>
      <c r="M4236" s="69">
        <v>45828</v>
      </c>
      <c r="N4236" s="43">
        <f>IF(Gastos[[#This Row],[Fecha_Cheque]]&gt;0,WEEKNUM(Gastos[[#This Row],[Fecha_Cheque]]),MID(Gastos[[#This Row],[Semana]],6,2))</f>
        <v>25</v>
      </c>
      <c r="O4236" t="s">
        <v>2439</v>
      </c>
      <c r="P4236" t="s">
        <v>27</v>
      </c>
    </row>
    <row r="4237" spans="1:16" hidden="1" x14ac:dyDescent="0.25">
      <c r="A4237" s="3" t="s">
        <v>290</v>
      </c>
      <c r="B4237" t="s">
        <v>2436</v>
      </c>
      <c r="C4237" t="s">
        <v>115</v>
      </c>
      <c r="D4237" t="s">
        <v>26</v>
      </c>
      <c r="E4237" t="s">
        <v>132</v>
      </c>
      <c r="F4237">
        <v>1</v>
      </c>
      <c r="G4237" s="3" t="s">
        <v>32</v>
      </c>
      <c r="H4237" s="46" t="s">
        <v>15</v>
      </c>
      <c r="I4237" s="17">
        <f>246965748.6/3</f>
        <v>82321916.200000003</v>
      </c>
      <c r="J4237" s="17">
        <f>IF(Gastos[[#This Row],[Divisa]]="$", I4237*1, IF(Gastos[[#This Row],[Divisa]]="U$D", I4237*$N$1, IF(Gastos[[#This Row],[Divisa]]="EUR", I4237*$N$2, 0)))</f>
        <v>82321916.200000003</v>
      </c>
      <c r="K4237" s="54">
        <f>Gastos[[#This Row],[Importe AR$]]/$N$1</f>
        <v>52770.459102564106</v>
      </c>
      <c r="L4237" t="s">
        <v>2438</v>
      </c>
      <c r="M4237" s="69">
        <v>45835</v>
      </c>
      <c r="N4237" s="43">
        <f>IF(Gastos[[#This Row],[Fecha_Cheque]]&gt;0,WEEKNUM(Gastos[[#This Row],[Fecha_Cheque]]),MID(Gastos[[#This Row],[Semana]],6,2))</f>
        <v>26</v>
      </c>
      <c r="O4237" t="s">
        <v>2439</v>
      </c>
      <c r="P4237" t="s">
        <v>27</v>
      </c>
    </row>
    <row r="4238" spans="1:16" hidden="1" x14ac:dyDescent="0.25">
      <c r="A4238" s="3" t="s">
        <v>253</v>
      </c>
      <c r="B4238" t="s">
        <v>2436</v>
      </c>
      <c r="C4238" t="s">
        <v>106</v>
      </c>
      <c r="D4238" t="s">
        <v>26</v>
      </c>
      <c r="E4238" t="s">
        <v>31</v>
      </c>
      <c r="F4238">
        <v>1</v>
      </c>
      <c r="G4238" s="3" t="s">
        <v>32</v>
      </c>
      <c r="H4238" s="46" t="s">
        <v>15</v>
      </c>
      <c r="I4238" s="17">
        <v>23000000</v>
      </c>
      <c r="J4238" s="17">
        <f>IF(Gastos[[#This Row],[Divisa]]="$", I4238*1, IF(Gastos[[#This Row],[Divisa]]="U$D", I4238*$N$1, IF(Gastos[[#This Row],[Divisa]]="EUR", I4238*$N$2, 0)))</f>
        <v>23000000</v>
      </c>
      <c r="K4238" s="54">
        <f>Gastos[[#This Row],[Importe AR$]]/$N$1</f>
        <v>14743.589743589744</v>
      </c>
      <c r="L4238" t="s">
        <v>2440</v>
      </c>
      <c r="M4238" s="69">
        <v>45820</v>
      </c>
      <c r="N4238" s="43">
        <f>IF(Gastos[[#This Row],[Fecha_Cheque]]&gt;0,WEEKNUM(Gastos[[#This Row],[Fecha_Cheque]]),MID(Gastos[[#This Row],[Semana]],6,2))</f>
        <v>24</v>
      </c>
      <c r="O4238" t="s">
        <v>2441</v>
      </c>
      <c r="P4238" t="s">
        <v>27</v>
      </c>
    </row>
    <row r="4239" spans="1:16" hidden="1" x14ac:dyDescent="0.25">
      <c r="A4239" s="3" t="s">
        <v>85</v>
      </c>
      <c r="B4239" t="s">
        <v>2436</v>
      </c>
      <c r="C4239" t="s">
        <v>115</v>
      </c>
      <c r="D4239" t="s">
        <v>26</v>
      </c>
      <c r="E4239" t="s">
        <v>132</v>
      </c>
      <c r="F4239">
        <v>1</v>
      </c>
      <c r="G4239" s="3" t="s">
        <v>5</v>
      </c>
      <c r="H4239" s="46" t="s">
        <v>15</v>
      </c>
      <c r="I4239" s="17">
        <v>10000000</v>
      </c>
      <c r="J4239" s="17">
        <f>IF(Gastos[[#This Row],[Divisa]]="$", I4239*1, IF(Gastos[[#This Row],[Divisa]]="U$D", I4239*$N$1, IF(Gastos[[#This Row],[Divisa]]="EUR", I4239*$N$2, 0)))</f>
        <v>10000000</v>
      </c>
      <c r="K4239" s="54">
        <f>Gastos[[#This Row],[Importe AR$]]/$N$1</f>
        <v>6410.2564102564102</v>
      </c>
      <c r="M4239" s="69"/>
      <c r="N4239" s="43" t="str">
        <f>IF(Gastos[[#This Row],[Fecha_Cheque]]&gt;0,WEEKNUM(Gastos[[#This Row],[Fecha_Cheque]]),MID(Gastos[[#This Row],[Semana]],6,2))</f>
        <v>26</v>
      </c>
      <c r="O4239" t="s">
        <v>2442</v>
      </c>
      <c r="P4239" t="s">
        <v>27</v>
      </c>
    </row>
    <row r="4240" spans="1:16" hidden="1" x14ac:dyDescent="0.25">
      <c r="A4240" s="3" t="s">
        <v>85</v>
      </c>
      <c r="B4240" t="s">
        <v>2436</v>
      </c>
      <c r="C4240" t="s">
        <v>115</v>
      </c>
      <c r="D4240" t="s">
        <v>26</v>
      </c>
      <c r="E4240" t="s">
        <v>132</v>
      </c>
      <c r="F4240">
        <v>1</v>
      </c>
      <c r="G4240" s="3" t="s">
        <v>5</v>
      </c>
      <c r="H4240" s="46" t="s">
        <v>15</v>
      </c>
      <c r="I4240" s="17">
        <v>3585586.82</v>
      </c>
      <c r="J4240" s="17">
        <f>IF(Gastos[[#This Row],[Divisa]]="$", I4240*1, IF(Gastos[[#This Row],[Divisa]]="U$D", I4240*$N$1, IF(Gastos[[#This Row],[Divisa]]="EUR", I4240*$N$2, 0)))</f>
        <v>3585586.82</v>
      </c>
      <c r="K4240" s="54">
        <f>Gastos[[#This Row],[Importe AR$]]/$N$1</f>
        <v>2298.4530897435898</v>
      </c>
      <c r="M4240" s="69">
        <v>45835</v>
      </c>
      <c r="N4240" s="43">
        <f>IF(Gastos[[#This Row],[Fecha_Cheque]]&gt;0,WEEKNUM(Gastos[[#This Row],[Fecha_Cheque]]),MID(Gastos[[#This Row],[Semana]],6,2))</f>
        <v>26</v>
      </c>
      <c r="O4240" t="s">
        <v>2442</v>
      </c>
      <c r="P4240" t="s">
        <v>27</v>
      </c>
    </row>
    <row r="4241" spans="1:16" hidden="1" x14ac:dyDescent="0.25">
      <c r="A4241" s="3" t="s">
        <v>105</v>
      </c>
      <c r="B4241" t="s">
        <v>2436</v>
      </c>
      <c r="C4241" t="s">
        <v>115</v>
      </c>
      <c r="D4241" t="s">
        <v>26</v>
      </c>
      <c r="E4241" t="s">
        <v>132</v>
      </c>
      <c r="F4241">
        <v>1</v>
      </c>
      <c r="G4241" s="3" t="s">
        <v>32</v>
      </c>
      <c r="H4241" s="46" t="s">
        <v>15</v>
      </c>
      <c r="I4241" s="17">
        <v>53975785.920000002</v>
      </c>
      <c r="J4241" s="17">
        <f>IF(Gastos[[#This Row],[Divisa]]="$", I4241*1, IF(Gastos[[#This Row],[Divisa]]="U$D", I4241*$N$1, IF(Gastos[[#This Row],[Divisa]]="EUR", I4241*$N$2, 0)))</f>
        <v>53975785.920000002</v>
      </c>
      <c r="K4241" s="54">
        <f>Gastos[[#This Row],[Importe AR$]]/$N$1</f>
        <v>34599.862769230771</v>
      </c>
      <c r="L4241" t="s">
        <v>2443</v>
      </c>
      <c r="M4241" s="69">
        <v>45926</v>
      </c>
      <c r="N4241" s="43">
        <f>IF(Gastos[[#This Row],[Fecha_Cheque]]&gt;0,WEEKNUM(Gastos[[#This Row],[Fecha_Cheque]]),MID(Gastos[[#This Row],[Semana]],6,2))</f>
        <v>39</v>
      </c>
      <c r="O4241" t="s">
        <v>2444</v>
      </c>
      <c r="P4241" t="s">
        <v>27</v>
      </c>
    </row>
    <row r="4242" spans="1:16" hidden="1" x14ac:dyDescent="0.25">
      <c r="A4242" s="3" t="s">
        <v>105</v>
      </c>
      <c r="B4242" t="s">
        <v>2436</v>
      </c>
      <c r="C4242" t="s">
        <v>115</v>
      </c>
      <c r="D4242" t="s">
        <v>26</v>
      </c>
      <c r="E4242" t="s">
        <v>132</v>
      </c>
      <c r="F4242">
        <v>1</v>
      </c>
      <c r="G4242" s="3" t="s">
        <v>32</v>
      </c>
      <c r="H4242" s="46" t="s">
        <v>15</v>
      </c>
      <c r="I4242" s="17">
        <v>50000000</v>
      </c>
      <c r="J4242" s="17">
        <f>IF(Gastos[[#This Row],[Divisa]]="$", I4242*1, IF(Gastos[[#This Row],[Divisa]]="U$D", I4242*$N$1, IF(Gastos[[#This Row],[Divisa]]="EUR", I4242*$N$2, 0)))</f>
        <v>50000000</v>
      </c>
      <c r="K4242" s="54">
        <f>Gastos[[#This Row],[Importe AR$]]/$N$1</f>
        <v>32051.282051282051</v>
      </c>
      <c r="L4242" t="s">
        <v>2445</v>
      </c>
      <c r="M4242" s="69">
        <v>45905</v>
      </c>
      <c r="N4242" s="43">
        <f>IF(Gastos[[#This Row],[Fecha_Cheque]]&gt;0,WEEKNUM(Gastos[[#This Row],[Fecha_Cheque]]),MID(Gastos[[#This Row],[Semana]],6,2))</f>
        <v>36</v>
      </c>
      <c r="O4242" t="s">
        <v>2444</v>
      </c>
      <c r="P4242" t="s">
        <v>27</v>
      </c>
    </row>
    <row r="4243" spans="1:16" hidden="1" x14ac:dyDescent="0.25">
      <c r="A4243" s="3" t="s">
        <v>105</v>
      </c>
      <c r="B4243" t="s">
        <v>2436</v>
      </c>
      <c r="C4243" t="s">
        <v>115</v>
      </c>
      <c r="D4243" t="s">
        <v>26</v>
      </c>
      <c r="E4243" t="s">
        <v>132</v>
      </c>
      <c r="F4243">
        <v>1</v>
      </c>
      <c r="G4243" s="3" t="s">
        <v>32</v>
      </c>
      <c r="H4243" s="46" t="s">
        <v>15</v>
      </c>
      <c r="I4243" s="17">
        <v>50000000</v>
      </c>
      <c r="J4243" s="17">
        <f>IF(Gastos[[#This Row],[Divisa]]="$", I4243*1, IF(Gastos[[#This Row],[Divisa]]="U$D", I4243*$N$1, IF(Gastos[[#This Row],[Divisa]]="EUR", I4243*$N$2, 0)))</f>
        <v>50000000</v>
      </c>
      <c r="K4243" s="54">
        <f>Gastos[[#This Row],[Importe AR$]]/$N$1</f>
        <v>32051.282051282051</v>
      </c>
      <c r="L4243" t="s">
        <v>2446</v>
      </c>
      <c r="M4243" s="69">
        <v>45919</v>
      </c>
      <c r="N4243" s="43">
        <f>IF(Gastos[[#This Row],[Fecha_Cheque]]&gt;0,WEEKNUM(Gastos[[#This Row],[Fecha_Cheque]]),MID(Gastos[[#This Row],[Semana]],6,2))</f>
        <v>38</v>
      </c>
      <c r="O4243" t="s">
        <v>2444</v>
      </c>
      <c r="P4243" t="s">
        <v>27</v>
      </c>
    </row>
    <row r="4244" spans="1:16" hidden="1" x14ac:dyDescent="0.25">
      <c r="A4244" s="3" t="s">
        <v>105</v>
      </c>
      <c r="B4244" t="s">
        <v>2436</v>
      </c>
      <c r="C4244" t="s">
        <v>115</v>
      </c>
      <c r="D4244" t="s">
        <v>26</v>
      </c>
      <c r="E4244" t="s">
        <v>132</v>
      </c>
      <c r="F4244">
        <v>1</v>
      </c>
      <c r="G4244" s="3" t="s">
        <v>32</v>
      </c>
      <c r="H4244" s="46" t="s">
        <v>15</v>
      </c>
      <c r="I4244" s="17">
        <v>50000000</v>
      </c>
      <c r="J4244" s="17">
        <f>IF(Gastos[[#This Row],[Divisa]]="$", I4244*1, IF(Gastos[[#This Row],[Divisa]]="U$D", I4244*$N$1, IF(Gastos[[#This Row],[Divisa]]="EUR", I4244*$N$2, 0)))</f>
        <v>50000000</v>
      </c>
      <c r="K4244" s="54">
        <f>Gastos[[#This Row],[Importe AR$]]/$N$1</f>
        <v>32051.282051282051</v>
      </c>
      <c r="L4244" t="s">
        <v>2447</v>
      </c>
      <c r="M4244" s="69">
        <v>45912</v>
      </c>
      <c r="N4244" s="43">
        <f>IF(Gastos[[#This Row],[Fecha_Cheque]]&gt;0,WEEKNUM(Gastos[[#This Row],[Fecha_Cheque]]),MID(Gastos[[#This Row],[Semana]],6,2))</f>
        <v>37</v>
      </c>
      <c r="O4244" t="s">
        <v>2444</v>
      </c>
      <c r="P4244" t="s">
        <v>27</v>
      </c>
    </row>
    <row r="4245" spans="1:16" hidden="1" x14ac:dyDescent="0.25">
      <c r="A4245" s="3" t="s">
        <v>114</v>
      </c>
      <c r="B4245" t="s">
        <v>2436</v>
      </c>
      <c r="C4245" t="s">
        <v>115</v>
      </c>
      <c r="D4245" t="s">
        <v>26</v>
      </c>
      <c r="E4245" t="s">
        <v>132</v>
      </c>
      <c r="F4245">
        <v>1</v>
      </c>
      <c r="G4245" s="3" t="s">
        <v>32</v>
      </c>
      <c r="H4245" s="46" t="s">
        <v>15</v>
      </c>
      <c r="I4245" s="17">
        <v>8801522.9900000002</v>
      </c>
      <c r="J4245" s="17">
        <f>IF(Gastos[[#This Row],[Divisa]]="$", I4245*1, IF(Gastos[[#This Row],[Divisa]]="U$D", I4245*$N$1, IF(Gastos[[#This Row],[Divisa]]="EUR", I4245*$N$2, 0)))</f>
        <v>8801522.9900000002</v>
      </c>
      <c r="K4245" s="54">
        <f>Gastos[[#This Row],[Importe AR$]]/$N$1</f>
        <v>5642.0019166666671</v>
      </c>
      <c r="M4245" s="69">
        <v>45890</v>
      </c>
      <c r="N4245" s="43">
        <f>IF(Gastos[[#This Row],[Fecha_Cheque]]&gt;0,WEEKNUM(Gastos[[#This Row],[Fecha_Cheque]]),MID(Gastos[[#This Row],[Semana]],6,2))</f>
        <v>34</v>
      </c>
      <c r="O4245" t="s">
        <v>2448</v>
      </c>
      <c r="P4245" t="s">
        <v>27</v>
      </c>
    </row>
    <row r="4246" spans="1:16" hidden="1" x14ac:dyDescent="0.25">
      <c r="A4246" s="3" t="s">
        <v>114</v>
      </c>
      <c r="B4246" t="s">
        <v>2436</v>
      </c>
      <c r="C4246" t="s">
        <v>115</v>
      </c>
      <c r="D4246" t="s">
        <v>26</v>
      </c>
      <c r="E4246" t="s">
        <v>132</v>
      </c>
      <c r="F4246">
        <v>1</v>
      </c>
      <c r="G4246" s="3" t="s">
        <v>32</v>
      </c>
      <c r="H4246" s="46" t="s">
        <v>15</v>
      </c>
      <c r="I4246" s="17">
        <v>13771419.970000001</v>
      </c>
      <c r="J4246" s="17">
        <f>IF(Gastos[[#This Row],[Divisa]]="$", I4246*1, IF(Gastos[[#This Row],[Divisa]]="U$D", I4246*$N$1, IF(Gastos[[#This Row],[Divisa]]="EUR", I4246*$N$2, 0)))</f>
        <v>13771419.970000001</v>
      </c>
      <c r="K4246" s="54">
        <f>Gastos[[#This Row],[Importe AR$]]/$N$1</f>
        <v>8827.8333141025651</v>
      </c>
      <c r="M4246" s="69">
        <v>45895</v>
      </c>
      <c r="N4246" s="43">
        <f>IF(Gastos[[#This Row],[Fecha_Cheque]]&gt;0,WEEKNUM(Gastos[[#This Row],[Fecha_Cheque]]),MID(Gastos[[#This Row],[Semana]],6,2))</f>
        <v>35</v>
      </c>
      <c r="O4246" t="s">
        <v>2448</v>
      </c>
      <c r="P4246" t="s">
        <v>27</v>
      </c>
    </row>
    <row r="4247" spans="1:16" hidden="1" x14ac:dyDescent="0.25">
      <c r="A4247" s="3" t="s">
        <v>217</v>
      </c>
      <c r="B4247" t="s">
        <v>2436</v>
      </c>
      <c r="C4247" t="s">
        <v>108</v>
      </c>
      <c r="D4247" t="s">
        <v>26</v>
      </c>
      <c r="E4247" t="s">
        <v>132</v>
      </c>
      <c r="F4247">
        <v>1</v>
      </c>
      <c r="G4247" s="3" t="s">
        <v>32</v>
      </c>
      <c r="H4247" s="46" t="s">
        <v>15</v>
      </c>
      <c r="I4247" s="17">
        <v>2001500</v>
      </c>
      <c r="J4247" s="17">
        <f>IF(Gastos[[#This Row],[Divisa]]="$", I4247*1, IF(Gastos[[#This Row],[Divisa]]="U$D", I4247*$N$1, IF(Gastos[[#This Row],[Divisa]]="EUR", I4247*$N$2, 0)))</f>
        <v>2001500</v>
      </c>
      <c r="K4247" s="54">
        <f>Gastos[[#This Row],[Importe AR$]]/$N$1</f>
        <v>1283.0128205128206</v>
      </c>
      <c r="M4247" s="69">
        <v>45926</v>
      </c>
      <c r="N4247" s="43">
        <f>IF(Gastos[[#This Row],[Fecha_Cheque]]&gt;0,WEEKNUM(Gastos[[#This Row],[Fecha_Cheque]]),MID(Gastos[[#This Row],[Semana]],6,2))</f>
        <v>39</v>
      </c>
      <c r="P4247" t="s">
        <v>27</v>
      </c>
    </row>
    <row r="4248" spans="1:16" hidden="1" x14ac:dyDescent="0.25">
      <c r="A4248" s="3" t="s">
        <v>217</v>
      </c>
      <c r="B4248" t="s">
        <v>2436</v>
      </c>
      <c r="C4248" t="s">
        <v>108</v>
      </c>
      <c r="D4248" t="s">
        <v>26</v>
      </c>
      <c r="E4248" t="s">
        <v>132</v>
      </c>
      <c r="F4248">
        <v>1</v>
      </c>
      <c r="G4248" s="3" t="s">
        <v>32</v>
      </c>
      <c r="H4248" s="46" t="s">
        <v>15</v>
      </c>
      <c r="I4248" s="17">
        <v>2001500</v>
      </c>
      <c r="J4248" s="17">
        <f>IF(Gastos[[#This Row],[Divisa]]="$", I4248*1, IF(Gastos[[#This Row],[Divisa]]="U$D", I4248*$N$1, IF(Gastos[[#This Row],[Divisa]]="EUR", I4248*$N$2, 0)))</f>
        <v>2001500</v>
      </c>
      <c r="K4248" s="54">
        <f>Gastos[[#This Row],[Importe AR$]]/$N$1</f>
        <v>1283.0128205128206</v>
      </c>
      <c r="M4248" s="69">
        <v>45924</v>
      </c>
      <c r="N4248" s="43">
        <f>IF(Gastos[[#This Row],[Fecha_Cheque]]&gt;0,WEEKNUM(Gastos[[#This Row],[Fecha_Cheque]]),MID(Gastos[[#This Row],[Semana]],6,2))</f>
        <v>39</v>
      </c>
      <c r="P4248" t="s">
        <v>27</v>
      </c>
    </row>
    <row r="4249" spans="1:16" hidden="1" x14ac:dyDescent="0.25">
      <c r="A4249" s="3" t="s">
        <v>217</v>
      </c>
      <c r="B4249" t="s">
        <v>2436</v>
      </c>
      <c r="C4249" t="s">
        <v>108</v>
      </c>
      <c r="D4249" t="s">
        <v>26</v>
      </c>
      <c r="E4249" t="s">
        <v>132</v>
      </c>
      <c r="F4249">
        <v>1</v>
      </c>
      <c r="G4249" s="3" t="s">
        <v>32</v>
      </c>
      <c r="H4249" s="46" t="s">
        <v>15</v>
      </c>
      <c r="I4249" s="17">
        <v>2001500</v>
      </c>
      <c r="J4249" s="17">
        <f>IF(Gastos[[#This Row],[Divisa]]="$", I4249*1, IF(Gastos[[#This Row],[Divisa]]="U$D", I4249*$N$1, IF(Gastos[[#This Row],[Divisa]]="EUR", I4249*$N$2, 0)))</f>
        <v>2001500</v>
      </c>
      <c r="K4249" s="54">
        <f>Gastos[[#This Row],[Importe AR$]]/$N$1</f>
        <v>1283.0128205128206</v>
      </c>
      <c r="M4249" s="69">
        <v>45930</v>
      </c>
      <c r="N4249" s="43">
        <f>IF(Gastos[[#This Row],[Fecha_Cheque]]&gt;0,WEEKNUM(Gastos[[#This Row],[Fecha_Cheque]]),MID(Gastos[[#This Row],[Semana]],6,2))</f>
        <v>40</v>
      </c>
      <c r="P4249" t="s">
        <v>27</v>
      </c>
    </row>
    <row r="4250" spans="1:16" hidden="1" x14ac:dyDescent="0.25">
      <c r="A4250" s="3" t="s">
        <v>217</v>
      </c>
      <c r="B4250" t="s">
        <v>2436</v>
      </c>
      <c r="C4250" t="s">
        <v>108</v>
      </c>
      <c r="D4250" t="s">
        <v>26</v>
      </c>
      <c r="E4250" t="s">
        <v>132</v>
      </c>
      <c r="F4250">
        <v>1</v>
      </c>
      <c r="G4250" s="3" t="s">
        <v>32</v>
      </c>
      <c r="H4250" s="46" t="s">
        <v>15</v>
      </c>
      <c r="I4250" s="17">
        <v>2001500</v>
      </c>
      <c r="J4250" s="17">
        <f>IF(Gastos[[#This Row],[Divisa]]="$", I4250*1, IF(Gastos[[#This Row],[Divisa]]="U$D", I4250*$N$1, IF(Gastos[[#This Row],[Divisa]]="EUR", I4250*$N$2, 0)))</f>
        <v>2001500</v>
      </c>
      <c r="K4250" s="54">
        <f>Gastos[[#This Row],[Importe AR$]]/$N$1</f>
        <v>1283.0128205128206</v>
      </c>
      <c r="M4250" s="69">
        <v>45932</v>
      </c>
      <c r="N4250" s="43">
        <f>IF(Gastos[[#This Row],[Fecha_Cheque]]&gt;0,WEEKNUM(Gastos[[#This Row],[Fecha_Cheque]]),MID(Gastos[[#This Row],[Semana]],6,2))</f>
        <v>40</v>
      </c>
      <c r="P4250" t="s">
        <v>27</v>
      </c>
    </row>
    <row r="4251" spans="1:16" hidden="1" x14ac:dyDescent="0.25">
      <c r="A4251" s="3" t="s">
        <v>217</v>
      </c>
      <c r="B4251" t="s">
        <v>2436</v>
      </c>
      <c r="C4251" t="s">
        <v>108</v>
      </c>
      <c r="D4251" t="s">
        <v>26</v>
      </c>
      <c r="E4251" t="s">
        <v>132</v>
      </c>
      <c r="F4251">
        <v>1</v>
      </c>
      <c r="G4251" s="3" t="s">
        <v>32</v>
      </c>
      <c r="H4251" s="46" t="s">
        <v>15</v>
      </c>
      <c r="I4251" s="17">
        <v>2001500</v>
      </c>
      <c r="J4251" s="17">
        <f>IF(Gastos[[#This Row],[Divisa]]="$", I4251*1, IF(Gastos[[#This Row],[Divisa]]="U$D", I4251*$N$1, IF(Gastos[[#This Row],[Divisa]]="EUR", I4251*$N$2, 0)))</f>
        <v>2001500</v>
      </c>
      <c r="K4251" s="54">
        <f>Gastos[[#This Row],[Importe AR$]]/$N$1</f>
        <v>1283.0128205128206</v>
      </c>
      <c r="M4251" s="69">
        <v>45933</v>
      </c>
      <c r="N4251" s="43">
        <f>IF(Gastos[[#This Row],[Fecha_Cheque]]&gt;0,WEEKNUM(Gastos[[#This Row],[Fecha_Cheque]]),MID(Gastos[[#This Row],[Semana]],6,2))</f>
        <v>40</v>
      </c>
      <c r="O4251" t="s">
        <v>123</v>
      </c>
      <c r="P4251" t="s">
        <v>27</v>
      </c>
    </row>
    <row r="4252" spans="1:16" hidden="1" x14ac:dyDescent="0.25">
      <c r="A4252" s="3" t="s">
        <v>217</v>
      </c>
      <c r="B4252" t="s">
        <v>2436</v>
      </c>
      <c r="C4252" t="s">
        <v>108</v>
      </c>
      <c r="D4252" t="s">
        <v>26</v>
      </c>
      <c r="E4252" t="s">
        <v>132</v>
      </c>
      <c r="F4252">
        <v>1</v>
      </c>
      <c r="G4252" s="3" t="s">
        <v>32</v>
      </c>
      <c r="H4252" s="46" t="s">
        <v>15</v>
      </c>
      <c r="I4252" s="17">
        <v>2001500</v>
      </c>
      <c r="J4252" s="17">
        <f>IF(Gastos[[#This Row],[Divisa]]="$", I4252*1, IF(Gastos[[#This Row],[Divisa]]="U$D", I4252*$N$1, IF(Gastos[[#This Row],[Divisa]]="EUR", I4252*$N$2, 0)))</f>
        <v>2001500</v>
      </c>
      <c r="K4252" s="54">
        <f>Gastos[[#This Row],[Importe AR$]]/$N$1</f>
        <v>1283.0128205128206</v>
      </c>
      <c r="M4252" s="69">
        <v>45931</v>
      </c>
      <c r="N4252" s="43">
        <f>IF(Gastos[[#This Row],[Fecha_Cheque]]&gt;0,WEEKNUM(Gastos[[#This Row],[Fecha_Cheque]]),MID(Gastos[[#This Row],[Semana]],6,2))</f>
        <v>40</v>
      </c>
      <c r="P4252" t="s">
        <v>27</v>
      </c>
    </row>
    <row r="4253" spans="1:16" hidden="1" x14ac:dyDescent="0.25">
      <c r="A4253" s="3" t="s">
        <v>217</v>
      </c>
      <c r="B4253" t="s">
        <v>2436</v>
      </c>
      <c r="C4253" t="s">
        <v>108</v>
      </c>
      <c r="D4253" t="s">
        <v>26</v>
      </c>
      <c r="E4253" t="s">
        <v>132</v>
      </c>
      <c r="F4253">
        <v>1</v>
      </c>
      <c r="G4253" s="3" t="s">
        <v>32</v>
      </c>
      <c r="H4253" s="46" t="s">
        <v>15</v>
      </c>
      <c r="I4253" s="17">
        <v>2001500</v>
      </c>
      <c r="J4253" s="17">
        <f>IF(Gastos[[#This Row],[Divisa]]="$", I4253*1, IF(Gastos[[#This Row],[Divisa]]="U$D", I4253*$N$1, IF(Gastos[[#This Row],[Divisa]]="EUR", I4253*$N$2, 0)))</f>
        <v>2001500</v>
      </c>
      <c r="K4253" s="54">
        <f>Gastos[[#This Row],[Importe AR$]]/$N$1</f>
        <v>1283.0128205128206</v>
      </c>
      <c r="M4253" s="69">
        <v>45925</v>
      </c>
      <c r="N4253" s="43">
        <f>IF(Gastos[[#This Row],[Fecha_Cheque]]&gt;0,WEEKNUM(Gastos[[#This Row],[Fecha_Cheque]]),MID(Gastos[[#This Row],[Semana]],6,2))</f>
        <v>39</v>
      </c>
      <c r="O4253" t="s">
        <v>123</v>
      </c>
      <c r="P4253" t="s">
        <v>27</v>
      </c>
    </row>
    <row r="4254" spans="1:16" hidden="1" x14ac:dyDescent="0.25">
      <c r="A4254" s="3" t="s">
        <v>217</v>
      </c>
      <c r="B4254" t="s">
        <v>2436</v>
      </c>
      <c r="C4254" t="s">
        <v>108</v>
      </c>
      <c r="D4254" t="s">
        <v>26</v>
      </c>
      <c r="E4254" t="s">
        <v>132</v>
      </c>
      <c r="F4254">
        <v>1</v>
      </c>
      <c r="G4254" s="3" t="s">
        <v>32</v>
      </c>
      <c r="H4254" s="46" t="s">
        <v>15</v>
      </c>
      <c r="I4254" s="17">
        <v>2001500</v>
      </c>
      <c r="J4254" s="17">
        <f>IF(Gastos[[#This Row],[Divisa]]="$", I4254*1, IF(Gastos[[#This Row],[Divisa]]="U$D", I4254*$N$1, IF(Gastos[[#This Row],[Divisa]]="EUR", I4254*$N$2, 0)))</f>
        <v>2001500</v>
      </c>
      <c r="K4254" s="54">
        <f>Gastos[[#This Row],[Importe AR$]]/$N$1</f>
        <v>1283.0128205128206</v>
      </c>
      <c r="M4254" s="69">
        <v>45923</v>
      </c>
      <c r="N4254" s="43">
        <f>IF(Gastos[[#This Row],[Fecha_Cheque]]&gt;0,WEEKNUM(Gastos[[#This Row],[Fecha_Cheque]]),MID(Gastos[[#This Row],[Semana]],6,2))</f>
        <v>39</v>
      </c>
      <c r="O4254" t="s">
        <v>123</v>
      </c>
      <c r="P4254" t="s">
        <v>27</v>
      </c>
    </row>
    <row r="4255" spans="1:16" hidden="1" x14ac:dyDescent="0.25">
      <c r="A4255" s="3" t="s">
        <v>217</v>
      </c>
      <c r="B4255" t="s">
        <v>2436</v>
      </c>
      <c r="C4255" t="s">
        <v>108</v>
      </c>
      <c r="D4255" t="s">
        <v>26</v>
      </c>
      <c r="E4255" t="s">
        <v>132</v>
      </c>
      <c r="F4255">
        <v>1</v>
      </c>
      <c r="G4255" s="3" t="s">
        <v>32</v>
      </c>
      <c r="H4255" s="46" t="s">
        <v>15</v>
      </c>
      <c r="I4255" s="17">
        <v>2001500</v>
      </c>
      <c r="J4255" s="17">
        <f>IF(Gastos[[#This Row],[Divisa]]="$", I4255*1, IF(Gastos[[#This Row],[Divisa]]="U$D", I4255*$N$1, IF(Gastos[[#This Row],[Divisa]]="EUR", I4255*$N$2, 0)))</f>
        <v>2001500</v>
      </c>
      <c r="K4255" s="54">
        <f>Gastos[[#This Row],[Importe AR$]]/$N$1</f>
        <v>1283.0128205128206</v>
      </c>
      <c r="M4255" s="69">
        <v>45929</v>
      </c>
      <c r="N4255" s="43">
        <f>IF(Gastos[[#This Row],[Fecha_Cheque]]&gt;0,WEEKNUM(Gastos[[#This Row],[Fecha_Cheque]]),MID(Gastos[[#This Row],[Semana]],6,2))</f>
        <v>40</v>
      </c>
      <c r="O4255" t="s">
        <v>123</v>
      </c>
      <c r="P4255" t="s">
        <v>27</v>
      </c>
    </row>
    <row r="4256" spans="1:16" hidden="1" x14ac:dyDescent="0.25">
      <c r="A4256" s="3" t="s">
        <v>217</v>
      </c>
      <c r="B4256" t="s">
        <v>2436</v>
      </c>
      <c r="C4256" t="s">
        <v>108</v>
      </c>
      <c r="D4256" t="s">
        <v>26</v>
      </c>
      <c r="E4256" t="s">
        <v>132</v>
      </c>
      <c r="F4256">
        <v>1</v>
      </c>
      <c r="G4256" s="3" t="s">
        <v>32</v>
      </c>
      <c r="H4256" s="46" t="s">
        <v>15</v>
      </c>
      <c r="I4256" s="17">
        <v>2003809.12</v>
      </c>
      <c r="J4256" s="17">
        <f>IF(Gastos[[#This Row],[Divisa]]="$", I4256*1, IF(Gastos[[#This Row],[Divisa]]="U$D", I4256*$N$1, IF(Gastos[[#This Row],[Divisa]]="EUR", I4256*$N$2, 0)))</f>
        <v>2003809.12</v>
      </c>
      <c r="K4256" s="54">
        <f>Gastos[[#This Row],[Importe AR$]]/$N$1</f>
        <v>1284.4930256410257</v>
      </c>
      <c r="M4256" s="69">
        <v>45936</v>
      </c>
      <c r="N4256" s="43">
        <f>IF(Gastos[[#This Row],[Fecha_Cheque]]&gt;0,WEEKNUM(Gastos[[#This Row],[Fecha_Cheque]]),MID(Gastos[[#This Row],[Semana]],6,2))</f>
        <v>41</v>
      </c>
      <c r="O4256" t="s">
        <v>123</v>
      </c>
      <c r="P4256" t="s">
        <v>27</v>
      </c>
    </row>
    <row r="4257" spans="1:16" hidden="1" x14ac:dyDescent="0.25">
      <c r="A4257" s="3" t="s">
        <v>305</v>
      </c>
      <c r="B4257" t="s">
        <v>2436</v>
      </c>
      <c r="C4257" t="s">
        <v>115</v>
      </c>
      <c r="D4257" t="s">
        <v>26</v>
      </c>
      <c r="E4257" t="s">
        <v>132</v>
      </c>
      <c r="F4257">
        <v>1</v>
      </c>
      <c r="G4257" s="3" t="s">
        <v>5</v>
      </c>
      <c r="H4257" s="46" t="s">
        <v>15</v>
      </c>
      <c r="I4257" s="17">
        <v>10000000</v>
      </c>
      <c r="J4257" s="17">
        <f>IF(Gastos[[#This Row],[Divisa]]="$", I4257*1, IF(Gastos[[#This Row],[Divisa]]="U$D", I4257*$N$1, IF(Gastos[[#This Row],[Divisa]]="EUR", I4257*$N$2, 0)))</f>
        <v>10000000</v>
      </c>
      <c r="K4257" s="54">
        <f>Gastos[[#This Row],[Importe AR$]]/$N$1</f>
        <v>6410.2564102564102</v>
      </c>
      <c r="M4257" s="69"/>
      <c r="N4257" s="43" t="str">
        <f>IF(Gastos[[#This Row],[Fecha_Cheque]]&gt;0,WEEKNUM(Gastos[[#This Row],[Fecha_Cheque]]),MID(Gastos[[#This Row],[Semana]],6,2))</f>
        <v>31</v>
      </c>
      <c r="O4257" t="s">
        <v>123</v>
      </c>
      <c r="P4257" t="s">
        <v>27</v>
      </c>
    </row>
    <row r="4258" spans="1:16" hidden="1" x14ac:dyDescent="0.25">
      <c r="A4258" s="3" t="s">
        <v>305</v>
      </c>
      <c r="B4258" t="s">
        <v>2436</v>
      </c>
      <c r="C4258" t="s">
        <v>115</v>
      </c>
      <c r="D4258" t="s">
        <v>26</v>
      </c>
      <c r="E4258" t="s">
        <v>132</v>
      </c>
      <c r="F4258">
        <v>1</v>
      </c>
      <c r="G4258" s="3" t="s">
        <v>32</v>
      </c>
      <c r="H4258" s="46" t="s">
        <v>15</v>
      </c>
      <c r="I4258" s="17">
        <v>2001500</v>
      </c>
      <c r="J4258" s="17">
        <f>IF(Gastos[[#This Row],[Divisa]]="$", I4258*1, IF(Gastos[[#This Row],[Divisa]]="U$D", I4258*$N$1, IF(Gastos[[#This Row],[Divisa]]="EUR", I4258*$N$2, 0)))</f>
        <v>2001500</v>
      </c>
      <c r="K4258" s="54">
        <f>Gastos[[#This Row],[Importe AR$]]/$N$1</f>
        <v>1283.0128205128206</v>
      </c>
      <c r="M4258" s="69">
        <v>45908</v>
      </c>
      <c r="N4258" s="43">
        <f>IF(Gastos[[#This Row],[Fecha_Cheque]]&gt;0,WEEKNUM(Gastos[[#This Row],[Fecha_Cheque]]),MID(Gastos[[#This Row],[Semana]],6,2))</f>
        <v>37</v>
      </c>
      <c r="O4258" t="s">
        <v>123</v>
      </c>
      <c r="P4258" t="s">
        <v>27</v>
      </c>
    </row>
    <row r="4259" spans="1:16" hidden="1" x14ac:dyDescent="0.25">
      <c r="A4259" s="3" t="s">
        <v>305</v>
      </c>
      <c r="B4259" t="s">
        <v>2436</v>
      </c>
      <c r="C4259" t="s">
        <v>115</v>
      </c>
      <c r="D4259" t="s">
        <v>26</v>
      </c>
      <c r="E4259" t="s">
        <v>132</v>
      </c>
      <c r="F4259">
        <v>1</v>
      </c>
      <c r="G4259" s="3" t="s">
        <v>32</v>
      </c>
      <c r="H4259" s="46" t="s">
        <v>15</v>
      </c>
      <c r="I4259" s="17">
        <v>2001500</v>
      </c>
      <c r="J4259" s="17">
        <f>IF(Gastos[[#This Row],[Divisa]]="$", I4259*1, IF(Gastos[[#This Row],[Divisa]]="U$D", I4259*$N$1, IF(Gastos[[#This Row],[Divisa]]="EUR", I4259*$N$2, 0)))</f>
        <v>2001500</v>
      </c>
      <c r="K4259" s="54">
        <f>Gastos[[#This Row],[Importe AR$]]/$N$1</f>
        <v>1283.0128205128206</v>
      </c>
      <c r="M4259" s="69">
        <v>45915</v>
      </c>
      <c r="N4259" s="43">
        <f>IF(Gastos[[#This Row],[Fecha_Cheque]]&gt;0,WEEKNUM(Gastos[[#This Row],[Fecha_Cheque]]),MID(Gastos[[#This Row],[Semana]],6,2))</f>
        <v>38</v>
      </c>
      <c r="P4259" t="s">
        <v>27</v>
      </c>
    </row>
    <row r="4260" spans="1:16" hidden="1" x14ac:dyDescent="0.25">
      <c r="A4260" s="3" t="s">
        <v>305</v>
      </c>
      <c r="B4260" t="s">
        <v>2436</v>
      </c>
      <c r="C4260" t="s">
        <v>115</v>
      </c>
      <c r="D4260" t="s">
        <v>26</v>
      </c>
      <c r="E4260" t="s">
        <v>132</v>
      </c>
      <c r="F4260">
        <v>1</v>
      </c>
      <c r="G4260" s="3" t="s">
        <v>32</v>
      </c>
      <c r="H4260" s="46" t="s">
        <v>15</v>
      </c>
      <c r="I4260" s="17">
        <v>2001500</v>
      </c>
      <c r="J4260" s="17">
        <f>IF(Gastos[[#This Row],[Divisa]]="$", I4260*1, IF(Gastos[[#This Row],[Divisa]]="U$D", I4260*$N$1, IF(Gastos[[#This Row],[Divisa]]="EUR", I4260*$N$2, 0)))</f>
        <v>2001500</v>
      </c>
      <c r="K4260" s="54">
        <f>Gastos[[#This Row],[Importe AR$]]/$N$1</f>
        <v>1283.0128205128206</v>
      </c>
      <c r="M4260" s="69">
        <v>45909</v>
      </c>
      <c r="N4260" s="43">
        <f>IF(Gastos[[#This Row],[Fecha_Cheque]]&gt;0,WEEKNUM(Gastos[[#This Row],[Fecha_Cheque]]),MID(Gastos[[#This Row],[Semana]],6,2))</f>
        <v>37</v>
      </c>
      <c r="P4260" t="s">
        <v>27</v>
      </c>
    </row>
    <row r="4261" spans="1:16" hidden="1" x14ac:dyDescent="0.25">
      <c r="A4261" s="3" t="s">
        <v>305</v>
      </c>
      <c r="B4261" t="s">
        <v>2436</v>
      </c>
      <c r="C4261" t="s">
        <v>115</v>
      </c>
      <c r="D4261" t="s">
        <v>26</v>
      </c>
      <c r="E4261" t="s">
        <v>132</v>
      </c>
      <c r="F4261">
        <v>1</v>
      </c>
      <c r="G4261" s="3" t="s">
        <v>32</v>
      </c>
      <c r="H4261" s="46" t="s">
        <v>15</v>
      </c>
      <c r="I4261" s="17">
        <v>2001500</v>
      </c>
      <c r="J4261" s="17">
        <f>IF(Gastos[[#This Row],[Divisa]]="$", I4261*1, IF(Gastos[[#This Row],[Divisa]]="U$D", I4261*$N$1, IF(Gastos[[#This Row],[Divisa]]="EUR", I4261*$N$2, 0)))</f>
        <v>2001500</v>
      </c>
      <c r="K4261" s="54">
        <f>Gastos[[#This Row],[Importe AR$]]/$N$1</f>
        <v>1283.0128205128206</v>
      </c>
      <c r="M4261" s="69">
        <v>45911</v>
      </c>
      <c r="N4261" s="43">
        <f>IF(Gastos[[#This Row],[Fecha_Cheque]]&gt;0,WEEKNUM(Gastos[[#This Row],[Fecha_Cheque]]),MID(Gastos[[#This Row],[Semana]],6,2))</f>
        <v>37</v>
      </c>
      <c r="P4261" t="s">
        <v>27</v>
      </c>
    </row>
    <row r="4262" spans="1:16" hidden="1" x14ac:dyDescent="0.25">
      <c r="A4262" s="3" t="s">
        <v>305</v>
      </c>
      <c r="B4262" t="s">
        <v>2436</v>
      </c>
      <c r="C4262" t="s">
        <v>115</v>
      </c>
      <c r="D4262" t="s">
        <v>26</v>
      </c>
      <c r="E4262" t="s">
        <v>132</v>
      </c>
      <c r="F4262">
        <v>1</v>
      </c>
      <c r="G4262" s="3" t="s">
        <v>32</v>
      </c>
      <c r="H4262" s="46" t="s">
        <v>15</v>
      </c>
      <c r="I4262" s="17">
        <v>2001500</v>
      </c>
      <c r="J4262" s="17">
        <f>IF(Gastos[[#This Row],[Divisa]]="$", I4262*1, IF(Gastos[[#This Row],[Divisa]]="U$D", I4262*$N$1, IF(Gastos[[#This Row],[Divisa]]="EUR", I4262*$N$2, 0)))</f>
        <v>2001500</v>
      </c>
      <c r="K4262" s="54">
        <f>Gastos[[#This Row],[Importe AR$]]/$N$1</f>
        <v>1283.0128205128206</v>
      </c>
      <c r="M4262" s="69">
        <v>45905</v>
      </c>
      <c r="N4262" s="43">
        <f>IF(Gastos[[#This Row],[Fecha_Cheque]]&gt;0,WEEKNUM(Gastos[[#This Row],[Fecha_Cheque]]),MID(Gastos[[#This Row],[Semana]],6,2))</f>
        <v>36</v>
      </c>
      <c r="O4262" t="s">
        <v>123</v>
      </c>
      <c r="P4262" t="s">
        <v>27</v>
      </c>
    </row>
    <row r="4263" spans="1:16" hidden="1" x14ac:dyDescent="0.25">
      <c r="A4263" s="3" t="s">
        <v>305</v>
      </c>
      <c r="B4263" t="s">
        <v>2436</v>
      </c>
      <c r="C4263" t="s">
        <v>115</v>
      </c>
      <c r="D4263" t="s">
        <v>26</v>
      </c>
      <c r="E4263" t="s">
        <v>132</v>
      </c>
      <c r="F4263">
        <v>1</v>
      </c>
      <c r="G4263" s="3" t="s">
        <v>32</v>
      </c>
      <c r="H4263" s="46" t="s">
        <v>15</v>
      </c>
      <c r="I4263" s="17">
        <v>2001500</v>
      </c>
      <c r="J4263" s="17">
        <f>IF(Gastos[[#This Row],[Divisa]]="$", I4263*1, IF(Gastos[[#This Row],[Divisa]]="U$D", I4263*$N$1, IF(Gastos[[#This Row],[Divisa]]="EUR", I4263*$N$2, 0)))</f>
        <v>2001500</v>
      </c>
      <c r="K4263" s="54">
        <f>Gastos[[#This Row],[Importe AR$]]/$N$1</f>
        <v>1283.0128205128206</v>
      </c>
      <c r="M4263" s="69">
        <v>45910</v>
      </c>
      <c r="N4263" s="43">
        <f>IF(Gastos[[#This Row],[Fecha_Cheque]]&gt;0,WEEKNUM(Gastos[[#This Row],[Fecha_Cheque]]),MID(Gastos[[#This Row],[Semana]],6,2))</f>
        <v>37</v>
      </c>
      <c r="O4263" t="s">
        <v>123</v>
      </c>
      <c r="P4263" t="s">
        <v>27</v>
      </c>
    </row>
    <row r="4264" spans="1:16" hidden="1" x14ac:dyDescent="0.25">
      <c r="A4264" s="3" t="s">
        <v>305</v>
      </c>
      <c r="B4264" t="s">
        <v>2436</v>
      </c>
      <c r="C4264" t="s">
        <v>115</v>
      </c>
      <c r="D4264" t="s">
        <v>26</v>
      </c>
      <c r="E4264" t="s">
        <v>132</v>
      </c>
      <c r="F4264">
        <v>1</v>
      </c>
      <c r="G4264" s="3" t="s">
        <v>32</v>
      </c>
      <c r="H4264" s="46" t="s">
        <v>15</v>
      </c>
      <c r="I4264" s="17">
        <v>2001500</v>
      </c>
      <c r="J4264" s="17">
        <f>IF(Gastos[[#This Row],[Divisa]]="$", I4264*1, IF(Gastos[[#This Row],[Divisa]]="U$D", I4264*$N$1, IF(Gastos[[#This Row],[Divisa]]="EUR", I4264*$N$2, 0)))</f>
        <v>2001500</v>
      </c>
      <c r="K4264" s="54">
        <f>Gastos[[#This Row],[Importe AR$]]/$N$1</f>
        <v>1283.0128205128206</v>
      </c>
      <c r="M4264" s="69">
        <v>45912</v>
      </c>
      <c r="N4264" s="43">
        <f>IF(Gastos[[#This Row],[Fecha_Cheque]]&gt;0,WEEKNUM(Gastos[[#This Row],[Fecha_Cheque]]),MID(Gastos[[#This Row],[Semana]],6,2))</f>
        <v>37</v>
      </c>
      <c r="P4264" t="s">
        <v>27</v>
      </c>
    </row>
    <row r="4265" spans="1:16" hidden="1" x14ac:dyDescent="0.25">
      <c r="A4265" s="3" t="s">
        <v>34</v>
      </c>
      <c r="B4265" t="s">
        <v>2436</v>
      </c>
      <c r="C4265" t="s">
        <v>115</v>
      </c>
      <c r="D4265" t="s">
        <v>26</v>
      </c>
      <c r="E4265" t="s">
        <v>132</v>
      </c>
      <c r="F4265">
        <v>1</v>
      </c>
      <c r="G4265" s="3" t="s">
        <v>32</v>
      </c>
      <c r="H4265" s="46" t="s">
        <v>15</v>
      </c>
      <c r="I4265" s="17">
        <v>1000000</v>
      </c>
      <c r="J4265" s="17">
        <f>IF(Gastos[[#This Row],[Divisa]]="$", I4265*1, IF(Gastos[[#This Row],[Divisa]]="U$D", I4265*$N$1, IF(Gastos[[#This Row],[Divisa]]="EUR", I4265*$N$2, 0)))</f>
        <v>1000000</v>
      </c>
      <c r="K4265" s="54">
        <f>Gastos[[#This Row],[Importe AR$]]/$N$1</f>
        <v>641.02564102564099</v>
      </c>
      <c r="M4265" s="69">
        <v>45878</v>
      </c>
      <c r="N4265" s="43">
        <f>IF(Gastos[[#This Row],[Fecha_Cheque]]&gt;0,WEEKNUM(Gastos[[#This Row],[Fecha_Cheque]]),MID(Gastos[[#This Row],[Semana]],6,2))</f>
        <v>32</v>
      </c>
      <c r="P4265" t="s">
        <v>27</v>
      </c>
    </row>
    <row r="4266" spans="1:16" hidden="1" x14ac:dyDescent="0.25">
      <c r="A4266" s="3" t="s">
        <v>34</v>
      </c>
      <c r="B4266" t="s">
        <v>2436</v>
      </c>
      <c r="C4266" t="s">
        <v>115</v>
      </c>
      <c r="D4266" t="s">
        <v>26</v>
      </c>
      <c r="E4266" t="s">
        <v>132</v>
      </c>
      <c r="F4266">
        <v>1</v>
      </c>
      <c r="G4266" s="3" t="s">
        <v>32</v>
      </c>
      <c r="H4266" s="46" t="s">
        <v>15</v>
      </c>
      <c r="I4266" s="17">
        <v>1000000</v>
      </c>
      <c r="J4266" s="17">
        <f>IF(Gastos[[#This Row],[Divisa]]="$", I4266*1, IF(Gastos[[#This Row],[Divisa]]="U$D", I4266*$N$1, IF(Gastos[[#This Row],[Divisa]]="EUR", I4266*$N$2, 0)))</f>
        <v>1000000</v>
      </c>
      <c r="K4266" s="54">
        <f>Gastos[[#This Row],[Importe AR$]]/$N$1</f>
        <v>641.02564102564099</v>
      </c>
      <c r="M4266" s="69">
        <v>45871</v>
      </c>
      <c r="N4266" s="43">
        <f>IF(Gastos[[#This Row],[Fecha_Cheque]]&gt;0,WEEKNUM(Gastos[[#This Row],[Fecha_Cheque]]),MID(Gastos[[#This Row],[Semana]],6,2))</f>
        <v>31</v>
      </c>
      <c r="P4266" t="s">
        <v>27</v>
      </c>
    </row>
    <row r="4267" spans="1:16" hidden="1" x14ac:dyDescent="0.25">
      <c r="A4267" s="3" t="s">
        <v>34</v>
      </c>
      <c r="B4267" t="s">
        <v>2436</v>
      </c>
      <c r="C4267" t="s">
        <v>115</v>
      </c>
      <c r="D4267" t="s">
        <v>26</v>
      </c>
      <c r="E4267" t="s">
        <v>132</v>
      </c>
      <c r="F4267">
        <v>1</v>
      </c>
      <c r="G4267" s="3" t="s">
        <v>32</v>
      </c>
      <c r="H4267" s="46" t="s">
        <v>15</v>
      </c>
      <c r="I4267" s="17">
        <v>1400000</v>
      </c>
      <c r="J4267" s="17">
        <f>IF(Gastos[[#This Row],[Divisa]]="$", I4267*1, IF(Gastos[[#This Row],[Divisa]]="U$D", I4267*$N$1, IF(Gastos[[#This Row],[Divisa]]="EUR", I4267*$N$2, 0)))</f>
        <v>1400000</v>
      </c>
      <c r="K4267" s="54">
        <f>Gastos[[#This Row],[Importe AR$]]/$N$1</f>
        <v>897.43589743589746</v>
      </c>
      <c r="M4267" s="69">
        <v>45882</v>
      </c>
      <c r="N4267" s="43">
        <f>IF(Gastos[[#This Row],[Fecha_Cheque]]&gt;0,WEEKNUM(Gastos[[#This Row],[Fecha_Cheque]]),MID(Gastos[[#This Row],[Semana]],6,2))</f>
        <v>33</v>
      </c>
      <c r="O4267" t="s">
        <v>123</v>
      </c>
      <c r="P4267" t="s">
        <v>27</v>
      </c>
    </row>
    <row r="4268" spans="1:16" hidden="1" x14ac:dyDescent="0.25">
      <c r="A4268" s="3" t="s">
        <v>34</v>
      </c>
      <c r="B4268" t="s">
        <v>2436</v>
      </c>
      <c r="C4268" t="s">
        <v>115</v>
      </c>
      <c r="D4268" t="s">
        <v>26</v>
      </c>
      <c r="E4268" t="s">
        <v>132</v>
      </c>
      <c r="F4268">
        <v>1</v>
      </c>
      <c r="G4268" s="3" t="s">
        <v>32</v>
      </c>
      <c r="H4268" s="46" t="s">
        <v>15</v>
      </c>
      <c r="I4268" s="17">
        <v>1539339.7</v>
      </c>
      <c r="J4268" s="17">
        <f>IF(Gastos[[#This Row],[Divisa]]="$", I4268*1, IF(Gastos[[#This Row],[Divisa]]="U$D", I4268*$N$1, IF(Gastos[[#This Row],[Divisa]]="EUR", I4268*$N$2, 0)))</f>
        <v>1539339.7</v>
      </c>
      <c r="K4268" s="54">
        <f>Gastos[[#This Row],[Importe AR$]]/$N$1</f>
        <v>986.7562179487179</v>
      </c>
      <c r="M4268" s="69">
        <v>45878</v>
      </c>
      <c r="N4268" s="43">
        <f>IF(Gastos[[#This Row],[Fecha_Cheque]]&gt;0,WEEKNUM(Gastos[[#This Row],[Fecha_Cheque]]),MID(Gastos[[#This Row],[Semana]],6,2))</f>
        <v>32</v>
      </c>
      <c r="P4268" t="s">
        <v>27</v>
      </c>
    </row>
    <row r="4269" spans="1:16" hidden="1" x14ac:dyDescent="0.25">
      <c r="A4269" s="3" t="s">
        <v>34</v>
      </c>
      <c r="B4269" t="s">
        <v>2436</v>
      </c>
      <c r="C4269" t="s">
        <v>115</v>
      </c>
      <c r="D4269" t="s">
        <v>26</v>
      </c>
      <c r="E4269" t="s">
        <v>132</v>
      </c>
      <c r="F4269">
        <v>1</v>
      </c>
      <c r="G4269" s="3" t="s">
        <v>32</v>
      </c>
      <c r="H4269" s="46" t="s">
        <v>15</v>
      </c>
      <c r="I4269" s="17">
        <v>1553079</v>
      </c>
      <c r="J4269" s="17">
        <f>IF(Gastos[[#This Row],[Divisa]]="$", I4269*1, IF(Gastos[[#This Row],[Divisa]]="U$D", I4269*$N$1, IF(Gastos[[#This Row],[Divisa]]="EUR", I4269*$N$2, 0)))</f>
        <v>1553079</v>
      </c>
      <c r="K4269" s="54">
        <f>Gastos[[#This Row],[Importe AR$]]/$N$1</f>
        <v>995.56346153846152</v>
      </c>
      <c r="M4269" s="69">
        <v>45870</v>
      </c>
      <c r="N4269" s="43">
        <f>IF(Gastos[[#This Row],[Fecha_Cheque]]&gt;0,WEEKNUM(Gastos[[#This Row],[Fecha_Cheque]]),MID(Gastos[[#This Row],[Semana]],6,2))</f>
        <v>31</v>
      </c>
      <c r="O4269" t="s">
        <v>123</v>
      </c>
      <c r="P4269" t="s">
        <v>27</v>
      </c>
    </row>
    <row r="4270" spans="1:16" hidden="1" x14ac:dyDescent="0.25">
      <c r="A4270" s="3" t="s">
        <v>34</v>
      </c>
      <c r="B4270" t="s">
        <v>2436</v>
      </c>
      <c r="C4270" t="s">
        <v>115</v>
      </c>
      <c r="D4270" t="s">
        <v>26</v>
      </c>
      <c r="E4270" t="s">
        <v>132</v>
      </c>
      <c r="F4270">
        <v>1</v>
      </c>
      <c r="G4270" s="3" t="s">
        <v>32</v>
      </c>
      <c r="H4270" s="46" t="s">
        <v>15</v>
      </c>
      <c r="I4270" s="17">
        <v>2223597</v>
      </c>
      <c r="J4270" s="17">
        <f>IF(Gastos[[#This Row],[Divisa]]="$", I4270*1, IF(Gastos[[#This Row],[Divisa]]="U$D", I4270*$N$1, IF(Gastos[[#This Row],[Divisa]]="EUR", I4270*$N$2, 0)))</f>
        <v>2223597</v>
      </c>
      <c r="K4270" s="54">
        <f>Gastos[[#This Row],[Importe AR$]]/$N$1</f>
        <v>1425.3826923076922</v>
      </c>
      <c r="M4270" s="69">
        <v>45861</v>
      </c>
      <c r="N4270" s="43">
        <f>IF(Gastos[[#This Row],[Fecha_Cheque]]&gt;0,WEEKNUM(Gastos[[#This Row],[Fecha_Cheque]]),MID(Gastos[[#This Row],[Semana]],6,2))</f>
        <v>30</v>
      </c>
      <c r="O4270" t="s">
        <v>123</v>
      </c>
      <c r="P4270" t="s">
        <v>27</v>
      </c>
    </row>
    <row r="4271" spans="1:16" hidden="1" x14ac:dyDescent="0.25">
      <c r="A4271" s="3" t="s">
        <v>34</v>
      </c>
      <c r="B4271" t="s">
        <v>2436</v>
      </c>
      <c r="C4271" t="s">
        <v>115</v>
      </c>
      <c r="D4271" t="s">
        <v>26</v>
      </c>
      <c r="E4271" t="s">
        <v>132</v>
      </c>
      <c r="F4271">
        <v>1</v>
      </c>
      <c r="G4271" s="3" t="s">
        <v>32</v>
      </c>
      <c r="H4271" s="46" t="s">
        <v>15</v>
      </c>
      <c r="I4271" s="17">
        <v>2273672</v>
      </c>
      <c r="J4271" s="17">
        <f>IF(Gastos[[#This Row],[Divisa]]="$", I4271*1, IF(Gastos[[#This Row],[Divisa]]="U$D", I4271*$N$1, IF(Gastos[[#This Row],[Divisa]]="EUR", I4271*$N$2, 0)))</f>
        <v>2273672</v>
      </c>
      <c r="K4271" s="54">
        <f>Gastos[[#This Row],[Importe AR$]]/$N$1</f>
        <v>1457.4820512820513</v>
      </c>
      <c r="M4271" s="69">
        <v>45870</v>
      </c>
      <c r="N4271" s="43">
        <f>IF(Gastos[[#This Row],[Fecha_Cheque]]&gt;0,WEEKNUM(Gastos[[#This Row],[Fecha_Cheque]]),MID(Gastos[[#This Row],[Semana]],6,2))</f>
        <v>31</v>
      </c>
      <c r="O4271" t="s">
        <v>2449</v>
      </c>
      <c r="P4271" t="s">
        <v>27</v>
      </c>
    </row>
    <row r="4272" spans="1:16" hidden="1" x14ac:dyDescent="0.25">
      <c r="A4272" s="3" t="s">
        <v>34</v>
      </c>
      <c r="B4272" t="s">
        <v>2436</v>
      </c>
      <c r="C4272" t="s">
        <v>115</v>
      </c>
      <c r="D4272" t="s">
        <v>26</v>
      </c>
      <c r="E4272" t="s">
        <v>132</v>
      </c>
      <c r="F4272">
        <v>1</v>
      </c>
      <c r="G4272" s="3" t="s">
        <v>32</v>
      </c>
      <c r="H4272" s="46" t="s">
        <v>15</v>
      </c>
      <c r="I4272" s="17">
        <v>2500000</v>
      </c>
      <c r="J4272" s="17">
        <f>IF(Gastos[[#This Row],[Divisa]]="$", I4272*1, IF(Gastos[[#This Row],[Divisa]]="U$D", I4272*$N$1, IF(Gastos[[#This Row],[Divisa]]="EUR", I4272*$N$2, 0)))</f>
        <v>2500000</v>
      </c>
      <c r="K4272" s="54">
        <f>Gastos[[#This Row],[Importe AR$]]/$N$1</f>
        <v>1602.5641025641025</v>
      </c>
      <c r="M4272" s="69">
        <v>45881</v>
      </c>
      <c r="N4272" s="43">
        <f>IF(Gastos[[#This Row],[Fecha_Cheque]]&gt;0,WEEKNUM(Gastos[[#This Row],[Fecha_Cheque]]),MID(Gastos[[#This Row],[Semana]],6,2))</f>
        <v>33</v>
      </c>
      <c r="O4272" t="s">
        <v>2449</v>
      </c>
      <c r="P4272" t="s">
        <v>27</v>
      </c>
    </row>
    <row r="4273" spans="1:16" hidden="1" x14ac:dyDescent="0.25">
      <c r="A4273" s="3" t="s">
        <v>34</v>
      </c>
      <c r="B4273" t="s">
        <v>2436</v>
      </c>
      <c r="C4273" t="s">
        <v>115</v>
      </c>
      <c r="D4273" t="s">
        <v>26</v>
      </c>
      <c r="E4273" t="s">
        <v>132</v>
      </c>
      <c r="F4273">
        <v>1</v>
      </c>
      <c r="G4273" s="3" t="s">
        <v>32</v>
      </c>
      <c r="H4273" s="46" t="s">
        <v>15</v>
      </c>
      <c r="I4273" s="17">
        <v>2500000</v>
      </c>
      <c r="J4273" s="17">
        <f>IF(Gastos[[#This Row],[Divisa]]="$", I4273*1, IF(Gastos[[#This Row],[Divisa]]="U$D", I4273*$N$1, IF(Gastos[[#This Row],[Divisa]]="EUR", I4273*$N$2, 0)))</f>
        <v>2500000</v>
      </c>
      <c r="K4273" s="54">
        <f>Gastos[[#This Row],[Importe AR$]]/$N$1</f>
        <v>1602.5641025641025</v>
      </c>
      <c r="M4273" s="69">
        <v>45874</v>
      </c>
      <c r="N4273" s="43">
        <f>IF(Gastos[[#This Row],[Fecha_Cheque]]&gt;0,WEEKNUM(Gastos[[#This Row],[Fecha_Cheque]]),MID(Gastos[[#This Row],[Semana]],6,2))</f>
        <v>32</v>
      </c>
      <c r="O4273" t="s">
        <v>2449</v>
      </c>
      <c r="P4273" t="s">
        <v>27</v>
      </c>
    </row>
    <row r="4274" spans="1:16" hidden="1" x14ac:dyDescent="0.25">
      <c r="A4274" s="3" t="s">
        <v>34</v>
      </c>
      <c r="B4274" t="s">
        <v>2436</v>
      </c>
      <c r="C4274" t="s">
        <v>115</v>
      </c>
      <c r="D4274" t="s">
        <v>26</v>
      </c>
      <c r="E4274" t="s">
        <v>132</v>
      </c>
      <c r="F4274">
        <v>1</v>
      </c>
      <c r="G4274" s="3" t="s">
        <v>32</v>
      </c>
      <c r="H4274" s="46" t="s">
        <v>15</v>
      </c>
      <c r="I4274" s="17">
        <v>5052109.74</v>
      </c>
      <c r="J4274" s="17">
        <f>IF(Gastos[[#This Row],[Divisa]]="$", I4274*1, IF(Gastos[[#This Row],[Divisa]]="U$D", I4274*$N$1, IF(Gastos[[#This Row],[Divisa]]="EUR", I4274*$N$2, 0)))</f>
        <v>5052109.74</v>
      </c>
      <c r="K4274" s="54">
        <f>Gastos[[#This Row],[Importe AR$]]/$N$1</f>
        <v>3238.5318846153846</v>
      </c>
      <c r="M4274" s="69">
        <v>45871</v>
      </c>
      <c r="N4274" s="43">
        <f>IF(Gastos[[#This Row],[Fecha_Cheque]]&gt;0,WEEKNUM(Gastos[[#This Row],[Fecha_Cheque]]),MID(Gastos[[#This Row],[Semana]],6,2))</f>
        <v>31</v>
      </c>
      <c r="O4274" t="s">
        <v>2449</v>
      </c>
      <c r="P4274" t="s">
        <v>27</v>
      </c>
    </row>
    <row r="4275" spans="1:16" hidden="1" x14ac:dyDescent="0.25">
      <c r="A4275" s="3" t="s">
        <v>64</v>
      </c>
      <c r="B4275" t="s">
        <v>2436</v>
      </c>
      <c r="C4275" t="s">
        <v>115</v>
      </c>
      <c r="D4275" t="s">
        <v>26</v>
      </c>
      <c r="E4275" t="s">
        <v>132</v>
      </c>
      <c r="F4275">
        <v>1</v>
      </c>
      <c r="G4275" s="3" t="s">
        <v>5</v>
      </c>
      <c r="H4275" s="46" t="s">
        <v>15</v>
      </c>
      <c r="I4275" s="17">
        <v>9812122</v>
      </c>
      <c r="J4275" s="17">
        <f>IF(Gastos[[#This Row],[Divisa]]="$", I4275*1, IF(Gastos[[#This Row],[Divisa]]="U$D", I4275*$N$1, IF(Gastos[[#This Row],[Divisa]]="EUR", I4275*$N$2, 0)))</f>
        <v>9812122</v>
      </c>
      <c r="K4275" s="54">
        <f>Gastos[[#This Row],[Importe AR$]]/$N$1</f>
        <v>6289.8217948717947</v>
      </c>
      <c r="M4275" s="69"/>
      <c r="N4275" s="43" t="str">
        <f>IF(Gastos[[#This Row],[Fecha_Cheque]]&gt;0,WEEKNUM(Gastos[[#This Row],[Fecha_Cheque]]),MID(Gastos[[#This Row],[Semana]],6,2))</f>
        <v>33</v>
      </c>
      <c r="O4275" t="s">
        <v>2450</v>
      </c>
      <c r="P4275" t="s">
        <v>27</v>
      </c>
    </row>
    <row r="4276" spans="1:16" hidden="1" x14ac:dyDescent="0.25">
      <c r="A4276" s="3" t="s">
        <v>64</v>
      </c>
      <c r="B4276" t="s">
        <v>2436</v>
      </c>
      <c r="C4276" t="s">
        <v>115</v>
      </c>
      <c r="D4276" t="s">
        <v>26</v>
      </c>
      <c r="E4276" t="s">
        <v>132</v>
      </c>
      <c r="F4276">
        <v>1</v>
      </c>
      <c r="G4276" s="3" t="s">
        <v>5</v>
      </c>
      <c r="H4276" s="46" t="s">
        <v>15</v>
      </c>
      <c r="I4276" s="17">
        <v>4909502</v>
      </c>
      <c r="J4276" s="17">
        <f>IF(Gastos[[#This Row],[Divisa]]="$", I4276*1, IF(Gastos[[#This Row],[Divisa]]="U$D", I4276*$N$1, IF(Gastos[[#This Row],[Divisa]]="EUR", I4276*$N$2, 0)))</f>
        <v>4909502</v>
      </c>
      <c r="K4276" s="54">
        <f>Gastos[[#This Row],[Importe AR$]]/$N$1</f>
        <v>3147.1166666666668</v>
      </c>
      <c r="M4276" s="69"/>
      <c r="N4276" s="43" t="str">
        <f>IF(Gastos[[#This Row],[Fecha_Cheque]]&gt;0,WEEKNUM(Gastos[[#This Row],[Fecha_Cheque]]),MID(Gastos[[#This Row],[Semana]],6,2))</f>
        <v>33</v>
      </c>
      <c r="O4276" t="s">
        <v>2451</v>
      </c>
      <c r="P4276" t="s">
        <v>27</v>
      </c>
    </row>
    <row r="4277" spans="1:16" hidden="1" x14ac:dyDescent="0.25">
      <c r="A4277" s="3" t="s">
        <v>53</v>
      </c>
      <c r="B4277" t="s">
        <v>2436</v>
      </c>
      <c r="C4277" t="s">
        <v>108</v>
      </c>
      <c r="D4277" t="s">
        <v>26</v>
      </c>
      <c r="E4277" t="s">
        <v>31</v>
      </c>
      <c r="F4277">
        <v>1</v>
      </c>
      <c r="G4277" s="3" t="s">
        <v>5</v>
      </c>
      <c r="H4277" s="46" t="s">
        <v>15</v>
      </c>
      <c r="I4277" s="17">
        <v>5000000</v>
      </c>
      <c r="J4277" s="17">
        <f>IF(Gastos[[#This Row],[Divisa]]="$", I4277*1, IF(Gastos[[#This Row],[Divisa]]="U$D", I4277*$N$1, IF(Gastos[[#This Row],[Divisa]]="EUR", I4277*$N$2, 0)))</f>
        <v>5000000</v>
      </c>
      <c r="K4277" s="54">
        <f>Gastos[[#This Row],[Importe AR$]]/$N$1</f>
        <v>3205.1282051282051</v>
      </c>
      <c r="M4277" s="69"/>
      <c r="N4277" s="43" t="str">
        <f>IF(Gastos[[#This Row],[Fecha_Cheque]]&gt;0,WEEKNUM(Gastos[[#This Row],[Fecha_Cheque]]),MID(Gastos[[#This Row],[Semana]],6,2))</f>
        <v>34</v>
      </c>
      <c r="O4277" t="s">
        <v>123</v>
      </c>
      <c r="P4277" t="s">
        <v>27</v>
      </c>
    </row>
    <row r="4278" spans="1:16" hidden="1" x14ac:dyDescent="0.25">
      <c r="A4278" s="3" t="s">
        <v>53</v>
      </c>
      <c r="B4278" t="s">
        <v>2436</v>
      </c>
      <c r="C4278" t="s">
        <v>108</v>
      </c>
      <c r="D4278" t="s">
        <v>26</v>
      </c>
      <c r="E4278" t="s">
        <v>31</v>
      </c>
      <c r="F4278">
        <v>1</v>
      </c>
      <c r="G4278" s="3" t="s">
        <v>5</v>
      </c>
      <c r="H4278" s="46" t="s">
        <v>15</v>
      </c>
      <c r="I4278" s="17">
        <v>11095475.119999999</v>
      </c>
      <c r="J4278" s="17">
        <f>IF(Gastos[[#This Row],[Divisa]]="$", I4278*1, IF(Gastos[[#This Row],[Divisa]]="U$D", I4278*$N$1, IF(Gastos[[#This Row],[Divisa]]="EUR", I4278*$N$2, 0)))</f>
        <v>11095475.119999999</v>
      </c>
      <c r="K4278" s="54">
        <f>Gastos[[#This Row],[Importe AR$]]/$N$1</f>
        <v>7112.484051282051</v>
      </c>
      <c r="M4278" s="69"/>
      <c r="N4278" s="43" t="str">
        <f>IF(Gastos[[#This Row],[Fecha_Cheque]]&gt;0,WEEKNUM(Gastos[[#This Row],[Fecha_Cheque]]),MID(Gastos[[#This Row],[Semana]],6,2))</f>
        <v>34</v>
      </c>
      <c r="O4278" t="s">
        <v>123</v>
      </c>
      <c r="P4278" t="s">
        <v>27</v>
      </c>
    </row>
    <row r="4279" spans="1:16" hidden="1" x14ac:dyDescent="0.25">
      <c r="A4279" s="3" t="s">
        <v>117</v>
      </c>
      <c r="B4279" t="s">
        <v>2436</v>
      </c>
      <c r="C4279" t="s">
        <v>108</v>
      </c>
      <c r="D4279" t="s">
        <v>26</v>
      </c>
      <c r="E4279" t="s">
        <v>31</v>
      </c>
      <c r="F4279">
        <v>1</v>
      </c>
      <c r="G4279" s="3" t="s">
        <v>5</v>
      </c>
      <c r="H4279" s="46" t="s">
        <v>15</v>
      </c>
      <c r="I4279" s="17">
        <v>9813710.9399999995</v>
      </c>
      <c r="J4279" s="17">
        <f>IF(Gastos[[#This Row],[Divisa]]="$", I4279*1, IF(Gastos[[#This Row],[Divisa]]="U$D", I4279*$N$1, IF(Gastos[[#This Row],[Divisa]]="EUR", I4279*$N$2, 0)))</f>
        <v>9813710.9399999995</v>
      </c>
      <c r="K4279" s="54">
        <f>Gastos[[#This Row],[Importe AR$]]/$N$1</f>
        <v>6290.8403461538455</v>
      </c>
      <c r="M4279" s="69"/>
      <c r="N4279" s="43" t="str">
        <f>IF(Gastos[[#This Row],[Fecha_Cheque]]&gt;0,WEEKNUM(Gastos[[#This Row],[Fecha_Cheque]]),MID(Gastos[[#This Row],[Semana]],6,2))</f>
        <v>35</v>
      </c>
      <c r="O4279" t="s">
        <v>2452</v>
      </c>
      <c r="P4279" t="s">
        <v>27</v>
      </c>
    </row>
    <row r="4280" spans="1:16" hidden="1" x14ac:dyDescent="0.25">
      <c r="A4280" s="3" t="s">
        <v>117</v>
      </c>
      <c r="B4280" t="s">
        <v>2436</v>
      </c>
      <c r="C4280" t="s">
        <v>108</v>
      </c>
      <c r="D4280" t="s">
        <v>26</v>
      </c>
      <c r="E4280" t="s">
        <v>31</v>
      </c>
      <c r="F4280">
        <v>1</v>
      </c>
      <c r="G4280" s="3" t="s">
        <v>32</v>
      </c>
      <c r="H4280" s="46" t="s">
        <v>15</v>
      </c>
      <c r="I4280" s="17">
        <v>10000000</v>
      </c>
      <c r="J4280" s="17">
        <f>IF(Gastos[[#This Row],[Divisa]]="$", I4280*1, IF(Gastos[[#This Row],[Divisa]]="U$D", I4280*$N$1, IF(Gastos[[#This Row],[Divisa]]="EUR", I4280*$N$2, 0)))</f>
        <v>10000000</v>
      </c>
      <c r="K4280" s="54">
        <f>Gastos[[#This Row],[Importe AR$]]/$N$1</f>
        <v>6410.2564102564102</v>
      </c>
      <c r="M4280" s="69">
        <v>45896</v>
      </c>
      <c r="N4280" s="43">
        <f>IF(Gastos[[#This Row],[Fecha_Cheque]]&gt;0,WEEKNUM(Gastos[[#This Row],[Fecha_Cheque]]),MID(Gastos[[#This Row],[Semana]],6,2))</f>
        <v>35</v>
      </c>
      <c r="O4280" t="s">
        <v>2453</v>
      </c>
      <c r="P4280" t="s">
        <v>27</v>
      </c>
    </row>
    <row r="4281" spans="1:16" hidden="1" x14ac:dyDescent="0.25">
      <c r="A4281" s="3" t="s">
        <v>117</v>
      </c>
      <c r="B4281" t="s">
        <v>2436</v>
      </c>
      <c r="C4281" t="s">
        <v>108</v>
      </c>
      <c r="D4281" t="s">
        <v>26</v>
      </c>
      <c r="E4281" t="s">
        <v>31</v>
      </c>
      <c r="F4281">
        <v>1</v>
      </c>
      <c r="G4281" s="3" t="s">
        <v>32</v>
      </c>
      <c r="H4281" s="46" t="s">
        <v>15</v>
      </c>
      <c r="I4281" s="17">
        <v>80891.850000000006</v>
      </c>
      <c r="J4281" s="17">
        <f>IF(Gastos[[#This Row],[Divisa]]="$", I4281*1, IF(Gastos[[#This Row],[Divisa]]="U$D", I4281*$N$1, IF(Gastos[[#This Row],[Divisa]]="EUR", I4281*$N$2, 0)))</f>
        <v>80891.850000000006</v>
      </c>
      <c r="K4281" s="54">
        <f>Gastos[[#This Row],[Importe AR$]]/$N$1</f>
        <v>51.853750000000005</v>
      </c>
      <c r="M4281" s="69">
        <v>45898</v>
      </c>
      <c r="N4281" s="43">
        <f>IF(Gastos[[#This Row],[Fecha_Cheque]]&gt;0,WEEKNUM(Gastos[[#This Row],[Fecha_Cheque]]),MID(Gastos[[#This Row],[Semana]],6,2))</f>
        <v>35</v>
      </c>
      <c r="O4281" t="s">
        <v>2453</v>
      </c>
      <c r="P4281" t="s">
        <v>27</v>
      </c>
    </row>
    <row r="4282" spans="1:16" hidden="1" x14ac:dyDescent="0.25">
      <c r="A4282" s="3" t="s">
        <v>117</v>
      </c>
      <c r="B4282" t="s">
        <v>2436</v>
      </c>
      <c r="C4282" t="s">
        <v>108</v>
      </c>
      <c r="D4282" t="s">
        <v>26</v>
      </c>
      <c r="E4282" t="s">
        <v>31</v>
      </c>
      <c r="F4282">
        <v>1</v>
      </c>
      <c r="G4282" s="3" t="s">
        <v>32</v>
      </c>
      <c r="H4282" s="46" t="s">
        <v>15</v>
      </c>
      <c r="I4282" s="17">
        <v>80891.850000000006</v>
      </c>
      <c r="J4282" s="17">
        <f>IF(Gastos[[#This Row],[Divisa]]="$", I4282*1, IF(Gastos[[#This Row],[Divisa]]="U$D", I4282*$N$1, IF(Gastos[[#This Row],[Divisa]]="EUR", I4282*$N$2, 0)))</f>
        <v>80891.850000000006</v>
      </c>
      <c r="K4282" s="54">
        <f>Gastos[[#This Row],[Importe AR$]]/$N$1</f>
        <v>51.853750000000005</v>
      </c>
      <c r="M4282" s="69">
        <v>45894</v>
      </c>
      <c r="N4282" s="43">
        <f>IF(Gastos[[#This Row],[Fecha_Cheque]]&gt;0,WEEKNUM(Gastos[[#This Row],[Fecha_Cheque]]),MID(Gastos[[#This Row],[Semana]],6,2))</f>
        <v>35</v>
      </c>
      <c r="O4282" t="s">
        <v>2453</v>
      </c>
      <c r="P4282" t="s">
        <v>27</v>
      </c>
    </row>
    <row r="4283" spans="1:16" hidden="1" x14ac:dyDescent="0.25">
      <c r="A4283" s="3" t="s">
        <v>117</v>
      </c>
      <c r="B4283" t="s">
        <v>2436</v>
      </c>
      <c r="C4283" t="s">
        <v>108</v>
      </c>
      <c r="D4283" t="s">
        <v>26</v>
      </c>
      <c r="E4283" t="s">
        <v>31</v>
      </c>
      <c r="F4283">
        <v>1</v>
      </c>
      <c r="G4283" s="3" t="s">
        <v>32</v>
      </c>
      <c r="H4283" s="46" t="s">
        <v>15</v>
      </c>
      <c r="I4283" s="17">
        <v>80891.850000000006</v>
      </c>
      <c r="J4283" s="17">
        <f>IF(Gastos[[#This Row],[Divisa]]="$", I4283*1, IF(Gastos[[#This Row],[Divisa]]="U$D", I4283*$N$1, IF(Gastos[[#This Row],[Divisa]]="EUR", I4283*$N$2, 0)))</f>
        <v>80891.850000000006</v>
      </c>
      <c r="K4283" s="54">
        <f>Gastos[[#This Row],[Importe AR$]]/$N$1</f>
        <v>51.853750000000005</v>
      </c>
      <c r="M4283" s="69">
        <v>45896</v>
      </c>
      <c r="N4283" s="43">
        <f>IF(Gastos[[#This Row],[Fecha_Cheque]]&gt;0,WEEKNUM(Gastos[[#This Row],[Fecha_Cheque]]),MID(Gastos[[#This Row],[Semana]],6,2))</f>
        <v>35</v>
      </c>
      <c r="O4283" t="s">
        <v>2453</v>
      </c>
      <c r="P4283" t="s">
        <v>27</v>
      </c>
    </row>
    <row r="4284" spans="1:16" hidden="1" x14ac:dyDescent="0.25">
      <c r="A4284" s="3" t="s">
        <v>117</v>
      </c>
      <c r="B4284" t="s">
        <v>2436</v>
      </c>
      <c r="C4284" t="s">
        <v>108</v>
      </c>
      <c r="D4284" t="s">
        <v>26</v>
      </c>
      <c r="E4284" t="s">
        <v>31</v>
      </c>
      <c r="F4284">
        <v>1</v>
      </c>
      <c r="G4284" s="3" t="s">
        <v>32</v>
      </c>
      <c r="H4284" s="46" t="s">
        <v>15</v>
      </c>
      <c r="I4284" s="17">
        <v>82443.509999999995</v>
      </c>
      <c r="J4284" s="17">
        <f>IF(Gastos[[#This Row],[Divisa]]="$", I4284*1, IF(Gastos[[#This Row],[Divisa]]="U$D", I4284*$N$1, IF(Gastos[[#This Row],[Divisa]]="EUR", I4284*$N$2, 0)))</f>
        <v>82443.509999999995</v>
      </c>
      <c r="K4284" s="54">
        <f>Gastos[[#This Row],[Importe AR$]]/$N$1</f>
        <v>52.848403846153843</v>
      </c>
      <c r="M4284" s="69">
        <v>45885</v>
      </c>
      <c r="N4284" s="43">
        <f>IF(Gastos[[#This Row],[Fecha_Cheque]]&gt;0,WEEKNUM(Gastos[[#This Row],[Fecha_Cheque]]),MID(Gastos[[#This Row],[Semana]],6,2))</f>
        <v>33</v>
      </c>
      <c r="O4284" t="s">
        <v>2453</v>
      </c>
      <c r="P4284" t="s">
        <v>27</v>
      </c>
    </row>
    <row r="4285" spans="1:16" hidden="1" x14ac:dyDescent="0.25">
      <c r="A4285" s="3" t="s">
        <v>117</v>
      </c>
      <c r="B4285" t="s">
        <v>2436</v>
      </c>
      <c r="C4285" t="s">
        <v>108</v>
      </c>
      <c r="D4285" t="s">
        <v>26</v>
      </c>
      <c r="E4285" t="s">
        <v>31</v>
      </c>
      <c r="F4285">
        <v>1</v>
      </c>
      <c r="G4285" s="3" t="s">
        <v>32</v>
      </c>
      <c r="H4285" s="46" t="s">
        <v>15</v>
      </c>
      <c r="I4285" s="17">
        <v>206689.03</v>
      </c>
      <c r="J4285" s="17">
        <f>IF(Gastos[[#This Row],[Divisa]]="$", I4285*1, IF(Gastos[[#This Row],[Divisa]]="U$D", I4285*$N$1, IF(Gastos[[#This Row],[Divisa]]="EUR", I4285*$N$2, 0)))</f>
        <v>206689.03</v>
      </c>
      <c r="K4285" s="54">
        <f>Gastos[[#This Row],[Importe AR$]]/$N$1</f>
        <v>132.49296794871796</v>
      </c>
      <c r="M4285" s="69">
        <v>45884</v>
      </c>
      <c r="N4285" s="43">
        <f>IF(Gastos[[#This Row],[Fecha_Cheque]]&gt;0,WEEKNUM(Gastos[[#This Row],[Fecha_Cheque]]),MID(Gastos[[#This Row],[Semana]],6,2))</f>
        <v>33</v>
      </c>
      <c r="O4285" t="s">
        <v>2453</v>
      </c>
      <c r="P4285" t="s">
        <v>27</v>
      </c>
    </row>
    <row r="4286" spans="1:16" hidden="1" x14ac:dyDescent="0.25">
      <c r="A4286" s="3" t="s">
        <v>117</v>
      </c>
      <c r="B4286" t="s">
        <v>2436</v>
      </c>
      <c r="C4286" t="s">
        <v>108</v>
      </c>
      <c r="D4286" t="s">
        <v>26</v>
      </c>
      <c r="E4286" t="s">
        <v>31</v>
      </c>
      <c r="F4286">
        <v>1</v>
      </c>
      <c r="G4286" s="3" t="s">
        <v>32</v>
      </c>
      <c r="H4286" s="46" t="s">
        <v>15</v>
      </c>
      <c r="I4286" s="17">
        <v>206689.03</v>
      </c>
      <c r="J4286" s="17">
        <f>IF(Gastos[[#This Row],[Divisa]]="$", I4286*1, IF(Gastos[[#This Row],[Divisa]]="U$D", I4286*$N$1, IF(Gastos[[#This Row],[Divisa]]="EUR", I4286*$N$2, 0)))</f>
        <v>206689.03</v>
      </c>
      <c r="K4286" s="54">
        <f>Gastos[[#This Row],[Importe AR$]]/$N$1</f>
        <v>132.49296794871796</v>
      </c>
      <c r="M4286" s="69">
        <v>45889</v>
      </c>
      <c r="N4286" s="43">
        <f>IF(Gastos[[#This Row],[Fecha_Cheque]]&gt;0,WEEKNUM(Gastos[[#This Row],[Fecha_Cheque]]),MID(Gastos[[#This Row],[Semana]],6,2))</f>
        <v>34</v>
      </c>
      <c r="O4286" t="s">
        <v>2453</v>
      </c>
      <c r="P4286" t="s">
        <v>27</v>
      </c>
    </row>
    <row r="4287" spans="1:16" hidden="1" x14ac:dyDescent="0.25">
      <c r="A4287" s="3" t="s">
        <v>117</v>
      </c>
      <c r="B4287" t="s">
        <v>2436</v>
      </c>
      <c r="C4287" t="s">
        <v>108</v>
      </c>
      <c r="D4287" t="s">
        <v>26</v>
      </c>
      <c r="E4287" t="s">
        <v>31</v>
      </c>
      <c r="F4287">
        <v>1</v>
      </c>
      <c r="G4287" s="3" t="s">
        <v>32</v>
      </c>
      <c r="H4287" s="46" t="s">
        <v>15</v>
      </c>
      <c r="I4287" s="17">
        <v>206689.03</v>
      </c>
      <c r="J4287" s="17">
        <f>IF(Gastos[[#This Row],[Divisa]]="$", I4287*1, IF(Gastos[[#This Row],[Divisa]]="U$D", I4287*$N$1, IF(Gastos[[#This Row],[Divisa]]="EUR", I4287*$N$2, 0)))</f>
        <v>206689.03</v>
      </c>
      <c r="K4287" s="54">
        <f>Gastos[[#This Row],[Importe AR$]]/$N$1</f>
        <v>132.49296794871796</v>
      </c>
      <c r="M4287" s="69">
        <v>45887</v>
      </c>
      <c r="N4287" s="43">
        <f>IF(Gastos[[#This Row],[Fecha_Cheque]]&gt;0,WEEKNUM(Gastos[[#This Row],[Fecha_Cheque]]),MID(Gastos[[#This Row],[Semana]],6,2))</f>
        <v>34</v>
      </c>
      <c r="O4287" t="s">
        <v>2453</v>
      </c>
      <c r="P4287" t="s">
        <v>27</v>
      </c>
    </row>
    <row r="4288" spans="1:16" hidden="1" x14ac:dyDescent="0.25">
      <c r="A4288" s="3" t="s">
        <v>117</v>
      </c>
      <c r="B4288" t="s">
        <v>2436</v>
      </c>
      <c r="C4288" t="s">
        <v>108</v>
      </c>
      <c r="D4288" t="s">
        <v>26</v>
      </c>
      <c r="E4288" t="s">
        <v>31</v>
      </c>
      <c r="F4288">
        <v>1</v>
      </c>
      <c r="G4288" s="3" t="s">
        <v>32</v>
      </c>
      <c r="H4288" s="46" t="s">
        <v>15</v>
      </c>
      <c r="I4288" s="17">
        <v>213798.75</v>
      </c>
      <c r="J4288" s="17">
        <f>IF(Gastos[[#This Row],[Divisa]]="$", I4288*1, IF(Gastos[[#This Row],[Divisa]]="U$D", I4288*$N$1, IF(Gastos[[#This Row],[Divisa]]="EUR", I4288*$N$2, 0)))</f>
        <v>213798.75</v>
      </c>
      <c r="K4288" s="54">
        <f>Gastos[[#This Row],[Importe AR$]]/$N$1</f>
        <v>137.05048076923077</v>
      </c>
      <c r="M4288" s="69">
        <v>45894</v>
      </c>
      <c r="N4288" s="43">
        <f>IF(Gastos[[#This Row],[Fecha_Cheque]]&gt;0,WEEKNUM(Gastos[[#This Row],[Fecha_Cheque]]),MID(Gastos[[#This Row],[Semana]],6,2))</f>
        <v>35</v>
      </c>
      <c r="O4288" t="s">
        <v>2453</v>
      </c>
      <c r="P4288" t="s">
        <v>27</v>
      </c>
    </row>
    <row r="4289" spans="1:16" hidden="1" x14ac:dyDescent="0.25">
      <c r="A4289" s="3" t="s">
        <v>210</v>
      </c>
      <c r="B4289" t="s">
        <v>2436</v>
      </c>
      <c r="C4289" t="s">
        <v>108</v>
      </c>
      <c r="D4289" t="s">
        <v>26</v>
      </c>
      <c r="E4289" t="s">
        <v>31</v>
      </c>
      <c r="F4289">
        <v>1</v>
      </c>
      <c r="G4289" s="3" t="s">
        <v>5</v>
      </c>
      <c r="H4289" s="46" t="s">
        <v>15</v>
      </c>
      <c r="I4289" s="17">
        <v>10000000</v>
      </c>
      <c r="J4289" s="17">
        <f>IF(Gastos[[#This Row],[Divisa]]="$", I4289*1, IF(Gastos[[#This Row],[Divisa]]="U$D", I4289*$N$1, IF(Gastos[[#This Row],[Divisa]]="EUR", I4289*$N$2, 0)))</f>
        <v>10000000</v>
      </c>
      <c r="K4289" s="54">
        <f>Gastos[[#This Row],[Importe AR$]]/$N$1</f>
        <v>6410.2564102564102</v>
      </c>
      <c r="M4289" s="69"/>
      <c r="N4289" s="43" t="str">
        <f>IF(Gastos[[#This Row],[Fecha_Cheque]]&gt;0,WEEKNUM(Gastos[[#This Row],[Fecha_Cheque]]),MID(Gastos[[#This Row],[Semana]],6,2))</f>
        <v>37</v>
      </c>
      <c r="O4289" t="s">
        <v>2454</v>
      </c>
      <c r="P4289" t="s">
        <v>27</v>
      </c>
    </row>
    <row r="4290" spans="1:16" hidden="1" x14ac:dyDescent="0.25">
      <c r="A4290" s="3" t="s">
        <v>210</v>
      </c>
      <c r="B4290" t="s">
        <v>2436</v>
      </c>
      <c r="C4290" t="s">
        <v>108</v>
      </c>
      <c r="D4290" t="s">
        <v>26</v>
      </c>
      <c r="E4290" t="s">
        <v>31</v>
      </c>
      <c r="F4290">
        <v>1</v>
      </c>
      <c r="G4290" s="3" t="s">
        <v>5</v>
      </c>
      <c r="H4290" s="46" t="s">
        <v>15</v>
      </c>
      <c r="I4290" s="17">
        <v>11782805.43</v>
      </c>
      <c r="J4290" s="17">
        <f>IF(Gastos[[#This Row],[Divisa]]="$", I4290*1, IF(Gastos[[#This Row],[Divisa]]="U$D", I4290*$N$1, IF(Gastos[[#This Row],[Divisa]]="EUR", I4290*$N$2, 0)))</f>
        <v>11782805.43</v>
      </c>
      <c r="K4290" s="54">
        <f>Gastos[[#This Row],[Importe AR$]]/$N$1</f>
        <v>7553.0804038461538</v>
      </c>
      <c r="M4290" s="69"/>
      <c r="N4290" s="43" t="str">
        <f>IF(Gastos[[#This Row],[Fecha_Cheque]]&gt;0,WEEKNUM(Gastos[[#This Row],[Fecha_Cheque]]),MID(Gastos[[#This Row],[Semana]],6,2))</f>
        <v>37</v>
      </c>
      <c r="O4290" t="s">
        <v>2455</v>
      </c>
      <c r="P4290" t="s">
        <v>27</v>
      </c>
    </row>
    <row r="4291" spans="1:16" hidden="1" x14ac:dyDescent="0.25">
      <c r="A4291" s="3" t="s">
        <v>171</v>
      </c>
      <c r="B4291" t="s">
        <v>2436</v>
      </c>
      <c r="C4291" t="s">
        <v>108</v>
      </c>
      <c r="D4291" t="s">
        <v>26</v>
      </c>
      <c r="E4291" t="s">
        <v>31</v>
      </c>
      <c r="F4291">
        <v>1</v>
      </c>
      <c r="G4291" s="3" t="s">
        <v>5</v>
      </c>
      <c r="H4291" s="46" t="s">
        <v>15</v>
      </c>
      <c r="I4291" s="17">
        <v>12000000</v>
      </c>
      <c r="J4291" s="17">
        <f>IF(Gastos[[#This Row],[Divisa]]="$", I4291*1, IF(Gastos[[#This Row],[Divisa]]="U$D", I4291*$N$1, IF(Gastos[[#This Row],[Divisa]]="EUR", I4291*$N$2, 0)))</f>
        <v>12000000</v>
      </c>
      <c r="K4291" s="54">
        <f>Gastos[[#This Row],[Importe AR$]]/$N$1</f>
        <v>7692.3076923076924</v>
      </c>
      <c r="M4291" s="69"/>
      <c r="N4291" s="43" t="str">
        <f>IF(Gastos[[#This Row],[Fecha_Cheque]]&gt;0,WEEKNUM(Gastos[[#This Row],[Fecha_Cheque]]),MID(Gastos[[#This Row],[Semana]],6,2))</f>
        <v>38</v>
      </c>
      <c r="O4291" t="s">
        <v>2456</v>
      </c>
      <c r="P4291" t="s">
        <v>27</v>
      </c>
    </row>
    <row r="4292" spans="1:16" hidden="1" x14ac:dyDescent="0.25">
      <c r="A4292" s="3" t="s">
        <v>89</v>
      </c>
      <c r="B4292" t="s">
        <v>2436</v>
      </c>
      <c r="C4292" t="s">
        <v>108</v>
      </c>
      <c r="D4292" t="s">
        <v>26</v>
      </c>
      <c r="E4292" t="s">
        <v>31</v>
      </c>
      <c r="F4292">
        <v>1</v>
      </c>
      <c r="G4292" s="3" t="s">
        <v>5</v>
      </c>
      <c r="H4292" s="46" t="s">
        <v>15</v>
      </c>
      <c r="I4292" s="17">
        <v>9819004.5199999996</v>
      </c>
      <c r="J4292" s="17">
        <f>IF(Gastos[[#This Row],[Divisa]]="$", I4292*1, IF(Gastos[[#This Row],[Divisa]]="U$D", I4292*$N$1, IF(Gastos[[#This Row],[Divisa]]="EUR", I4292*$N$2, 0)))</f>
        <v>9819004.5199999996</v>
      </c>
      <c r="K4292" s="54">
        <f>Gastos[[#This Row],[Importe AR$]]/$N$1</f>
        <v>6294.2336666666661</v>
      </c>
      <c r="M4292" s="69"/>
      <c r="N4292" s="43" t="str">
        <f>IF(Gastos[[#This Row],[Fecha_Cheque]]&gt;0,WEEKNUM(Gastos[[#This Row],[Fecha_Cheque]]),MID(Gastos[[#This Row],[Semana]],6,2))</f>
        <v>39</v>
      </c>
      <c r="O4292" t="s">
        <v>2457</v>
      </c>
      <c r="P4292" t="s">
        <v>27</v>
      </c>
    </row>
    <row r="4293" spans="1:16" hidden="1" x14ac:dyDescent="0.25">
      <c r="A4293" s="3" t="s">
        <v>56</v>
      </c>
      <c r="B4293" t="s">
        <v>2436</v>
      </c>
      <c r="C4293" t="s">
        <v>118</v>
      </c>
      <c r="D4293" t="s">
        <v>26</v>
      </c>
      <c r="E4293" t="s">
        <v>132</v>
      </c>
      <c r="F4293">
        <v>1</v>
      </c>
      <c r="G4293" s="3" t="s">
        <v>5</v>
      </c>
      <c r="H4293" s="46" t="s">
        <v>15</v>
      </c>
      <c r="I4293" s="17">
        <v>14732986.789999999</v>
      </c>
      <c r="J4293" s="17">
        <f>IF(Gastos[[#This Row],[Divisa]]="$", I4293*1, IF(Gastos[[#This Row],[Divisa]]="U$D", I4293*$N$1, IF(Gastos[[#This Row],[Divisa]]="EUR", I4293*$N$2, 0)))</f>
        <v>14732986.789999999</v>
      </c>
      <c r="K4293" s="54">
        <f>Gastos[[#This Row],[Importe AR$]]/$N$1</f>
        <v>9444.2223012820505</v>
      </c>
      <c r="M4293" s="69"/>
      <c r="N4293" s="43" t="str">
        <f>IF(Gastos[[#This Row],[Fecha_Cheque]]&gt;0,WEEKNUM(Gastos[[#This Row],[Fecha_Cheque]]),MID(Gastos[[#This Row],[Semana]],6,2))</f>
        <v>41</v>
      </c>
      <c r="O4293" t="s">
        <v>2458</v>
      </c>
      <c r="P4293" t="s">
        <v>27</v>
      </c>
    </row>
    <row r="4294" spans="1:16" hidden="1" x14ac:dyDescent="0.25">
      <c r="A4294" s="3" t="s">
        <v>124</v>
      </c>
      <c r="B4294" t="s">
        <v>2436</v>
      </c>
      <c r="C4294" t="s">
        <v>118</v>
      </c>
      <c r="D4294" t="s">
        <v>26</v>
      </c>
      <c r="E4294" t="s">
        <v>132</v>
      </c>
      <c r="F4294">
        <v>1</v>
      </c>
      <c r="G4294" s="3" t="s">
        <v>32</v>
      </c>
      <c r="H4294" s="46" t="s">
        <v>15</v>
      </c>
      <c r="I4294" s="17">
        <v>5000000</v>
      </c>
      <c r="J4294" s="17">
        <f>IF(Gastos[[#This Row],[Divisa]]="$", I4294*1, IF(Gastos[[#This Row],[Divisa]]="U$D", I4294*$N$1, IF(Gastos[[#This Row],[Divisa]]="EUR", I4294*$N$2, 0)))</f>
        <v>5000000</v>
      </c>
      <c r="K4294" s="54">
        <f>Gastos[[#This Row],[Importe AR$]]/$N$1</f>
        <v>3205.1282051282051</v>
      </c>
      <c r="M4294" s="69">
        <v>45987</v>
      </c>
      <c r="N4294" s="43">
        <f>IF(Gastos[[#This Row],[Fecha_Cheque]]&gt;0,WEEKNUM(Gastos[[#This Row],[Fecha_Cheque]]),MID(Gastos[[#This Row],[Semana]],6,2))</f>
        <v>48</v>
      </c>
      <c r="O4294" t="s">
        <v>2459</v>
      </c>
      <c r="P4294" t="s">
        <v>27</v>
      </c>
    </row>
    <row r="4295" spans="1:16" hidden="1" x14ac:dyDescent="0.25">
      <c r="A4295" s="3" t="s">
        <v>124</v>
      </c>
      <c r="B4295" t="s">
        <v>2436</v>
      </c>
      <c r="C4295" t="s">
        <v>118</v>
      </c>
      <c r="D4295" t="s">
        <v>26</v>
      </c>
      <c r="E4295" t="s">
        <v>132</v>
      </c>
      <c r="F4295">
        <v>1</v>
      </c>
      <c r="G4295" s="3" t="s">
        <v>32</v>
      </c>
      <c r="H4295" s="46" t="s">
        <v>15</v>
      </c>
      <c r="I4295" s="17">
        <v>4728506.78</v>
      </c>
      <c r="J4295" s="17">
        <f>IF(Gastos[[#This Row],[Divisa]]="$", I4295*1, IF(Gastos[[#This Row],[Divisa]]="U$D", I4295*$N$1, IF(Gastos[[#This Row],[Divisa]]="EUR", I4295*$N$2, 0)))</f>
        <v>4728506.78</v>
      </c>
      <c r="K4295" s="54">
        <f>Gastos[[#This Row],[Importe AR$]]/$N$1</f>
        <v>3031.0940897435898</v>
      </c>
      <c r="M4295" s="69">
        <v>45996</v>
      </c>
      <c r="N4295" s="43">
        <f>IF(Gastos[[#This Row],[Fecha_Cheque]]&gt;0,WEEKNUM(Gastos[[#This Row],[Fecha_Cheque]]),MID(Gastos[[#This Row],[Semana]],6,2))</f>
        <v>49</v>
      </c>
      <c r="O4295" t="s">
        <v>2459</v>
      </c>
      <c r="P4295" t="s">
        <v>27</v>
      </c>
    </row>
    <row r="4296" spans="1:16" hidden="1" x14ac:dyDescent="0.25">
      <c r="A4296" s="3" t="s">
        <v>124</v>
      </c>
      <c r="B4296" t="s">
        <v>2436</v>
      </c>
      <c r="C4296" t="s">
        <v>118</v>
      </c>
      <c r="D4296" t="s">
        <v>26</v>
      </c>
      <c r="E4296" t="s">
        <v>132</v>
      </c>
      <c r="F4296">
        <v>1</v>
      </c>
      <c r="G4296" s="3" t="s">
        <v>32</v>
      </c>
      <c r="H4296" s="46" t="s">
        <v>15</v>
      </c>
      <c r="I4296" s="17">
        <v>5000000</v>
      </c>
      <c r="J4296" s="17">
        <f>IF(Gastos[[#This Row],[Divisa]]="$", I4296*1, IF(Gastos[[#This Row],[Divisa]]="U$D", I4296*$N$1, IF(Gastos[[#This Row],[Divisa]]="EUR", I4296*$N$2, 0)))</f>
        <v>5000000</v>
      </c>
      <c r="K4296" s="54">
        <f>Gastos[[#This Row],[Importe AR$]]/$N$1</f>
        <v>3205.1282051282051</v>
      </c>
      <c r="M4296" s="69">
        <v>45992</v>
      </c>
      <c r="N4296" s="43">
        <f>IF(Gastos[[#This Row],[Fecha_Cheque]]&gt;0,WEEKNUM(Gastos[[#This Row],[Fecha_Cheque]]),MID(Gastos[[#This Row],[Semana]],6,2))</f>
        <v>49</v>
      </c>
      <c r="O4296" t="s">
        <v>2459</v>
      </c>
      <c r="P4296" t="s">
        <v>27</v>
      </c>
    </row>
    <row r="4297" spans="1:16" hidden="1" x14ac:dyDescent="0.25">
      <c r="A4297" s="3" t="s">
        <v>128</v>
      </c>
      <c r="B4297" t="s">
        <v>2436</v>
      </c>
      <c r="C4297" t="s">
        <v>118</v>
      </c>
      <c r="D4297" t="s">
        <v>26</v>
      </c>
      <c r="E4297" t="s">
        <v>132</v>
      </c>
      <c r="F4297">
        <v>1</v>
      </c>
      <c r="G4297" s="3" t="s">
        <v>32</v>
      </c>
      <c r="H4297" s="46" t="s">
        <v>15</v>
      </c>
      <c r="I4297" s="17">
        <v>4000000</v>
      </c>
      <c r="J4297" s="17">
        <f>IF(Gastos[[#This Row],[Divisa]]="$", I4297*1, IF(Gastos[[#This Row],[Divisa]]="U$D", I4297*$N$1, IF(Gastos[[#This Row],[Divisa]]="EUR", I4297*$N$2, 0)))</f>
        <v>4000000</v>
      </c>
      <c r="K4297" s="54">
        <f>Gastos[[#This Row],[Importe AR$]]/$N$1</f>
        <v>2564.102564102564</v>
      </c>
      <c r="M4297" s="69">
        <v>45975</v>
      </c>
      <c r="N4297" s="43">
        <f>IF(Gastos[[#This Row],[Fecha_Cheque]]&gt;0,WEEKNUM(Gastos[[#This Row],[Fecha_Cheque]]),MID(Gastos[[#This Row],[Semana]],6,2))</f>
        <v>46</v>
      </c>
      <c r="O4297" t="s">
        <v>2460</v>
      </c>
      <c r="P4297" t="s">
        <v>27</v>
      </c>
    </row>
    <row r="4298" spans="1:16" hidden="1" x14ac:dyDescent="0.25">
      <c r="A4298" s="3" t="s">
        <v>128</v>
      </c>
      <c r="B4298" t="s">
        <v>2436</v>
      </c>
      <c r="C4298" t="s">
        <v>118</v>
      </c>
      <c r="D4298" t="s">
        <v>26</v>
      </c>
      <c r="E4298" t="s">
        <v>132</v>
      </c>
      <c r="F4298">
        <v>1</v>
      </c>
      <c r="G4298" s="3" t="s">
        <v>32</v>
      </c>
      <c r="H4298" s="46" t="s">
        <v>15</v>
      </c>
      <c r="I4298" s="17">
        <v>4000000</v>
      </c>
      <c r="J4298" s="17">
        <f>IF(Gastos[[#This Row],[Divisa]]="$", I4298*1, IF(Gastos[[#This Row],[Divisa]]="U$D", I4298*$N$1, IF(Gastos[[#This Row],[Divisa]]="EUR", I4298*$N$2, 0)))</f>
        <v>4000000</v>
      </c>
      <c r="K4298" s="54">
        <f>Gastos[[#This Row],[Importe AR$]]/$N$1</f>
        <v>2564.102564102564</v>
      </c>
      <c r="M4298" s="69">
        <v>45985</v>
      </c>
      <c r="N4298" s="43">
        <f>IF(Gastos[[#This Row],[Fecha_Cheque]]&gt;0,WEEKNUM(Gastos[[#This Row],[Fecha_Cheque]]),MID(Gastos[[#This Row],[Semana]],6,2))</f>
        <v>48</v>
      </c>
      <c r="O4298" t="s">
        <v>2460</v>
      </c>
      <c r="P4298" t="s">
        <v>27</v>
      </c>
    </row>
    <row r="4299" spans="1:16" hidden="1" x14ac:dyDescent="0.25">
      <c r="A4299" s="3" t="s">
        <v>128</v>
      </c>
      <c r="B4299" t="s">
        <v>2436</v>
      </c>
      <c r="C4299" t="s">
        <v>118</v>
      </c>
      <c r="D4299" t="s">
        <v>26</v>
      </c>
      <c r="E4299" t="s">
        <v>132</v>
      </c>
      <c r="F4299">
        <v>1</v>
      </c>
      <c r="G4299" s="3" t="s">
        <v>32</v>
      </c>
      <c r="H4299" s="46" t="s">
        <v>15</v>
      </c>
      <c r="I4299" s="17">
        <v>4000000</v>
      </c>
      <c r="J4299" s="17">
        <f>IF(Gastos[[#This Row],[Divisa]]="$", I4299*1, IF(Gastos[[#This Row],[Divisa]]="U$D", I4299*$N$1, IF(Gastos[[#This Row],[Divisa]]="EUR", I4299*$N$2, 0)))</f>
        <v>4000000</v>
      </c>
      <c r="K4299" s="54">
        <f>Gastos[[#This Row],[Importe AR$]]/$N$1</f>
        <v>2564.102564102564</v>
      </c>
      <c r="M4299" s="69">
        <v>45980</v>
      </c>
      <c r="N4299" s="43">
        <f>IF(Gastos[[#This Row],[Fecha_Cheque]]&gt;0,WEEKNUM(Gastos[[#This Row],[Fecha_Cheque]]),MID(Gastos[[#This Row],[Semana]],6,2))</f>
        <v>47</v>
      </c>
      <c r="O4299" t="s">
        <v>2460</v>
      </c>
      <c r="P4299" t="s">
        <v>27</v>
      </c>
    </row>
    <row r="4300" spans="1:16" hidden="1" x14ac:dyDescent="0.25">
      <c r="A4300" s="3" t="s">
        <v>60</v>
      </c>
      <c r="B4300" t="s">
        <v>2436</v>
      </c>
      <c r="C4300" t="s">
        <v>118</v>
      </c>
      <c r="D4300" t="s">
        <v>26</v>
      </c>
      <c r="E4300" t="s">
        <v>132</v>
      </c>
      <c r="F4300">
        <v>1</v>
      </c>
      <c r="G4300" s="3" t="s">
        <v>5</v>
      </c>
      <c r="H4300" s="46" t="s">
        <v>15</v>
      </c>
      <c r="I4300" s="17">
        <v>9804480</v>
      </c>
      <c r="J4300" s="17">
        <f>IF(Gastos[[#This Row],[Divisa]]="$", I4300*1, IF(Gastos[[#This Row],[Divisa]]="U$D", I4300*$N$1, IF(Gastos[[#This Row],[Divisa]]="EUR", I4300*$N$2, 0)))</f>
        <v>9804480</v>
      </c>
      <c r="K4300" s="54">
        <f>Gastos[[#This Row],[Importe AR$]]/$N$1</f>
        <v>6284.9230769230771</v>
      </c>
      <c r="M4300" s="69"/>
      <c r="N4300" s="43" t="str">
        <f>IF(Gastos[[#This Row],[Fecha_Cheque]]&gt;0,WEEKNUM(Gastos[[#This Row],[Fecha_Cheque]]),MID(Gastos[[#This Row],[Semana]],6,2))</f>
        <v>46</v>
      </c>
      <c r="O4300" t="s">
        <v>2461</v>
      </c>
      <c r="P4300" t="s">
        <v>27</v>
      </c>
    </row>
    <row r="4301" spans="1:16" hidden="1" x14ac:dyDescent="0.25">
      <c r="A4301" s="3" t="s">
        <v>79</v>
      </c>
      <c r="B4301" t="s">
        <v>2436</v>
      </c>
      <c r="C4301" t="s">
        <v>118</v>
      </c>
      <c r="D4301" t="s">
        <v>26</v>
      </c>
      <c r="E4301" t="s">
        <v>132</v>
      </c>
      <c r="F4301">
        <v>1</v>
      </c>
      <c r="G4301" s="3" t="s">
        <v>32</v>
      </c>
      <c r="H4301" s="46" t="s">
        <v>15</v>
      </c>
      <c r="I4301" s="17">
        <v>9800000</v>
      </c>
      <c r="J4301" s="17">
        <f>IF(Gastos[[#This Row],[Divisa]]="$", I4301*1, IF(Gastos[[#This Row],[Divisa]]="U$D", I4301*$N$1, IF(Gastos[[#This Row],[Divisa]]="EUR", I4301*$N$2, 0)))</f>
        <v>9800000</v>
      </c>
      <c r="K4301" s="54">
        <f>Gastos[[#This Row],[Importe AR$]]/$N$1</f>
        <v>6282.0512820512822</v>
      </c>
      <c r="M4301" s="69"/>
      <c r="N4301" s="43" t="str">
        <f>IF(Gastos[[#This Row],[Fecha_Cheque]]&gt;0,WEEKNUM(Gastos[[#This Row],[Fecha_Cheque]]),MID(Gastos[[#This Row],[Semana]],6,2))</f>
        <v>47</v>
      </c>
      <c r="O4301" t="s">
        <v>2462</v>
      </c>
      <c r="P4301" t="s">
        <v>27</v>
      </c>
    </row>
    <row r="4302" spans="1:16" hidden="1" x14ac:dyDescent="0.25">
      <c r="A4302" s="3" t="s">
        <v>81</v>
      </c>
      <c r="B4302" t="s">
        <v>2436</v>
      </c>
      <c r="C4302" t="s">
        <v>118</v>
      </c>
      <c r="D4302" t="s">
        <v>26</v>
      </c>
      <c r="E4302" t="s">
        <v>132</v>
      </c>
      <c r="F4302">
        <v>1</v>
      </c>
      <c r="G4302" s="3" t="s">
        <v>5</v>
      </c>
      <c r="H4302" s="46" t="s">
        <v>15</v>
      </c>
      <c r="I4302" s="17">
        <v>9804480</v>
      </c>
      <c r="J4302" s="17">
        <f>IF(Gastos[[#This Row],[Divisa]]="$", I4302*1, IF(Gastos[[#This Row],[Divisa]]="U$D", I4302*$N$1, IF(Gastos[[#This Row],[Divisa]]="EUR", I4302*$N$2, 0)))</f>
        <v>9804480</v>
      </c>
      <c r="K4302" s="54">
        <f>Gastos[[#This Row],[Importe AR$]]/$N$1</f>
        <v>6284.9230769230771</v>
      </c>
      <c r="M4302" s="69"/>
      <c r="N4302" s="43" t="str">
        <f>IF(Gastos[[#This Row],[Fecha_Cheque]]&gt;0,WEEKNUM(Gastos[[#This Row],[Fecha_Cheque]]),MID(Gastos[[#This Row],[Semana]],6,2))</f>
        <v>49</v>
      </c>
      <c r="O4302" t="s">
        <v>2463</v>
      </c>
      <c r="P4302" t="s">
        <v>27</v>
      </c>
    </row>
    <row r="4303" spans="1:16" hidden="1" x14ac:dyDescent="0.25">
      <c r="A4303" s="3" t="s">
        <v>93</v>
      </c>
      <c r="B4303" t="s">
        <v>2436</v>
      </c>
      <c r="C4303" t="s">
        <v>118</v>
      </c>
      <c r="D4303" t="s">
        <v>26</v>
      </c>
      <c r="E4303" t="s">
        <v>132</v>
      </c>
      <c r="F4303">
        <v>1</v>
      </c>
      <c r="G4303" s="3" t="s">
        <v>32</v>
      </c>
      <c r="H4303" s="46" t="s">
        <v>15</v>
      </c>
      <c r="I4303" s="17">
        <v>4900000</v>
      </c>
      <c r="J4303" s="17">
        <f>IF(Gastos[[#This Row],[Divisa]]="$", I4303*1, IF(Gastos[[#This Row],[Divisa]]="U$D", I4303*$N$1, IF(Gastos[[#This Row],[Divisa]]="EUR", I4303*$N$2, 0)))</f>
        <v>4900000</v>
      </c>
      <c r="K4303" s="54">
        <f>Gastos[[#This Row],[Importe AR$]]/$N$1</f>
        <v>3141.0256410256411</v>
      </c>
      <c r="L4303" s="8"/>
      <c r="M4303" s="69"/>
      <c r="N4303" s="43" t="str">
        <f>IF(Gastos[[#This Row],[Fecha_Cheque]]&gt;0,WEEKNUM(Gastos[[#This Row],[Fecha_Cheque]]),MID(Gastos[[#This Row],[Semana]],6,2))</f>
        <v>50</v>
      </c>
      <c r="O4303" t="s">
        <v>2464</v>
      </c>
      <c r="P4303" t="s">
        <v>27</v>
      </c>
    </row>
    <row r="4304" spans="1:16" hidden="1" x14ac:dyDescent="0.25">
      <c r="A4304" s="3" t="s">
        <v>378</v>
      </c>
      <c r="B4304" t="s">
        <v>2436</v>
      </c>
      <c r="C4304" t="s">
        <v>118</v>
      </c>
      <c r="D4304" t="s">
        <v>26</v>
      </c>
      <c r="E4304" t="s">
        <v>132</v>
      </c>
      <c r="F4304">
        <v>1</v>
      </c>
      <c r="G4304" s="3" t="s">
        <v>5</v>
      </c>
      <c r="H4304" s="46" t="s">
        <v>15</v>
      </c>
      <c r="I4304" s="17">
        <v>5880000</v>
      </c>
      <c r="J4304" s="17">
        <f>IF(Gastos[[#This Row],[Divisa]]="$", I4304*1, IF(Gastos[[#This Row],[Divisa]]="U$D", I4304*$N$1, IF(Gastos[[#This Row],[Divisa]]="EUR", I4304*$N$2, 0)))</f>
        <v>5880000</v>
      </c>
      <c r="K4304" s="54">
        <f>Gastos[[#This Row],[Importe AR$]]/$N$1</f>
        <v>3769.2307692307691</v>
      </c>
      <c r="L4304" s="8"/>
      <c r="M4304" s="69"/>
      <c r="N4304" s="43" t="str">
        <f>IF(Gastos[[#This Row],[Fecha_Cheque]]&gt;0,WEEKNUM(Gastos[[#This Row],[Fecha_Cheque]]),MID(Gastos[[#This Row],[Semana]],6,2))</f>
        <v>03</v>
      </c>
      <c r="O4304" t="s">
        <v>2465</v>
      </c>
      <c r="P4304" t="s">
        <v>27</v>
      </c>
    </row>
    <row r="4305" spans="1:16" hidden="1" x14ac:dyDescent="0.25">
      <c r="A4305" s="3" t="s">
        <v>206</v>
      </c>
      <c r="B4305" t="s">
        <v>2436</v>
      </c>
      <c r="C4305" t="s">
        <v>118</v>
      </c>
      <c r="D4305" t="s">
        <v>26</v>
      </c>
      <c r="E4305" t="s">
        <v>132</v>
      </c>
      <c r="F4305">
        <v>1</v>
      </c>
      <c r="G4305" s="3" t="s">
        <v>5</v>
      </c>
      <c r="H4305" s="46" t="s">
        <v>15</v>
      </c>
      <c r="I4305" s="17">
        <v>4904480</v>
      </c>
      <c r="J4305" s="17">
        <f>IF(Gastos[[#This Row],[Divisa]]="$", I4305*1, IF(Gastos[[#This Row],[Divisa]]="U$D", I4305*$N$1, IF(Gastos[[#This Row],[Divisa]]="EUR", I4305*$N$2, 0)))</f>
        <v>4904480</v>
      </c>
      <c r="K4305" s="54">
        <f>Gastos[[#This Row],[Importe AR$]]/$N$1</f>
        <v>3143.897435897436</v>
      </c>
      <c r="L4305" s="8"/>
      <c r="M4305" s="69"/>
      <c r="N4305" s="43" t="str">
        <f>IF(Gastos[[#This Row],[Fecha_Cheque]]&gt;0,WEEKNUM(Gastos[[#This Row],[Fecha_Cheque]]),MID(Gastos[[#This Row],[Semana]],6,2))</f>
        <v>06</v>
      </c>
      <c r="O4305" t="s">
        <v>2466</v>
      </c>
      <c r="P4305" t="s">
        <v>27</v>
      </c>
    </row>
    <row r="4306" spans="1:16" x14ac:dyDescent="0.25">
      <c r="A4306" s="3" t="s">
        <v>4655</v>
      </c>
      <c r="B4306" t="s">
        <v>2198</v>
      </c>
      <c r="C4306" t="s">
        <v>3446</v>
      </c>
      <c r="D4306" t="s">
        <v>26</v>
      </c>
      <c r="E4306" t="s">
        <v>62</v>
      </c>
      <c r="F4306">
        <v>2</v>
      </c>
      <c r="G4306" s="3" t="s">
        <v>32</v>
      </c>
      <c r="H4306" s="44" t="s">
        <v>15</v>
      </c>
      <c r="I4306" s="17">
        <v>2000000</v>
      </c>
      <c r="J4306" s="17">
        <f>IF(Gastos[[#This Row],[Divisa]]="$", I4306*1, IF(Gastos[[#This Row],[Divisa]]="U$D", I4306*$N$1, IF(Gastos[[#This Row],[Divisa]]="EUR", I4306*$N$2, 0)))</f>
        <v>2000000</v>
      </c>
      <c r="K4306" s="54">
        <f>Gastos[[#This Row],[Importe AR$]]/$N$1</f>
        <v>1282.051282051282</v>
      </c>
      <c r="M4306" s="69"/>
      <c r="N4306" s="43" t="str">
        <f>IF(Gastos[[#This Row],[Fecha_Cheque]]&gt;0,WEEKNUM(Gastos[[#This Row],[Fecha_Cheque]]),MID(Gastos[[#This Row],[Semana]],6,2))</f>
        <v>44</v>
      </c>
    </row>
    <row r="4307" spans="1:16" hidden="1" x14ac:dyDescent="0.25">
      <c r="A4307" s="3" t="s">
        <v>2792</v>
      </c>
      <c r="B4307" t="s">
        <v>3289</v>
      </c>
      <c r="C4307" t="s">
        <v>3290</v>
      </c>
      <c r="D4307" t="s">
        <v>26</v>
      </c>
      <c r="E4307" t="s">
        <v>31</v>
      </c>
      <c r="F4307">
        <v>1</v>
      </c>
      <c r="G4307" s="3" t="s">
        <v>32</v>
      </c>
      <c r="H4307" s="44" t="s">
        <v>15</v>
      </c>
      <c r="I4307" s="17">
        <v>300000</v>
      </c>
      <c r="J4307" s="17">
        <f>IF(Gastos[[#This Row],[Divisa]]="$", I4307*1, IF(Gastos[[#This Row],[Divisa]]="U$D", I4307*$N$1, IF(Gastos[[#This Row],[Divisa]]="EUR", I4307*$N$2, 0)))</f>
        <v>300000</v>
      </c>
      <c r="K4307" s="54">
        <f>Gastos[[#This Row],[Importe AR$]]/$N$1</f>
        <v>192.30769230769232</v>
      </c>
      <c r="M4307" s="69">
        <v>46191</v>
      </c>
      <c r="N4307" s="43">
        <f>IF(Gastos[[#This Row],[Fecha_Cheque]]&gt;0,WEEKNUM(Gastos[[#This Row],[Fecha_Cheque]]),MID(Gastos[[#This Row],[Semana]],6,2))</f>
        <v>25</v>
      </c>
      <c r="O4307" t="s">
        <v>3291</v>
      </c>
      <c r="P4307" t="s">
        <v>27</v>
      </c>
    </row>
    <row r="4308" spans="1:16" hidden="1" x14ac:dyDescent="0.25">
      <c r="A4308" s="3" t="s">
        <v>2792</v>
      </c>
      <c r="B4308" t="s">
        <v>3289</v>
      </c>
      <c r="C4308" t="s">
        <v>3290</v>
      </c>
      <c r="D4308" t="s">
        <v>26</v>
      </c>
      <c r="E4308" t="s">
        <v>31</v>
      </c>
      <c r="F4308">
        <v>1</v>
      </c>
      <c r="G4308" s="3" t="s">
        <v>32</v>
      </c>
      <c r="H4308" s="44" t="s">
        <v>15</v>
      </c>
      <c r="I4308" s="17">
        <v>300000</v>
      </c>
      <c r="J4308" s="17">
        <f>IF(Gastos[[#This Row],[Divisa]]="$", I4308*1, IF(Gastos[[#This Row],[Divisa]]="U$D", I4308*$N$1, IF(Gastos[[#This Row],[Divisa]]="EUR", I4308*$N$2, 0)))</f>
        <v>300000</v>
      </c>
      <c r="K4308" s="54">
        <f>Gastos[[#This Row],[Importe AR$]]/$N$1</f>
        <v>192.30769230769232</v>
      </c>
      <c r="M4308" s="69">
        <v>46185</v>
      </c>
      <c r="N4308" s="43">
        <f>IF(Gastos[[#This Row],[Fecha_Cheque]]&gt;0,WEEKNUM(Gastos[[#This Row],[Fecha_Cheque]]),MID(Gastos[[#This Row],[Semana]],6,2))</f>
        <v>24</v>
      </c>
      <c r="O4308" t="s">
        <v>3291</v>
      </c>
      <c r="P4308" t="s">
        <v>27</v>
      </c>
    </row>
    <row r="4309" spans="1:16" hidden="1" x14ac:dyDescent="0.25">
      <c r="A4309" s="3" t="s">
        <v>2792</v>
      </c>
      <c r="B4309" t="s">
        <v>3289</v>
      </c>
      <c r="C4309" t="s">
        <v>3290</v>
      </c>
      <c r="D4309" t="s">
        <v>26</v>
      </c>
      <c r="E4309" t="s">
        <v>31</v>
      </c>
      <c r="F4309">
        <v>1</v>
      </c>
      <c r="G4309" s="3" t="s">
        <v>32</v>
      </c>
      <c r="H4309" s="44" t="s">
        <v>15</v>
      </c>
      <c r="I4309" s="17">
        <v>314950</v>
      </c>
      <c r="J4309" s="17">
        <f>IF(Gastos[[#This Row],[Divisa]]="$", I4309*1, IF(Gastos[[#This Row],[Divisa]]="U$D", I4309*$N$1, IF(Gastos[[#This Row],[Divisa]]="EUR", I4309*$N$2, 0)))</f>
        <v>314950</v>
      </c>
      <c r="K4309" s="54">
        <f>Gastos[[#This Row],[Importe AR$]]/$N$1</f>
        <v>201.89102564102564</v>
      </c>
      <c r="M4309" s="69">
        <v>46184</v>
      </c>
      <c r="N4309" s="43">
        <f>IF(Gastos[[#This Row],[Fecha_Cheque]]&gt;0,WEEKNUM(Gastos[[#This Row],[Fecha_Cheque]]),MID(Gastos[[#This Row],[Semana]],6,2))</f>
        <v>24</v>
      </c>
      <c r="O4309" t="s">
        <v>3291</v>
      </c>
      <c r="P4309" t="s">
        <v>27</v>
      </c>
    </row>
    <row r="4310" spans="1:16" hidden="1" x14ac:dyDescent="0.25">
      <c r="A4310" s="3" t="s">
        <v>2792</v>
      </c>
      <c r="B4310" t="s">
        <v>3289</v>
      </c>
      <c r="C4310" t="s">
        <v>3290</v>
      </c>
      <c r="D4310" t="s">
        <v>26</v>
      </c>
      <c r="E4310" t="s">
        <v>31</v>
      </c>
      <c r="F4310">
        <v>1</v>
      </c>
      <c r="G4310" s="3" t="s">
        <v>32</v>
      </c>
      <c r="H4310" s="44" t="s">
        <v>15</v>
      </c>
      <c r="I4310" s="17">
        <v>575000</v>
      </c>
      <c r="J4310" s="17">
        <f>IF(Gastos[[#This Row],[Divisa]]="$", I4310*1, IF(Gastos[[#This Row],[Divisa]]="U$D", I4310*$N$1, IF(Gastos[[#This Row],[Divisa]]="EUR", I4310*$N$2, 0)))</f>
        <v>575000</v>
      </c>
      <c r="K4310" s="54">
        <f>Gastos[[#This Row],[Importe AR$]]/$N$1</f>
        <v>368.58974358974359</v>
      </c>
      <c r="M4310" s="69">
        <v>46198</v>
      </c>
      <c r="N4310" s="43">
        <f>IF(Gastos[[#This Row],[Fecha_Cheque]]&gt;0,WEEKNUM(Gastos[[#This Row],[Fecha_Cheque]]),MID(Gastos[[#This Row],[Semana]],6,2))</f>
        <v>26</v>
      </c>
      <c r="O4310" t="s">
        <v>3291</v>
      </c>
      <c r="P4310" t="s">
        <v>27</v>
      </c>
    </row>
    <row r="4311" spans="1:16" hidden="1" x14ac:dyDescent="0.25">
      <c r="A4311" s="3" t="s">
        <v>2792</v>
      </c>
      <c r="B4311" t="s">
        <v>3289</v>
      </c>
      <c r="C4311" t="s">
        <v>3290</v>
      </c>
      <c r="D4311" t="s">
        <v>26</v>
      </c>
      <c r="E4311" t="s">
        <v>31</v>
      </c>
      <c r="F4311">
        <v>1</v>
      </c>
      <c r="G4311" s="3" t="s">
        <v>32</v>
      </c>
      <c r="H4311" s="44" t="s">
        <v>15</v>
      </c>
      <c r="I4311" s="17">
        <v>23283.85</v>
      </c>
      <c r="J4311" s="17">
        <f>IF(Gastos[[#This Row],[Divisa]]="$", I4311*1, IF(Gastos[[#This Row],[Divisa]]="U$D", I4311*$N$1, IF(Gastos[[#This Row],[Divisa]]="EUR", I4311*$N$2, 0)))</f>
        <v>23283.85</v>
      </c>
      <c r="K4311" s="54">
        <f>Gastos[[#This Row],[Importe AR$]]/$N$1</f>
        <v>14.925544871794871</v>
      </c>
      <c r="L4311" t="s">
        <v>340</v>
      </c>
      <c r="M4311" s="69"/>
      <c r="N4311" s="43" t="str">
        <f>IF(Gastos[[#This Row],[Fecha_Cheque]]&gt;0,WEEKNUM(Gastos[[#This Row],[Fecha_Cheque]]),MID(Gastos[[#This Row],[Semana]],6,2))</f>
        <v>21</v>
      </c>
      <c r="O4311" t="s">
        <v>3291</v>
      </c>
      <c r="P4311" t="s">
        <v>27</v>
      </c>
    </row>
    <row r="4312" spans="1:16" hidden="1" x14ac:dyDescent="0.25">
      <c r="A4312" s="3" t="s">
        <v>2841</v>
      </c>
      <c r="B4312" t="s">
        <v>3289</v>
      </c>
      <c r="C4312" t="s">
        <v>3290</v>
      </c>
      <c r="D4312" t="s">
        <v>26</v>
      </c>
      <c r="E4312" t="s">
        <v>31</v>
      </c>
      <c r="F4312">
        <v>1</v>
      </c>
      <c r="G4312" s="3" t="s">
        <v>32</v>
      </c>
      <c r="H4312" s="44" t="s">
        <v>15</v>
      </c>
      <c r="I4312" s="17">
        <v>4031846.59</v>
      </c>
      <c r="J4312" s="17">
        <f>IF(Gastos[[#This Row],[Divisa]]="$", I4312*1, IF(Gastos[[#This Row],[Divisa]]="U$D", I4312*$N$1, IF(Gastos[[#This Row],[Divisa]]="EUR", I4312*$N$2, 0)))</f>
        <v>4031846.59</v>
      </c>
      <c r="K4312" s="54">
        <f>Gastos[[#This Row],[Importe AR$]]/$N$1</f>
        <v>2584.517044871795</v>
      </c>
      <c r="M4312" s="69">
        <v>46200</v>
      </c>
      <c r="N4312" s="43">
        <f>IF(Gastos[[#This Row],[Fecha_Cheque]]&gt;0,WEEKNUM(Gastos[[#This Row],[Fecha_Cheque]]),MID(Gastos[[#This Row],[Semana]],6,2))</f>
        <v>26</v>
      </c>
      <c r="O4312" t="s">
        <v>3341</v>
      </c>
      <c r="P4312" t="s">
        <v>27</v>
      </c>
    </row>
    <row r="4313" spans="1:16" hidden="1" x14ac:dyDescent="0.25">
      <c r="A4313" s="3" t="s">
        <v>2841</v>
      </c>
      <c r="B4313" t="s">
        <v>3289</v>
      </c>
      <c r="C4313" t="s">
        <v>3290</v>
      </c>
      <c r="D4313" t="s">
        <v>26</v>
      </c>
      <c r="E4313" t="s">
        <v>31</v>
      </c>
      <c r="F4313">
        <v>1</v>
      </c>
      <c r="G4313" s="3" t="s">
        <v>32</v>
      </c>
      <c r="H4313" s="44" t="s">
        <v>15</v>
      </c>
      <c r="I4313" s="17">
        <v>68153.41</v>
      </c>
      <c r="J4313" s="17">
        <f>IF(Gastos[[#This Row],[Divisa]]="$", I4313*1, IF(Gastos[[#This Row],[Divisa]]="U$D", I4313*$N$1, IF(Gastos[[#This Row],[Divisa]]="EUR", I4313*$N$2, 0)))</f>
        <v>68153.41</v>
      </c>
      <c r="K4313" s="54">
        <f>Gastos[[#This Row],[Importe AR$]]/$N$1</f>
        <v>43.688083333333338</v>
      </c>
      <c r="L4313" t="s">
        <v>340</v>
      </c>
      <c r="M4313" s="69"/>
      <c r="N4313" s="43" t="str">
        <f>IF(Gastos[[#This Row],[Fecha_Cheque]]&gt;0,WEEKNUM(Gastos[[#This Row],[Fecha_Cheque]]),MID(Gastos[[#This Row],[Semana]],6,2))</f>
        <v>22</v>
      </c>
      <c r="O4313" t="s">
        <v>3341</v>
      </c>
      <c r="P4313" t="s">
        <v>27</v>
      </c>
    </row>
    <row r="4314" spans="1:16" hidden="1" x14ac:dyDescent="0.25">
      <c r="A4314" s="3" t="s">
        <v>2763</v>
      </c>
      <c r="B4314" t="s">
        <v>3415</v>
      </c>
      <c r="C4314" t="s">
        <v>3290</v>
      </c>
      <c r="D4314" t="s">
        <v>26</v>
      </c>
      <c r="E4314" t="s">
        <v>31</v>
      </c>
      <c r="F4314">
        <v>1</v>
      </c>
      <c r="G4314" s="3" t="s">
        <v>32</v>
      </c>
      <c r="H4314" s="44" t="s">
        <v>15</v>
      </c>
      <c r="I4314" s="17">
        <v>1897959.91</v>
      </c>
      <c r="J4314" s="17">
        <f>IF(Gastos[[#This Row],[Divisa]]="$", I4314*1, IF(Gastos[[#This Row],[Divisa]]="U$D", I4314*$N$1, IF(Gastos[[#This Row],[Divisa]]="EUR", I4314*$N$2, 0)))</f>
        <v>1897959.91</v>
      </c>
      <c r="K4314" s="54">
        <f>Gastos[[#This Row],[Importe AR$]]/$N$1</f>
        <v>1216.6409679487178</v>
      </c>
      <c r="M4314" s="69">
        <v>46213</v>
      </c>
      <c r="N4314" s="43">
        <f>IF(Gastos[[#This Row],[Fecha_Cheque]]&gt;0,WEEKNUM(Gastos[[#This Row],[Fecha_Cheque]]),MID(Gastos[[#This Row],[Semana]],6,2))</f>
        <v>28</v>
      </c>
      <c r="O4314" t="s">
        <v>3416</v>
      </c>
      <c r="P4314" t="s">
        <v>27</v>
      </c>
    </row>
    <row r="4315" spans="1:16" hidden="1" x14ac:dyDescent="0.25">
      <c r="A4315" s="3" t="s">
        <v>2763</v>
      </c>
      <c r="B4315" t="s">
        <v>3415</v>
      </c>
      <c r="C4315" t="s">
        <v>3290</v>
      </c>
      <c r="D4315" t="s">
        <v>26</v>
      </c>
      <c r="E4315" t="s">
        <v>31</v>
      </c>
      <c r="F4315">
        <v>1</v>
      </c>
      <c r="G4315" s="3" t="s">
        <v>32</v>
      </c>
      <c r="H4315" s="44" t="s">
        <v>15</v>
      </c>
      <c r="I4315" s="17">
        <v>1897959.9</v>
      </c>
      <c r="J4315" s="17">
        <f>IF(Gastos[[#This Row],[Divisa]]="$", I4315*1, IF(Gastos[[#This Row],[Divisa]]="U$D", I4315*$N$1, IF(Gastos[[#This Row],[Divisa]]="EUR", I4315*$N$2, 0)))</f>
        <v>1897959.9</v>
      </c>
      <c r="K4315" s="54">
        <f>Gastos[[#This Row],[Importe AR$]]/$N$1</f>
        <v>1216.6409615384614</v>
      </c>
      <c r="M4315" s="69">
        <v>46224</v>
      </c>
      <c r="N4315" s="43">
        <f>IF(Gastos[[#This Row],[Fecha_Cheque]]&gt;0,WEEKNUM(Gastos[[#This Row],[Fecha_Cheque]]),MID(Gastos[[#This Row],[Semana]],6,2))</f>
        <v>30</v>
      </c>
      <c r="O4315" t="s">
        <v>3416</v>
      </c>
      <c r="P4315" t="s">
        <v>27</v>
      </c>
    </row>
    <row r="4316" spans="1:16" hidden="1" x14ac:dyDescent="0.25">
      <c r="A4316" s="3" t="s">
        <v>2763</v>
      </c>
      <c r="B4316" t="s">
        <v>3415</v>
      </c>
      <c r="C4316" t="s">
        <v>3290</v>
      </c>
      <c r="D4316" t="s">
        <v>26</v>
      </c>
      <c r="E4316" t="s">
        <v>31</v>
      </c>
      <c r="F4316">
        <v>1</v>
      </c>
      <c r="G4316" s="3" t="s">
        <v>32</v>
      </c>
      <c r="H4316" s="44" t="s">
        <v>15</v>
      </c>
      <c r="I4316" s="17">
        <v>62430.94</v>
      </c>
      <c r="J4316" s="17">
        <f>IF(Gastos[[#This Row],[Divisa]]="$", I4316*1, IF(Gastos[[#This Row],[Divisa]]="U$D", I4316*$N$1, IF(Gastos[[#This Row],[Divisa]]="EUR", I4316*$N$2, 0)))</f>
        <v>62430.94</v>
      </c>
      <c r="K4316" s="54">
        <f>Gastos[[#This Row],[Importe AR$]]/$N$1</f>
        <v>40.019833333333338</v>
      </c>
      <c r="L4316" t="s">
        <v>340</v>
      </c>
      <c r="M4316" s="69"/>
      <c r="N4316" s="43" t="str">
        <f>IF(Gastos[[#This Row],[Fecha_Cheque]]&gt;0,WEEKNUM(Gastos[[#This Row],[Fecha_Cheque]]),MID(Gastos[[#This Row],[Semana]],6,2))</f>
        <v>23</v>
      </c>
      <c r="O4316" t="s">
        <v>3416</v>
      </c>
      <c r="P4316" t="s">
        <v>27</v>
      </c>
    </row>
    <row r="4317" spans="1:16" hidden="1" x14ac:dyDescent="0.25">
      <c r="A4317" s="3" t="s">
        <v>4211</v>
      </c>
      <c r="B4317" t="s">
        <v>3415</v>
      </c>
      <c r="C4317" t="s">
        <v>4317</v>
      </c>
      <c r="D4317" t="s">
        <v>26</v>
      </c>
      <c r="E4317" t="s">
        <v>31</v>
      </c>
      <c r="F4317">
        <v>1</v>
      </c>
      <c r="G4317" s="3" t="s">
        <v>32</v>
      </c>
      <c r="H4317" s="44" t="s">
        <v>15</v>
      </c>
      <c r="I4317" s="17">
        <v>8505718.3699999992</v>
      </c>
      <c r="J4317" s="17">
        <f>IF(Gastos[[#This Row],[Divisa]]="$", I4317*1, IF(Gastos[[#This Row],[Divisa]]="U$D", I4317*$N$1, IF(Gastos[[#This Row],[Divisa]]="EUR", I4317*$N$2, 0)))</f>
        <v>8505718.3699999992</v>
      </c>
      <c r="K4317" s="54">
        <f>Gastos[[#This Row],[Importe AR$]]/$N$1</f>
        <v>5452.3835705128204</v>
      </c>
      <c r="M4317" s="69">
        <v>46300</v>
      </c>
      <c r="N4317" s="43">
        <f>IF(Gastos[[#This Row],[Fecha_Cheque]]&gt;0,WEEKNUM(Gastos[[#This Row],[Fecha_Cheque]]),MID(Gastos[[#This Row],[Semana]],6,2))</f>
        <v>41</v>
      </c>
      <c r="O4317" t="s">
        <v>4318</v>
      </c>
      <c r="P4317" t="s">
        <v>27</v>
      </c>
    </row>
    <row r="4318" spans="1:16" hidden="1" x14ac:dyDescent="0.25">
      <c r="A4318" s="3" t="s">
        <v>4211</v>
      </c>
      <c r="B4318" t="s">
        <v>3415</v>
      </c>
      <c r="C4318" t="s">
        <v>4317</v>
      </c>
      <c r="D4318" t="s">
        <v>26</v>
      </c>
      <c r="E4318" t="s">
        <v>31</v>
      </c>
      <c r="F4318">
        <v>1</v>
      </c>
      <c r="G4318" s="3" t="s">
        <v>32</v>
      </c>
      <c r="H4318" s="44" t="s">
        <v>15</v>
      </c>
      <c r="I4318" s="17">
        <v>139246.99</v>
      </c>
      <c r="J4318" s="17">
        <f>IF(Gastos[[#This Row],[Divisa]]="$", I4318*1, IF(Gastos[[#This Row],[Divisa]]="U$D", I4318*$N$1, IF(Gastos[[#This Row],[Divisa]]="EUR", I4318*$N$2, 0)))</f>
        <v>139246.99</v>
      </c>
      <c r="K4318" s="54">
        <f>Gastos[[#This Row],[Importe AR$]]/$N$1</f>
        <v>89.260891025641016</v>
      </c>
      <c r="L4318" t="s">
        <v>340</v>
      </c>
      <c r="M4318" s="69">
        <v>46300</v>
      </c>
      <c r="N4318" s="43">
        <f>IF(Gastos[[#This Row],[Fecha_Cheque]]&gt;0,WEEKNUM(Gastos[[#This Row],[Fecha_Cheque]]),MID(Gastos[[#This Row],[Semana]],6,2))</f>
        <v>41</v>
      </c>
      <c r="O4318" t="s">
        <v>4318</v>
      </c>
      <c r="P4318" t="s">
        <v>27</v>
      </c>
    </row>
    <row r="4319" spans="1:16" hidden="1" x14ac:dyDescent="0.25">
      <c r="A4319" s="3" t="s">
        <v>4322</v>
      </c>
      <c r="B4319" t="s">
        <v>3415</v>
      </c>
      <c r="C4319" t="s">
        <v>4317</v>
      </c>
      <c r="D4319" t="s">
        <v>26</v>
      </c>
      <c r="E4319" t="s">
        <v>31</v>
      </c>
      <c r="F4319">
        <v>1</v>
      </c>
      <c r="G4319" s="3" t="s">
        <v>32</v>
      </c>
      <c r="H4319" s="44" t="s">
        <v>15</v>
      </c>
      <c r="I4319" s="17">
        <v>746948.23</v>
      </c>
      <c r="J4319" s="17">
        <f>IF(Gastos[[#This Row],[Divisa]]="$", I4319*1, IF(Gastos[[#This Row],[Divisa]]="U$D", I4319*$N$1, IF(Gastos[[#This Row],[Divisa]]="EUR", I4319*$N$2, 0)))</f>
        <v>746948.23</v>
      </c>
      <c r="K4319" s="54">
        <f>Gastos[[#This Row],[Importe AR$]]/$N$1</f>
        <v>478.81296794871793</v>
      </c>
      <c r="M4319" s="69">
        <v>46315</v>
      </c>
      <c r="N4319" s="43">
        <f>IF(Gastos[[#This Row],[Fecha_Cheque]]&gt;0,WEEKNUM(Gastos[[#This Row],[Fecha_Cheque]]),MID(Gastos[[#This Row],[Semana]],6,2))</f>
        <v>43</v>
      </c>
      <c r="O4319" t="s">
        <v>4350</v>
      </c>
      <c r="P4319" t="s">
        <v>27</v>
      </c>
    </row>
    <row r="4320" spans="1:16" hidden="1" x14ac:dyDescent="0.25">
      <c r="A4320" s="3" t="s">
        <v>4322</v>
      </c>
      <c r="B4320" t="s">
        <v>3415</v>
      </c>
      <c r="C4320" t="s">
        <v>4317</v>
      </c>
      <c r="D4320" t="s">
        <v>26</v>
      </c>
      <c r="E4320" t="s">
        <v>31</v>
      </c>
      <c r="F4320">
        <v>1</v>
      </c>
      <c r="G4320" s="3" t="s">
        <v>32</v>
      </c>
      <c r="H4320" s="44" t="s">
        <v>15</v>
      </c>
      <c r="I4320" s="17">
        <v>1225219.9099999999</v>
      </c>
      <c r="J4320" s="17">
        <f>IF(Gastos[[#This Row],[Divisa]]="$", I4320*1, IF(Gastos[[#This Row],[Divisa]]="U$D", I4320*$N$1, IF(Gastos[[#This Row],[Divisa]]="EUR", I4320*$N$2, 0)))</f>
        <v>1225219.9099999999</v>
      </c>
      <c r="K4320" s="54">
        <f>Gastos[[#This Row],[Importe AR$]]/$N$1</f>
        <v>785.39737820512812</v>
      </c>
      <c r="M4320" s="69">
        <v>46305</v>
      </c>
      <c r="N4320" s="43">
        <f>IF(Gastos[[#This Row],[Fecha_Cheque]]&gt;0,WEEKNUM(Gastos[[#This Row],[Fecha_Cheque]]),MID(Gastos[[#This Row],[Semana]],6,2))</f>
        <v>41</v>
      </c>
      <c r="O4320" t="s">
        <v>4350</v>
      </c>
      <c r="P4320" t="s">
        <v>27</v>
      </c>
    </row>
    <row r="4321" spans="1:16" hidden="1" x14ac:dyDescent="0.25">
      <c r="A4321" s="3" t="s">
        <v>4322</v>
      </c>
      <c r="B4321" t="s">
        <v>3415</v>
      </c>
      <c r="C4321" t="s">
        <v>4317</v>
      </c>
      <c r="D4321" t="s">
        <v>26</v>
      </c>
      <c r="E4321" t="s">
        <v>31</v>
      </c>
      <c r="F4321">
        <v>1</v>
      </c>
      <c r="G4321" s="3" t="s">
        <v>32</v>
      </c>
      <c r="H4321" s="44" t="s">
        <v>15</v>
      </c>
      <c r="I4321" s="17">
        <v>34899.42</v>
      </c>
      <c r="J4321" s="17">
        <f>IF(Gastos[[#This Row],[Divisa]]="$", I4321*1, IF(Gastos[[#This Row],[Divisa]]="U$D", I4321*$N$1, IF(Gastos[[#This Row],[Divisa]]="EUR", I4321*$N$2, 0)))</f>
        <v>34899.42</v>
      </c>
      <c r="K4321" s="54">
        <f>Gastos[[#This Row],[Importe AR$]]/$N$1</f>
        <v>22.371423076923076</v>
      </c>
      <c r="L4321" t="s">
        <v>340</v>
      </c>
      <c r="M4321" s="69"/>
      <c r="N4321" s="43" t="str">
        <f>IF(Gastos[[#This Row],[Fecha_Cheque]]&gt;0,WEEKNUM(Gastos[[#This Row],[Fecha_Cheque]]),MID(Gastos[[#This Row],[Semana]],6,2))</f>
        <v>38</v>
      </c>
      <c r="O4321" t="s">
        <v>4350</v>
      </c>
      <c r="P4321" t="s">
        <v>27</v>
      </c>
    </row>
    <row r="4322" spans="1:16" hidden="1" x14ac:dyDescent="0.25">
      <c r="A4322" s="3" t="s">
        <v>4409</v>
      </c>
      <c r="B4322" t="s">
        <v>3415</v>
      </c>
      <c r="C4322" t="s">
        <v>4317</v>
      </c>
      <c r="D4322" t="s">
        <v>26</v>
      </c>
      <c r="E4322" t="s">
        <v>62</v>
      </c>
      <c r="F4322">
        <v>1</v>
      </c>
      <c r="G4322" s="3" t="s">
        <v>32</v>
      </c>
      <c r="H4322" s="44" t="s">
        <v>15</v>
      </c>
      <c r="I4322" s="17">
        <v>1500000</v>
      </c>
      <c r="J4322" s="17">
        <f>IF(Gastos[[#This Row],[Divisa]]="$", I4322*1, IF(Gastos[[#This Row],[Divisa]]="U$D", I4322*$N$1, IF(Gastos[[#This Row],[Divisa]]="EUR", I4322*$N$2, 0)))</f>
        <v>1500000</v>
      </c>
      <c r="K4322" s="54">
        <f>Gastos[[#This Row],[Importe AR$]]/$N$1</f>
        <v>961.53846153846155</v>
      </c>
      <c r="M4322" s="69">
        <v>46318</v>
      </c>
      <c r="N4322" s="43">
        <f>IF(Gastos[[#This Row],[Fecha_Cheque]]&gt;0,WEEKNUM(Gastos[[#This Row],[Fecha_Cheque]]),MID(Gastos[[#This Row],[Semana]],6,2))</f>
        <v>43</v>
      </c>
      <c r="O4322" t="s">
        <v>4426</v>
      </c>
      <c r="P4322" t="s">
        <v>27</v>
      </c>
    </row>
    <row r="4323" spans="1:16" hidden="1" x14ac:dyDescent="0.25">
      <c r="A4323" s="3" t="s">
        <v>4409</v>
      </c>
      <c r="B4323" t="s">
        <v>3415</v>
      </c>
      <c r="C4323" t="s">
        <v>4317</v>
      </c>
      <c r="D4323" t="s">
        <v>26</v>
      </c>
      <c r="E4323" t="s">
        <v>62</v>
      </c>
      <c r="F4323">
        <v>1</v>
      </c>
      <c r="G4323" s="3" t="s">
        <v>32</v>
      </c>
      <c r="H4323" s="44" t="s">
        <v>15</v>
      </c>
      <c r="I4323" s="17">
        <v>1500000</v>
      </c>
      <c r="J4323" s="17">
        <f>IF(Gastos[[#This Row],[Divisa]]="$", I4323*1, IF(Gastos[[#This Row],[Divisa]]="U$D", I4323*$N$1, IF(Gastos[[#This Row],[Divisa]]="EUR", I4323*$N$2, 0)))</f>
        <v>1500000</v>
      </c>
      <c r="K4323" s="54">
        <f>Gastos[[#This Row],[Importe AR$]]/$N$1</f>
        <v>961.53846153846155</v>
      </c>
      <c r="M4323" s="69">
        <v>46323</v>
      </c>
      <c r="N4323" s="43">
        <f>IF(Gastos[[#This Row],[Fecha_Cheque]]&gt;0,WEEKNUM(Gastos[[#This Row],[Fecha_Cheque]]),MID(Gastos[[#This Row],[Semana]],6,2))</f>
        <v>44</v>
      </c>
      <c r="O4323" t="s">
        <v>4426</v>
      </c>
      <c r="P4323" t="s">
        <v>27</v>
      </c>
    </row>
    <row r="4324" spans="1:16" hidden="1" x14ac:dyDescent="0.25">
      <c r="A4324" s="3" t="s">
        <v>4409</v>
      </c>
      <c r="B4324" t="s">
        <v>3415</v>
      </c>
      <c r="C4324" t="s">
        <v>4317</v>
      </c>
      <c r="D4324" t="s">
        <v>26</v>
      </c>
      <c r="E4324" t="s">
        <v>62</v>
      </c>
      <c r="F4324">
        <v>1</v>
      </c>
      <c r="G4324" s="3" t="s">
        <v>32</v>
      </c>
      <c r="H4324" s="44" t="s">
        <v>15</v>
      </c>
      <c r="I4324" s="17">
        <v>50163.63</v>
      </c>
      <c r="J4324" s="17">
        <f>IF(Gastos[[#This Row],[Divisa]]="$", I4324*1, IF(Gastos[[#This Row],[Divisa]]="U$D", I4324*$N$1, IF(Gastos[[#This Row],[Divisa]]="EUR", I4324*$N$2, 0)))</f>
        <v>50163.63</v>
      </c>
      <c r="K4324" s="54">
        <f>Gastos[[#This Row],[Importe AR$]]/$N$1</f>
        <v>32.156173076923075</v>
      </c>
      <c r="L4324" t="s">
        <v>340</v>
      </c>
      <c r="M4324" s="69"/>
      <c r="N4324" s="43" t="str">
        <f>IF(Gastos[[#This Row],[Fecha_Cheque]]&gt;0,WEEKNUM(Gastos[[#This Row],[Fecha_Cheque]]),MID(Gastos[[#This Row],[Semana]],6,2))</f>
        <v>40</v>
      </c>
      <c r="O4324" t="s">
        <v>4426</v>
      </c>
      <c r="P4324" t="s">
        <v>27</v>
      </c>
    </row>
    <row r="4325" spans="1:16" hidden="1" x14ac:dyDescent="0.25">
      <c r="A4325" s="3" t="s">
        <v>4447</v>
      </c>
      <c r="B4325" t="s">
        <v>3415</v>
      </c>
      <c r="C4325" t="s">
        <v>4317</v>
      </c>
      <c r="D4325" t="s">
        <v>26</v>
      </c>
      <c r="E4325" t="s">
        <v>62</v>
      </c>
      <c r="F4325">
        <v>1</v>
      </c>
      <c r="G4325" s="3" t="s">
        <v>32</v>
      </c>
      <c r="H4325" s="44" t="s">
        <v>15</v>
      </c>
      <c r="I4325" s="17">
        <v>1565529.54</v>
      </c>
      <c r="J4325" s="17">
        <f>IF(Gastos[[#This Row],[Divisa]]="$", I4325*1, IF(Gastos[[#This Row],[Divisa]]="U$D", I4325*$N$1, IF(Gastos[[#This Row],[Divisa]]="EUR", I4325*$N$2, 0)))</f>
        <v>1565529.54</v>
      </c>
      <c r="K4325" s="54">
        <f>Gastos[[#This Row],[Importe AR$]]/$N$1</f>
        <v>1003.544576923077</v>
      </c>
      <c r="M4325" s="69"/>
      <c r="N4325" s="43" t="str">
        <f>IF(Gastos[[#This Row],[Fecha_Cheque]]&gt;0,WEEKNUM(Gastos[[#This Row],[Fecha_Cheque]]),MID(Gastos[[#This Row],[Semana]],6,2))</f>
        <v>41</v>
      </c>
      <c r="O4325" t="s">
        <v>4521</v>
      </c>
      <c r="P4325" t="s">
        <v>27</v>
      </c>
    </row>
    <row r="4326" spans="1:16" hidden="1" x14ac:dyDescent="0.25">
      <c r="A4326" s="3" t="s">
        <v>4447</v>
      </c>
      <c r="B4326" t="s">
        <v>3415</v>
      </c>
      <c r="C4326" t="s">
        <v>4317</v>
      </c>
      <c r="D4326" t="s">
        <v>26</v>
      </c>
      <c r="E4326" t="s">
        <v>62</v>
      </c>
      <c r="F4326">
        <v>1</v>
      </c>
      <c r="G4326" s="3" t="s">
        <v>32</v>
      </c>
      <c r="H4326" s="44" t="s">
        <v>15</v>
      </c>
      <c r="I4326" s="17">
        <v>1730741.73</v>
      </c>
      <c r="J4326" s="17">
        <f>IF(Gastos[[#This Row],[Divisa]]="$", I4326*1, IF(Gastos[[#This Row],[Divisa]]="U$D", I4326*$N$1, IF(Gastos[[#This Row],[Divisa]]="EUR", I4326*$N$2, 0)))</f>
        <v>1730741.73</v>
      </c>
      <c r="K4326" s="54">
        <f>Gastos[[#This Row],[Importe AR$]]/$N$1</f>
        <v>1109.4498269230769</v>
      </c>
      <c r="M4326" s="69"/>
      <c r="N4326" s="43" t="str">
        <f>IF(Gastos[[#This Row],[Fecha_Cheque]]&gt;0,WEEKNUM(Gastos[[#This Row],[Fecha_Cheque]]),MID(Gastos[[#This Row],[Semana]],6,2))</f>
        <v>41</v>
      </c>
      <c r="O4326" t="s">
        <v>4521</v>
      </c>
      <c r="P4326" t="s">
        <v>27</v>
      </c>
    </row>
    <row r="4327" spans="1:16" hidden="1" x14ac:dyDescent="0.25">
      <c r="A4327" s="3" t="s">
        <v>4447</v>
      </c>
      <c r="B4327" t="s">
        <v>3415</v>
      </c>
      <c r="C4327" t="s">
        <v>4317</v>
      </c>
      <c r="D4327" t="s">
        <v>26</v>
      </c>
      <c r="E4327" t="s">
        <v>62</v>
      </c>
      <c r="F4327">
        <v>1</v>
      </c>
      <c r="G4327" s="3" t="s">
        <v>32</v>
      </c>
      <c r="H4327" s="44" t="s">
        <v>15</v>
      </c>
      <c r="I4327" s="17">
        <v>53142.080000000002</v>
      </c>
      <c r="J4327" s="17">
        <f>IF(Gastos[[#This Row],[Divisa]]="$", I4327*1, IF(Gastos[[#This Row],[Divisa]]="U$D", I4327*$N$1, IF(Gastos[[#This Row],[Divisa]]="EUR", I4327*$N$2, 0)))</f>
        <v>53142.080000000002</v>
      </c>
      <c r="K4327" s="54">
        <f>Gastos[[#This Row],[Importe AR$]]/$N$1</f>
        <v>34.065435897435897</v>
      </c>
      <c r="L4327" t="s">
        <v>340</v>
      </c>
      <c r="M4327" s="69"/>
      <c r="N4327" s="43" t="str">
        <f>IF(Gastos[[#This Row],[Fecha_Cheque]]&gt;0,WEEKNUM(Gastos[[#This Row],[Fecha_Cheque]]),MID(Gastos[[#This Row],[Semana]],6,2))</f>
        <v>41</v>
      </c>
      <c r="O4327" t="s">
        <v>4521</v>
      </c>
      <c r="P4327" t="s">
        <v>27</v>
      </c>
    </row>
    <row r="4328" spans="1:16" x14ac:dyDescent="0.25">
      <c r="A4328" s="3" t="s">
        <v>4655</v>
      </c>
      <c r="B4328" t="s">
        <v>2219</v>
      </c>
      <c r="D4328" t="s">
        <v>26</v>
      </c>
      <c r="E4328" t="s">
        <v>91</v>
      </c>
      <c r="F4328">
        <v>1</v>
      </c>
      <c r="G4328" s="3" t="s">
        <v>5</v>
      </c>
      <c r="H4328" s="44" t="s">
        <v>15</v>
      </c>
      <c r="I4328" s="17">
        <v>0</v>
      </c>
      <c r="J4328" s="17">
        <f>IF(Gastos[[#This Row],[Divisa]]="$", I4328*1, IF(Gastos[[#This Row],[Divisa]]="U$D", I4328*$N$1, IF(Gastos[[#This Row],[Divisa]]="EUR", I4328*$N$2, 0)))</f>
        <v>0</v>
      </c>
      <c r="K4328" s="54">
        <f>Gastos[[#This Row],[Importe AR$]]/$N$1</f>
        <v>0</v>
      </c>
      <c r="M4328" s="69"/>
      <c r="N4328" s="43" t="str">
        <f>IF(Gastos[[#This Row],[Fecha_Cheque]]&gt;0,WEEKNUM(Gastos[[#This Row],[Fecha_Cheque]]),MID(Gastos[[#This Row],[Semana]],6,2))</f>
        <v>44</v>
      </c>
      <c r="P4328" t="s">
        <v>7</v>
      </c>
    </row>
    <row r="4329" spans="1:16" hidden="1" x14ac:dyDescent="0.25">
      <c r="A4329" s="3" t="s">
        <v>4569</v>
      </c>
      <c r="B4329" t="s">
        <v>3415</v>
      </c>
      <c r="C4329" t="s">
        <v>4581</v>
      </c>
      <c r="D4329" t="s">
        <v>26</v>
      </c>
      <c r="E4329" t="s">
        <v>62</v>
      </c>
      <c r="F4329">
        <v>1</v>
      </c>
      <c r="G4329" s="3" t="s">
        <v>32</v>
      </c>
      <c r="H4329" s="44" t="s">
        <v>15</v>
      </c>
      <c r="I4329" s="17">
        <v>2400000</v>
      </c>
      <c r="J4329" s="17">
        <f>IF(Gastos[[#This Row],[Divisa]]="$", I4329*1, IF(Gastos[[#This Row],[Divisa]]="U$D", I4329*$N$1, IF(Gastos[[#This Row],[Divisa]]="EUR", I4329*$N$2, 0)))</f>
        <v>2400000</v>
      </c>
      <c r="K4329" s="54">
        <f>Gastos[[#This Row],[Importe AR$]]/$N$1</f>
        <v>1538.4615384615386</v>
      </c>
      <c r="M4329" s="69">
        <v>46371</v>
      </c>
      <c r="N4329" s="43">
        <f>IF(Gastos[[#This Row],[Fecha_Cheque]]&gt;0,WEEKNUM(Gastos[[#This Row],[Fecha_Cheque]]),MID(Gastos[[#This Row],[Semana]],6,2))</f>
        <v>51</v>
      </c>
      <c r="O4329" t="s">
        <v>4584</v>
      </c>
      <c r="P4329" t="s">
        <v>27</v>
      </c>
    </row>
    <row r="4330" spans="1:16" hidden="1" x14ac:dyDescent="0.25">
      <c r="A4330" s="3" t="s">
        <v>4569</v>
      </c>
      <c r="B4330" t="s">
        <v>3415</v>
      </c>
      <c r="C4330" t="s">
        <v>4581</v>
      </c>
      <c r="D4330" t="s">
        <v>26</v>
      </c>
      <c r="E4330" t="s">
        <v>62</v>
      </c>
      <c r="F4330">
        <v>1</v>
      </c>
      <c r="G4330" s="3" t="s">
        <v>32</v>
      </c>
      <c r="H4330" s="44" t="s">
        <v>15</v>
      </c>
      <c r="I4330" s="17">
        <v>2400000</v>
      </c>
      <c r="J4330" s="17">
        <f>IF(Gastos[[#This Row],[Divisa]]="$", I4330*1, IF(Gastos[[#This Row],[Divisa]]="U$D", I4330*$N$1, IF(Gastos[[#This Row],[Divisa]]="EUR", I4330*$N$2, 0)))</f>
        <v>2400000</v>
      </c>
      <c r="K4330" s="54">
        <f>Gastos[[#This Row],[Importe AR$]]/$N$1</f>
        <v>1538.4615384615386</v>
      </c>
      <c r="M4330" s="69">
        <v>46342</v>
      </c>
      <c r="N4330" s="43">
        <f>IF(Gastos[[#This Row],[Fecha_Cheque]]&gt;0,WEEKNUM(Gastos[[#This Row],[Fecha_Cheque]]),MID(Gastos[[#This Row],[Semana]],6,2))</f>
        <v>47</v>
      </c>
      <c r="O4330" t="s">
        <v>4584</v>
      </c>
      <c r="P4330" t="s">
        <v>27</v>
      </c>
    </row>
    <row r="4331" spans="1:16" hidden="1" x14ac:dyDescent="0.25">
      <c r="A4331" s="3" t="s">
        <v>4569</v>
      </c>
      <c r="B4331" t="s">
        <v>3415</v>
      </c>
      <c r="C4331" t="s">
        <v>4581</v>
      </c>
      <c r="D4331" t="s">
        <v>26</v>
      </c>
      <c r="E4331" t="s">
        <v>62</v>
      </c>
      <c r="F4331">
        <v>1</v>
      </c>
      <c r="G4331" s="3" t="s">
        <v>32</v>
      </c>
      <c r="H4331" s="44" t="s">
        <v>15</v>
      </c>
      <c r="I4331" s="17">
        <v>3795588.24</v>
      </c>
      <c r="J4331" s="17">
        <f>IF(Gastos[[#This Row],[Divisa]]="$", I4331*1, IF(Gastos[[#This Row],[Divisa]]="U$D", I4331*$N$1, IF(Gastos[[#This Row],[Divisa]]="EUR", I4331*$N$2, 0)))</f>
        <v>3795588.24</v>
      </c>
      <c r="K4331" s="54">
        <f>Gastos[[#This Row],[Importe AR$]]/$N$1</f>
        <v>2433.0693846153849</v>
      </c>
      <c r="M4331" s="69">
        <v>46315</v>
      </c>
      <c r="N4331" s="43">
        <f>IF(Gastos[[#This Row],[Fecha_Cheque]]&gt;0,WEEKNUM(Gastos[[#This Row],[Fecha_Cheque]]),MID(Gastos[[#This Row],[Semana]],6,2))</f>
        <v>43</v>
      </c>
      <c r="O4331" t="s">
        <v>4584</v>
      </c>
      <c r="P4331" t="s">
        <v>27</v>
      </c>
    </row>
    <row r="4332" spans="1:16" hidden="1" x14ac:dyDescent="0.25">
      <c r="A4332" s="3" t="s">
        <v>378</v>
      </c>
      <c r="B4332" t="s">
        <v>2467</v>
      </c>
      <c r="C4332" t="s">
        <v>2468</v>
      </c>
      <c r="D4332" t="s">
        <v>26</v>
      </c>
      <c r="E4332" t="s">
        <v>31</v>
      </c>
      <c r="F4332">
        <v>1</v>
      </c>
      <c r="G4332" s="3" t="s">
        <v>32</v>
      </c>
      <c r="H4332" s="46" t="s">
        <v>15</v>
      </c>
      <c r="I4332" s="17">
        <v>381176.42</v>
      </c>
      <c r="J4332" s="17">
        <f>IF(Gastos[[#This Row],[Divisa]]="$", I4332*1, IF(Gastos[[#This Row],[Divisa]]="U$D", I4332*$N$1, IF(Gastos[[#This Row],[Divisa]]="EUR", I4332*$N$2, 0)))</f>
        <v>381176.42</v>
      </c>
      <c r="K4332" s="54">
        <f>Gastos[[#This Row],[Importe AR$]]/$N$1</f>
        <v>244.34385897435897</v>
      </c>
      <c r="M4332" s="69">
        <v>46055</v>
      </c>
      <c r="N4332" s="43">
        <f>IF(Gastos[[#This Row],[Fecha_Cheque]]&gt;0,WEEKNUM(Gastos[[#This Row],[Fecha_Cheque]]),MID(Gastos[[#This Row],[Semana]],6,2))</f>
        <v>6</v>
      </c>
      <c r="O4332" t="s">
        <v>2469</v>
      </c>
      <c r="P4332" t="s">
        <v>27</v>
      </c>
    </row>
    <row r="4333" spans="1:16" hidden="1" x14ac:dyDescent="0.25">
      <c r="A4333" s="3" t="s">
        <v>206</v>
      </c>
      <c r="B4333" t="s">
        <v>2470</v>
      </c>
      <c r="C4333" t="s">
        <v>2471</v>
      </c>
      <c r="D4333" t="s">
        <v>26</v>
      </c>
      <c r="E4333" t="s">
        <v>31</v>
      </c>
      <c r="F4333">
        <v>1</v>
      </c>
      <c r="G4333" s="3" t="s">
        <v>5</v>
      </c>
      <c r="H4333" s="46" t="s">
        <v>15</v>
      </c>
      <c r="I4333" s="17">
        <f>465000</f>
        <v>465000</v>
      </c>
      <c r="J4333" s="17">
        <f>IF(Gastos[[#This Row],[Divisa]]="$", I4333*1, IF(Gastos[[#This Row],[Divisa]]="U$D", I4333*$N$1, IF(Gastos[[#This Row],[Divisa]]="EUR", I4333*$N$2, 0)))</f>
        <v>465000</v>
      </c>
      <c r="K4333" s="54">
        <f>Gastos[[#This Row],[Importe AR$]]/$N$1</f>
        <v>298.07692307692309</v>
      </c>
      <c r="M4333" s="69"/>
      <c r="N4333" s="43" t="str">
        <f>IF(Gastos[[#This Row],[Fecha_Cheque]]&gt;0,WEEKNUM(Gastos[[#This Row],[Fecha_Cheque]]),MID(Gastos[[#This Row],[Semana]],6,2))</f>
        <v>06</v>
      </c>
      <c r="O4333" t="s">
        <v>2472</v>
      </c>
      <c r="P4333" t="s">
        <v>27</v>
      </c>
    </row>
    <row r="4334" spans="1:16" hidden="1" x14ac:dyDescent="0.25">
      <c r="A4334" s="3" t="s">
        <v>147</v>
      </c>
      <c r="B4334" t="s">
        <v>2470</v>
      </c>
      <c r="C4334" t="s">
        <v>2475</v>
      </c>
      <c r="D4334" t="s">
        <v>26</v>
      </c>
      <c r="E4334" t="s">
        <v>31</v>
      </c>
      <c r="F4334">
        <v>1</v>
      </c>
      <c r="G4334" s="3" t="s">
        <v>5</v>
      </c>
      <c r="H4334" s="46" t="s">
        <v>15</v>
      </c>
      <c r="I4334" s="17">
        <f>707000+412000+352000+429000</f>
        <v>1900000</v>
      </c>
      <c r="J4334" s="17">
        <f>IF(Gastos[[#This Row],[Divisa]]="$", I4334*1, IF(Gastos[[#This Row],[Divisa]]="U$D", I4334*$N$1, IF(Gastos[[#This Row],[Divisa]]="EUR", I4334*$N$2, 0)))</f>
        <v>1900000</v>
      </c>
      <c r="K4334" s="54">
        <f>Gastos[[#This Row],[Importe AR$]]/$N$1</f>
        <v>1217.948717948718</v>
      </c>
      <c r="M4334" s="69"/>
      <c r="N4334" s="43" t="str">
        <f>IF(Gastos[[#This Row],[Fecha_Cheque]]&gt;0,WEEKNUM(Gastos[[#This Row],[Fecha_Cheque]]),MID(Gastos[[#This Row],[Semana]],6,2))</f>
        <v>17</v>
      </c>
      <c r="O4334" t="s">
        <v>2476</v>
      </c>
      <c r="P4334" t="s">
        <v>27</v>
      </c>
    </row>
    <row r="4335" spans="1:16" hidden="1" x14ac:dyDescent="0.25">
      <c r="A4335" s="3" t="s">
        <v>105</v>
      </c>
      <c r="B4335" t="s">
        <v>2470</v>
      </c>
      <c r="C4335" t="s">
        <v>2477</v>
      </c>
      <c r="D4335" t="s">
        <v>26</v>
      </c>
      <c r="E4335" t="s">
        <v>31</v>
      </c>
      <c r="F4335">
        <v>1</v>
      </c>
      <c r="G4335" s="3" t="s">
        <v>32</v>
      </c>
      <c r="H4335" s="46" t="s">
        <v>15</v>
      </c>
      <c r="I4335" s="17">
        <v>1663100</v>
      </c>
      <c r="J4335" s="17">
        <f>IF(Gastos[[#This Row],[Divisa]]="$", I4335*1, IF(Gastos[[#This Row],[Divisa]]="U$D", I4335*$N$1, IF(Gastos[[#This Row],[Divisa]]="EUR", I4335*$N$2, 0)))</f>
        <v>1663100</v>
      </c>
      <c r="K4335" s="54">
        <f>Gastos[[#This Row],[Importe AR$]]/$N$1</f>
        <v>1066.0897435897436</v>
      </c>
      <c r="L4335" t="s">
        <v>2478</v>
      </c>
      <c r="M4335" s="69">
        <v>45827</v>
      </c>
      <c r="N4335" s="43">
        <f>IF(Gastos[[#This Row],[Fecha_Cheque]]&gt;0,WEEKNUM(Gastos[[#This Row],[Fecha_Cheque]]),MID(Gastos[[#This Row],[Semana]],6,2))</f>
        <v>25</v>
      </c>
      <c r="O4335" t="s">
        <v>2479</v>
      </c>
      <c r="P4335" t="s">
        <v>27</v>
      </c>
    </row>
    <row r="4336" spans="1:16" hidden="1" x14ac:dyDescent="0.25">
      <c r="A4336" s="3" t="s">
        <v>117</v>
      </c>
      <c r="B4336" t="s">
        <v>2470</v>
      </c>
      <c r="C4336" t="s">
        <v>2475</v>
      </c>
      <c r="D4336" t="s">
        <v>26</v>
      </c>
      <c r="E4336" t="s">
        <v>31</v>
      </c>
      <c r="F4336">
        <v>1</v>
      </c>
      <c r="G4336" s="3" t="s">
        <v>5</v>
      </c>
      <c r="H4336" s="46" t="s">
        <v>15</v>
      </c>
      <c r="I4336" s="17">
        <v>429000</v>
      </c>
      <c r="J4336" s="17">
        <f>IF(Gastos[[#This Row],[Divisa]]="$", I4336*1, IF(Gastos[[#This Row],[Divisa]]="U$D", I4336*$N$1, IF(Gastos[[#This Row],[Divisa]]="EUR", I4336*$N$2, 0)))</f>
        <v>429000</v>
      </c>
      <c r="K4336" s="54">
        <f>Gastos[[#This Row],[Importe AR$]]/$N$1</f>
        <v>275</v>
      </c>
      <c r="M4336" s="69"/>
      <c r="N4336" s="43" t="str">
        <f>IF(Gastos[[#This Row],[Fecha_Cheque]]&gt;0,WEEKNUM(Gastos[[#This Row],[Fecha_Cheque]]),MID(Gastos[[#This Row],[Semana]],6,2))</f>
        <v>35</v>
      </c>
      <c r="O4336" t="s">
        <v>2480</v>
      </c>
      <c r="P4336" t="s">
        <v>27</v>
      </c>
    </row>
    <row r="4337" spans="1:16" hidden="1" x14ac:dyDescent="0.25">
      <c r="A4337" s="3" t="s">
        <v>310</v>
      </c>
      <c r="B4337" t="s">
        <v>2470</v>
      </c>
      <c r="C4337" t="s">
        <v>2475</v>
      </c>
      <c r="D4337" t="s">
        <v>26</v>
      </c>
      <c r="E4337" t="s">
        <v>42</v>
      </c>
      <c r="F4337">
        <v>1</v>
      </c>
      <c r="G4337" s="3" t="s">
        <v>4</v>
      </c>
      <c r="H4337" s="46" t="s">
        <v>15</v>
      </c>
      <c r="I4337" s="17">
        <v>492500</v>
      </c>
      <c r="J4337" s="17">
        <f>IF(Gastos[[#This Row],[Divisa]]="$", I4337*1, IF(Gastos[[#This Row],[Divisa]]="U$D", I4337*$N$1, IF(Gastos[[#This Row],[Divisa]]="EUR", I4337*$N$2, 0)))</f>
        <v>492500</v>
      </c>
      <c r="K4337" s="54">
        <f>Gastos[[#This Row],[Importe AR$]]/$N$1</f>
        <v>315.70512820512823</v>
      </c>
      <c r="M4337" s="69"/>
      <c r="N4337" s="43" t="str">
        <f>IF(Gastos[[#This Row],[Fecha_Cheque]]&gt;0,WEEKNUM(Gastos[[#This Row],[Fecha_Cheque]]),MID(Gastos[[#This Row],[Semana]],6,2))</f>
        <v>36</v>
      </c>
      <c r="O4337" t="s">
        <v>2481</v>
      </c>
      <c r="P4337" t="s">
        <v>27</v>
      </c>
    </row>
    <row r="4338" spans="1:16" hidden="1" x14ac:dyDescent="0.25">
      <c r="A4338" s="3" t="s">
        <v>56</v>
      </c>
      <c r="B4338" t="s">
        <v>2470</v>
      </c>
      <c r="C4338" t="s">
        <v>2482</v>
      </c>
      <c r="D4338" t="s">
        <v>26</v>
      </c>
      <c r="E4338" t="s">
        <v>31</v>
      </c>
      <c r="F4338">
        <v>1</v>
      </c>
      <c r="G4338" s="3" t="s">
        <v>5</v>
      </c>
      <c r="H4338" s="46" t="s">
        <v>15</v>
      </c>
      <c r="I4338" s="17">
        <v>651873.19999999995</v>
      </c>
      <c r="J4338" s="17">
        <f>IF(Gastos[[#This Row],[Divisa]]="$", I4338*1, IF(Gastos[[#This Row],[Divisa]]="U$D", I4338*$N$1, IF(Gastos[[#This Row],[Divisa]]="EUR", I4338*$N$2, 0)))</f>
        <v>651873.19999999995</v>
      </c>
      <c r="K4338" s="54">
        <f>Gastos[[#This Row],[Importe AR$]]/$N$1</f>
        <v>417.86743589743588</v>
      </c>
      <c r="M4338" s="69">
        <v>45915</v>
      </c>
      <c r="N4338" s="43">
        <f>IF(Gastos[[#This Row],[Fecha_Cheque]]&gt;0,WEEKNUM(Gastos[[#This Row],[Fecha_Cheque]]),MID(Gastos[[#This Row],[Semana]],6,2))</f>
        <v>38</v>
      </c>
      <c r="O4338" t="s">
        <v>2483</v>
      </c>
      <c r="P4338" t="s">
        <v>27</v>
      </c>
    </row>
    <row r="4339" spans="1:16" hidden="1" x14ac:dyDescent="0.25">
      <c r="A4339" s="3" t="s">
        <v>56</v>
      </c>
      <c r="B4339" t="s">
        <v>2470</v>
      </c>
      <c r="C4339" t="s">
        <v>2482</v>
      </c>
      <c r="D4339" t="s">
        <v>26</v>
      </c>
      <c r="E4339" t="s">
        <v>31</v>
      </c>
      <c r="F4339">
        <v>1</v>
      </c>
      <c r="G4339" s="3" t="s">
        <v>5</v>
      </c>
      <c r="H4339" s="46" t="s">
        <v>15</v>
      </c>
      <c r="I4339" s="17">
        <v>291500</v>
      </c>
      <c r="J4339" s="17">
        <f>IF(Gastos[[#This Row],[Divisa]]="$", I4339*1, IF(Gastos[[#This Row],[Divisa]]="U$D", I4339*$N$1, IF(Gastos[[#This Row],[Divisa]]="EUR", I4339*$N$2, 0)))</f>
        <v>291500</v>
      </c>
      <c r="K4339" s="54">
        <f>Gastos[[#This Row],[Importe AR$]]/$N$1</f>
        <v>186.85897435897436</v>
      </c>
      <c r="M4339" s="69">
        <v>45918</v>
      </c>
      <c r="N4339" s="43">
        <f>IF(Gastos[[#This Row],[Fecha_Cheque]]&gt;0,WEEKNUM(Gastos[[#This Row],[Fecha_Cheque]]),MID(Gastos[[#This Row],[Semana]],6,2))</f>
        <v>38</v>
      </c>
      <c r="O4339" t="s">
        <v>2483</v>
      </c>
      <c r="P4339" t="s">
        <v>27</v>
      </c>
    </row>
    <row r="4340" spans="1:16" hidden="1" x14ac:dyDescent="0.25">
      <c r="A4340" s="3" t="s">
        <v>124</v>
      </c>
      <c r="B4340" t="s">
        <v>2470</v>
      </c>
      <c r="C4340" t="s">
        <v>2482</v>
      </c>
      <c r="D4340" t="s">
        <v>26</v>
      </c>
      <c r="E4340" t="s">
        <v>31</v>
      </c>
      <c r="F4340">
        <v>1</v>
      </c>
      <c r="G4340" s="3" t="s">
        <v>32</v>
      </c>
      <c r="H4340" s="46" t="s">
        <v>15</v>
      </c>
      <c r="I4340" s="17">
        <v>1690000</v>
      </c>
      <c r="J4340" s="17">
        <f>IF(Gastos[[#This Row],[Divisa]]="$", I4340*1, IF(Gastos[[#This Row],[Divisa]]="U$D", I4340*$N$1, IF(Gastos[[#This Row],[Divisa]]="EUR", I4340*$N$2, 0)))</f>
        <v>1690000</v>
      </c>
      <c r="K4340" s="54">
        <f>Gastos[[#This Row],[Importe AR$]]/$N$1</f>
        <v>1083.3333333333333</v>
      </c>
      <c r="M4340" s="69"/>
      <c r="N4340" s="43" t="str">
        <f>IF(Gastos[[#This Row],[Fecha_Cheque]]&gt;0,WEEKNUM(Gastos[[#This Row],[Fecha_Cheque]]),MID(Gastos[[#This Row],[Semana]],6,2))</f>
        <v>42</v>
      </c>
      <c r="O4340" t="s">
        <v>2484</v>
      </c>
      <c r="P4340" t="s">
        <v>27</v>
      </c>
    </row>
    <row r="4341" spans="1:16" hidden="1" x14ac:dyDescent="0.25">
      <c r="A4341" s="3" t="s">
        <v>124</v>
      </c>
      <c r="B4341" t="s">
        <v>2470</v>
      </c>
      <c r="C4341" t="s">
        <v>2482</v>
      </c>
      <c r="D4341" t="s">
        <v>26</v>
      </c>
      <c r="E4341" t="s">
        <v>42</v>
      </c>
      <c r="F4341">
        <v>1</v>
      </c>
      <c r="G4341" s="3" t="s">
        <v>4</v>
      </c>
      <c r="H4341" s="46" t="s">
        <v>15</v>
      </c>
      <c r="I4341" s="17">
        <v>4626</v>
      </c>
      <c r="J4341" s="17">
        <f>IF(Gastos[[#This Row],[Divisa]]="$", I4341*1, IF(Gastos[[#This Row],[Divisa]]="U$D", I4341*$N$1, IF(Gastos[[#This Row],[Divisa]]="EUR", I4341*$N$2, 0)))</f>
        <v>4626</v>
      </c>
      <c r="K4341" s="54">
        <f>Gastos[[#This Row],[Importe AR$]]/$N$1</f>
        <v>2.9653846153846155</v>
      </c>
      <c r="M4341" s="69"/>
      <c r="N4341" s="43" t="str">
        <f>IF(Gastos[[#This Row],[Fecha_Cheque]]&gt;0,WEEKNUM(Gastos[[#This Row],[Fecha_Cheque]]),MID(Gastos[[#This Row],[Semana]],6,2))</f>
        <v>42</v>
      </c>
      <c r="O4341" t="s">
        <v>2484</v>
      </c>
      <c r="P4341" t="s">
        <v>27</v>
      </c>
    </row>
    <row r="4342" spans="1:16" hidden="1" x14ac:dyDescent="0.25">
      <c r="A4342" s="3" t="s">
        <v>75</v>
      </c>
      <c r="B4342" t="s">
        <v>2470</v>
      </c>
      <c r="C4342" t="s">
        <v>2485</v>
      </c>
      <c r="D4342" t="s">
        <v>26</v>
      </c>
      <c r="E4342" t="s">
        <v>31</v>
      </c>
      <c r="F4342">
        <v>1</v>
      </c>
      <c r="G4342" s="3" t="s">
        <v>5</v>
      </c>
      <c r="H4342" s="46" t="s">
        <v>15</v>
      </c>
      <c r="I4342" s="17">
        <v>412200</v>
      </c>
      <c r="J4342" s="17">
        <f>IF(Gastos[[#This Row],[Divisa]]="$", I4342*1, IF(Gastos[[#This Row],[Divisa]]="U$D", I4342*$N$1, IF(Gastos[[#This Row],[Divisa]]="EUR", I4342*$N$2, 0)))</f>
        <v>412200</v>
      </c>
      <c r="K4342" s="54">
        <f>Gastos[[#This Row],[Importe AR$]]/$N$1</f>
        <v>264.23076923076923</v>
      </c>
      <c r="M4342" s="69"/>
      <c r="N4342" s="43" t="str">
        <f>IF(Gastos[[#This Row],[Fecha_Cheque]]&gt;0,WEEKNUM(Gastos[[#This Row],[Fecha_Cheque]]),MID(Gastos[[#This Row],[Semana]],6,2))</f>
        <v>07</v>
      </c>
      <c r="O4342" t="s">
        <v>2486</v>
      </c>
      <c r="P4342" t="s">
        <v>27</v>
      </c>
    </row>
    <row r="4343" spans="1:16" hidden="1" x14ac:dyDescent="0.25">
      <c r="A4343" s="3" t="s">
        <v>180</v>
      </c>
      <c r="B4343" t="s">
        <v>2470</v>
      </c>
      <c r="C4343" t="s">
        <v>2471</v>
      </c>
      <c r="D4343" t="s">
        <v>26</v>
      </c>
      <c r="E4343" t="s">
        <v>31</v>
      </c>
      <c r="F4343">
        <v>1</v>
      </c>
      <c r="G4343" s="3" t="s">
        <v>4</v>
      </c>
      <c r="H4343" s="46" t="s">
        <v>15</v>
      </c>
      <c r="I4343" s="17">
        <f>254900</f>
        <v>254900</v>
      </c>
      <c r="J4343" s="17">
        <f>IF(Gastos[[#This Row],[Divisa]]="$", I4343*1, IF(Gastos[[#This Row],[Divisa]]="U$D", I4343*$N$1, IF(Gastos[[#This Row],[Divisa]]="EUR", I4343*$N$2, 0)))</f>
        <v>254900</v>
      </c>
      <c r="K4343" s="54">
        <f>Gastos[[#This Row],[Importe AR$]]/$N$1</f>
        <v>163.39743589743588</v>
      </c>
      <c r="M4343" s="69"/>
      <c r="N4343" s="43" t="str">
        <f>IF(Gastos[[#This Row],[Fecha_Cheque]]&gt;0,WEEKNUM(Gastos[[#This Row],[Fecha_Cheque]]),MID(Gastos[[#This Row],[Semana]],6,2))</f>
        <v>09</v>
      </c>
      <c r="O4343" t="s">
        <v>2618</v>
      </c>
      <c r="P4343" t="s">
        <v>27</v>
      </c>
    </row>
    <row r="4344" spans="1:16" hidden="1" x14ac:dyDescent="0.25">
      <c r="A4344" s="3" t="s">
        <v>2751</v>
      </c>
      <c r="B4344" t="s">
        <v>3169</v>
      </c>
      <c r="C4344" t="s">
        <v>3170</v>
      </c>
      <c r="D4344" t="s">
        <v>26</v>
      </c>
      <c r="E4344" t="s">
        <v>62</v>
      </c>
      <c r="F4344">
        <v>1</v>
      </c>
      <c r="G4344" s="3" t="s">
        <v>5</v>
      </c>
      <c r="H4344" s="44" t="s">
        <v>15</v>
      </c>
      <c r="I4344" s="17">
        <v>345000</v>
      </c>
      <c r="J4344" s="17">
        <f>IF(Gastos[[#This Row],[Divisa]]="$", I4344*1, IF(Gastos[[#This Row],[Divisa]]="U$D", I4344*$N$1, IF(Gastos[[#This Row],[Divisa]]="EUR", I4344*$N$2, 0)))</f>
        <v>345000</v>
      </c>
      <c r="K4344" s="54">
        <f>Gastos[[#This Row],[Importe AR$]]/$N$1</f>
        <v>221.15384615384616</v>
      </c>
      <c r="M4344" s="69"/>
      <c r="N4344" s="43" t="str">
        <f>IF(Gastos[[#This Row],[Fecha_Cheque]]&gt;0,WEEKNUM(Gastos[[#This Row],[Fecha_Cheque]]),MID(Gastos[[#This Row],[Semana]],6,2))</f>
        <v>18</v>
      </c>
      <c r="O4344" t="s">
        <v>3171</v>
      </c>
      <c r="P4344" t="s">
        <v>27</v>
      </c>
    </row>
    <row r="4345" spans="1:16" hidden="1" x14ac:dyDescent="0.25">
      <c r="A4345" s="3" t="s">
        <v>2792</v>
      </c>
      <c r="B4345" t="s">
        <v>3169</v>
      </c>
      <c r="C4345" t="s">
        <v>3170</v>
      </c>
      <c r="D4345" t="s">
        <v>26</v>
      </c>
      <c r="E4345" t="s">
        <v>62</v>
      </c>
      <c r="F4345">
        <v>1</v>
      </c>
      <c r="G4345" s="3" t="s">
        <v>32</v>
      </c>
      <c r="H4345" s="44" t="s">
        <v>15</v>
      </c>
      <c r="I4345" s="17">
        <v>50000</v>
      </c>
      <c r="J4345" s="17">
        <f>IF(Gastos[[#This Row],[Divisa]]="$", I4345*1, IF(Gastos[[#This Row],[Divisa]]="U$D", I4345*$N$1, IF(Gastos[[#This Row],[Divisa]]="EUR", I4345*$N$2, 0)))</f>
        <v>50000</v>
      </c>
      <c r="K4345" s="54">
        <f>Gastos[[#This Row],[Importe AR$]]/$N$1</f>
        <v>32.051282051282051</v>
      </c>
      <c r="M4345" s="69">
        <v>46140</v>
      </c>
      <c r="N4345" s="43">
        <f>IF(Gastos[[#This Row],[Fecha_Cheque]]&gt;0,WEEKNUM(Gastos[[#This Row],[Fecha_Cheque]]),MID(Gastos[[#This Row],[Semana]],6,2))</f>
        <v>18</v>
      </c>
      <c r="O4345" t="s">
        <v>3293</v>
      </c>
      <c r="P4345" t="s">
        <v>27</v>
      </c>
    </row>
    <row r="4346" spans="1:16" hidden="1" x14ac:dyDescent="0.25">
      <c r="A4346" s="3" t="s">
        <v>2792</v>
      </c>
      <c r="B4346" t="s">
        <v>3169</v>
      </c>
      <c r="C4346" t="s">
        <v>3170</v>
      </c>
      <c r="D4346" t="s">
        <v>26</v>
      </c>
      <c r="E4346" t="s">
        <v>62</v>
      </c>
      <c r="F4346">
        <v>1</v>
      </c>
      <c r="G4346" s="3" t="s">
        <v>32</v>
      </c>
      <c r="H4346" s="44" t="s">
        <v>15</v>
      </c>
      <c r="I4346" s="17">
        <v>70000</v>
      </c>
      <c r="J4346" s="17">
        <f>IF(Gastos[[#This Row],[Divisa]]="$", I4346*1, IF(Gastos[[#This Row],[Divisa]]="U$D", I4346*$N$1, IF(Gastos[[#This Row],[Divisa]]="EUR", I4346*$N$2, 0)))</f>
        <v>70000</v>
      </c>
      <c r="K4346" s="54">
        <f>Gastos[[#This Row],[Importe AR$]]/$N$1</f>
        <v>44.871794871794869</v>
      </c>
      <c r="M4346" s="69">
        <v>46154</v>
      </c>
      <c r="N4346" s="43">
        <f>IF(Gastos[[#This Row],[Fecha_Cheque]]&gt;0,WEEKNUM(Gastos[[#This Row],[Fecha_Cheque]]),MID(Gastos[[#This Row],[Semana]],6,2))</f>
        <v>20</v>
      </c>
      <c r="O4346" t="s">
        <v>3293</v>
      </c>
      <c r="P4346" t="s">
        <v>27</v>
      </c>
    </row>
    <row r="4347" spans="1:16" hidden="1" x14ac:dyDescent="0.25">
      <c r="A4347" s="3" t="s">
        <v>2792</v>
      </c>
      <c r="B4347" t="s">
        <v>3169</v>
      </c>
      <c r="C4347" t="s">
        <v>3170</v>
      </c>
      <c r="D4347" t="s">
        <v>26</v>
      </c>
      <c r="E4347" t="s">
        <v>62</v>
      </c>
      <c r="F4347">
        <v>1</v>
      </c>
      <c r="G4347" s="3" t="s">
        <v>32</v>
      </c>
      <c r="H4347" s="44" t="s">
        <v>15</v>
      </c>
      <c r="I4347" s="17">
        <v>415000</v>
      </c>
      <c r="J4347" s="17">
        <f>IF(Gastos[[#This Row],[Divisa]]="$", I4347*1, IF(Gastos[[#This Row],[Divisa]]="U$D", I4347*$N$1, IF(Gastos[[#This Row],[Divisa]]="EUR", I4347*$N$2, 0)))</f>
        <v>415000</v>
      </c>
      <c r="K4347" s="54">
        <f>Gastos[[#This Row],[Importe AR$]]/$N$1</f>
        <v>266.02564102564105</v>
      </c>
      <c r="M4347" s="69">
        <v>46142</v>
      </c>
      <c r="N4347" s="43">
        <f>IF(Gastos[[#This Row],[Fecha_Cheque]]&gt;0,WEEKNUM(Gastos[[#This Row],[Fecha_Cheque]]),MID(Gastos[[#This Row],[Semana]],6,2))</f>
        <v>18</v>
      </c>
      <c r="O4347" t="s">
        <v>3293</v>
      </c>
      <c r="P4347" t="s">
        <v>27</v>
      </c>
    </row>
    <row r="4348" spans="1:16" hidden="1" x14ac:dyDescent="0.25">
      <c r="A4348" s="3" t="s">
        <v>3439</v>
      </c>
      <c r="B4348" t="s">
        <v>3169</v>
      </c>
      <c r="C4348" t="s">
        <v>3170</v>
      </c>
      <c r="D4348" t="s">
        <v>26</v>
      </c>
      <c r="E4348" t="s">
        <v>62</v>
      </c>
      <c r="F4348">
        <v>1</v>
      </c>
      <c r="G4348" s="3" t="s">
        <v>4</v>
      </c>
      <c r="H4348" s="44" t="s">
        <v>15</v>
      </c>
      <c r="I4348" s="17">
        <v>100000</v>
      </c>
      <c r="J4348" s="17">
        <f>IF(Gastos[[#This Row],[Divisa]]="$", I4348*1, IF(Gastos[[#This Row],[Divisa]]="U$D", I4348*$N$1, IF(Gastos[[#This Row],[Divisa]]="EUR", I4348*$N$2, 0)))</f>
        <v>100000</v>
      </c>
      <c r="K4348" s="54">
        <f>Gastos[[#This Row],[Importe AR$]]/$N$1</f>
        <v>64.102564102564102</v>
      </c>
      <c r="M4348" s="69"/>
      <c r="N4348" s="43" t="str">
        <f>IF(Gastos[[#This Row],[Fecha_Cheque]]&gt;0,WEEKNUM(Gastos[[#This Row],[Fecha_Cheque]]),MID(Gastos[[#This Row],[Semana]],6,2))</f>
        <v>25</v>
      </c>
      <c r="O4348" t="s">
        <v>3565</v>
      </c>
      <c r="P4348" t="s">
        <v>27</v>
      </c>
    </row>
    <row r="4349" spans="1:16" hidden="1" x14ac:dyDescent="0.25">
      <c r="A4349" s="3" t="s">
        <v>3754</v>
      </c>
      <c r="B4349" t="s">
        <v>3169</v>
      </c>
      <c r="C4349" t="s">
        <v>3170</v>
      </c>
      <c r="D4349" t="s">
        <v>26</v>
      </c>
      <c r="E4349" t="s">
        <v>42</v>
      </c>
      <c r="F4349">
        <v>1</v>
      </c>
      <c r="G4349" s="3" t="s">
        <v>4</v>
      </c>
      <c r="H4349" s="44" t="s">
        <v>15</v>
      </c>
      <c r="I4349" s="17">
        <v>335000</v>
      </c>
      <c r="J4349" s="17">
        <f>IF(Gastos[[#This Row],[Divisa]]="$", I4349*1, IF(Gastos[[#This Row],[Divisa]]="U$D", I4349*$N$1, IF(Gastos[[#This Row],[Divisa]]="EUR", I4349*$N$2, 0)))</f>
        <v>335000</v>
      </c>
      <c r="K4349" s="54">
        <f>Gastos[[#This Row],[Importe AR$]]/$N$1</f>
        <v>214.74358974358975</v>
      </c>
      <c r="M4349" s="69"/>
      <c r="N4349" s="43" t="str">
        <f>IF(Gastos[[#This Row],[Fecha_Cheque]]&gt;0,WEEKNUM(Gastos[[#This Row],[Fecha_Cheque]]),MID(Gastos[[#This Row],[Semana]],6,2))</f>
        <v>29</v>
      </c>
      <c r="O4349" t="s">
        <v>3805</v>
      </c>
      <c r="P4349" t="s">
        <v>27</v>
      </c>
    </row>
    <row r="4350" spans="1:16" hidden="1" x14ac:dyDescent="0.25">
      <c r="A4350" s="3" t="s">
        <v>3817</v>
      </c>
      <c r="B4350" t="s">
        <v>3169</v>
      </c>
      <c r="C4350" t="s">
        <v>3170</v>
      </c>
      <c r="D4350" t="s">
        <v>26</v>
      </c>
      <c r="E4350" t="s">
        <v>42</v>
      </c>
      <c r="F4350">
        <v>1</v>
      </c>
      <c r="G4350" s="3" t="s">
        <v>4</v>
      </c>
      <c r="H4350" s="44" t="s">
        <v>15</v>
      </c>
      <c r="I4350" s="17">
        <v>300000</v>
      </c>
      <c r="J4350" s="17">
        <f>IF(Gastos[[#This Row],[Divisa]]="$", I4350*1, IF(Gastos[[#This Row],[Divisa]]="U$D", I4350*$N$1, IF(Gastos[[#This Row],[Divisa]]="EUR", I4350*$N$2, 0)))</f>
        <v>300000</v>
      </c>
      <c r="K4350" s="54">
        <f>Gastos[[#This Row],[Importe AR$]]/$N$1</f>
        <v>192.30769230769232</v>
      </c>
      <c r="M4350" s="69"/>
      <c r="N4350" s="43" t="str">
        <f>IF(Gastos[[#This Row],[Fecha_Cheque]]&gt;0,WEEKNUM(Gastos[[#This Row],[Fecha_Cheque]]),MID(Gastos[[#This Row],[Semana]],6,2))</f>
        <v>30</v>
      </c>
      <c r="O4350" t="s">
        <v>3900</v>
      </c>
      <c r="P4350" t="s">
        <v>27</v>
      </c>
    </row>
    <row r="4351" spans="1:16" hidden="1" x14ac:dyDescent="0.25">
      <c r="A4351" s="3" t="s">
        <v>4005</v>
      </c>
      <c r="B4351" t="s">
        <v>3169</v>
      </c>
      <c r="C4351" t="s">
        <v>3988</v>
      </c>
      <c r="D4351" t="s">
        <v>26</v>
      </c>
      <c r="E4351" t="s">
        <v>62</v>
      </c>
      <c r="F4351">
        <v>1</v>
      </c>
      <c r="G4351" s="3" t="s">
        <v>32</v>
      </c>
      <c r="H4351" s="44" t="s">
        <v>15</v>
      </c>
      <c r="I4351" s="17">
        <v>980000</v>
      </c>
      <c r="J4351" s="17">
        <f>IF(Gastos[[#This Row],[Divisa]]="$", I4351*1, IF(Gastos[[#This Row],[Divisa]]="U$D", I4351*$N$1, IF(Gastos[[#This Row],[Divisa]]="EUR", I4351*$N$2, 0)))</f>
        <v>980000</v>
      </c>
      <c r="K4351" s="54">
        <f>Gastos[[#This Row],[Importe AR$]]/$N$1</f>
        <v>628.20512820512818</v>
      </c>
      <c r="M4351" s="69">
        <v>46265</v>
      </c>
      <c r="N4351" s="43">
        <f>IF(Gastos[[#This Row],[Fecha_Cheque]]&gt;0,WEEKNUM(Gastos[[#This Row],[Fecha_Cheque]]),MID(Gastos[[#This Row],[Semana]],6,2))</f>
        <v>36</v>
      </c>
      <c r="O4351" t="s">
        <v>4073</v>
      </c>
      <c r="P4351" t="s">
        <v>27</v>
      </c>
    </row>
    <row r="4352" spans="1:16" hidden="1" x14ac:dyDescent="0.25">
      <c r="A4352" s="3" t="s">
        <v>4005</v>
      </c>
      <c r="B4352" t="s">
        <v>3169</v>
      </c>
      <c r="C4352" t="s">
        <v>3988</v>
      </c>
      <c r="D4352" t="s">
        <v>26</v>
      </c>
      <c r="E4352" t="s">
        <v>42</v>
      </c>
      <c r="F4352">
        <v>1</v>
      </c>
      <c r="G4352" s="3" t="s">
        <v>32</v>
      </c>
      <c r="H4352" s="44" t="s">
        <v>15</v>
      </c>
      <c r="I4352" s="17">
        <v>5000</v>
      </c>
      <c r="J4352" s="17">
        <f>IF(Gastos[[#This Row],[Divisa]]="$", I4352*1, IF(Gastos[[#This Row],[Divisa]]="U$D", I4352*$N$1, IF(Gastos[[#This Row],[Divisa]]="EUR", I4352*$N$2, 0)))</f>
        <v>5000</v>
      </c>
      <c r="K4352" s="54">
        <f>Gastos[[#This Row],[Importe AR$]]/$N$1</f>
        <v>3.2051282051282053</v>
      </c>
      <c r="M4352" s="69"/>
      <c r="N4352" s="43" t="str">
        <f>IF(Gastos[[#This Row],[Fecha_Cheque]]&gt;0,WEEKNUM(Gastos[[#This Row],[Fecha_Cheque]]),MID(Gastos[[#This Row],[Semana]],6,2))</f>
        <v>33</v>
      </c>
      <c r="O4352" t="s">
        <v>4073</v>
      </c>
      <c r="P4352" t="s">
        <v>27</v>
      </c>
    </row>
    <row r="4353" spans="1:16" hidden="1" x14ac:dyDescent="0.25">
      <c r="A4353" s="3" t="s">
        <v>4005</v>
      </c>
      <c r="B4353" t="s">
        <v>3169</v>
      </c>
      <c r="C4353" t="s">
        <v>3988</v>
      </c>
      <c r="D4353" t="s">
        <v>26</v>
      </c>
      <c r="E4353" t="s">
        <v>42</v>
      </c>
      <c r="F4353">
        <v>1</v>
      </c>
      <c r="G4353" s="3" t="s">
        <v>32</v>
      </c>
      <c r="H4353" s="44" t="s">
        <v>15</v>
      </c>
      <c r="I4353" s="17">
        <v>120000</v>
      </c>
      <c r="J4353" s="17">
        <f>IF(Gastos[[#This Row],[Divisa]]="$", I4353*1, IF(Gastos[[#This Row],[Divisa]]="U$D", I4353*$N$1, IF(Gastos[[#This Row],[Divisa]]="EUR", I4353*$N$2, 0)))</f>
        <v>120000</v>
      </c>
      <c r="K4353" s="54">
        <f>Gastos[[#This Row],[Importe AR$]]/$N$1</f>
        <v>76.92307692307692</v>
      </c>
      <c r="M4353" s="69"/>
      <c r="N4353" s="43" t="str">
        <f>IF(Gastos[[#This Row],[Fecha_Cheque]]&gt;0,WEEKNUM(Gastos[[#This Row],[Fecha_Cheque]]),MID(Gastos[[#This Row],[Semana]],6,2))</f>
        <v>33</v>
      </c>
      <c r="O4353" t="s">
        <v>4076</v>
      </c>
      <c r="P4353" t="s">
        <v>27</v>
      </c>
    </row>
    <row r="4354" spans="1:16" hidden="1" x14ac:dyDescent="0.25">
      <c r="A4354" s="3" t="s">
        <v>4119</v>
      </c>
      <c r="B4354" t="s">
        <v>3169</v>
      </c>
      <c r="C4354" t="s">
        <v>3988</v>
      </c>
      <c r="D4354" t="s">
        <v>26</v>
      </c>
      <c r="E4354" t="s">
        <v>42</v>
      </c>
      <c r="F4354">
        <v>1</v>
      </c>
      <c r="G4354" s="3" t="s">
        <v>4</v>
      </c>
      <c r="H4354" s="44" t="s">
        <v>15</v>
      </c>
      <c r="I4354" s="17">
        <v>200000</v>
      </c>
      <c r="J4354" s="17">
        <f>IF(Gastos[[#This Row],[Divisa]]="$", I4354*1, IF(Gastos[[#This Row],[Divisa]]="U$D", I4354*$N$1, IF(Gastos[[#This Row],[Divisa]]="EUR", I4354*$N$2, 0)))</f>
        <v>200000</v>
      </c>
      <c r="K4354" s="54">
        <f>Gastos[[#This Row],[Importe AR$]]/$N$1</f>
        <v>128.2051282051282</v>
      </c>
      <c r="M4354" s="69"/>
      <c r="N4354" s="43" t="str">
        <f>IF(Gastos[[#This Row],[Fecha_Cheque]]&gt;0,WEEKNUM(Gastos[[#This Row],[Fecha_Cheque]]),MID(Gastos[[#This Row],[Semana]],6,2))</f>
        <v>35</v>
      </c>
      <c r="O4354" t="s">
        <v>4154</v>
      </c>
      <c r="P4354" t="s">
        <v>27</v>
      </c>
    </row>
    <row r="4355" spans="1:16" hidden="1" x14ac:dyDescent="0.25">
      <c r="A4355" s="3" t="s">
        <v>4157</v>
      </c>
      <c r="B4355" t="s">
        <v>3169</v>
      </c>
      <c r="C4355" t="s">
        <v>3988</v>
      </c>
      <c r="D4355" t="s">
        <v>26</v>
      </c>
      <c r="E4355" t="s">
        <v>62</v>
      </c>
      <c r="F4355">
        <v>1</v>
      </c>
      <c r="G4355" s="3" t="s">
        <v>4</v>
      </c>
      <c r="H4355" s="44" t="s">
        <v>15</v>
      </c>
      <c r="I4355" s="17">
        <v>300000</v>
      </c>
      <c r="J4355" s="17">
        <f>IF(Gastos[[#This Row],[Divisa]]="$", I4355*1, IF(Gastos[[#This Row],[Divisa]]="U$D", I4355*$N$1, IF(Gastos[[#This Row],[Divisa]]="EUR", I4355*$N$2, 0)))</f>
        <v>300000</v>
      </c>
      <c r="K4355" s="54">
        <f>Gastos[[#This Row],[Importe AR$]]/$N$1</f>
        <v>192.30769230769232</v>
      </c>
      <c r="M4355" s="69"/>
      <c r="N4355" s="43" t="str">
        <f>IF(Gastos[[#This Row],[Fecha_Cheque]]&gt;0,WEEKNUM(Gastos[[#This Row],[Fecha_Cheque]]),MID(Gastos[[#This Row],[Semana]],6,2))</f>
        <v>36</v>
      </c>
      <c r="O4355" t="s">
        <v>4208</v>
      </c>
      <c r="P4355" t="s">
        <v>27</v>
      </c>
    </row>
    <row r="4356" spans="1:16" hidden="1" x14ac:dyDescent="0.25">
      <c r="A4356" s="3" t="s">
        <v>4211</v>
      </c>
      <c r="B4356" t="s">
        <v>3169</v>
      </c>
      <c r="C4356" t="s">
        <v>3988</v>
      </c>
      <c r="D4356" t="s">
        <v>26</v>
      </c>
      <c r="E4356" t="s">
        <v>62</v>
      </c>
      <c r="F4356">
        <v>1</v>
      </c>
      <c r="G4356" s="3" t="s">
        <v>4</v>
      </c>
      <c r="H4356" s="44" t="s">
        <v>15</v>
      </c>
      <c r="I4356" s="17">
        <v>605000</v>
      </c>
      <c r="J4356" s="17">
        <f>IF(Gastos[[#This Row],[Divisa]]="$", I4356*1, IF(Gastos[[#This Row],[Divisa]]="U$D", I4356*$N$1, IF(Gastos[[#This Row],[Divisa]]="EUR", I4356*$N$2, 0)))</f>
        <v>605000</v>
      </c>
      <c r="K4356" s="54">
        <f>Gastos[[#This Row],[Importe AR$]]/$N$1</f>
        <v>387.82051282051282</v>
      </c>
      <c r="M4356" s="69"/>
      <c r="N4356" s="43" t="str">
        <f>IF(Gastos[[#This Row],[Fecha_Cheque]]&gt;0,WEEKNUM(Gastos[[#This Row],[Fecha_Cheque]]),MID(Gastos[[#This Row],[Semana]],6,2))</f>
        <v>37</v>
      </c>
      <c r="O4356" t="s">
        <v>4306</v>
      </c>
      <c r="P4356" t="s">
        <v>27</v>
      </c>
    </row>
    <row r="4357" spans="1:16" hidden="1" x14ac:dyDescent="0.25">
      <c r="A4357" s="3" t="s">
        <v>4374</v>
      </c>
      <c r="B4357" t="s">
        <v>3169</v>
      </c>
      <c r="C4357" t="s">
        <v>3988</v>
      </c>
      <c r="D4357" t="s">
        <v>26</v>
      </c>
      <c r="E4357" t="s">
        <v>62</v>
      </c>
      <c r="F4357">
        <v>1</v>
      </c>
      <c r="G4357" s="3" t="s">
        <v>4</v>
      </c>
      <c r="H4357" s="44" t="s">
        <v>15</v>
      </c>
      <c r="I4357" s="17">
        <v>300000</v>
      </c>
      <c r="J4357" s="17">
        <f>IF(Gastos[[#This Row],[Divisa]]="$", I4357*1, IF(Gastos[[#This Row],[Divisa]]="U$D", I4357*$N$1, IF(Gastos[[#This Row],[Divisa]]="EUR", I4357*$N$2, 0)))</f>
        <v>300000</v>
      </c>
      <c r="K4357" s="54">
        <f>Gastos[[#This Row],[Importe AR$]]/$N$1</f>
        <v>192.30769230769232</v>
      </c>
      <c r="M4357" s="69"/>
      <c r="N4357" s="43" t="str">
        <f>IF(Gastos[[#This Row],[Fecha_Cheque]]&gt;0,WEEKNUM(Gastos[[#This Row],[Fecha_Cheque]]),MID(Gastos[[#This Row],[Semana]],6,2))</f>
        <v>39</v>
      </c>
      <c r="O4357" t="s">
        <v>4407</v>
      </c>
      <c r="P4357" t="s">
        <v>27</v>
      </c>
    </row>
    <row r="4358" spans="1:16" hidden="1" x14ac:dyDescent="0.25">
      <c r="A4358" s="3" t="s">
        <v>4409</v>
      </c>
      <c r="B4358" t="s">
        <v>3169</v>
      </c>
      <c r="C4358" t="s">
        <v>3988</v>
      </c>
      <c r="D4358" t="s">
        <v>26</v>
      </c>
      <c r="E4358" t="s">
        <v>62</v>
      </c>
      <c r="F4358">
        <v>1</v>
      </c>
      <c r="G4358" s="3" t="s">
        <v>4</v>
      </c>
      <c r="H4358" s="44" t="s">
        <v>15</v>
      </c>
      <c r="I4358" s="17">
        <v>500000</v>
      </c>
      <c r="J4358" s="17">
        <f>IF(Gastos[[#This Row],[Divisa]]="$", I4358*1, IF(Gastos[[#This Row],[Divisa]]="U$D", I4358*$N$1, IF(Gastos[[#This Row],[Divisa]]="EUR", I4358*$N$2, 0)))</f>
        <v>500000</v>
      </c>
      <c r="K4358" s="54">
        <f>Gastos[[#This Row],[Importe AR$]]/$N$1</f>
        <v>320.5128205128205</v>
      </c>
      <c r="L4358" t="s">
        <v>4428</v>
      </c>
      <c r="M4358" s="69"/>
      <c r="N4358" s="43" t="str">
        <f>IF(Gastos[[#This Row],[Fecha_Cheque]]&gt;0,WEEKNUM(Gastos[[#This Row],[Fecha_Cheque]]),MID(Gastos[[#This Row],[Semana]],6,2))</f>
        <v>40</v>
      </c>
      <c r="O4358" t="s">
        <v>4440</v>
      </c>
      <c r="P4358" t="s">
        <v>27</v>
      </c>
    </row>
    <row r="4359" spans="1:16" hidden="1" x14ac:dyDescent="0.25">
      <c r="A4359" s="3" t="s">
        <v>4447</v>
      </c>
      <c r="B4359" t="s">
        <v>3169</v>
      </c>
      <c r="C4359" t="s">
        <v>3988</v>
      </c>
      <c r="D4359" t="s">
        <v>26</v>
      </c>
      <c r="E4359" t="s">
        <v>42</v>
      </c>
      <c r="F4359">
        <v>1</v>
      </c>
      <c r="G4359" s="3" t="s">
        <v>4</v>
      </c>
      <c r="H4359" s="44" t="s">
        <v>15</v>
      </c>
      <c r="I4359" s="17">
        <v>1023900</v>
      </c>
      <c r="J4359" s="17">
        <f>IF(Gastos[[#This Row],[Divisa]]="$", I4359*1, IF(Gastos[[#This Row],[Divisa]]="U$D", I4359*$N$1, IF(Gastos[[#This Row],[Divisa]]="EUR", I4359*$N$2, 0)))</f>
        <v>1023900</v>
      </c>
      <c r="K4359" s="54">
        <f>Gastos[[#This Row],[Importe AR$]]/$N$1</f>
        <v>656.34615384615381</v>
      </c>
      <c r="L4359" t="s">
        <v>4512</v>
      </c>
      <c r="M4359" s="69"/>
      <c r="N4359" s="43" t="str">
        <f>IF(Gastos[[#This Row],[Fecha_Cheque]]&gt;0,WEEKNUM(Gastos[[#This Row],[Fecha_Cheque]]),MID(Gastos[[#This Row],[Semana]],6,2))</f>
        <v>41</v>
      </c>
      <c r="O4359" t="s">
        <v>4507</v>
      </c>
      <c r="P4359" t="s">
        <v>27</v>
      </c>
    </row>
    <row r="4360" spans="1:16" x14ac:dyDescent="0.25">
      <c r="A4360" s="99" t="s">
        <v>4655</v>
      </c>
      <c r="B4360" s="100" t="s">
        <v>4681</v>
      </c>
      <c r="C4360" s="100" t="s">
        <v>1948</v>
      </c>
      <c r="D4360" s="100" t="s">
        <v>26</v>
      </c>
      <c r="E4360" s="100" t="s">
        <v>42</v>
      </c>
      <c r="F4360" s="100">
        <v>1</v>
      </c>
      <c r="G4360" s="99" t="s">
        <v>4</v>
      </c>
      <c r="H4360" s="44" t="s">
        <v>15</v>
      </c>
      <c r="I4360" s="17">
        <v>16200</v>
      </c>
      <c r="J4360" s="17">
        <f>IF(Gastos[[#This Row],[Divisa]]="$", I4360*1, IF(Gastos[[#This Row],[Divisa]]="U$D", I4360*$N$1, IF(Gastos[[#This Row],[Divisa]]="EUR", I4360*$N$2, 0)))</f>
        <v>16200</v>
      </c>
      <c r="K4360" s="54">
        <f>Gastos[[#This Row],[Importe AR$]]/$N$1</f>
        <v>10.384615384615385</v>
      </c>
      <c r="L4360" s="100"/>
      <c r="M4360" s="101"/>
      <c r="N4360" s="102" t="str">
        <f>IF(Gastos[[#This Row],[Fecha_Cheque]]&gt;0,WEEKNUM(Gastos[[#This Row],[Fecha_Cheque]]),MID(Gastos[[#This Row],[Semana]],6,2))</f>
        <v>44</v>
      </c>
      <c r="O4360" s="100" t="s">
        <v>4682</v>
      </c>
      <c r="P4360" s="100" t="s">
        <v>27</v>
      </c>
    </row>
    <row r="4361" spans="1:16" x14ac:dyDescent="0.25">
      <c r="A4361" s="3" t="s">
        <v>4655</v>
      </c>
      <c r="B4361" t="s">
        <v>4676</v>
      </c>
      <c r="C4361" t="s">
        <v>4677</v>
      </c>
      <c r="D4361" t="s">
        <v>26</v>
      </c>
      <c r="E4361" t="s">
        <v>31</v>
      </c>
      <c r="F4361">
        <v>1</v>
      </c>
      <c r="G4361" s="3" t="s">
        <v>5</v>
      </c>
      <c r="H4361" s="44" t="s">
        <v>15</v>
      </c>
      <c r="I4361" s="17">
        <v>67413.17</v>
      </c>
      <c r="J4361" s="17">
        <f>IF(Gastos[[#This Row],[Divisa]]="$", I4361*1, IF(Gastos[[#This Row],[Divisa]]="U$D", I4361*$N$1, IF(Gastos[[#This Row],[Divisa]]="EUR", I4361*$N$2, 0)))</f>
        <v>67413.17</v>
      </c>
      <c r="K4361" s="54">
        <f>Gastos[[#This Row],[Importe AR$]]/$N$1</f>
        <v>43.21357051282051</v>
      </c>
      <c r="M4361" s="69"/>
      <c r="N4361" s="43" t="str">
        <f>IF(Gastos[[#This Row],[Fecha_Cheque]]&gt;0,WEEKNUM(Gastos[[#This Row],[Fecha_Cheque]]),MID(Gastos[[#This Row],[Semana]],6,2))</f>
        <v>44</v>
      </c>
      <c r="O4361" t="s">
        <v>4678</v>
      </c>
      <c r="P4361" t="s">
        <v>7</v>
      </c>
    </row>
    <row r="4362" spans="1:16" hidden="1" x14ac:dyDescent="0.25">
      <c r="A4362" s="3" t="s">
        <v>144</v>
      </c>
      <c r="B4362" t="s">
        <v>2487</v>
      </c>
      <c r="C4362" t="s">
        <v>2488</v>
      </c>
      <c r="D4362" t="s">
        <v>26</v>
      </c>
      <c r="E4362" t="s">
        <v>31</v>
      </c>
      <c r="F4362">
        <v>2</v>
      </c>
      <c r="G4362" s="3" t="s">
        <v>4</v>
      </c>
      <c r="H4362" s="46" t="s">
        <v>15</v>
      </c>
      <c r="I4362" s="17">
        <v>120000</v>
      </c>
      <c r="J4362" s="17">
        <f>IF(Gastos[[#This Row],[Divisa]]="$", I4362*1, IF(Gastos[[#This Row],[Divisa]]="U$D", I4362*$N$1, IF(Gastos[[#This Row],[Divisa]]="EUR", I4362*$N$2, 0)))</f>
        <v>120000</v>
      </c>
      <c r="K4362" s="54">
        <f>Gastos[[#This Row],[Importe AR$]]/$N$1</f>
        <v>76.92307692307692</v>
      </c>
      <c r="M4362" s="69"/>
      <c r="N4362" s="43" t="str">
        <f>IF(Gastos[[#This Row],[Fecha_Cheque]]&gt;0,WEEKNUM(Gastos[[#This Row],[Fecha_Cheque]]),MID(Gastos[[#This Row],[Semana]],6,2))</f>
        <v>16</v>
      </c>
      <c r="P4362" t="s">
        <v>27</v>
      </c>
    </row>
    <row r="4363" spans="1:16" hidden="1" x14ac:dyDescent="0.25">
      <c r="A4363" s="3" t="s">
        <v>128</v>
      </c>
      <c r="B4363" t="s">
        <v>2489</v>
      </c>
      <c r="C4363" t="s">
        <v>2490</v>
      </c>
      <c r="D4363" t="s">
        <v>26</v>
      </c>
      <c r="E4363" t="s">
        <v>42</v>
      </c>
      <c r="F4363">
        <v>1</v>
      </c>
      <c r="G4363" s="3" t="s">
        <v>4</v>
      </c>
      <c r="H4363" s="46" t="s">
        <v>15</v>
      </c>
      <c r="I4363" s="17">
        <v>113000</v>
      </c>
      <c r="J4363" s="17">
        <f>IF(Gastos[[#This Row],[Divisa]]="$", I4363*1, IF(Gastos[[#This Row],[Divisa]]="U$D", I4363*$N$1, IF(Gastos[[#This Row],[Divisa]]="EUR", I4363*$N$2, 0)))</f>
        <v>113000</v>
      </c>
      <c r="K4363" s="54">
        <f>Gastos[[#This Row],[Importe AR$]]/$N$1</f>
        <v>72.435897435897431</v>
      </c>
      <c r="M4363" s="69"/>
      <c r="N4363" s="43" t="str">
        <f>IF(Gastos[[#This Row],[Fecha_Cheque]]&gt;0,WEEKNUM(Gastos[[#This Row],[Fecha_Cheque]]),MID(Gastos[[#This Row],[Semana]],6,2))</f>
        <v>43</v>
      </c>
      <c r="O4363" t="s">
        <v>2491</v>
      </c>
      <c r="P4363" t="s">
        <v>27</v>
      </c>
    </row>
    <row r="4364" spans="1:16" hidden="1" x14ac:dyDescent="0.25">
      <c r="A4364" s="3" t="s">
        <v>619</v>
      </c>
      <c r="B4364" t="s">
        <v>2674</v>
      </c>
      <c r="C4364" t="s">
        <v>2675</v>
      </c>
      <c r="D4364" t="s">
        <v>26</v>
      </c>
      <c r="E4364" t="s">
        <v>31</v>
      </c>
      <c r="F4364">
        <v>2</v>
      </c>
      <c r="G4364" s="3" t="s">
        <v>4</v>
      </c>
      <c r="H4364" s="46" t="s">
        <v>15</v>
      </c>
      <c r="I4364" s="17">
        <v>17626891.640000001</v>
      </c>
      <c r="J4364" s="17">
        <f>IF(Gastos[[#This Row],[Divisa]]="$", I4364*1, IF(Gastos[[#This Row],[Divisa]]="U$D", I4364*$N$1, IF(Gastos[[#This Row],[Divisa]]="EUR", I4364*$N$2, 0)))</f>
        <v>17626891.640000001</v>
      </c>
      <c r="K4364" s="54">
        <f>Gastos[[#This Row],[Importe AR$]]/$N$1</f>
        <v>11299.289512820513</v>
      </c>
      <c r="M4364" s="69"/>
      <c r="N4364" s="43" t="str">
        <f>IF(Gastos[[#This Row],[Fecha_Cheque]]&gt;0,WEEKNUM(Gastos[[#This Row],[Fecha_Cheque]]),MID(Gastos[[#This Row],[Semana]],6,2))</f>
        <v>10</v>
      </c>
      <c r="O4364" t="s">
        <v>2676</v>
      </c>
      <c r="P4364" t="s">
        <v>27</v>
      </c>
    </row>
    <row r="4365" spans="1:16" hidden="1" x14ac:dyDescent="0.25">
      <c r="A4365" s="3" t="s">
        <v>130</v>
      </c>
      <c r="B4365" t="s">
        <v>2492</v>
      </c>
      <c r="C4365" t="s">
        <v>2493</v>
      </c>
      <c r="D4365" t="s">
        <v>26</v>
      </c>
      <c r="E4365" t="s">
        <v>31</v>
      </c>
      <c r="F4365">
        <v>1</v>
      </c>
      <c r="G4365" s="3" t="s">
        <v>5</v>
      </c>
      <c r="H4365" s="46" t="s">
        <v>15</v>
      </c>
      <c r="I4365" s="17">
        <v>64400</v>
      </c>
      <c r="J4365" s="17">
        <f>IF(Gastos[[#This Row],[Divisa]]="$", I4365*1, IF(Gastos[[#This Row],[Divisa]]="U$D", I4365*$N$1, IF(Gastos[[#This Row],[Divisa]]="EUR", I4365*$N$2, 0)))</f>
        <v>64400</v>
      </c>
      <c r="K4365" s="54">
        <f>Gastos[[#This Row],[Importe AR$]]/$N$1</f>
        <v>41.282051282051285</v>
      </c>
      <c r="M4365" s="69"/>
      <c r="N4365" s="43" t="str">
        <f>IF(Gastos[[#This Row],[Fecha_Cheque]]&gt;0,WEEKNUM(Gastos[[#This Row],[Fecha_Cheque]]),MID(Gastos[[#This Row],[Semana]],6,2))</f>
        <v>45</v>
      </c>
      <c r="O4365" t="s">
        <v>2494</v>
      </c>
      <c r="P4365" t="s">
        <v>27</v>
      </c>
    </row>
    <row r="4366" spans="1:16" hidden="1" x14ac:dyDescent="0.25">
      <c r="A4366" s="3" t="s">
        <v>85</v>
      </c>
      <c r="B4366" t="s">
        <v>2495</v>
      </c>
      <c r="C4366" t="s">
        <v>1335</v>
      </c>
      <c r="D4366" t="s">
        <v>26</v>
      </c>
      <c r="E4366" t="s">
        <v>132</v>
      </c>
      <c r="F4366">
        <v>2</v>
      </c>
      <c r="G4366" s="3" t="s">
        <v>4</v>
      </c>
      <c r="H4366" s="46" t="s">
        <v>15</v>
      </c>
      <c r="I4366" s="17">
        <v>1000000</v>
      </c>
      <c r="J4366" s="17">
        <f>IF(Gastos[[#This Row],[Divisa]]="$", I4366*1, IF(Gastos[[#This Row],[Divisa]]="U$D", I4366*$N$1, IF(Gastos[[#This Row],[Divisa]]="EUR", I4366*$N$2, 0)))</f>
        <v>1000000</v>
      </c>
      <c r="K4366" s="54">
        <f>Gastos[[#This Row],[Importe AR$]]/$N$1</f>
        <v>641.02564102564099</v>
      </c>
      <c r="M4366" s="69"/>
      <c r="N4366" s="43" t="str">
        <f>IF(Gastos[[#This Row],[Fecha_Cheque]]&gt;0,WEEKNUM(Gastos[[#This Row],[Fecha_Cheque]]),MID(Gastos[[#This Row],[Semana]],6,2))</f>
        <v>26</v>
      </c>
      <c r="O4366" t="s">
        <v>2496</v>
      </c>
      <c r="P4366" t="s">
        <v>27</v>
      </c>
    </row>
    <row r="4367" spans="1:16" hidden="1" x14ac:dyDescent="0.25">
      <c r="A4367" s="3" t="s">
        <v>85</v>
      </c>
      <c r="B4367" t="s">
        <v>2495</v>
      </c>
      <c r="C4367" t="s">
        <v>1335</v>
      </c>
      <c r="D4367" t="s">
        <v>26</v>
      </c>
      <c r="E4367" t="s">
        <v>132</v>
      </c>
      <c r="F4367">
        <v>2</v>
      </c>
      <c r="G4367" s="3" t="s">
        <v>32</v>
      </c>
      <c r="H4367" s="46" t="s">
        <v>15</v>
      </c>
      <c r="I4367" s="17">
        <v>440000</v>
      </c>
      <c r="J4367" s="17">
        <f>IF(Gastos[[#This Row],[Divisa]]="$", I4367*1, IF(Gastos[[#This Row],[Divisa]]="U$D", I4367*$N$1, IF(Gastos[[#This Row],[Divisa]]="EUR", I4367*$N$2, 0)))</f>
        <v>440000</v>
      </c>
      <c r="K4367" s="54">
        <f>Gastos[[#This Row],[Importe AR$]]/$N$1</f>
        <v>282.05128205128204</v>
      </c>
      <c r="M4367" s="69">
        <v>45843</v>
      </c>
      <c r="N4367" s="43">
        <f>IF(Gastos[[#This Row],[Fecha_Cheque]]&gt;0,WEEKNUM(Gastos[[#This Row],[Fecha_Cheque]]),MID(Gastos[[#This Row],[Semana]],6,2))</f>
        <v>27</v>
      </c>
      <c r="O4367" t="s">
        <v>2496</v>
      </c>
      <c r="P4367" t="s">
        <v>27</v>
      </c>
    </row>
    <row r="4368" spans="1:16" hidden="1" x14ac:dyDescent="0.25">
      <c r="A4368" s="3" t="s">
        <v>85</v>
      </c>
      <c r="B4368" t="s">
        <v>2495</v>
      </c>
      <c r="C4368" t="s">
        <v>1335</v>
      </c>
      <c r="D4368" t="s">
        <v>26</v>
      </c>
      <c r="E4368" t="s">
        <v>132</v>
      </c>
      <c r="F4368">
        <v>2</v>
      </c>
      <c r="G4368" s="3" t="s">
        <v>32</v>
      </c>
      <c r="H4368" s="46" t="s">
        <v>15</v>
      </c>
      <c r="I4368" s="17">
        <v>500000</v>
      </c>
      <c r="J4368" s="17">
        <f>IF(Gastos[[#This Row],[Divisa]]="$", I4368*1, IF(Gastos[[#This Row],[Divisa]]="U$D", I4368*$N$1, IF(Gastos[[#This Row],[Divisa]]="EUR", I4368*$N$2, 0)))</f>
        <v>500000</v>
      </c>
      <c r="K4368" s="54">
        <f>Gastos[[#This Row],[Importe AR$]]/$N$1</f>
        <v>320.5128205128205</v>
      </c>
      <c r="M4368" s="69">
        <v>45846</v>
      </c>
      <c r="N4368" s="43">
        <f>IF(Gastos[[#This Row],[Fecha_Cheque]]&gt;0,WEEKNUM(Gastos[[#This Row],[Fecha_Cheque]]),MID(Gastos[[#This Row],[Semana]],6,2))</f>
        <v>28</v>
      </c>
      <c r="O4368" t="s">
        <v>2496</v>
      </c>
      <c r="P4368" t="s">
        <v>27</v>
      </c>
    </row>
    <row r="4369" spans="1:16" hidden="1" x14ac:dyDescent="0.25">
      <c r="A4369" s="3" t="s">
        <v>85</v>
      </c>
      <c r="B4369" t="s">
        <v>2495</v>
      </c>
      <c r="C4369" t="s">
        <v>1335</v>
      </c>
      <c r="D4369" t="s">
        <v>26</v>
      </c>
      <c r="E4369" t="s">
        <v>132</v>
      </c>
      <c r="F4369">
        <v>2</v>
      </c>
      <c r="G4369" s="3" t="s">
        <v>32</v>
      </c>
      <c r="H4369" s="46" t="s">
        <v>15</v>
      </c>
      <c r="I4369" s="17">
        <v>500452</v>
      </c>
      <c r="J4369" s="17">
        <f>IF(Gastos[[#This Row],[Divisa]]="$", I4369*1, IF(Gastos[[#This Row],[Divisa]]="U$D", I4369*$N$1, IF(Gastos[[#This Row],[Divisa]]="EUR", I4369*$N$2, 0)))</f>
        <v>500452</v>
      </c>
      <c r="K4369" s="54">
        <f>Gastos[[#This Row],[Importe AR$]]/$N$1</f>
        <v>320.80256410256408</v>
      </c>
      <c r="M4369" s="69">
        <v>45842</v>
      </c>
      <c r="N4369" s="43">
        <f>IF(Gastos[[#This Row],[Fecha_Cheque]]&gt;0,WEEKNUM(Gastos[[#This Row],[Fecha_Cheque]]),MID(Gastos[[#This Row],[Semana]],6,2))</f>
        <v>27</v>
      </c>
      <c r="O4369" t="s">
        <v>2496</v>
      </c>
      <c r="P4369" t="s">
        <v>27</v>
      </c>
    </row>
    <row r="4370" spans="1:16" hidden="1" x14ac:dyDescent="0.25">
      <c r="A4370" s="3" t="s">
        <v>85</v>
      </c>
      <c r="B4370" t="s">
        <v>2495</v>
      </c>
      <c r="C4370" t="s">
        <v>1335</v>
      </c>
      <c r="D4370" t="s">
        <v>26</v>
      </c>
      <c r="E4370" t="s">
        <v>132</v>
      </c>
      <c r="F4370">
        <v>2</v>
      </c>
      <c r="G4370" s="3" t="s">
        <v>32</v>
      </c>
      <c r="H4370" s="46" t="s">
        <v>15</v>
      </c>
      <c r="I4370" s="17">
        <v>500000</v>
      </c>
      <c r="J4370" s="17">
        <f>IF(Gastos[[#This Row],[Divisa]]="$", I4370*1, IF(Gastos[[#This Row],[Divisa]]="U$D", I4370*$N$1, IF(Gastos[[#This Row],[Divisa]]="EUR", I4370*$N$2, 0)))</f>
        <v>500000</v>
      </c>
      <c r="K4370" s="54">
        <f>Gastos[[#This Row],[Importe AR$]]/$N$1</f>
        <v>320.5128205128205</v>
      </c>
      <c r="M4370" s="69">
        <v>45843</v>
      </c>
      <c r="N4370" s="43">
        <f>IF(Gastos[[#This Row],[Fecha_Cheque]]&gt;0,WEEKNUM(Gastos[[#This Row],[Fecha_Cheque]]),MID(Gastos[[#This Row],[Semana]],6,2))</f>
        <v>27</v>
      </c>
      <c r="O4370" t="s">
        <v>2496</v>
      </c>
      <c r="P4370" t="s">
        <v>27</v>
      </c>
    </row>
    <row r="4371" spans="1:16" hidden="1" x14ac:dyDescent="0.25">
      <c r="A4371" s="3" t="s">
        <v>114</v>
      </c>
      <c r="B4371" t="s">
        <v>2495</v>
      </c>
      <c r="C4371" t="s">
        <v>115</v>
      </c>
      <c r="D4371" t="s">
        <v>26</v>
      </c>
      <c r="E4371" t="s">
        <v>132</v>
      </c>
      <c r="F4371">
        <v>2</v>
      </c>
      <c r="G4371" s="3" t="s">
        <v>32</v>
      </c>
      <c r="H4371" s="46" t="s">
        <v>15</v>
      </c>
      <c r="I4371" s="17">
        <v>2152000</v>
      </c>
      <c r="J4371" s="17">
        <f>IF(Gastos[[#This Row],[Divisa]]="$", I4371*1, IF(Gastos[[#This Row],[Divisa]]="U$D", I4371*$N$1, IF(Gastos[[#This Row],[Divisa]]="EUR", I4371*$N$2, 0)))</f>
        <v>2152000</v>
      </c>
      <c r="K4371" s="54">
        <f>Gastos[[#This Row],[Importe AR$]]/$N$1</f>
        <v>1379.4871794871794</v>
      </c>
      <c r="M4371" s="69">
        <v>45825</v>
      </c>
      <c r="N4371" s="43">
        <f>IF(Gastos[[#This Row],[Fecha_Cheque]]&gt;0,WEEKNUM(Gastos[[#This Row],[Fecha_Cheque]]),MID(Gastos[[#This Row],[Semana]],6,2))</f>
        <v>25</v>
      </c>
      <c r="O4371" t="s">
        <v>2497</v>
      </c>
      <c r="P4371" t="s">
        <v>27</v>
      </c>
    </row>
    <row r="4372" spans="1:16" hidden="1" x14ac:dyDescent="0.25">
      <c r="A4372" s="3" t="s">
        <v>114</v>
      </c>
      <c r="B4372" t="s">
        <v>2495</v>
      </c>
      <c r="C4372" t="s">
        <v>115</v>
      </c>
      <c r="D4372" t="s">
        <v>26</v>
      </c>
      <c r="E4372" t="s">
        <v>132</v>
      </c>
      <c r="F4372">
        <v>2</v>
      </c>
      <c r="G4372" s="3" t="s">
        <v>32</v>
      </c>
      <c r="H4372" s="46" t="s">
        <v>15</v>
      </c>
      <c r="I4372" s="17">
        <v>1000000</v>
      </c>
      <c r="J4372" s="17">
        <f>IF(Gastos[[#This Row],[Divisa]]="$", I4372*1, IF(Gastos[[#This Row],[Divisa]]="U$D", I4372*$N$1, IF(Gastos[[#This Row],[Divisa]]="EUR", I4372*$N$2, 0)))</f>
        <v>1000000</v>
      </c>
      <c r="K4372" s="54">
        <f>Gastos[[#This Row],[Importe AR$]]/$N$1</f>
        <v>641.02564102564099</v>
      </c>
      <c r="M4372" s="69">
        <v>45826</v>
      </c>
      <c r="N4372" s="43">
        <f>IF(Gastos[[#This Row],[Fecha_Cheque]]&gt;0,WEEKNUM(Gastos[[#This Row],[Fecha_Cheque]]),MID(Gastos[[#This Row],[Semana]],6,2))</f>
        <v>25</v>
      </c>
      <c r="O4372" t="s">
        <v>2497</v>
      </c>
      <c r="P4372" t="s">
        <v>27</v>
      </c>
    </row>
    <row r="4373" spans="1:16" hidden="1" x14ac:dyDescent="0.25">
      <c r="A4373" s="3" t="s">
        <v>64</v>
      </c>
      <c r="B4373" t="s">
        <v>2495</v>
      </c>
      <c r="C4373" t="s">
        <v>2498</v>
      </c>
      <c r="D4373" t="s">
        <v>26</v>
      </c>
      <c r="E4373" t="s">
        <v>132</v>
      </c>
      <c r="F4373">
        <v>2</v>
      </c>
      <c r="G4373" s="3" t="s">
        <v>32</v>
      </c>
      <c r="H4373" s="46" t="s">
        <v>15</v>
      </c>
      <c r="I4373" s="17">
        <v>500000</v>
      </c>
      <c r="J4373" s="17">
        <f>IF(Gastos[[#This Row],[Divisa]]="$", I4373*1, IF(Gastos[[#This Row],[Divisa]]="U$D", I4373*$N$1, IF(Gastos[[#This Row],[Divisa]]="EUR", I4373*$N$2, 0)))</f>
        <v>500000</v>
      </c>
      <c r="K4373" s="54">
        <f>Gastos[[#This Row],[Importe AR$]]/$N$1</f>
        <v>320.5128205128205</v>
      </c>
      <c r="M4373" s="69">
        <v>45870</v>
      </c>
      <c r="N4373" s="43">
        <f>IF(Gastos[[#This Row],[Fecha_Cheque]]&gt;0,WEEKNUM(Gastos[[#This Row],[Fecha_Cheque]]),MID(Gastos[[#This Row],[Semana]],6,2))</f>
        <v>31</v>
      </c>
      <c r="O4373" t="s">
        <v>2499</v>
      </c>
      <c r="P4373" t="s">
        <v>27</v>
      </c>
    </row>
    <row r="4374" spans="1:16" hidden="1" x14ac:dyDescent="0.25">
      <c r="A4374" s="3" t="s">
        <v>64</v>
      </c>
      <c r="B4374" t="s">
        <v>2495</v>
      </c>
      <c r="C4374" t="s">
        <v>2498</v>
      </c>
      <c r="D4374" t="s">
        <v>26</v>
      </c>
      <c r="E4374" t="s">
        <v>132</v>
      </c>
      <c r="F4374">
        <v>2</v>
      </c>
      <c r="G4374" s="3" t="s">
        <v>32</v>
      </c>
      <c r="H4374" s="46" t="s">
        <v>15</v>
      </c>
      <c r="I4374" s="17">
        <v>502000</v>
      </c>
      <c r="J4374" s="17">
        <f>IF(Gastos[[#This Row],[Divisa]]="$", I4374*1, IF(Gastos[[#This Row],[Divisa]]="U$D", I4374*$N$1, IF(Gastos[[#This Row],[Divisa]]="EUR", I4374*$N$2, 0)))</f>
        <v>502000</v>
      </c>
      <c r="K4374" s="54">
        <f>Gastos[[#This Row],[Importe AR$]]/$N$1</f>
        <v>321.79487179487177</v>
      </c>
      <c r="M4374" s="69">
        <v>45870</v>
      </c>
      <c r="N4374" s="43">
        <f>IF(Gastos[[#This Row],[Fecha_Cheque]]&gt;0,WEEKNUM(Gastos[[#This Row],[Fecha_Cheque]]),MID(Gastos[[#This Row],[Semana]],6,2))</f>
        <v>31</v>
      </c>
      <c r="O4374" t="s">
        <v>2499</v>
      </c>
      <c r="P4374" t="s">
        <v>27</v>
      </c>
    </row>
    <row r="4375" spans="1:16" hidden="1" x14ac:dyDescent="0.25">
      <c r="A4375" s="3" t="s">
        <v>64</v>
      </c>
      <c r="B4375" t="s">
        <v>2495</v>
      </c>
      <c r="C4375" t="s">
        <v>2498</v>
      </c>
      <c r="D4375" t="s">
        <v>26</v>
      </c>
      <c r="E4375" t="s">
        <v>132</v>
      </c>
      <c r="F4375">
        <v>2</v>
      </c>
      <c r="G4375" s="3" t="s">
        <v>32</v>
      </c>
      <c r="H4375" s="46" t="s">
        <v>15</v>
      </c>
      <c r="I4375" s="17">
        <v>700000</v>
      </c>
      <c r="J4375" s="17">
        <f>IF(Gastos[[#This Row],[Divisa]]="$", I4375*1, IF(Gastos[[#This Row],[Divisa]]="U$D", I4375*$N$1, IF(Gastos[[#This Row],[Divisa]]="EUR", I4375*$N$2, 0)))</f>
        <v>700000</v>
      </c>
      <c r="K4375" s="54">
        <f>Gastos[[#This Row],[Importe AR$]]/$N$1</f>
        <v>448.71794871794873</v>
      </c>
      <c r="M4375" s="69">
        <v>45870</v>
      </c>
      <c r="N4375" s="43">
        <f>IF(Gastos[[#This Row],[Fecha_Cheque]]&gt;0,WEEKNUM(Gastos[[#This Row],[Fecha_Cheque]]),MID(Gastos[[#This Row],[Semana]],6,2))</f>
        <v>31</v>
      </c>
      <c r="O4375" t="s">
        <v>2499</v>
      </c>
      <c r="P4375" t="s">
        <v>27</v>
      </c>
    </row>
    <row r="4376" spans="1:16" hidden="1" x14ac:dyDescent="0.25">
      <c r="A4376" s="3" t="s">
        <v>64</v>
      </c>
      <c r="B4376" t="s">
        <v>2495</v>
      </c>
      <c r="C4376" t="s">
        <v>2498</v>
      </c>
      <c r="D4376" t="s">
        <v>26</v>
      </c>
      <c r="E4376" t="s">
        <v>132</v>
      </c>
      <c r="F4376">
        <v>2</v>
      </c>
      <c r="G4376" s="3" t="s">
        <v>32</v>
      </c>
      <c r="H4376" s="46" t="s">
        <v>15</v>
      </c>
      <c r="I4376" s="17">
        <v>890000</v>
      </c>
      <c r="J4376" s="17">
        <f>IF(Gastos[[#This Row],[Divisa]]="$", I4376*1, IF(Gastos[[#This Row],[Divisa]]="U$D", I4376*$N$1, IF(Gastos[[#This Row],[Divisa]]="EUR", I4376*$N$2, 0)))</f>
        <v>890000</v>
      </c>
      <c r="K4376" s="54">
        <f>Gastos[[#This Row],[Importe AR$]]/$N$1</f>
        <v>570.51282051282055</v>
      </c>
      <c r="M4376" s="69">
        <v>45870</v>
      </c>
      <c r="N4376" s="43">
        <f>IF(Gastos[[#This Row],[Fecha_Cheque]]&gt;0,WEEKNUM(Gastos[[#This Row],[Fecha_Cheque]]),MID(Gastos[[#This Row],[Semana]],6,2))</f>
        <v>31</v>
      </c>
      <c r="O4376" t="s">
        <v>2499</v>
      </c>
      <c r="P4376" t="s">
        <v>27</v>
      </c>
    </row>
    <row r="4377" spans="1:16" hidden="1" x14ac:dyDescent="0.25">
      <c r="A4377" s="3" t="s">
        <v>171</v>
      </c>
      <c r="B4377" t="s">
        <v>2495</v>
      </c>
      <c r="C4377" t="s">
        <v>118</v>
      </c>
      <c r="D4377" t="s">
        <v>26</v>
      </c>
      <c r="E4377" t="s">
        <v>42</v>
      </c>
      <c r="F4377">
        <v>2</v>
      </c>
      <c r="G4377" s="3" t="s">
        <v>4</v>
      </c>
      <c r="H4377" s="46" t="s">
        <v>15</v>
      </c>
      <c r="I4377" s="17">
        <v>623802.78</v>
      </c>
      <c r="J4377" s="17">
        <f>IF(Gastos[[#This Row],[Divisa]]="$", I4377*1, IF(Gastos[[#This Row],[Divisa]]="U$D", I4377*$N$1, IF(Gastos[[#This Row],[Divisa]]="EUR", I4377*$N$2, 0)))</f>
        <v>623802.78</v>
      </c>
      <c r="K4377" s="54">
        <f>Gastos[[#This Row],[Importe AR$]]/$N$1</f>
        <v>399.87357692307694</v>
      </c>
      <c r="M4377" s="69"/>
      <c r="N4377" s="43" t="str">
        <f>IF(Gastos[[#This Row],[Fecha_Cheque]]&gt;0,WEEKNUM(Gastos[[#This Row],[Fecha_Cheque]]),MID(Gastos[[#This Row],[Semana]],6,2))</f>
        <v>38</v>
      </c>
      <c r="O4377" t="s">
        <v>2500</v>
      </c>
      <c r="P4377" t="s">
        <v>27</v>
      </c>
    </row>
    <row r="4378" spans="1:16" hidden="1" x14ac:dyDescent="0.25">
      <c r="A4378" s="3" t="s">
        <v>718</v>
      </c>
      <c r="B4378" t="s">
        <v>2501</v>
      </c>
      <c r="C4378" t="s">
        <v>2502</v>
      </c>
      <c r="D4378" t="s">
        <v>26</v>
      </c>
      <c r="E4378" t="s">
        <v>31</v>
      </c>
      <c r="F4378">
        <v>1</v>
      </c>
      <c r="G4378" s="3" t="s">
        <v>32</v>
      </c>
      <c r="H4378" s="46" t="s">
        <v>15</v>
      </c>
      <c r="I4378" s="17">
        <v>5169275.9000000004</v>
      </c>
      <c r="J4378" s="17">
        <f>IF(Gastos[[#This Row],[Divisa]]="$", I4378*1, IF(Gastos[[#This Row],[Divisa]]="U$D", I4378*$N$1, IF(Gastos[[#This Row],[Divisa]]="EUR", I4378*$N$2, 0)))</f>
        <v>5169275.9000000004</v>
      </c>
      <c r="K4378" s="54">
        <f>Gastos[[#This Row],[Importe AR$]]/$N$1</f>
        <v>3313.6383974358978</v>
      </c>
      <c r="L4378" t="s">
        <v>2503</v>
      </c>
      <c r="M4378" s="69"/>
      <c r="N4378" s="43" t="str">
        <f>IF(Gastos[[#This Row],[Fecha_Cheque]]&gt;0,WEEKNUM(Gastos[[#This Row],[Fecha_Cheque]]),MID(Gastos[[#This Row],[Semana]],6,2))</f>
        <v>18</v>
      </c>
      <c r="O4378" t="s">
        <v>2504</v>
      </c>
      <c r="P4378" t="s">
        <v>27</v>
      </c>
    </row>
    <row r="4379" spans="1:16" hidden="1" x14ac:dyDescent="0.25">
      <c r="A4379" s="3" t="s">
        <v>122</v>
      </c>
      <c r="B4379" t="s">
        <v>2501</v>
      </c>
      <c r="C4379" t="s">
        <v>2505</v>
      </c>
      <c r="D4379" t="s">
        <v>26</v>
      </c>
      <c r="E4379" t="s">
        <v>31</v>
      </c>
      <c r="F4379">
        <v>1</v>
      </c>
      <c r="G4379" s="3" t="s">
        <v>32</v>
      </c>
      <c r="H4379" s="46" t="s">
        <v>15</v>
      </c>
      <c r="I4379" s="17">
        <v>2934650</v>
      </c>
      <c r="J4379" s="17">
        <f>IF(Gastos[[#This Row],[Divisa]]="$", I4379*1, IF(Gastos[[#This Row],[Divisa]]="U$D", I4379*$N$1, IF(Gastos[[#This Row],[Divisa]]="EUR", I4379*$N$2, 0)))</f>
        <v>2934650</v>
      </c>
      <c r="K4379" s="54">
        <f>Gastos[[#This Row],[Importe AR$]]/$N$1</f>
        <v>1881.1858974358975</v>
      </c>
      <c r="M4379" s="69">
        <v>45936</v>
      </c>
      <c r="N4379" s="43">
        <f>IF(Gastos[[#This Row],[Fecha_Cheque]]&gt;0,WEEKNUM(Gastos[[#This Row],[Fecha_Cheque]]),MID(Gastos[[#This Row],[Semana]],6,2))</f>
        <v>41</v>
      </c>
      <c r="O4379" t="s">
        <v>2506</v>
      </c>
      <c r="P4379" t="s">
        <v>27</v>
      </c>
    </row>
    <row r="4380" spans="1:16" hidden="1" x14ac:dyDescent="0.25">
      <c r="A4380" s="3" t="s">
        <v>75</v>
      </c>
      <c r="B4380" t="s">
        <v>2501</v>
      </c>
      <c r="C4380" t="s">
        <v>2010</v>
      </c>
      <c r="D4380" t="s">
        <v>26</v>
      </c>
      <c r="E4380" t="s">
        <v>225</v>
      </c>
      <c r="F4380">
        <v>1</v>
      </c>
      <c r="G4380" s="3" t="s">
        <v>32</v>
      </c>
      <c r="H4380" s="46" t="s">
        <v>15</v>
      </c>
      <c r="I4380" s="17">
        <v>1100000</v>
      </c>
      <c r="J4380" s="17">
        <f>IF(Gastos[[#This Row],[Divisa]]="$", I4380*1, IF(Gastos[[#This Row],[Divisa]]="U$D", I4380*$N$1, IF(Gastos[[#This Row],[Divisa]]="EUR", I4380*$N$2, 0)))</f>
        <v>1100000</v>
      </c>
      <c r="K4380" s="54">
        <f>Gastos[[#This Row],[Importe AR$]]/$N$1</f>
        <v>705.12820512820508</v>
      </c>
      <c r="M4380" s="69">
        <v>46070</v>
      </c>
      <c r="N4380" s="43">
        <f>IF(Gastos[[#This Row],[Fecha_Cheque]]&gt;0,WEEKNUM(Gastos[[#This Row],[Fecha_Cheque]]),MID(Gastos[[#This Row],[Semana]],6,2))</f>
        <v>8</v>
      </c>
      <c r="O4380" t="s">
        <v>2507</v>
      </c>
      <c r="P4380" t="s">
        <v>27</v>
      </c>
    </row>
    <row r="4381" spans="1:16" hidden="1" x14ac:dyDescent="0.25">
      <c r="A4381" s="3" t="s">
        <v>75</v>
      </c>
      <c r="B4381" t="s">
        <v>2501</v>
      </c>
      <c r="C4381" t="s">
        <v>2010</v>
      </c>
      <c r="D4381" t="s">
        <v>26</v>
      </c>
      <c r="E4381" t="s">
        <v>225</v>
      </c>
      <c r="F4381">
        <v>1</v>
      </c>
      <c r="G4381" s="3" t="s">
        <v>32</v>
      </c>
      <c r="H4381" s="46" t="s">
        <v>15</v>
      </c>
      <c r="I4381" s="17">
        <v>1100000</v>
      </c>
      <c r="J4381" s="17">
        <f>IF(Gastos[[#This Row],[Divisa]]="$", I4381*1, IF(Gastos[[#This Row],[Divisa]]="U$D", I4381*$N$1, IF(Gastos[[#This Row],[Divisa]]="EUR", I4381*$N$2, 0)))</f>
        <v>1100000</v>
      </c>
      <c r="K4381" s="54">
        <f>Gastos[[#This Row],[Importe AR$]]/$N$1</f>
        <v>705.12820512820508</v>
      </c>
      <c r="M4381" s="69">
        <v>46065</v>
      </c>
      <c r="N4381" s="43">
        <f>IF(Gastos[[#This Row],[Fecha_Cheque]]&gt;0,WEEKNUM(Gastos[[#This Row],[Fecha_Cheque]]),MID(Gastos[[#This Row],[Semana]],6,2))</f>
        <v>7</v>
      </c>
      <c r="O4381" t="s">
        <v>2507</v>
      </c>
      <c r="P4381" t="s">
        <v>27</v>
      </c>
    </row>
    <row r="4382" spans="1:16" hidden="1" x14ac:dyDescent="0.25">
      <c r="A4382" s="3" t="s">
        <v>75</v>
      </c>
      <c r="B4382" t="s">
        <v>2501</v>
      </c>
      <c r="C4382" t="s">
        <v>2010</v>
      </c>
      <c r="D4382" t="s">
        <v>26</v>
      </c>
      <c r="E4382" t="s">
        <v>225</v>
      </c>
      <c r="F4382">
        <v>1</v>
      </c>
      <c r="G4382" s="3" t="s">
        <v>32</v>
      </c>
      <c r="H4382" s="46" t="s">
        <v>15</v>
      </c>
      <c r="I4382" s="17">
        <v>2679252.15</v>
      </c>
      <c r="J4382" s="17">
        <f>IF(Gastos[[#This Row],[Divisa]]="$", I4382*1, IF(Gastos[[#This Row],[Divisa]]="U$D", I4382*$N$1, IF(Gastos[[#This Row],[Divisa]]="EUR", I4382*$N$2, 0)))</f>
        <v>2679252.15</v>
      </c>
      <c r="K4382" s="54">
        <f>Gastos[[#This Row],[Importe AR$]]/$N$1</f>
        <v>1717.4693269230768</v>
      </c>
      <c r="M4382" s="69">
        <v>46108</v>
      </c>
      <c r="N4382" s="43">
        <f>IF(Gastos[[#This Row],[Fecha_Cheque]]&gt;0,WEEKNUM(Gastos[[#This Row],[Fecha_Cheque]]),MID(Gastos[[#This Row],[Semana]],6,2))</f>
        <v>13</v>
      </c>
      <c r="O4382" t="s">
        <v>2507</v>
      </c>
      <c r="P4382" t="s">
        <v>27</v>
      </c>
    </row>
    <row r="4383" spans="1:16" hidden="1" x14ac:dyDescent="0.25">
      <c r="A4383" s="3" t="s">
        <v>3567</v>
      </c>
      <c r="B4383" t="s">
        <v>2501</v>
      </c>
      <c r="C4383" t="s">
        <v>3620</v>
      </c>
      <c r="D4383" t="s">
        <v>26</v>
      </c>
      <c r="E4383" t="s">
        <v>31</v>
      </c>
      <c r="F4383">
        <v>1</v>
      </c>
      <c r="G4383" s="3" t="s">
        <v>32</v>
      </c>
      <c r="H4383" s="44" t="s">
        <v>15</v>
      </c>
      <c r="I4383" s="17">
        <v>3249467.2</v>
      </c>
      <c r="J4383" s="17">
        <f>IF(Gastos[[#This Row],[Divisa]]="$", I4383*1, IF(Gastos[[#This Row],[Divisa]]="U$D", I4383*$N$1, IF(Gastos[[#This Row],[Divisa]]="EUR", I4383*$N$2, 0)))</f>
        <v>3249467.2</v>
      </c>
      <c r="K4383" s="54">
        <f>Gastos[[#This Row],[Importe AR$]]/$N$1</f>
        <v>2082.9917948717948</v>
      </c>
      <c r="M4383" s="69">
        <v>46232</v>
      </c>
      <c r="N4383" s="43">
        <f>IF(Gastos[[#This Row],[Fecha_Cheque]]&gt;0,WEEKNUM(Gastos[[#This Row],[Fecha_Cheque]]),MID(Gastos[[#This Row],[Semana]],6,2))</f>
        <v>31</v>
      </c>
      <c r="O4383" t="s">
        <v>3621</v>
      </c>
      <c r="P4383" t="s">
        <v>27</v>
      </c>
    </row>
    <row r="4384" spans="1:16" hidden="1" x14ac:dyDescent="0.25">
      <c r="A4384" s="3" t="s">
        <v>3567</v>
      </c>
      <c r="B4384" t="s">
        <v>2501</v>
      </c>
      <c r="C4384" t="s">
        <v>3620</v>
      </c>
      <c r="D4384" t="s">
        <v>26</v>
      </c>
      <c r="E4384" t="s">
        <v>31</v>
      </c>
      <c r="F4384">
        <v>1</v>
      </c>
      <c r="G4384" s="3" t="s">
        <v>32</v>
      </c>
      <c r="H4384" s="44" t="s">
        <v>15</v>
      </c>
      <c r="I4384" s="17">
        <v>50057.599999999999</v>
      </c>
      <c r="J4384" s="17">
        <f>IF(Gastos[[#This Row],[Divisa]]="$", I4384*1, IF(Gastos[[#This Row],[Divisa]]="U$D", I4384*$N$1, IF(Gastos[[#This Row],[Divisa]]="EUR", I4384*$N$2, 0)))</f>
        <v>50057.599999999999</v>
      </c>
      <c r="K4384" s="54">
        <f>Gastos[[#This Row],[Importe AR$]]/$N$1</f>
        <v>32.088205128205125</v>
      </c>
      <c r="L4384" t="s">
        <v>340</v>
      </c>
      <c r="M4384" s="69"/>
      <c r="N4384" s="43" t="str">
        <f>IF(Gastos[[#This Row],[Fecha_Cheque]]&gt;0,WEEKNUM(Gastos[[#This Row],[Fecha_Cheque]]),MID(Gastos[[#This Row],[Semana]],6,2))</f>
        <v>26</v>
      </c>
      <c r="O4384" t="s">
        <v>3621</v>
      </c>
      <c r="P4384" t="s">
        <v>27</v>
      </c>
    </row>
    <row r="4385" spans="1:16" hidden="1" x14ac:dyDescent="0.25">
      <c r="A4385" s="3" t="s">
        <v>3693</v>
      </c>
      <c r="B4385" t="s">
        <v>2501</v>
      </c>
      <c r="C4385" t="s">
        <v>2010</v>
      </c>
      <c r="D4385" t="s">
        <v>26</v>
      </c>
      <c r="E4385" t="s">
        <v>62</v>
      </c>
      <c r="F4385">
        <v>1</v>
      </c>
      <c r="G4385" s="3" t="s">
        <v>32</v>
      </c>
      <c r="H4385" s="46" t="s">
        <v>15</v>
      </c>
      <c r="I4385" s="17">
        <v>2618473</v>
      </c>
      <c r="J4385" s="17">
        <f>IF(Gastos[[#This Row],[Divisa]]="$", I4385*1, IF(Gastos[[#This Row],[Divisa]]="U$D", I4385*$N$1, IF(Gastos[[#This Row],[Divisa]]="EUR", I4385*$N$2, 0)))</f>
        <v>2618473</v>
      </c>
      <c r="K4385" s="54">
        <f>Gastos[[#This Row],[Importe AR$]]/$N$1</f>
        <v>1678.5083333333334</v>
      </c>
      <c r="M4385" s="69">
        <v>46232</v>
      </c>
      <c r="N4385" s="43">
        <f>IF(Gastos[[#This Row],[Fecha_Cheque]]&gt;0,WEEKNUM(Gastos[[#This Row],[Fecha_Cheque]]),MID(Gastos[[#This Row],[Semana]],6,2))</f>
        <v>31</v>
      </c>
      <c r="O4385" t="s">
        <v>3712</v>
      </c>
      <c r="P4385" t="s">
        <v>27</v>
      </c>
    </row>
    <row r="4386" spans="1:16" hidden="1" x14ac:dyDescent="0.25">
      <c r="A4386" s="3" t="s">
        <v>3693</v>
      </c>
      <c r="B4386" t="s">
        <v>2501</v>
      </c>
      <c r="C4386" t="s">
        <v>2010</v>
      </c>
      <c r="D4386" t="s">
        <v>26</v>
      </c>
      <c r="E4386" t="s">
        <v>62</v>
      </c>
      <c r="F4386">
        <v>1</v>
      </c>
      <c r="G4386" s="3" t="s">
        <v>32</v>
      </c>
      <c r="H4386" s="46" t="s">
        <v>15</v>
      </c>
      <c r="I4386" s="17">
        <v>47889.46</v>
      </c>
      <c r="J4386" s="17">
        <f>IF(Gastos[[#This Row],[Divisa]]="$", I4386*1, IF(Gastos[[#This Row],[Divisa]]="U$D", I4386*$N$1, IF(Gastos[[#This Row],[Divisa]]="EUR", I4386*$N$2, 0)))</f>
        <v>47889.46</v>
      </c>
      <c r="K4386" s="54">
        <f>Gastos[[#This Row],[Importe AR$]]/$N$1</f>
        <v>30.698371794871793</v>
      </c>
      <c r="L4386" t="s">
        <v>340</v>
      </c>
      <c r="M4386" s="69"/>
      <c r="N4386" s="43" t="str">
        <f>IF(Gastos[[#This Row],[Fecha_Cheque]]&gt;0,WEEKNUM(Gastos[[#This Row],[Fecha_Cheque]]),MID(Gastos[[#This Row],[Semana]],6,2))</f>
        <v>28</v>
      </c>
      <c r="O4386" t="s">
        <v>3712</v>
      </c>
      <c r="P4386" t="s">
        <v>27</v>
      </c>
    </row>
    <row r="4387" spans="1:16" x14ac:dyDescent="0.25">
      <c r="A4387" s="3" t="s">
        <v>4655</v>
      </c>
      <c r="B4387" t="s">
        <v>4051</v>
      </c>
      <c r="C4387" t="s">
        <v>1948</v>
      </c>
      <c r="D4387" t="s">
        <v>26</v>
      </c>
      <c r="E4387" t="s">
        <v>42</v>
      </c>
      <c r="F4387">
        <v>2</v>
      </c>
      <c r="G4387" s="3" t="s">
        <v>4</v>
      </c>
      <c r="H4387" s="44" t="s">
        <v>15</v>
      </c>
      <c r="I4387" s="17">
        <v>0</v>
      </c>
      <c r="J4387" s="17">
        <f>IF(Gastos[[#This Row],[Divisa]]="$", I4387*1, IF(Gastos[[#This Row],[Divisa]]="U$D", I4387*$N$1, IF(Gastos[[#This Row],[Divisa]]="EUR", I4387*$N$2, 0)))</f>
        <v>0</v>
      </c>
      <c r="K4387" s="54">
        <f>Gastos[[#This Row],[Importe AR$]]/$N$1</f>
        <v>0</v>
      </c>
      <c r="M4387" s="69"/>
      <c r="N4387" s="43" t="str">
        <f>IF(Gastos[[#This Row],[Fecha_Cheque]]&gt;0,WEEKNUM(Gastos[[#This Row],[Fecha_Cheque]]),MID(Gastos[[#This Row],[Semana]],6,2))</f>
        <v>44</v>
      </c>
    </row>
    <row r="4388" spans="1:16" hidden="1" x14ac:dyDescent="0.25">
      <c r="A4388" s="3" t="s">
        <v>122</v>
      </c>
      <c r="B4388" t="s">
        <v>2508</v>
      </c>
      <c r="C4388" t="s">
        <v>574</v>
      </c>
      <c r="D4388" t="s">
        <v>26</v>
      </c>
      <c r="E4388" t="s">
        <v>31</v>
      </c>
      <c r="F4388">
        <v>1</v>
      </c>
      <c r="G4388" s="3" t="s">
        <v>32</v>
      </c>
      <c r="H4388" s="46" t="s">
        <v>15</v>
      </c>
      <c r="I4388" s="17">
        <v>799085.34</v>
      </c>
      <c r="J4388" s="17">
        <f>IF(Gastos[[#This Row],[Divisa]]="$", I4388*1, IF(Gastos[[#This Row],[Divisa]]="U$D", I4388*$N$1, IF(Gastos[[#This Row],[Divisa]]="EUR", I4388*$N$2, 0)))</f>
        <v>799085.34</v>
      </c>
      <c r="K4388" s="54">
        <f>Gastos[[#This Row],[Importe AR$]]/$N$1</f>
        <v>512.2341923076923</v>
      </c>
      <c r="M4388" s="69">
        <v>45959</v>
      </c>
      <c r="N4388" s="43">
        <f>IF(Gastos[[#This Row],[Fecha_Cheque]]&gt;0,WEEKNUM(Gastos[[#This Row],[Fecha_Cheque]]),MID(Gastos[[#This Row],[Semana]],6,2))</f>
        <v>44</v>
      </c>
      <c r="O4388" t="s">
        <v>2509</v>
      </c>
      <c r="P4388" t="s">
        <v>27</v>
      </c>
    </row>
    <row r="4389" spans="1:16" hidden="1" x14ac:dyDescent="0.25">
      <c r="A4389" s="3" t="s">
        <v>122</v>
      </c>
      <c r="B4389" t="s">
        <v>2508</v>
      </c>
      <c r="C4389" t="s">
        <v>574</v>
      </c>
      <c r="D4389" t="s">
        <v>26</v>
      </c>
      <c r="E4389" t="s">
        <v>42</v>
      </c>
      <c r="F4389">
        <v>1</v>
      </c>
      <c r="G4389" s="3" t="s">
        <v>4</v>
      </c>
      <c r="H4389" s="46" t="s">
        <v>15</v>
      </c>
      <c r="I4389" s="17">
        <v>27399.55</v>
      </c>
      <c r="J4389" s="17">
        <f>IF(Gastos[[#This Row],[Divisa]]="$", I4389*1, IF(Gastos[[#This Row],[Divisa]]="U$D", I4389*$N$1, IF(Gastos[[#This Row],[Divisa]]="EUR", I4389*$N$2, 0)))</f>
        <v>27399.55</v>
      </c>
      <c r="K4389" s="54">
        <f>Gastos[[#This Row],[Importe AR$]]/$N$1</f>
        <v>17.563814102564102</v>
      </c>
      <c r="M4389" s="69"/>
      <c r="N4389" s="43" t="str">
        <f>IF(Gastos[[#This Row],[Fecha_Cheque]]&gt;0,WEEKNUM(Gastos[[#This Row],[Fecha_Cheque]]),MID(Gastos[[#This Row],[Semana]],6,2))</f>
        <v>40</v>
      </c>
      <c r="O4389" t="s">
        <v>2509</v>
      </c>
      <c r="P4389" t="s">
        <v>27</v>
      </c>
    </row>
    <row r="4390" spans="1:16" hidden="1" x14ac:dyDescent="0.25">
      <c r="A4390" s="3" t="s">
        <v>72</v>
      </c>
      <c r="B4390" t="s">
        <v>2508</v>
      </c>
      <c r="C4390" t="s">
        <v>2510</v>
      </c>
      <c r="D4390" t="s">
        <v>26</v>
      </c>
      <c r="E4390" t="s">
        <v>225</v>
      </c>
      <c r="F4390">
        <v>1</v>
      </c>
      <c r="G4390" s="3" t="s">
        <v>32</v>
      </c>
      <c r="H4390" s="46" t="s">
        <v>15</v>
      </c>
      <c r="I4390" s="17">
        <v>1950000</v>
      </c>
      <c r="J4390" s="17">
        <f>IF(Gastos[[#This Row],[Divisa]]="$", I4390*1, IF(Gastos[[#This Row],[Divisa]]="U$D", I4390*$N$1, IF(Gastos[[#This Row],[Divisa]]="EUR", I4390*$N$2, 0)))</f>
        <v>1950000</v>
      </c>
      <c r="K4390" s="54">
        <f>Gastos[[#This Row],[Importe AR$]]/$N$1</f>
        <v>1250</v>
      </c>
      <c r="M4390" s="69">
        <v>46013</v>
      </c>
      <c r="N4390" s="43">
        <f>IF(Gastos[[#This Row],[Fecha_Cheque]]&gt;0,WEEKNUM(Gastos[[#This Row],[Fecha_Cheque]]),MID(Gastos[[#This Row],[Semana]],6,2))</f>
        <v>52</v>
      </c>
      <c r="O4390" t="s">
        <v>2511</v>
      </c>
      <c r="P4390" t="s">
        <v>27</v>
      </c>
    </row>
    <row r="4391" spans="1:16" hidden="1" x14ac:dyDescent="0.25">
      <c r="A4391" s="3" t="s">
        <v>72</v>
      </c>
      <c r="B4391" t="s">
        <v>2508</v>
      </c>
      <c r="C4391" t="s">
        <v>2510</v>
      </c>
      <c r="D4391" t="s">
        <v>26</v>
      </c>
      <c r="E4391" t="s">
        <v>225</v>
      </c>
      <c r="F4391">
        <v>1</v>
      </c>
      <c r="G4391" s="3" t="s">
        <v>32</v>
      </c>
      <c r="H4391" s="46" t="s">
        <v>15</v>
      </c>
      <c r="I4391" s="17">
        <v>1950000</v>
      </c>
      <c r="J4391" s="17">
        <f>IF(Gastos[[#This Row],[Divisa]]="$", I4391*1, IF(Gastos[[#This Row],[Divisa]]="U$D", I4391*$N$1, IF(Gastos[[#This Row],[Divisa]]="EUR", I4391*$N$2, 0)))</f>
        <v>1950000</v>
      </c>
      <c r="K4391" s="54">
        <f>Gastos[[#This Row],[Importe AR$]]/$N$1</f>
        <v>1250</v>
      </c>
      <c r="M4391" s="69">
        <v>46014</v>
      </c>
      <c r="N4391" s="43">
        <f>IF(Gastos[[#This Row],[Fecha_Cheque]]&gt;0,WEEKNUM(Gastos[[#This Row],[Fecha_Cheque]]),MID(Gastos[[#This Row],[Semana]],6,2))</f>
        <v>52</v>
      </c>
      <c r="O4391" t="s">
        <v>2511</v>
      </c>
      <c r="P4391" t="s">
        <v>27</v>
      </c>
    </row>
    <row r="4392" spans="1:16" hidden="1" x14ac:dyDescent="0.25">
      <c r="A4392" s="3" t="s">
        <v>72</v>
      </c>
      <c r="B4392" t="s">
        <v>2508</v>
      </c>
      <c r="C4392" t="s">
        <v>2510</v>
      </c>
      <c r="D4392" t="s">
        <v>26</v>
      </c>
      <c r="E4392" t="s">
        <v>225</v>
      </c>
      <c r="F4392">
        <v>1</v>
      </c>
      <c r="G4392" s="3" t="s">
        <v>5</v>
      </c>
      <c r="H4392" s="46" t="s">
        <v>15</v>
      </c>
      <c r="I4392" s="17">
        <v>183778.31</v>
      </c>
      <c r="J4392" s="17">
        <f>IF(Gastos[[#This Row],[Divisa]]="$", I4392*1, IF(Gastos[[#This Row],[Divisa]]="U$D", I4392*$N$1, IF(Gastos[[#This Row],[Divisa]]="EUR", I4392*$N$2, 0)))</f>
        <v>183778.31</v>
      </c>
      <c r="K4392" s="54">
        <f>Gastos[[#This Row],[Importe AR$]]/$N$1</f>
        <v>117.80660897435898</v>
      </c>
      <c r="M4392" s="69"/>
      <c r="N4392" s="43" t="str">
        <f>IF(Gastos[[#This Row],[Fecha_Cheque]]&gt;0,WEEKNUM(Gastos[[#This Row],[Fecha_Cheque]]),MID(Gastos[[#This Row],[Semana]],6,2))</f>
        <v>48</v>
      </c>
      <c r="O4392" t="s">
        <v>2511</v>
      </c>
      <c r="P4392" t="s">
        <v>27</v>
      </c>
    </row>
    <row r="4393" spans="1:16" hidden="1" x14ac:dyDescent="0.25">
      <c r="A4393" s="3" t="s">
        <v>378</v>
      </c>
      <c r="B4393" t="s">
        <v>2508</v>
      </c>
      <c r="C4393" t="s">
        <v>2512</v>
      </c>
      <c r="D4393" t="s">
        <v>26</v>
      </c>
      <c r="E4393" t="s">
        <v>42</v>
      </c>
      <c r="F4393">
        <v>1</v>
      </c>
      <c r="G4393" s="3" t="s">
        <v>4</v>
      </c>
      <c r="H4393" s="46" t="s">
        <v>15</v>
      </c>
      <c r="I4393" s="17">
        <v>21951.64</v>
      </c>
      <c r="J4393" s="17">
        <f>IF(Gastos[[#This Row],[Divisa]]="$", I4393*1, IF(Gastos[[#This Row],[Divisa]]="U$D", I4393*$N$1, IF(Gastos[[#This Row],[Divisa]]="EUR", I4393*$N$2, 0)))</f>
        <v>21951.64</v>
      </c>
      <c r="K4393" s="54">
        <f>Gastos[[#This Row],[Importe AR$]]/$N$1</f>
        <v>14.071564102564102</v>
      </c>
      <c r="M4393" s="69"/>
      <c r="N4393" s="43" t="str">
        <f>IF(Gastos[[#This Row],[Fecha_Cheque]]&gt;0,WEEKNUM(Gastos[[#This Row],[Fecha_Cheque]]),MID(Gastos[[#This Row],[Semana]],6,2))</f>
        <v>03</v>
      </c>
      <c r="O4393" t="s">
        <v>2513</v>
      </c>
      <c r="P4393" t="s">
        <v>27</v>
      </c>
    </row>
    <row r="4394" spans="1:16" hidden="1" x14ac:dyDescent="0.25">
      <c r="A4394" s="3" t="s">
        <v>378</v>
      </c>
      <c r="B4394" t="s">
        <v>2508</v>
      </c>
      <c r="C4394" t="s">
        <v>2512</v>
      </c>
      <c r="D4394" t="s">
        <v>26</v>
      </c>
      <c r="E4394" t="s">
        <v>225</v>
      </c>
      <c r="F4394">
        <v>1</v>
      </c>
      <c r="G4394" s="3" t="s">
        <v>32</v>
      </c>
      <c r="H4394" s="46" t="s">
        <v>15</v>
      </c>
      <c r="I4394" s="17">
        <v>902000</v>
      </c>
      <c r="J4394" s="17">
        <f>IF(Gastos[[#This Row],[Divisa]]="$", I4394*1, IF(Gastos[[#This Row],[Divisa]]="U$D", I4394*$N$1, IF(Gastos[[#This Row],[Divisa]]="EUR", I4394*$N$2, 0)))</f>
        <v>902000</v>
      </c>
      <c r="K4394" s="54">
        <f>Gastos[[#This Row],[Importe AR$]]/$N$1</f>
        <v>578.20512820512818</v>
      </c>
      <c r="M4394" s="69">
        <v>46011</v>
      </c>
      <c r="N4394" s="43">
        <f>IF(Gastos[[#This Row],[Fecha_Cheque]]&gt;0,WEEKNUM(Gastos[[#This Row],[Fecha_Cheque]]),MID(Gastos[[#This Row],[Semana]],6,2))</f>
        <v>51</v>
      </c>
      <c r="O4394" t="s">
        <v>2513</v>
      </c>
      <c r="P4394" t="s">
        <v>27</v>
      </c>
    </row>
    <row r="4395" spans="1:16" hidden="1" x14ac:dyDescent="0.25">
      <c r="A4395" s="3" t="s">
        <v>378</v>
      </c>
      <c r="B4395" t="s">
        <v>2508</v>
      </c>
      <c r="C4395" t="s">
        <v>2512</v>
      </c>
      <c r="D4395" t="s">
        <v>26</v>
      </c>
      <c r="E4395" t="s">
        <v>225</v>
      </c>
      <c r="F4395">
        <v>1</v>
      </c>
      <c r="G4395" s="3" t="s">
        <v>32</v>
      </c>
      <c r="H4395" s="46" t="s">
        <v>15</v>
      </c>
      <c r="I4395" s="17">
        <v>962065</v>
      </c>
      <c r="J4395" s="17">
        <f>IF(Gastos[[#This Row],[Divisa]]="$", I4395*1, IF(Gastos[[#This Row],[Divisa]]="U$D", I4395*$N$1, IF(Gastos[[#This Row],[Divisa]]="EUR", I4395*$N$2, 0)))</f>
        <v>962065</v>
      </c>
      <c r="K4395" s="54">
        <f>Gastos[[#This Row],[Importe AR$]]/$N$1</f>
        <v>616.70833333333337</v>
      </c>
      <c r="M4395" s="69">
        <v>46011</v>
      </c>
      <c r="N4395" s="43">
        <f>IF(Gastos[[#This Row],[Fecha_Cheque]]&gt;0,WEEKNUM(Gastos[[#This Row],[Fecha_Cheque]]),MID(Gastos[[#This Row],[Semana]],6,2))</f>
        <v>51</v>
      </c>
      <c r="O4395" t="s">
        <v>2513</v>
      </c>
      <c r="P4395" t="s">
        <v>27</v>
      </c>
    </row>
    <row r="4396" spans="1:16" hidden="1" x14ac:dyDescent="0.25">
      <c r="A4396" s="3" t="s">
        <v>378</v>
      </c>
      <c r="B4396" t="s">
        <v>2508</v>
      </c>
      <c r="C4396" t="s">
        <v>2512</v>
      </c>
      <c r="D4396" t="s">
        <v>26</v>
      </c>
      <c r="E4396" t="s">
        <v>225</v>
      </c>
      <c r="F4396">
        <v>1</v>
      </c>
      <c r="G4396" s="3" t="s">
        <v>5</v>
      </c>
      <c r="H4396" s="46" t="s">
        <v>15</v>
      </c>
      <c r="I4396" s="17">
        <v>904031</v>
      </c>
      <c r="J4396" s="17">
        <f>IF(Gastos[[#This Row],[Divisa]]="$", I4396*1, IF(Gastos[[#This Row],[Divisa]]="U$D", I4396*$N$1, IF(Gastos[[#This Row],[Divisa]]="EUR", I4396*$N$2, 0)))</f>
        <v>904031</v>
      </c>
      <c r="K4396" s="54">
        <f>Gastos[[#This Row],[Importe AR$]]/$N$1</f>
        <v>579.50705128205129</v>
      </c>
      <c r="M4396" s="69"/>
      <c r="N4396" s="43" t="str">
        <f>IF(Gastos[[#This Row],[Fecha_Cheque]]&gt;0,WEEKNUM(Gastos[[#This Row],[Fecha_Cheque]]),MID(Gastos[[#This Row],[Semana]],6,2))</f>
        <v>03</v>
      </c>
      <c r="O4396" t="s">
        <v>2513</v>
      </c>
      <c r="P4396" t="s">
        <v>27</v>
      </c>
    </row>
    <row r="4397" spans="1:16" hidden="1" x14ac:dyDescent="0.25">
      <c r="A4397" s="3" t="s">
        <v>52</v>
      </c>
      <c r="B4397" t="s">
        <v>2508</v>
      </c>
      <c r="C4397" t="s">
        <v>574</v>
      </c>
      <c r="D4397" t="s">
        <v>26</v>
      </c>
      <c r="E4397" t="s">
        <v>31</v>
      </c>
      <c r="F4397">
        <v>1</v>
      </c>
      <c r="G4397" s="3" t="s">
        <v>32</v>
      </c>
      <c r="H4397" s="46" t="s">
        <v>15</v>
      </c>
      <c r="I4397" s="19">
        <v>1229279.1000000001</v>
      </c>
      <c r="J4397" s="17">
        <f>IF(Gastos[[#This Row],[Divisa]]="$", I4397*1, IF(Gastos[[#This Row],[Divisa]]="U$D", I4397*$N$1, IF(Gastos[[#This Row],[Divisa]]="EUR", I4397*$N$2, 0)))</f>
        <v>1229279.1000000001</v>
      </c>
      <c r="K4397" s="55">
        <f>Gastos[[#This Row],[Importe AR$]]/$N$1</f>
        <v>787.99942307692311</v>
      </c>
      <c r="L4397" t="s">
        <v>1081</v>
      </c>
      <c r="M4397" s="69"/>
      <c r="N4397" s="43" t="str">
        <f>IF(Gastos[[#This Row],[Fecha_Cheque]]&gt;0,WEEKNUM(Gastos[[#This Row],[Fecha_Cheque]]),MID(Gastos[[#This Row],[Semana]],6,2))</f>
        <v>12</v>
      </c>
      <c r="O4397" t="s">
        <v>3745</v>
      </c>
      <c r="P4397" t="s">
        <v>27</v>
      </c>
    </row>
    <row r="4398" spans="1:16" hidden="1" x14ac:dyDescent="0.25">
      <c r="A4398" s="3" t="s">
        <v>290</v>
      </c>
      <c r="B4398" t="s">
        <v>2508</v>
      </c>
      <c r="C4398" t="s">
        <v>574</v>
      </c>
      <c r="D4398" t="s">
        <v>61</v>
      </c>
      <c r="E4398" t="s">
        <v>62</v>
      </c>
      <c r="F4398">
        <v>1</v>
      </c>
      <c r="G4398" s="3" t="s">
        <v>32</v>
      </c>
      <c r="H4398" s="46" t="s">
        <v>15</v>
      </c>
      <c r="I4398" s="17">
        <v>2724000</v>
      </c>
      <c r="J4398" s="17">
        <f>IF(Gastos[[#This Row],[Divisa]]="$", I4398*1, IF(Gastos[[#This Row],[Divisa]]="U$D", I4398*$N$1, IF(Gastos[[#This Row],[Divisa]]="EUR", I4398*$N$2, 0)))</f>
        <v>2724000</v>
      </c>
      <c r="K4398" s="54">
        <f>Gastos[[#This Row],[Importe AR$]]/$N$1</f>
        <v>1746.1538461538462</v>
      </c>
      <c r="L4398" t="s">
        <v>959</v>
      </c>
      <c r="M4398" s="69"/>
      <c r="N4398" s="43" t="str">
        <f>IF(Gastos[[#This Row],[Fecha_Cheque]]&gt;0,WEEKNUM(Gastos[[#This Row],[Fecha_Cheque]]),MID(Gastos[[#This Row],[Semana]],6,2))</f>
        <v>23</v>
      </c>
      <c r="O4398" t="s">
        <v>2514</v>
      </c>
      <c r="P4398" t="s">
        <v>27</v>
      </c>
    </row>
    <row r="4399" spans="1:16" hidden="1" x14ac:dyDescent="0.25">
      <c r="A4399" s="3" t="s">
        <v>305</v>
      </c>
      <c r="B4399" t="s">
        <v>2508</v>
      </c>
      <c r="C4399" t="s">
        <v>574</v>
      </c>
      <c r="D4399" t="s">
        <v>26</v>
      </c>
      <c r="E4399" t="s">
        <v>31</v>
      </c>
      <c r="F4399">
        <v>1</v>
      </c>
      <c r="G4399" s="3" t="s">
        <v>5</v>
      </c>
      <c r="H4399" s="46" t="s">
        <v>15</v>
      </c>
      <c r="I4399" s="17">
        <v>390765.36</v>
      </c>
      <c r="J4399" s="17">
        <f>IF(Gastos[[#This Row],[Divisa]]="$", I4399*1, IF(Gastos[[#This Row],[Divisa]]="U$D", I4399*$N$1, IF(Gastos[[#This Row],[Divisa]]="EUR", I4399*$N$2, 0)))</f>
        <v>390765.36</v>
      </c>
      <c r="K4399" s="54">
        <f>Gastos[[#This Row],[Importe AR$]]/$N$1</f>
        <v>250.49061538461538</v>
      </c>
      <c r="L4399" t="s">
        <v>1083</v>
      </c>
      <c r="M4399" s="69"/>
      <c r="N4399" s="43" t="str">
        <f>IF(Gastos[[#This Row],[Fecha_Cheque]]&gt;0,WEEKNUM(Gastos[[#This Row],[Fecha_Cheque]]),MID(Gastos[[#This Row],[Semana]],6,2))</f>
        <v>31</v>
      </c>
      <c r="P4399" t="s">
        <v>27</v>
      </c>
    </row>
    <row r="4400" spans="1:16" hidden="1" x14ac:dyDescent="0.25">
      <c r="A4400" s="3" t="s">
        <v>305</v>
      </c>
      <c r="B4400" t="s">
        <v>2508</v>
      </c>
      <c r="C4400" t="s">
        <v>574</v>
      </c>
      <c r="D4400" t="s">
        <v>26</v>
      </c>
      <c r="E4400" t="s">
        <v>31</v>
      </c>
      <c r="F4400">
        <v>1</v>
      </c>
      <c r="G4400" s="3" t="s">
        <v>32</v>
      </c>
      <c r="H4400" s="46" t="s">
        <v>15</v>
      </c>
      <c r="I4400" s="17">
        <v>2001500</v>
      </c>
      <c r="J4400" s="17">
        <f>IF(Gastos[[#This Row],[Divisa]]="$", I4400*1, IF(Gastos[[#This Row],[Divisa]]="U$D", I4400*$N$1, IF(Gastos[[#This Row],[Divisa]]="EUR", I4400*$N$2, 0)))</f>
        <v>2001500</v>
      </c>
      <c r="K4400" s="54">
        <f>Gastos[[#This Row],[Importe AR$]]/$N$1</f>
        <v>1283.0128205128206</v>
      </c>
      <c r="M4400" s="69">
        <v>45902</v>
      </c>
      <c r="N4400" s="43">
        <f>IF(Gastos[[#This Row],[Fecha_Cheque]]&gt;0,WEEKNUM(Gastos[[#This Row],[Fecha_Cheque]]),MID(Gastos[[#This Row],[Semana]],6,2))</f>
        <v>36</v>
      </c>
      <c r="P4400" t="s">
        <v>27</v>
      </c>
    </row>
    <row r="4401" spans="1:16" hidden="1" x14ac:dyDescent="0.25">
      <c r="A4401" s="3" t="s">
        <v>305</v>
      </c>
      <c r="B4401" t="s">
        <v>2508</v>
      </c>
      <c r="C4401" t="s">
        <v>574</v>
      </c>
      <c r="D4401" t="s">
        <v>26</v>
      </c>
      <c r="E4401" t="s">
        <v>31</v>
      </c>
      <c r="F4401">
        <v>1</v>
      </c>
      <c r="G4401" s="3" t="s">
        <v>32</v>
      </c>
      <c r="H4401" s="46" t="s">
        <v>15</v>
      </c>
      <c r="I4401" s="17">
        <v>2001500</v>
      </c>
      <c r="J4401" s="17">
        <f>IF(Gastos[[#This Row],[Divisa]]="$", I4401*1, IF(Gastos[[#This Row],[Divisa]]="U$D", I4401*$N$1, IF(Gastos[[#This Row],[Divisa]]="EUR", I4401*$N$2, 0)))</f>
        <v>2001500</v>
      </c>
      <c r="K4401" s="54">
        <f>Gastos[[#This Row],[Importe AR$]]/$N$1</f>
        <v>1283.0128205128206</v>
      </c>
      <c r="M4401" s="69">
        <v>45903</v>
      </c>
      <c r="N4401" s="43">
        <f>IF(Gastos[[#This Row],[Fecha_Cheque]]&gt;0,WEEKNUM(Gastos[[#This Row],[Fecha_Cheque]]),MID(Gastos[[#This Row],[Semana]],6,2))</f>
        <v>36</v>
      </c>
      <c r="O4401" t="s">
        <v>123</v>
      </c>
      <c r="P4401" t="s">
        <v>27</v>
      </c>
    </row>
    <row r="4402" spans="1:16" hidden="1" x14ac:dyDescent="0.25">
      <c r="A4402" s="3" t="s">
        <v>117</v>
      </c>
      <c r="B4402" t="s">
        <v>2508</v>
      </c>
      <c r="C4402" t="s">
        <v>2512</v>
      </c>
      <c r="D4402" t="s">
        <v>26</v>
      </c>
      <c r="E4402" t="s">
        <v>42</v>
      </c>
      <c r="F4402">
        <v>1</v>
      </c>
      <c r="G4402" s="3" t="s">
        <v>4</v>
      </c>
      <c r="H4402" s="46" t="s">
        <v>15</v>
      </c>
      <c r="I4402" s="17">
        <v>102216.49</v>
      </c>
      <c r="J4402" s="17">
        <f>IF(Gastos[[#This Row],[Divisa]]="$", I4402*1, IF(Gastos[[#This Row],[Divisa]]="U$D", I4402*$N$1, IF(Gastos[[#This Row],[Divisa]]="EUR", I4402*$N$2, 0)))</f>
        <v>102216.49</v>
      </c>
      <c r="K4402" s="54">
        <f>Gastos[[#This Row],[Importe AR$]]/$N$1</f>
        <v>65.523391025641033</v>
      </c>
      <c r="M4402" s="69">
        <v>45914</v>
      </c>
      <c r="N4402" s="43">
        <f>IF(Gastos[[#This Row],[Fecha_Cheque]]&gt;0,WEEKNUM(Gastos[[#This Row],[Fecha_Cheque]]),MID(Gastos[[#This Row],[Semana]],6,2))</f>
        <v>38</v>
      </c>
      <c r="O4402" t="s">
        <v>2515</v>
      </c>
      <c r="P4402" t="s">
        <v>27</v>
      </c>
    </row>
    <row r="4403" spans="1:16" hidden="1" x14ac:dyDescent="0.25">
      <c r="A4403" s="3" t="s">
        <v>117</v>
      </c>
      <c r="B4403" t="s">
        <v>2508</v>
      </c>
      <c r="C4403" t="s">
        <v>2512</v>
      </c>
      <c r="D4403" t="s">
        <v>26</v>
      </c>
      <c r="E4403" t="s">
        <v>31</v>
      </c>
      <c r="F4403">
        <v>1</v>
      </c>
      <c r="G4403" s="3" t="s">
        <v>32</v>
      </c>
      <c r="H4403" s="46" t="s">
        <v>15</v>
      </c>
      <c r="I4403" s="17">
        <v>1550000</v>
      </c>
      <c r="J4403" s="17">
        <f>IF(Gastos[[#This Row],[Divisa]]="$", I4403*1, IF(Gastos[[#This Row],[Divisa]]="U$D", I4403*$N$1, IF(Gastos[[#This Row],[Divisa]]="EUR", I4403*$N$2, 0)))</f>
        <v>1550000</v>
      </c>
      <c r="K4403" s="54">
        <f>Gastos[[#This Row],[Importe AR$]]/$N$1</f>
        <v>993.58974358974353</v>
      </c>
      <c r="M4403" s="69">
        <v>45887</v>
      </c>
      <c r="N4403" s="43">
        <f>IF(Gastos[[#This Row],[Fecha_Cheque]]&gt;0,WEEKNUM(Gastos[[#This Row],[Fecha_Cheque]]),MID(Gastos[[#This Row],[Semana]],6,2))</f>
        <v>34</v>
      </c>
      <c r="O4403" t="s">
        <v>2515</v>
      </c>
      <c r="P4403" t="s">
        <v>27</v>
      </c>
    </row>
    <row r="4404" spans="1:16" hidden="1" x14ac:dyDescent="0.25">
      <c r="A4404" s="3" t="s">
        <v>117</v>
      </c>
      <c r="B4404" t="s">
        <v>2508</v>
      </c>
      <c r="C4404" t="s">
        <v>2512</v>
      </c>
      <c r="D4404" t="s">
        <v>26</v>
      </c>
      <c r="E4404" t="s">
        <v>31</v>
      </c>
      <c r="F4404">
        <v>1</v>
      </c>
      <c r="G4404" s="3" t="s">
        <v>32</v>
      </c>
      <c r="H4404" s="46" t="s">
        <v>15</v>
      </c>
      <c r="I4404" s="17">
        <v>206689.03</v>
      </c>
      <c r="J4404" s="17">
        <f>IF(Gastos[[#This Row],[Divisa]]="$", I4404*1, IF(Gastos[[#This Row],[Divisa]]="U$D", I4404*$N$1, IF(Gastos[[#This Row],[Divisa]]="EUR", I4404*$N$2, 0)))</f>
        <v>206689.03</v>
      </c>
      <c r="K4404" s="54">
        <f>Gastos[[#This Row],[Importe AR$]]/$N$1</f>
        <v>132.49296794871796</v>
      </c>
      <c r="M4404" s="69">
        <v>45888</v>
      </c>
      <c r="N4404" s="43">
        <f>IF(Gastos[[#This Row],[Fecha_Cheque]]&gt;0,WEEKNUM(Gastos[[#This Row],[Fecha_Cheque]]),MID(Gastos[[#This Row],[Semana]],6,2))</f>
        <v>34</v>
      </c>
      <c r="O4404" t="s">
        <v>2515</v>
      </c>
      <c r="P4404" t="s">
        <v>27</v>
      </c>
    </row>
    <row r="4405" spans="1:16" hidden="1" x14ac:dyDescent="0.25">
      <c r="A4405" s="3" t="s">
        <v>117</v>
      </c>
      <c r="B4405" t="s">
        <v>2508</v>
      </c>
      <c r="C4405" t="s">
        <v>2512</v>
      </c>
      <c r="D4405" t="s">
        <v>26</v>
      </c>
      <c r="E4405" t="s">
        <v>31</v>
      </c>
      <c r="F4405">
        <v>1</v>
      </c>
      <c r="G4405" s="3" t="s">
        <v>32</v>
      </c>
      <c r="H4405" s="46" t="s">
        <v>15</v>
      </c>
      <c r="I4405" s="17">
        <v>756770.94</v>
      </c>
      <c r="J4405" s="17">
        <f>IF(Gastos[[#This Row],[Divisa]]="$", I4405*1, IF(Gastos[[#This Row],[Divisa]]="U$D", I4405*$N$1, IF(Gastos[[#This Row],[Divisa]]="EUR", I4405*$N$2, 0)))</f>
        <v>756770.94</v>
      </c>
      <c r="K4405" s="54">
        <f>Gastos[[#This Row],[Importe AR$]]/$N$1</f>
        <v>485.10957692307687</v>
      </c>
      <c r="M4405" s="69">
        <v>45888</v>
      </c>
      <c r="N4405" s="43">
        <f>IF(Gastos[[#This Row],[Fecha_Cheque]]&gt;0,WEEKNUM(Gastos[[#This Row],[Fecha_Cheque]]),MID(Gastos[[#This Row],[Semana]],6,2))</f>
        <v>34</v>
      </c>
      <c r="O4405" t="s">
        <v>2515</v>
      </c>
      <c r="P4405" t="s">
        <v>27</v>
      </c>
    </row>
    <row r="4406" spans="1:16" hidden="1" x14ac:dyDescent="0.25">
      <c r="A4406" s="3" t="s">
        <v>397</v>
      </c>
      <c r="B4406" t="s">
        <v>2508</v>
      </c>
      <c r="C4406" t="s">
        <v>574</v>
      </c>
      <c r="D4406" t="s">
        <v>26</v>
      </c>
      <c r="E4406" t="s">
        <v>225</v>
      </c>
      <c r="F4406">
        <v>1</v>
      </c>
      <c r="G4406" s="3" t="s">
        <v>32</v>
      </c>
      <c r="H4406" s="46" t="s">
        <v>15</v>
      </c>
      <c r="I4406" s="17">
        <v>450000</v>
      </c>
      <c r="J4406" s="17">
        <f>IF(Gastos[[#This Row],[Divisa]]="$", I4406*1, IF(Gastos[[#This Row],[Divisa]]="U$D", I4406*$N$1, IF(Gastos[[#This Row],[Divisa]]="EUR", I4406*$N$2, 0)))</f>
        <v>450000</v>
      </c>
      <c r="K4406" s="54">
        <f>Gastos[[#This Row],[Importe AR$]]/$N$1</f>
        <v>288.46153846153845</v>
      </c>
      <c r="M4406" s="69">
        <v>46074</v>
      </c>
      <c r="N4406" s="43">
        <f>IF(Gastos[[#This Row],[Fecha_Cheque]]&gt;0,WEEKNUM(Gastos[[#This Row],[Fecha_Cheque]]),MID(Gastos[[#This Row],[Semana]],6,2))</f>
        <v>8</v>
      </c>
      <c r="O4406" t="s">
        <v>2698</v>
      </c>
      <c r="P4406" t="s">
        <v>27</v>
      </c>
    </row>
    <row r="4407" spans="1:16" hidden="1" x14ac:dyDescent="0.25">
      <c r="A4407" s="3" t="s">
        <v>397</v>
      </c>
      <c r="B4407" t="s">
        <v>2508</v>
      </c>
      <c r="C4407" t="s">
        <v>574</v>
      </c>
      <c r="D4407" t="s">
        <v>26</v>
      </c>
      <c r="E4407" t="s">
        <v>225</v>
      </c>
      <c r="F4407">
        <v>1</v>
      </c>
      <c r="G4407" s="3" t="s">
        <v>32</v>
      </c>
      <c r="H4407" s="46" t="s">
        <v>15</v>
      </c>
      <c r="I4407" s="17">
        <v>800000</v>
      </c>
      <c r="J4407" s="17">
        <f>IF(Gastos[[#This Row],[Divisa]]="$", I4407*1, IF(Gastos[[#This Row],[Divisa]]="U$D", I4407*$N$1, IF(Gastos[[#This Row],[Divisa]]="EUR", I4407*$N$2, 0)))</f>
        <v>800000</v>
      </c>
      <c r="K4407" s="54">
        <f>Gastos[[#This Row],[Importe AR$]]/$N$1</f>
        <v>512.82051282051282</v>
      </c>
      <c r="M4407" s="69">
        <v>46120</v>
      </c>
      <c r="N4407" s="43">
        <f>IF(Gastos[[#This Row],[Fecha_Cheque]]&gt;0,WEEKNUM(Gastos[[#This Row],[Fecha_Cheque]]),MID(Gastos[[#This Row],[Semana]],6,2))</f>
        <v>15</v>
      </c>
      <c r="O4407" t="s">
        <v>2698</v>
      </c>
      <c r="P4407" t="s">
        <v>27</v>
      </c>
    </row>
    <row r="4408" spans="1:16" hidden="1" x14ac:dyDescent="0.25">
      <c r="A4408" s="3" t="s">
        <v>397</v>
      </c>
      <c r="B4408" t="s">
        <v>2508</v>
      </c>
      <c r="C4408" t="s">
        <v>574</v>
      </c>
      <c r="D4408" t="s">
        <v>26</v>
      </c>
      <c r="E4408" t="s">
        <v>225</v>
      </c>
      <c r="F4408">
        <v>1</v>
      </c>
      <c r="G4408" s="3" t="s">
        <v>32</v>
      </c>
      <c r="H4408" s="44" t="s">
        <v>15</v>
      </c>
      <c r="I4408" s="17">
        <v>19317.759999999998</v>
      </c>
      <c r="J4408" s="17">
        <f>IF(Gastos[[#This Row],[Divisa]]="$", I4408*1, IF(Gastos[[#This Row],[Divisa]]="U$D", I4408*$N$1, IF(Gastos[[#This Row],[Divisa]]="EUR", I4408*$N$2, 0)))</f>
        <v>19317.759999999998</v>
      </c>
      <c r="K4408" s="54">
        <f>Gastos[[#This Row],[Importe AR$]]/$N$1</f>
        <v>12.383179487179486</v>
      </c>
      <c r="M4408" s="69"/>
      <c r="N4408" s="43" t="str">
        <f>IF(Gastos[[#This Row],[Fecha_Cheque]]&gt;0,WEEKNUM(Gastos[[#This Row],[Fecha_Cheque]]),MID(Gastos[[#This Row],[Semana]],6,2))</f>
        <v>11</v>
      </c>
      <c r="O4408" t="s">
        <v>2698</v>
      </c>
      <c r="P4408" t="s">
        <v>27</v>
      </c>
    </row>
    <row r="4409" spans="1:16" hidden="1" x14ac:dyDescent="0.25">
      <c r="A4409" s="3" t="s">
        <v>332</v>
      </c>
      <c r="B4409" t="s">
        <v>2508</v>
      </c>
      <c r="C4409" t="s">
        <v>2510</v>
      </c>
      <c r="D4409" t="s">
        <v>26</v>
      </c>
      <c r="E4409" t="s">
        <v>225</v>
      </c>
      <c r="F4409">
        <v>1</v>
      </c>
      <c r="G4409" s="3" t="s">
        <v>32</v>
      </c>
      <c r="H4409" s="46" t="s">
        <v>15</v>
      </c>
      <c r="I4409" s="17">
        <v>102321.89</v>
      </c>
      <c r="J4409" s="17">
        <f>IF(Gastos[[#This Row],[Divisa]]="$", I4409*1, IF(Gastos[[#This Row],[Divisa]]="U$D", I4409*$N$1, IF(Gastos[[#This Row],[Divisa]]="EUR", I4409*$N$2, 0)))</f>
        <v>102321.89</v>
      </c>
      <c r="K4409" s="54">
        <f>Gastos[[#This Row],[Importe AR$]]/$N$1</f>
        <v>65.590955128205124</v>
      </c>
      <c r="M4409" s="69">
        <v>46122</v>
      </c>
      <c r="N4409" s="43">
        <f>IF(Gastos[[#This Row],[Fecha_Cheque]]&gt;0,WEEKNUM(Gastos[[#This Row],[Fecha_Cheque]]),MID(Gastos[[#This Row],[Semana]],6,2))</f>
        <v>15</v>
      </c>
      <c r="O4409" t="s">
        <v>2781</v>
      </c>
      <c r="P4409" t="s">
        <v>27</v>
      </c>
    </row>
    <row r="4410" spans="1:16" hidden="1" x14ac:dyDescent="0.25">
      <c r="A4410" s="3" t="s">
        <v>332</v>
      </c>
      <c r="B4410" t="s">
        <v>2508</v>
      </c>
      <c r="C4410" t="s">
        <v>2510</v>
      </c>
      <c r="D4410" t="s">
        <v>26</v>
      </c>
      <c r="E4410" t="s">
        <v>225</v>
      </c>
      <c r="F4410">
        <v>1</v>
      </c>
      <c r="G4410" s="3" t="s">
        <v>32</v>
      </c>
      <c r="H4410" s="44" t="s">
        <v>15</v>
      </c>
      <c r="I4410" s="17">
        <v>400000</v>
      </c>
      <c r="J4410" s="17">
        <f>IF(Gastos[[#This Row],[Divisa]]="$", I4410*1, IF(Gastos[[#This Row],[Divisa]]="U$D", I4410*$N$1, IF(Gastos[[#This Row],[Divisa]]="EUR", I4410*$N$2, 0)))</f>
        <v>400000</v>
      </c>
      <c r="K4410" s="54">
        <f>Gastos[[#This Row],[Importe AR$]]/$N$1</f>
        <v>256.41025641025641</v>
      </c>
      <c r="M4410" s="69">
        <v>46119</v>
      </c>
      <c r="N4410" s="43">
        <f>IF(Gastos[[#This Row],[Fecha_Cheque]]&gt;0,WEEKNUM(Gastos[[#This Row],[Fecha_Cheque]]),MID(Gastos[[#This Row],[Semana]],6,2))</f>
        <v>15</v>
      </c>
      <c r="O4410" t="s">
        <v>2781</v>
      </c>
      <c r="P4410" t="s">
        <v>27</v>
      </c>
    </row>
    <row r="4411" spans="1:16" hidden="1" x14ac:dyDescent="0.25">
      <c r="A4411" s="3" t="s">
        <v>332</v>
      </c>
      <c r="B4411" t="s">
        <v>2508</v>
      </c>
      <c r="C4411" t="s">
        <v>2510</v>
      </c>
      <c r="D4411" t="s">
        <v>26</v>
      </c>
      <c r="E4411" t="s">
        <v>225</v>
      </c>
      <c r="F4411">
        <v>1</v>
      </c>
      <c r="G4411" s="3" t="s">
        <v>32</v>
      </c>
      <c r="H4411" s="44" t="s">
        <v>15</v>
      </c>
      <c r="I4411" s="17">
        <v>8622.14</v>
      </c>
      <c r="J4411" s="17">
        <f>IF(Gastos[[#This Row],[Divisa]]="$", I4411*1, IF(Gastos[[#This Row],[Divisa]]="U$D", I4411*$N$1, IF(Gastos[[#This Row],[Divisa]]="EUR", I4411*$N$2, 0)))</f>
        <v>8622.14</v>
      </c>
      <c r="K4411" s="54">
        <f>Gastos[[#This Row],[Importe AR$]]/$N$1</f>
        <v>5.5270128205128204</v>
      </c>
      <c r="L4411" t="s">
        <v>340</v>
      </c>
      <c r="M4411" s="69"/>
      <c r="N4411" s="43" t="str">
        <f>IF(Gastos[[#This Row],[Fecha_Cheque]]&gt;0,WEEKNUM(Gastos[[#This Row],[Fecha_Cheque]]),MID(Gastos[[#This Row],[Semana]],6,2))</f>
        <v>12</v>
      </c>
      <c r="O4411" t="s">
        <v>2781</v>
      </c>
      <c r="P4411" t="s">
        <v>27</v>
      </c>
    </row>
    <row r="4412" spans="1:16" hidden="1" x14ac:dyDescent="0.25">
      <c r="A4412" s="3" t="s">
        <v>828</v>
      </c>
      <c r="B4412" t="s">
        <v>2508</v>
      </c>
      <c r="C4412" t="s">
        <v>2510</v>
      </c>
      <c r="D4412" t="s">
        <v>26</v>
      </c>
      <c r="E4412" t="s">
        <v>225</v>
      </c>
      <c r="F4412">
        <v>1</v>
      </c>
      <c r="G4412" s="3" t="s">
        <v>32</v>
      </c>
      <c r="H4412" s="46" t="s">
        <v>15</v>
      </c>
      <c r="I4412" s="17">
        <v>1755000</v>
      </c>
      <c r="J4412" s="17">
        <f>IF(Gastos[[#This Row],[Divisa]]="$", I4412*1, IF(Gastos[[#This Row],[Divisa]]="U$D", I4412*$N$1, IF(Gastos[[#This Row],[Divisa]]="EUR", I4412*$N$2, 0)))</f>
        <v>1755000</v>
      </c>
      <c r="K4412" s="54">
        <f>Gastos[[#This Row],[Importe AR$]]/$N$1</f>
        <v>1125</v>
      </c>
      <c r="M4412" s="69">
        <v>46132</v>
      </c>
      <c r="N4412" s="43">
        <f>IF(Gastos[[#This Row],[Fecha_Cheque]]&gt;0,WEEKNUM(Gastos[[#This Row],[Fecha_Cheque]]),MID(Gastos[[#This Row],[Semana]],6,2))</f>
        <v>17</v>
      </c>
      <c r="O4412" t="s">
        <v>2800</v>
      </c>
      <c r="P4412" t="s">
        <v>27</v>
      </c>
    </row>
    <row r="4413" spans="1:16" hidden="1" x14ac:dyDescent="0.25">
      <c r="A4413" s="3" t="s">
        <v>828</v>
      </c>
      <c r="B4413" t="s">
        <v>2508</v>
      </c>
      <c r="C4413" t="s">
        <v>2510</v>
      </c>
      <c r="D4413" t="s">
        <v>26</v>
      </c>
      <c r="E4413" t="s">
        <v>225</v>
      </c>
      <c r="F4413">
        <v>1</v>
      </c>
      <c r="G4413" s="3" t="s">
        <v>32</v>
      </c>
      <c r="H4413" s="46" t="s">
        <v>15</v>
      </c>
      <c r="I4413" s="17">
        <v>29150.78</v>
      </c>
      <c r="J4413" s="17">
        <f>IF(Gastos[[#This Row],[Divisa]]="$", I4413*1, IF(Gastos[[#This Row],[Divisa]]="U$D", I4413*$N$1, IF(Gastos[[#This Row],[Divisa]]="EUR", I4413*$N$2, 0)))</f>
        <v>29150.78</v>
      </c>
      <c r="K4413" s="54">
        <f>Gastos[[#This Row],[Importe AR$]]/$N$1</f>
        <v>18.686397435897437</v>
      </c>
      <c r="L4413" t="s">
        <v>340</v>
      </c>
      <c r="M4413" s="69"/>
      <c r="N4413" s="43" t="str">
        <f>IF(Gastos[[#This Row],[Fecha_Cheque]]&gt;0,WEEKNUM(Gastos[[#This Row],[Fecha_Cheque]]),MID(Gastos[[#This Row],[Semana]],6,2))</f>
        <v>13</v>
      </c>
      <c r="O4413" t="s">
        <v>2800</v>
      </c>
      <c r="P4413" t="s">
        <v>27</v>
      </c>
    </row>
    <row r="4414" spans="1:16" hidden="1" x14ac:dyDescent="0.25">
      <c r="A4414" s="3" t="s">
        <v>2804</v>
      </c>
      <c r="B4414" t="s">
        <v>2508</v>
      </c>
      <c r="C4414" t="s">
        <v>2510</v>
      </c>
      <c r="D4414" t="s">
        <v>26</v>
      </c>
      <c r="E4414" t="s">
        <v>62</v>
      </c>
      <c r="F4414">
        <v>1</v>
      </c>
      <c r="G4414" s="3" t="s">
        <v>32</v>
      </c>
      <c r="H4414" s="46" t="s">
        <v>15</v>
      </c>
      <c r="I4414" s="17">
        <v>3048006.49</v>
      </c>
      <c r="J4414" s="17">
        <f>IF(Gastos[[#This Row],[Divisa]]="$", I4414*1, IF(Gastos[[#This Row],[Divisa]]="U$D", I4414*$N$1, IF(Gastos[[#This Row],[Divisa]]="EUR", I4414*$N$2, 0)))</f>
        <v>3048006.49</v>
      </c>
      <c r="K4414" s="54">
        <f>Gastos[[#This Row],[Importe AR$]]/$N$1</f>
        <v>1953.8503141025642</v>
      </c>
      <c r="M4414" s="69">
        <v>46178</v>
      </c>
      <c r="N4414" s="43">
        <f>IF(Gastos[[#This Row],[Fecha_Cheque]]&gt;0,WEEKNUM(Gastos[[#This Row],[Fecha_Cheque]]),MID(Gastos[[#This Row],[Semana]],6,2))</f>
        <v>23</v>
      </c>
      <c r="O4414" t="s">
        <v>3217</v>
      </c>
      <c r="P4414" t="s">
        <v>27</v>
      </c>
    </row>
    <row r="4415" spans="1:16" hidden="1" x14ac:dyDescent="0.25">
      <c r="A4415" s="3" t="s">
        <v>2804</v>
      </c>
      <c r="B4415" t="s">
        <v>2508</v>
      </c>
      <c r="C4415" t="s">
        <v>2510</v>
      </c>
      <c r="D4415" t="s">
        <v>26</v>
      </c>
      <c r="E4415" t="s">
        <v>62</v>
      </c>
      <c r="F4415">
        <v>1</v>
      </c>
      <c r="G4415" s="3" t="s">
        <v>32</v>
      </c>
      <c r="H4415" s="44" t="s">
        <v>15</v>
      </c>
      <c r="I4415" s="17">
        <v>49861.02</v>
      </c>
      <c r="J4415" s="17">
        <f>IF(Gastos[[#This Row],[Divisa]]="$", I4415*1, IF(Gastos[[#This Row],[Divisa]]="U$D", I4415*$N$1, IF(Gastos[[#This Row],[Divisa]]="EUR", I4415*$N$2, 0)))</f>
        <v>49861.02</v>
      </c>
      <c r="K4415" s="54">
        <f>Gastos[[#This Row],[Importe AR$]]/$N$1</f>
        <v>31.962192307692305</v>
      </c>
      <c r="L4415" t="s">
        <v>340</v>
      </c>
      <c r="M4415" s="69"/>
      <c r="N4415" s="43" t="str">
        <f>IF(Gastos[[#This Row],[Fecha_Cheque]]&gt;0,WEEKNUM(Gastos[[#This Row],[Fecha_Cheque]]),MID(Gastos[[#This Row],[Semana]],6,2))</f>
        <v>19</v>
      </c>
      <c r="O4415" t="s">
        <v>3217</v>
      </c>
      <c r="P4415" t="s">
        <v>27</v>
      </c>
    </row>
    <row r="4416" spans="1:16" hidden="1" x14ac:dyDescent="0.25">
      <c r="A4416" s="3" t="s">
        <v>2726</v>
      </c>
      <c r="B4416" t="s">
        <v>2508</v>
      </c>
      <c r="C4416" t="s">
        <v>574</v>
      </c>
      <c r="D4416" t="s">
        <v>26</v>
      </c>
      <c r="E4416" t="s">
        <v>225</v>
      </c>
      <c r="F4416">
        <v>1</v>
      </c>
      <c r="G4416" s="3" t="s">
        <v>32</v>
      </c>
      <c r="H4416" s="44" t="s">
        <v>15</v>
      </c>
      <c r="I4416" s="17">
        <v>2301114.13</v>
      </c>
      <c r="J4416" s="17">
        <f>IF(Gastos[[#This Row],[Divisa]]="$", I4416*1, IF(Gastos[[#This Row],[Divisa]]="U$D", I4416*$N$1, IF(Gastos[[#This Row],[Divisa]]="EUR", I4416*$N$2, 0)))</f>
        <v>2301114.13</v>
      </c>
      <c r="K4416" s="54">
        <f>Gastos[[#This Row],[Importe AR$]]/$N$1</f>
        <v>1475.0731602564101</v>
      </c>
      <c r="M4416" s="69">
        <v>46212</v>
      </c>
      <c r="N4416" s="43">
        <f>IF(Gastos[[#This Row],[Fecha_Cheque]]&gt;0,WEEKNUM(Gastos[[#This Row],[Fecha_Cheque]]),MID(Gastos[[#This Row],[Semana]],6,2))</f>
        <v>28</v>
      </c>
      <c r="O4416" t="s">
        <v>3451</v>
      </c>
      <c r="P4416" t="s">
        <v>27</v>
      </c>
    </row>
    <row r="4417" spans="1:16" hidden="1" x14ac:dyDescent="0.25">
      <c r="A4417" s="3" t="s">
        <v>2726</v>
      </c>
      <c r="B4417" t="s">
        <v>2508</v>
      </c>
      <c r="C4417" t="s">
        <v>574</v>
      </c>
      <c r="D4417" t="s">
        <v>26</v>
      </c>
      <c r="E4417" t="s">
        <v>225</v>
      </c>
      <c r="F4417">
        <v>1</v>
      </c>
      <c r="G4417" s="3" t="s">
        <v>32</v>
      </c>
      <c r="H4417" s="44" t="s">
        <v>15</v>
      </c>
      <c r="I4417" s="17">
        <v>37308.21</v>
      </c>
      <c r="J4417" s="17">
        <f>IF(Gastos[[#This Row],[Divisa]]="$", I4417*1, IF(Gastos[[#This Row],[Divisa]]="U$D", I4417*$N$1, IF(Gastos[[#This Row],[Divisa]]="EUR", I4417*$N$2, 0)))</f>
        <v>37308.21</v>
      </c>
      <c r="K4417" s="54">
        <f>Gastos[[#This Row],[Importe AR$]]/$N$1</f>
        <v>23.915519230769231</v>
      </c>
      <c r="L4417" t="s">
        <v>340</v>
      </c>
      <c r="M4417" s="69"/>
      <c r="N4417" s="43" t="str">
        <f>IF(Gastos[[#This Row],[Fecha_Cheque]]&gt;0,WEEKNUM(Gastos[[#This Row],[Fecha_Cheque]]),MID(Gastos[[#This Row],[Semana]],6,2))</f>
        <v>24</v>
      </c>
      <c r="O4417" t="s">
        <v>3451</v>
      </c>
      <c r="P4417" t="s">
        <v>27</v>
      </c>
    </row>
    <row r="4418" spans="1:16" hidden="1" x14ac:dyDescent="0.25">
      <c r="A4418" s="3" t="s">
        <v>3567</v>
      </c>
      <c r="B4418" t="s">
        <v>2508</v>
      </c>
      <c r="C4418" t="s">
        <v>3589</v>
      </c>
      <c r="D4418" t="s">
        <v>26</v>
      </c>
      <c r="E4418" t="s">
        <v>225</v>
      </c>
      <c r="F4418">
        <v>1</v>
      </c>
      <c r="G4418" s="3" t="s">
        <v>32</v>
      </c>
      <c r="H4418" s="44" t="s">
        <v>15</v>
      </c>
      <c r="I4418" s="17">
        <v>1069423.8899999999</v>
      </c>
      <c r="J4418" s="17">
        <f>IF(Gastos[[#This Row],[Divisa]]="$", I4418*1, IF(Gastos[[#This Row],[Divisa]]="U$D", I4418*$N$1, IF(Gastos[[#This Row],[Divisa]]="EUR", I4418*$N$2, 0)))</f>
        <v>1069423.8899999999</v>
      </c>
      <c r="K4418" s="54">
        <f>Gastos[[#This Row],[Importe AR$]]/$N$1</f>
        <v>685.5281346153846</v>
      </c>
      <c r="M4418" s="69">
        <v>46228</v>
      </c>
      <c r="N4418" s="43">
        <f>IF(Gastos[[#This Row],[Fecha_Cheque]]&gt;0,WEEKNUM(Gastos[[#This Row],[Fecha_Cheque]]),MID(Gastos[[#This Row],[Semana]],6,2))</f>
        <v>30</v>
      </c>
      <c r="O4418" t="s">
        <v>3590</v>
      </c>
      <c r="P4418" t="s">
        <v>27</v>
      </c>
    </row>
    <row r="4419" spans="1:16" hidden="1" x14ac:dyDescent="0.25">
      <c r="A4419" s="3" t="s">
        <v>3567</v>
      </c>
      <c r="B4419" t="s">
        <v>2508</v>
      </c>
      <c r="C4419" t="s">
        <v>3589</v>
      </c>
      <c r="D4419" t="s">
        <v>26</v>
      </c>
      <c r="E4419" t="s">
        <v>225</v>
      </c>
      <c r="F4419">
        <v>1</v>
      </c>
      <c r="G4419" s="3" t="s">
        <v>32</v>
      </c>
      <c r="H4419" s="44" t="s">
        <v>15</v>
      </c>
      <c r="I4419" s="17">
        <v>17973.509999999998</v>
      </c>
      <c r="J4419" s="17">
        <f>IF(Gastos[[#This Row],[Divisa]]="$", I4419*1, IF(Gastos[[#This Row],[Divisa]]="U$D", I4419*$N$1, IF(Gastos[[#This Row],[Divisa]]="EUR", I4419*$N$2, 0)))</f>
        <v>17973.509999999998</v>
      </c>
      <c r="K4419" s="54">
        <f>Gastos[[#This Row],[Importe AR$]]/$N$1</f>
        <v>11.521480769230768</v>
      </c>
      <c r="L4419" t="s">
        <v>340</v>
      </c>
      <c r="M4419" s="69"/>
      <c r="N4419" s="43" t="str">
        <f>IF(Gastos[[#This Row],[Fecha_Cheque]]&gt;0,WEEKNUM(Gastos[[#This Row],[Fecha_Cheque]]),MID(Gastos[[#This Row],[Semana]],6,2))</f>
        <v>26</v>
      </c>
      <c r="O4419" t="s">
        <v>3590</v>
      </c>
      <c r="P4419" t="s">
        <v>27</v>
      </c>
    </row>
    <row r="4420" spans="1:16" hidden="1" x14ac:dyDescent="0.25">
      <c r="A4420" s="3" t="s">
        <v>3817</v>
      </c>
      <c r="B4420" t="s">
        <v>2508</v>
      </c>
      <c r="C4420" t="s">
        <v>3589</v>
      </c>
      <c r="D4420" t="s">
        <v>26</v>
      </c>
      <c r="E4420" t="s">
        <v>42</v>
      </c>
      <c r="F4420">
        <v>1</v>
      </c>
      <c r="G4420" s="3" t="s">
        <v>4</v>
      </c>
      <c r="H4420" s="44" t="s">
        <v>15</v>
      </c>
      <c r="I4420" s="17">
        <v>147462.04</v>
      </c>
      <c r="J4420" s="17">
        <f>IF(Gastos[[#This Row],[Divisa]]="$", I4420*1, IF(Gastos[[#This Row],[Divisa]]="U$D", I4420*$N$1, IF(Gastos[[#This Row],[Divisa]]="EUR", I4420*$N$2, 0)))</f>
        <v>147462.04</v>
      </c>
      <c r="K4420" s="54">
        <f>Gastos[[#This Row],[Importe AR$]]/$N$1</f>
        <v>94.526948717948727</v>
      </c>
      <c r="M4420" s="69"/>
      <c r="N4420" s="43" t="str">
        <f>IF(Gastos[[#This Row],[Fecha_Cheque]]&gt;0,WEEKNUM(Gastos[[#This Row],[Fecha_Cheque]]),MID(Gastos[[#This Row],[Semana]],6,2))</f>
        <v>30</v>
      </c>
      <c r="O4420" t="s">
        <v>3847</v>
      </c>
      <c r="P4420" t="s">
        <v>27</v>
      </c>
    </row>
    <row r="4421" spans="1:16" hidden="1" x14ac:dyDescent="0.25">
      <c r="A4421" s="3" t="s">
        <v>3817</v>
      </c>
      <c r="B4421" t="s">
        <v>2508</v>
      </c>
      <c r="C4421" t="s">
        <v>3589</v>
      </c>
      <c r="D4421" t="s">
        <v>26</v>
      </c>
      <c r="E4421" t="s">
        <v>62</v>
      </c>
      <c r="F4421">
        <v>1</v>
      </c>
      <c r="G4421" s="3" t="s">
        <v>32</v>
      </c>
      <c r="H4421" s="44" t="s">
        <v>15</v>
      </c>
      <c r="I4421" s="17">
        <v>2115786.48</v>
      </c>
      <c r="J4421" s="17">
        <f>IF(Gastos[[#This Row],[Divisa]]="$", I4421*1, IF(Gastos[[#This Row],[Divisa]]="U$D", I4421*$N$1, IF(Gastos[[#This Row],[Divisa]]="EUR", I4421*$N$2, 0)))</f>
        <v>2115786.48</v>
      </c>
      <c r="K4421" s="54">
        <f>Gastos[[#This Row],[Importe AR$]]/$N$1</f>
        <v>1356.2733846153847</v>
      </c>
      <c r="M4421" s="69">
        <v>46263</v>
      </c>
      <c r="N4421" s="43">
        <f>IF(Gastos[[#This Row],[Fecha_Cheque]]&gt;0,WEEKNUM(Gastos[[#This Row],[Fecha_Cheque]]),MID(Gastos[[#This Row],[Semana]],6,2))</f>
        <v>35</v>
      </c>
      <c r="O4421" t="s">
        <v>3847</v>
      </c>
      <c r="P4421" t="s">
        <v>27</v>
      </c>
    </row>
    <row r="4422" spans="1:16" hidden="1" x14ac:dyDescent="0.25">
      <c r="A4422" s="3" t="s">
        <v>3817</v>
      </c>
      <c r="B4422" t="s">
        <v>2508</v>
      </c>
      <c r="C4422" t="s">
        <v>3589</v>
      </c>
      <c r="D4422" t="s">
        <v>26</v>
      </c>
      <c r="E4422" t="s">
        <v>62</v>
      </c>
      <c r="F4422">
        <v>1</v>
      </c>
      <c r="G4422" s="3" t="s">
        <v>32</v>
      </c>
      <c r="H4422" s="44" t="s">
        <v>15</v>
      </c>
      <c r="I4422" s="17">
        <v>36671.81</v>
      </c>
      <c r="J4422" s="17">
        <f>IF(Gastos[[#This Row],[Divisa]]="$", I4422*1, IF(Gastos[[#This Row],[Divisa]]="U$D", I4422*$N$1, IF(Gastos[[#This Row],[Divisa]]="EUR", I4422*$N$2, 0)))</f>
        <v>36671.81</v>
      </c>
      <c r="K4422" s="54">
        <f>Gastos[[#This Row],[Importe AR$]]/$N$1</f>
        <v>23.507570512820511</v>
      </c>
      <c r="L4422" t="s">
        <v>340</v>
      </c>
      <c r="M4422" s="69"/>
      <c r="N4422" s="43" t="str">
        <f>IF(Gastos[[#This Row],[Fecha_Cheque]]&gt;0,WEEKNUM(Gastos[[#This Row],[Fecha_Cheque]]),MID(Gastos[[#This Row],[Semana]],6,2))</f>
        <v>30</v>
      </c>
      <c r="O4422" t="s">
        <v>3847</v>
      </c>
      <c r="P4422" t="s">
        <v>27</v>
      </c>
    </row>
    <row r="4423" spans="1:16" hidden="1" x14ac:dyDescent="0.25">
      <c r="A4423" s="3" t="s">
        <v>4157</v>
      </c>
      <c r="B4423" t="s">
        <v>2508</v>
      </c>
      <c r="C4423" t="s">
        <v>3589</v>
      </c>
      <c r="D4423" t="s">
        <v>26</v>
      </c>
      <c r="E4423" t="s">
        <v>62</v>
      </c>
      <c r="F4423">
        <v>1</v>
      </c>
      <c r="G4423" s="3" t="s">
        <v>32</v>
      </c>
      <c r="H4423" s="44" t="s">
        <v>15</v>
      </c>
      <c r="I4423" s="17">
        <v>210417</v>
      </c>
      <c r="J4423" s="17">
        <f>IF(Gastos[[#This Row],[Divisa]]="$", I4423*1, IF(Gastos[[#This Row],[Divisa]]="U$D", I4423*$N$1, IF(Gastos[[#This Row],[Divisa]]="EUR", I4423*$N$2, 0)))</f>
        <v>210417</v>
      </c>
      <c r="K4423" s="54">
        <f>Gastos[[#This Row],[Importe AR$]]/$N$1</f>
        <v>134.88269230769231</v>
      </c>
      <c r="M4423" s="69">
        <v>46279</v>
      </c>
      <c r="N4423" s="43">
        <f>IF(Gastos[[#This Row],[Fecha_Cheque]]&gt;0,WEEKNUM(Gastos[[#This Row],[Fecha_Cheque]]),MID(Gastos[[#This Row],[Semana]],6,2))</f>
        <v>38</v>
      </c>
      <c r="O4423" t="s">
        <v>4171</v>
      </c>
      <c r="P4423" t="s">
        <v>27</v>
      </c>
    </row>
    <row r="4424" spans="1:16" hidden="1" x14ac:dyDescent="0.25">
      <c r="A4424" s="3" t="s">
        <v>4157</v>
      </c>
      <c r="B4424" t="s">
        <v>2508</v>
      </c>
      <c r="C4424" t="s">
        <v>3589</v>
      </c>
      <c r="D4424" t="s">
        <v>26</v>
      </c>
      <c r="E4424" t="s">
        <v>62</v>
      </c>
      <c r="F4424">
        <v>1</v>
      </c>
      <c r="G4424" s="3" t="s">
        <v>32</v>
      </c>
      <c r="H4424" s="44" t="s">
        <v>15</v>
      </c>
      <c r="I4424" s="17">
        <v>416872.75</v>
      </c>
      <c r="J4424" s="17">
        <f>IF(Gastos[[#This Row],[Divisa]]="$", I4424*1, IF(Gastos[[#This Row],[Divisa]]="U$D", I4424*$N$1, IF(Gastos[[#This Row],[Divisa]]="EUR", I4424*$N$2, 0)))</f>
        <v>416872.75</v>
      </c>
      <c r="K4424" s="54">
        <f>Gastos[[#This Row],[Importe AR$]]/$N$1</f>
        <v>267.2261217948718</v>
      </c>
      <c r="M4424" s="69">
        <v>46297</v>
      </c>
      <c r="N4424" s="43">
        <f>IF(Gastos[[#This Row],[Fecha_Cheque]]&gt;0,WEEKNUM(Gastos[[#This Row],[Fecha_Cheque]]),MID(Gastos[[#This Row],[Semana]],6,2))</f>
        <v>40</v>
      </c>
      <c r="O4424" t="s">
        <v>4171</v>
      </c>
      <c r="P4424" t="s">
        <v>27</v>
      </c>
    </row>
    <row r="4425" spans="1:16" hidden="1" x14ac:dyDescent="0.25">
      <c r="A4425" s="3" t="s">
        <v>4157</v>
      </c>
      <c r="B4425" t="s">
        <v>2508</v>
      </c>
      <c r="C4425" t="s">
        <v>3589</v>
      </c>
      <c r="D4425" t="s">
        <v>26</v>
      </c>
      <c r="E4425" t="s">
        <v>62</v>
      </c>
      <c r="F4425">
        <v>1</v>
      </c>
      <c r="G4425" s="3" t="s">
        <v>32</v>
      </c>
      <c r="H4425" s="44" t="s">
        <v>15</v>
      </c>
      <c r="I4425" s="17">
        <v>9025.0300000000007</v>
      </c>
      <c r="J4425" s="17">
        <f>IF(Gastos[[#This Row],[Divisa]]="$", I4425*1, IF(Gastos[[#This Row],[Divisa]]="U$D", I4425*$N$1, IF(Gastos[[#This Row],[Divisa]]="EUR", I4425*$N$2, 0)))</f>
        <v>9025.0300000000007</v>
      </c>
      <c r="K4425" s="54">
        <f>Gastos[[#This Row],[Importe AR$]]/$N$1</f>
        <v>5.7852756410256418</v>
      </c>
      <c r="L4425" t="s">
        <v>340</v>
      </c>
      <c r="M4425" s="69"/>
      <c r="N4425" s="43" t="str">
        <f>IF(Gastos[[#This Row],[Fecha_Cheque]]&gt;0,WEEKNUM(Gastos[[#This Row],[Fecha_Cheque]]),MID(Gastos[[#This Row],[Semana]],6,2))</f>
        <v>36</v>
      </c>
      <c r="O4425" t="s">
        <v>4171</v>
      </c>
      <c r="P4425" t="s">
        <v>27</v>
      </c>
    </row>
    <row r="4426" spans="1:16" hidden="1" x14ac:dyDescent="0.25">
      <c r="A4426" s="3" t="s">
        <v>4409</v>
      </c>
      <c r="B4426" t="s">
        <v>2508</v>
      </c>
      <c r="C4426" t="s">
        <v>3589</v>
      </c>
      <c r="D4426" t="s">
        <v>26</v>
      </c>
      <c r="E4426" t="s">
        <v>62</v>
      </c>
      <c r="F4426">
        <v>1</v>
      </c>
      <c r="G4426" s="3" t="s">
        <v>32</v>
      </c>
      <c r="H4426" s="44" t="s">
        <v>15</v>
      </c>
      <c r="I4426" s="17">
        <v>1500000</v>
      </c>
      <c r="J4426" s="17">
        <f>IF(Gastos[[#This Row],[Divisa]]="$", I4426*1, IF(Gastos[[#This Row],[Divisa]]="U$D", I4426*$N$1, IF(Gastos[[#This Row],[Divisa]]="EUR", I4426*$N$2, 0)))</f>
        <v>1500000</v>
      </c>
      <c r="K4426" s="54">
        <f>Gastos[[#This Row],[Importe AR$]]/$N$1</f>
        <v>961.53846153846155</v>
      </c>
      <c r="M4426" s="69">
        <v>46316</v>
      </c>
      <c r="N4426" s="43">
        <f>IF(Gastos[[#This Row],[Fecha_Cheque]]&gt;0,WEEKNUM(Gastos[[#This Row],[Fecha_Cheque]]),MID(Gastos[[#This Row],[Semana]],6,2))</f>
        <v>43</v>
      </c>
      <c r="O4426" t="s">
        <v>4415</v>
      </c>
      <c r="P4426" t="s">
        <v>27</v>
      </c>
    </row>
    <row r="4427" spans="1:16" hidden="1" x14ac:dyDescent="0.25">
      <c r="A4427" s="3" t="s">
        <v>4409</v>
      </c>
      <c r="B4427" t="s">
        <v>2508</v>
      </c>
      <c r="C4427" t="s">
        <v>3589</v>
      </c>
      <c r="D4427" t="s">
        <v>26</v>
      </c>
      <c r="E4427" t="s">
        <v>62</v>
      </c>
      <c r="F4427">
        <v>1</v>
      </c>
      <c r="G4427" s="3" t="s">
        <v>32</v>
      </c>
      <c r="H4427" s="44" t="s">
        <v>15</v>
      </c>
      <c r="I4427" s="17">
        <v>1048901.53</v>
      </c>
      <c r="J4427" s="17">
        <f>IF(Gastos[[#This Row],[Divisa]]="$", I4427*1, IF(Gastos[[#This Row],[Divisa]]="U$D", I4427*$N$1, IF(Gastos[[#This Row],[Divisa]]="EUR", I4427*$N$2, 0)))</f>
        <v>1048901.53</v>
      </c>
      <c r="K4427" s="54">
        <f>Gastos[[#This Row],[Importe AR$]]/$N$1</f>
        <v>672.37277564102567</v>
      </c>
      <c r="M4427" s="69">
        <v>46332</v>
      </c>
      <c r="N4427" s="43">
        <f>IF(Gastos[[#This Row],[Fecha_Cheque]]&gt;0,WEEKNUM(Gastos[[#This Row],[Fecha_Cheque]]),MID(Gastos[[#This Row],[Semana]],6,2))</f>
        <v>45</v>
      </c>
      <c r="O4427" t="s">
        <v>4415</v>
      </c>
      <c r="P4427" t="s">
        <v>27</v>
      </c>
    </row>
    <row r="4428" spans="1:16" hidden="1" x14ac:dyDescent="0.25">
      <c r="A4428" s="3" t="s">
        <v>4409</v>
      </c>
      <c r="B4428" t="s">
        <v>2508</v>
      </c>
      <c r="C4428" t="s">
        <v>3589</v>
      </c>
      <c r="D4428" t="s">
        <v>26</v>
      </c>
      <c r="E4428" t="s">
        <v>62</v>
      </c>
      <c r="F4428">
        <v>1</v>
      </c>
      <c r="G4428" s="3" t="s">
        <v>5</v>
      </c>
      <c r="H4428" s="44" t="s">
        <v>15</v>
      </c>
      <c r="I4428" s="17">
        <v>25688.04</v>
      </c>
      <c r="J4428" s="17">
        <f>IF(Gastos[[#This Row],[Divisa]]="$", I4428*1, IF(Gastos[[#This Row],[Divisa]]="U$D", I4428*$N$1, IF(Gastos[[#This Row],[Divisa]]="EUR", I4428*$N$2, 0)))</f>
        <v>25688.04</v>
      </c>
      <c r="K4428" s="54">
        <f>Gastos[[#This Row],[Importe AR$]]/$N$1</f>
        <v>16.466692307692309</v>
      </c>
      <c r="M4428" s="69"/>
      <c r="N4428" s="43" t="str">
        <f>IF(Gastos[[#This Row],[Fecha_Cheque]]&gt;0,WEEKNUM(Gastos[[#This Row],[Fecha_Cheque]]),MID(Gastos[[#This Row],[Semana]],6,2))</f>
        <v>40</v>
      </c>
      <c r="O4428" t="s">
        <v>4415</v>
      </c>
      <c r="P4428" t="s">
        <v>27</v>
      </c>
    </row>
    <row r="4429" spans="1:16" hidden="1" x14ac:dyDescent="0.25">
      <c r="A4429" s="3" t="s">
        <v>4409</v>
      </c>
      <c r="B4429" t="s">
        <v>2508</v>
      </c>
      <c r="C4429" t="s">
        <v>3589</v>
      </c>
      <c r="D4429" t="s">
        <v>26</v>
      </c>
      <c r="E4429" t="s">
        <v>62</v>
      </c>
      <c r="F4429">
        <v>1</v>
      </c>
      <c r="G4429" s="3" t="s">
        <v>32</v>
      </c>
      <c r="H4429" s="44" t="s">
        <v>15</v>
      </c>
      <c r="I4429" s="17">
        <v>40109.980000000003</v>
      </c>
      <c r="J4429" s="17">
        <f>IF(Gastos[[#This Row],[Divisa]]="$", I4429*1, IF(Gastos[[#This Row],[Divisa]]="U$D", I4429*$N$1, IF(Gastos[[#This Row],[Divisa]]="EUR", I4429*$N$2, 0)))</f>
        <v>40109.980000000003</v>
      </c>
      <c r="K4429" s="54">
        <f>Gastos[[#This Row],[Importe AR$]]/$N$1</f>
        <v>25.711525641025641</v>
      </c>
      <c r="L4429" t="s">
        <v>340</v>
      </c>
      <c r="M4429" s="69"/>
      <c r="N4429" s="43" t="str">
        <f>IF(Gastos[[#This Row],[Fecha_Cheque]]&gt;0,WEEKNUM(Gastos[[#This Row],[Fecha_Cheque]]),MID(Gastos[[#This Row],[Semana]],6,2))</f>
        <v>40</v>
      </c>
      <c r="O4429" t="s">
        <v>4415</v>
      </c>
      <c r="P4429" t="s">
        <v>27</v>
      </c>
    </row>
    <row r="4430" spans="1:16" hidden="1" x14ac:dyDescent="0.25">
      <c r="A4430" s="3" t="s">
        <v>4447</v>
      </c>
      <c r="B4430" t="s">
        <v>2508</v>
      </c>
      <c r="C4430" t="s">
        <v>3589</v>
      </c>
      <c r="D4430" t="s">
        <v>26</v>
      </c>
      <c r="E4430" t="s">
        <v>62</v>
      </c>
      <c r="F4430">
        <v>1</v>
      </c>
      <c r="G4430" s="3" t="s">
        <v>32</v>
      </c>
      <c r="H4430" s="44" t="s">
        <v>15</v>
      </c>
      <c r="I4430" s="17">
        <v>0</v>
      </c>
      <c r="J4430" s="17">
        <f>IF(Gastos[[#This Row],[Divisa]]="$", I4430*1, IF(Gastos[[#This Row],[Divisa]]="U$D", I4430*$N$1, IF(Gastos[[#This Row],[Divisa]]="EUR", I4430*$N$2, 0)))</f>
        <v>0</v>
      </c>
      <c r="K4430" s="54">
        <f>Gastos[[#This Row],[Importe AR$]]/$N$1</f>
        <v>0</v>
      </c>
      <c r="M4430" s="69"/>
      <c r="N4430" s="43" t="str">
        <f>IF(Gastos[[#This Row],[Fecha_Cheque]]&gt;0,WEEKNUM(Gastos[[#This Row],[Fecha_Cheque]]),MID(Gastos[[#This Row],[Semana]],6,2))</f>
        <v>41</v>
      </c>
    </row>
    <row r="4431" spans="1:16" hidden="1" x14ac:dyDescent="0.25">
      <c r="A4431" s="3" t="s">
        <v>4447</v>
      </c>
      <c r="B4431" t="s">
        <v>2508</v>
      </c>
      <c r="C4431" t="s">
        <v>3589</v>
      </c>
      <c r="D4431" t="s">
        <v>26</v>
      </c>
      <c r="E4431" t="s">
        <v>62</v>
      </c>
      <c r="F4431">
        <v>1</v>
      </c>
      <c r="G4431" s="3" t="s">
        <v>32</v>
      </c>
      <c r="H4431" s="44" t="s">
        <v>15</v>
      </c>
      <c r="I4431" s="17">
        <v>417969</v>
      </c>
      <c r="J4431" s="17">
        <f>IF(Gastos[[#This Row],[Divisa]]="$", I4431*1, IF(Gastos[[#This Row],[Divisa]]="U$D", I4431*$N$1, IF(Gastos[[#This Row],[Divisa]]="EUR", I4431*$N$2, 0)))</f>
        <v>417969</v>
      </c>
      <c r="K4431" s="54">
        <f>Gastos[[#This Row],[Importe AR$]]/$N$1</f>
        <v>267.92884615384617</v>
      </c>
      <c r="M4431" s="69"/>
      <c r="N4431" s="43" t="str">
        <f>IF(Gastos[[#This Row],[Fecha_Cheque]]&gt;0,WEEKNUM(Gastos[[#This Row],[Fecha_Cheque]]),MID(Gastos[[#This Row],[Semana]],6,2))</f>
        <v>41</v>
      </c>
      <c r="O4431" t="s">
        <v>4519</v>
      </c>
      <c r="P4431" t="s">
        <v>27</v>
      </c>
    </row>
    <row r="4432" spans="1:16" hidden="1" x14ac:dyDescent="0.25">
      <c r="A4432" s="3" t="s">
        <v>4447</v>
      </c>
      <c r="B4432" t="s">
        <v>2508</v>
      </c>
      <c r="C4432" t="s">
        <v>3589</v>
      </c>
      <c r="D4432" t="s">
        <v>26</v>
      </c>
      <c r="E4432" t="s">
        <v>62</v>
      </c>
      <c r="F4432">
        <v>1</v>
      </c>
      <c r="G4432" s="3" t="s">
        <v>32</v>
      </c>
      <c r="H4432" s="44" t="s">
        <v>15</v>
      </c>
      <c r="I4432" s="17">
        <v>5560.67</v>
      </c>
      <c r="J4432" s="17">
        <f>IF(Gastos[[#This Row],[Divisa]]="$", I4432*1, IF(Gastos[[#This Row],[Divisa]]="U$D", I4432*$N$1, IF(Gastos[[#This Row],[Divisa]]="EUR", I4432*$N$2, 0)))</f>
        <v>5560.67</v>
      </c>
      <c r="K4432" s="54">
        <f>Gastos[[#This Row],[Importe AR$]]/$N$1</f>
        <v>3.5645320512820513</v>
      </c>
      <c r="L4432" t="s">
        <v>340</v>
      </c>
      <c r="M4432" s="69"/>
      <c r="N4432" s="43" t="str">
        <f>IF(Gastos[[#This Row],[Fecha_Cheque]]&gt;0,WEEKNUM(Gastos[[#This Row],[Fecha_Cheque]]),MID(Gastos[[#This Row],[Semana]],6,2))</f>
        <v>41</v>
      </c>
      <c r="O4432" t="s">
        <v>4519</v>
      </c>
      <c r="P4432" t="s">
        <v>27</v>
      </c>
    </row>
    <row r="4433" spans="1:16" hidden="1" x14ac:dyDescent="0.25">
      <c r="A4433" s="3" t="s">
        <v>4513</v>
      </c>
      <c r="B4433" t="s">
        <v>2508</v>
      </c>
      <c r="C4433" t="s">
        <v>4532</v>
      </c>
      <c r="D4433" t="s">
        <v>26</v>
      </c>
      <c r="E4433" t="s">
        <v>31</v>
      </c>
      <c r="F4433">
        <v>1</v>
      </c>
      <c r="G4433" s="3" t="s">
        <v>32</v>
      </c>
      <c r="H4433" s="44" t="s">
        <v>15</v>
      </c>
      <c r="I4433" s="17">
        <v>688972.83</v>
      </c>
      <c r="J4433" s="17">
        <f>IF(Gastos[[#This Row],[Divisa]]="$", I4433*1, IF(Gastos[[#This Row],[Divisa]]="U$D", I4433*$N$1, IF(Gastos[[#This Row],[Divisa]]="EUR", I4433*$N$2, 0)))</f>
        <v>688972.83</v>
      </c>
      <c r="K4433" s="54">
        <f>Gastos[[#This Row],[Importe AR$]]/$N$1</f>
        <v>441.64924999999999</v>
      </c>
      <c r="M4433" s="69">
        <v>46351</v>
      </c>
      <c r="N4433" s="43">
        <f>IF(Gastos[[#This Row],[Fecha_Cheque]]&gt;0,WEEKNUM(Gastos[[#This Row],[Fecha_Cheque]]),MID(Gastos[[#This Row],[Semana]],6,2))</f>
        <v>48</v>
      </c>
      <c r="O4433" t="s">
        <v>4540</v>
      </c>
      <c r="P4433" t="s">
        <v>27</v>
      </c>
    </row>
    <row r="4434" spans="1:16" x14ac:dyDescent="0.25">
      <c r="A4434" s="3" t="s">
        <v>4655</v>
      </c>
      <c r="B4434" t="s">
        <v>3404</v>
      </c>
      <c r="C4434" t="s">
        <v>4656</v>
      </c>
      <c r="D4434" t="s">
        <v>26</v>
      </c>
      <c r="E4434" t="s">
        <v>42</v>
      </c>
      <c r="F4434">
        <v>1</v>
      </c>
      <c r="G4434" s="3" t="s">
        <v>4</v>
      </c>
      <c r="H4434" s="44" t="s">
        <v>15</v>
      </c>
      <c r="I4434" s="17">
        <v>55800</v>
      </c>
      <c r="J4434" s="17">
        <f>IF(Gastos[[#This Row],[Divisa]]="$", I4434*1, IF(Gastos[[#This Row],[Divisa]]="U$D", I4434*$N$1, IF(Gastos[[#This Row],[Divisa]]="EUR", I4434*$N$2, 0)))</f>
        <v>55800</v>
      </c>
      <c r="K4434" s="54">
        <f>Gastos[[#This Row],[Importe AR$]]/$N$1</f>
        <v>35.769230769230766</v>
      </c>
      <c r="M4434" s="69"/>
      <c r="N4434" s="43" t="str">
        <f>IF(Gastos[[#This Row],[Fecha_Cheque]]&gt;0,WEEKNUM(Gastos[[#This Row],[Fecha_Cheque]]),MID(Gastos[[#This Row],[Semana]],6,2))</f>
        <v>44</v>
      </c>
      <c r="O4434" t="s">
        <v>4657</v>
      </c>
      <c r="P4434" t="s">
        <v>27</v>
      </c>
    </row>
    <row r="4435" spans="1:16" hidden="1" x14ac:dyDescent="0.25">
      <c r="A4435" s="3" t="s">
        <v>4569</v>
      </c>
      <c r="B4435" t="s">
        <v>2508</v>
      </c>
      <c r="C4435" t="s">
        <v>4532</v>
      </c>
      <c r="D4435" t="s">
        <v>26</v>
      </c>
      <c r="E4435" t="s">
        <v>31</v>
      </c>
      <c r="F4435">
        <v>1</v>
      </c>
      <c r="G4435" s="3" t="s">
        <v>32</v>
      </c>
      <c r="H4435" s="44" t="s">
        <v>15</v>
      </c>
      <c r="I4435" s="17">
        <v>956000</v>
      </c>
      <c r="J4435" s="17">
        <f>IF(Gastos[[#This Row],[Divisa]]="$", I4435*1, IF(Gastos[[#This Row],[Divisa]]="U$D", I4435*$N$1, IF(Gastos[[#This Row],[Divisa]]="EUR", I4435*$N$2, 0)))</f>
        <v>956000</v>
      </c>
      <c r="K4435" s="54">
        <f>Gastos[[#This Row],[Importe AR$]]/$N$1</f>
        <v>612.82051282051282</v>
      </c>
      <c r="M4435" s="69">
        <v>46337</v>
      </c>
      <c r="N4435" s="43">
        <f>IF(Gastos[[#This Row],[Fecha_Cheque]]&gt;0,WEEKNUM(Gastos[[#This Row],[Fecha_Cheque]]),MID(Gastos[[#This Row],[Semana]],6,2))</f>
        <v>46</v>
      </c>
      <c r="O4435" t="s">
        <v>4617</v>
      </c>
      <c r="P4435" t="s">
        <v>27</v>
      </c>
    </row>
    <row r="4436" spans="1:16" hidden="1" x14ac:dyDescent="0.25">
      <c r="A4436" s="3" t="s">
        <v>4569</v>
      </c>
      <c r="B4436" t="s">
        <v>2508</v>
      </c>
      <c r="C4436" t="s">
        <v>4532</v>
      </c>
      <c r="D4436" t="s">
        <v>26</v>
      </c>
      <c r="E4436" t="s">
        <v>31</v>
      </c>
      <c r="F4436">
        <v>1</v>
      </c>
      <c r="G4436" s="3" t="s">
        <v>4</v>
      </c>
      <c r="H4436" s="44" t="s">
        <v>15</v>
      </c>
      <c r="I4436" s="17">
        <v>172028.5</v>
      </c>
      <c r="J4436" s="17">
        <f>IF(Gastos[[#This Row],[Divisa]]="$", I4436*1, IF(Gastos[[#This Row],[Divisa]]="U$D", I4436*$N$1, IF(Gastos[[#This Row],[Divisa]]="EUR", I4436*$N$2, 0)))</f>
        <v>172028.5</v>
      </c>
      <c r="K4436" s="54">
        <f>Gastos[[#This Row],[Importe AR$]]/$N$1</f>
        <v>110.27467948717948</v>
      </c>
      <c r="M4436" s="69"/>
      <c r="N4436" s="43" t="str">
        <f>IF(Gastos[[#This Row],[Fecha_Cheque]]&gt;0,WEEKNUM(Gastos[[#This Row],[Fecha_Cheque]]),MID(Gastos[[#This Row],[Semana]],6,2))</f>
        <v>43</v>
      </c>
      <c r="O4436" t="s">
        <v>4617</v>
      </c>
      <c r="P4436" t="s">
        <v>27</v>
      </c>
    </row>
    <row r="4437" spans="1:16" hidden="1" x14ac:dyDescent="0.25">
      <c r="A4437" s="3" t="s">
        <v>4569</v>
      </c>
      <c r="B4437" t="s">
        <v>2508</v>
      </c>
      <c r="C4437" t="s">
        <v>4532</v>
      </c>
      <c r="D4437" t="s">
        <v>26</v>
      </c>
      <c r="E4437" t="s">
        <v>31</v>
      </c>
      <c r="F4437">
        <v>1</v>
      </c>
      <c r="G4437" s="3" t="s">
        <v>4</v>
      </c>
      <c r="H4437" s="44" t="s">
        <v>15</v>
      </c>
      <c r="I4437" s="17">
        <v>19151.400000000001</v>
      </c>
      <c r="J4437" s="17">
        <f>IF(Gastos[[#This Row],[Divisa]]="$", I4437*1, IF(Gastos[[#This Row],[Divisa]]="U$D", I4437*$N$1, IF(Gastos[[#This Row],[Divisa]]="EUR", I4437*$N$2, 0)))</f>
        <v>19151.400000000001</v>
      </c>
      <c r="K4437" s="54">
        <f>Gastos[[#This Row],[Importe AR$]]/$N$1</f>
        <v>12.276538461538463</v>
      </c>
      <c r="L4437" t="s">
        <v>340</v>
      </c>
      <c r="M4437" s="69"/>
      <c r="N4437" s="43" t="str">
        <f>IF(Gastos[[#This Row],[Fecha_Cheque]]&gt;0,WEEKNUM(Gastos[[#This Row],[Fecha_Cheque]]),MID(Gastos[[#This Row],[Semana]],6,2))</f>
        <v>43</v>
      </c>
      <c r="O4437" t="s">
        <v>4617</v>
      </c>
      <c r="P4437" t="s">
        <v>27</v>
      </c>
    </row>
    <row r="4438" spans="1:16" hidden="1" x14ac:dyDescent="0.25">
      <c r="A4438" s="3" t="s">
        <v>2711</v>
      </c>
      <c r="B4438" t="s">
        <v>2978</v>
      </c>
      <c r="C4438" t="s">
        <v>2979</v>
      </c>
      <c r="D4438" t="s">
        <v>26</v>
      </c>
      <c r="E4438" t="s">
        <v>42</v>
      </c>
      <c r="F4438">
        <v>1</v>
      </c>
      <c r="G4438" s="3" t="s">
        <v>4</v>
      </c>
      <c r="H4438" s="44" t="s">
        <v>15</v>
      </c>
      <c r="I4438" s="17">
        <v>15000.01</v>
      </c>
      <c r="J4438" s="17">
        <f>IF(Gastos[[#This Row],[Divisa]]="$", I4438*1, IF(Gastos[[#This Row],[Divisa]]="U$D", I4438*$N$1, IF(Gastos[[#This Row],[Divisa]]="EUR", I4438*$N$2, 0)))</f>
        <v>15000.01</v>
      </c>
      <c r="K4438" s="54">
        <f>Gastos[[#This Row],[Importe AR$]]/$N$1</f>
        <v>9.615391025641026</v>
      </c>
      <c r="M4438" s="69"/>
      <c r="N4438" s="43" t="str">
        <f>IF(Gastos[[#This Row],[Fecha_Cheque]]&gt;0,WEEKNUM(Gastos[[#This Row],[Fecha_Cheque]]),MID(Gastos[[#This Row],[Semana]],6,2))</f>
        <v>15</v>
      </c>
      <c r="O4438" t="s">
        <v>2980</v>
      </c>
      <c r="P4438" t="s">
        <v>27</v>
      </c>
    </row>
    <row r="4439" spans="1:16" hidden="1" x14ac:dyDescent="0.25">
      <c r="A4439" s="3" t="s">
        <v>2711</v>
      </c>
      <c r="B4439" t="s">
        <v>2978</v>
      </c>
      <c r="C4439" t="s">
        <v>2979</v>
      </c>
      <c r="D4439" t="s">
        <v>26</v>
      </c>
      <c r="E4439" t="s">
        <v>42</v>
      </c>
      <c r="F4439">
        <v>1</v>
      </c>
      <c r="G4439" s="3" t="s">
        <v>4</v>
      </c>
      <c r="H4439" s="44" t="s">
        <v>15</v>
      </c>
      <c r="I4439" s="17">
        <v>43000</v>
      </c>
      <c r="J4439" s="17">
        <f>IF(Gastos[[#This Row],[Divisa]]="$", I4439*1, IF(Gastos[[#This Row],[Divisa]]="U$D", I4439*$N$1, IF(Gastos[[#This Row],[Divisa]]="EUR", I4439*$N$2, 0)))</f>
        <v>43000</v>
      </c>
      <c r="K4439" s="54">
        <f>Gastos[[#This Row],[Importe AR$]]/$N$1</f>
        <v>27.564102564102566</v>
      </c>
      <c r="M4439" s="69"/>
      <c r="N4439" s="43" t="str">
        <f>IF(Gastos[[#This Row],[Fecha_Cheque]]&gt;0,WEEKNUM(Gastos[[#This Row],[Fecha_Cheque]]),MID(Gastos[[#This Row],[Semana]],6,2))</f>
        <v>15</v>
      </c>
      <c r="O4439" t="s">
        <v>2981</v>
      </c>
      <c r="P4439" t="s">
        <v>27</v>
      </c>
    </row>
    <row r="4440" spans="1:16" hidden="1" x14ac:dyDescent="0.25">
      <c r="A4440" s="3" t="s">
        <v>2773</v>
      </c>
      <c r="B4440" t="s">
        <v>2978</v>
      </c>
      <c r="C4440" t="s">
        <v>2911</v>
      </c>
      <c r="D4440" t="s">
        <v>26</v>
      </c>
      <c r="E4440" t="s">
        <v>42</v>
      </c>
      <c r="F4440">
        <v>1</v>
      </c>
      <c r="G4440" s="3" t="s">
        <v>4</v>
      </c>
      <c r="H4440" s="44" t="s">
        <v>15</v>
      </c>
      <c r="I4440" s="17">
        <v>21000</v>
      </c>
      <c r="J4440" s="17">
        <f>IF(Gastos[[#This Row],[Divisa]]="$", I4440*1, IF(Gastos[[#This Row],[Divisa]]="U$D", I4440*$N$1, IF(Gastos[[#This Row],[Divisa]]="EUR", I4440*$N$2, 0)))</f>
        <v>21000</v>
      </c>
      <c r="K4440" s="54">
        <f>Gastos[[#This Row],[Importe AR$]]/$N$1</f>
        <v>13.461538461538462</v>
      </c>
      <c r="M4440" s="69"/>
      <c r="N4440" s="43" t="str">
        <f>IF(Gastos[[#This Row],[Fecha_Cheque]]&gt;0,WEEKNUM(Gastos[[#This Row],[Fecha_Cheque]]),MID(Gastos[[#This Row],[Semana]],6,2))</f>
        <v>20</v>
      </c>
      <c r="O4440" t="s">
        <v>3259</v>
      </c>
      <c r="P4440" t="s">
        <v>27</v>
      </c>
    </row>
    <row r="4441" spans="1:16" hidden="1" x14ac:dyDescent="0.25">
      <c r="A4441" s="3" t="s">
        <v>2726</v>
      </c>
      <c r="B4441" t="s">
        <v>2978</v>
      </c>
      <c r="C4441" t="s">
        <v>3452</v>
      </c>
      <c r="D4441" t="s">
        <v>26</v>
      </c>
      <c r="E4441" t="s">
        <v>42</v>
      </c>
      <c r="F4441">
        <v>1</v>
      </c>
      <c r="G4441" s="3" t="s">
        <v>4</v>
      </c>
      <c r="H4441" s="44" t="s">
        <v>15</v>
      </c>
      <c r="I4441" s="17">
        <v>32000</v>
      </c>
      <c r="J4441" s="17">
        <f>IF(Gastos[[#This Row],[Divisa]]="$", I4441*1, IF(Gastos[[#This Row],[Divisa]]="U$D", I4441*$N$1, IF(Gastos[[#This Row],[Divisa]]="EUR", I4441*$N$2, 0)))</f>
        <v>32000</v>
      </c>
      <c r="K4441" s="54">
        <f>Gastos[[#This Row],[Importe AR$]]/$N$1</f>
        <v>20.512820512820515</v>
      </c>
      <c r="M4441" s="69"/>
      <c r="N4441" s="43" t="str">
        <f>IF(Gastos[[#This Row],[Fecha_Cheque]]&gt;0,WEEKNUM(Gastos[[#This Row],[Fecha_Cheque]]),MID(Gastos[[#This Row],[Semana]],6,2))</f>
        <v>24</v>
      </c>
      <c r="O4441" t="s">
        <v>3453</v>
      </c>
      <c r="P4441" t="s">
        <v>27</v>
      </c>
    </row>
    <row r="4442" spans="1:16" hidden="1" x14ac:dyDescent="0.25">
      <c r="A4442" s="3" t="s">
        <v>3754</v>
      </c>
      <c r="B4442" t="s">
        <v>2978</v>
      </c>
      <c r="C4442" t="s">
        <v>3796</v>
      </c>
      <c r="D4442" t="s">
        <v>26</v>
      </c>
      <c r="E4442" t="s">
        <v>42</v>
      </c>
      <c r="F4442">
        <v>1</v>
      </c>
      <c r="G4442" s="3" t="s">
        <v>4</v>
      </c>
      <c r="H4442" s="44" t="s">
        <v>15</v>
      </c>
      <c r="I4442" s="17">
        <v>22000</v>
      </c>
      <c r="J4442" s="17">
        <f>IF(Gastos[[#This Row],[Divisa]]="$", I4442*1, IF(Gastos[[#This Row],[Divisa]]="U$D", I4442*$N$1, IF(Gastos[[#This Row],[Divisa]]="EUR", I4442*$N$2, 0)))</f>
        <v>22000</v>
      </c>
      <c r="K4442" s="54">
        <f>Gastos[[#This Row],[Importe AR$]]/$N$1</f>
        <v>14.102564102564102</v>
      </c>
      <c r="M4442" s="69"/>
      <c r="N4442" s="43" t="str">
        <f>IF(Gastos[[#This Row],[Fecha_Cheque]]&gt;0,WEEKNUM(Gastos[[#This Row],[Fecha_Cheque]]),MID(Gastos[[#This Row],[Semana]],6,2))</f>
        <v>29</v>
      </c>
      <c r="O4442" t="s">
        <v>3797</v>
      </c>
      <c r="P4442" t="s">
        <v>27</v>
      </c>
    </row>
    <row r="4443" spans="1:16" hidden="1" x14ac:dyDescent="0.25">
      <c r="A4443" s="3" t="s">
        <v>3963</v>
      </c>
      <c r="B4443" t="s">
        <v>2978</v>
      </c>
      <c r="C4443" t="s">
        <v>4011</v>
      </c>
      <c r="D4443" t="s">
        <v>26</v>
      </c>
      <c r="E4443" t="s">
        <v>42</v>
      </c>
      <c r="F4443">
        <v>1</v>
      </c>
      <c r="G4443" s="3" t="s">
        <v>4</v>
      </c>
      <c r="H4443" s="44" t="s">
        <v>15</v>
      </c>
      <c r="I4443" s="17">
        <v>15000.01</v>
      </c>
      <c r="J4443" s="17">
        <f>IF(Gastos[[#This Row],[Divisa]]="$", I4443*1, IF(Gastos[[#This Row],[Divisa]]="U$D", I4443*$N$1, IF(Gastos[[#This Row],[Divisa]]="EUR", I4443*$N$2, 0)))</f>
        <v>15000.01</v>
      </c>
      <c r="K4443" s="54">
        <f>Gastos[[#This Row],[Importe AR$]]/$N$1</f>
        <v>9.615391025641026</v>
      </c>
      <c r="M4443" s="69"/>
      <c r="N4443" s="43" t="str">
        <f>IF(Gastos[[#This Row],[Fecha_Cheque]]&gt;0,WEEKNUM(Gastos[[#This Row],[Fecha_Cheque]]),MID(Gastos[[#This Row],[Semana]],6,2))</f>
        <v>32</v>
      </c>
      <c r="O4443" t="s">
        <v>4012</v>
      </c>
      <c r="P4443" t="s">
        <v>27</v>
      </c>
    </row>
    <row r="4444" spans="1:16" hidden="1" x14ac:dyDescent="0.25">
      <c r="A4444" s="3" t="s">
        <v>4322</v>
      </c>
      <c r="B4444" t="s">
        <v>2978</v>
      </c>
      <c r="C4444" t="s">
        <v>4357</v>
      </c>
      <c r="D4444" t="s">
        <v>26</v>
      </c>
      <c r="E4444" t="s">
        <v>42</v>
      </c>
      <c r="F4444">
        <v>1</v>
      </c>
      <c r="G4444" s="3" t="s">
        <v>4</v>
      </c>
      <c r="H4444" s="44" t="s">
        <v>15</v>
      </c>
      <c r="I4444" s="17">
        <v>128000</v>
      </c>
      <c r="J4444" s="17">
        <f>IF(Gastos[[#This Row],[Divisa]]="$", I4444*1, IF(Gastos[[#This Row],[Divisa]]="U$D", I4444*$N$1, IF(Gastos[[#This Row],[Divisa]]="EUR", I4444*$N$2, 0)))</f>
        <v>128000</v>
      </c>
      <c r="K4444" s="54">
        <f>Gastos[[#This Row],[Importe AR$]]/$N$1</f>
        <v>82.051282051282058</v>
      </c>
      <c r="M4444" s="69"/>
      <c r="N4444" s="43" t="str">
        <f>IF(Gastos[[#This Row],[Fecha_Cheque]]&gt;0,WEEKNUM(Gastos[[#This Row],[Fecha_Cheque]]),MID(Gastos[[#This Row],[Semana]],6,2))</f>
        <v>38</v>
      </c>
      <c r="O4444" t="s">
        <v>4358</v>
      </c>
      <c r="P4444" t="s">
        <v>27</v>
      </c>
    </row>
    <row r="4445" spans="1:16" hidden="1" x14ac:dyDescent="0.25">
      <c r="A4445" s="3" t="s">
        <v>4447</v>
      </c>
      <c r="B4445" t="s">
        <v>4455</v>
      </c>
      <c r="C4445" t="s">
        <v>4456</v>
      </c>
      <c r="D4445" t="s">
        <v>26</v>
      </c>
      <c r="E4445" t="s">
        <v>42</v>
      </c>
      <c r="F4445">
        <v>1</v>
      </c>
      <c r="G4445" s="3" t="s">
        <v>4</v>
      </c>
      <c r="H4445" s="44" t="s">
        <v>15</v>
      </c>
      <c r="I4445" s="17">
        <v>16000</v>
      </c>
      <c r="J4445" s="17">
        <f>IF(Gastos[[#This Row],[Divisa]]="$", I4445*1, IF(Gastos[[#This Row],[Divisa]]="U$D", I4445*$N$1, IF(Gastos[[#This Row],[Divisa]]="EUR", I4445*$N$2, 0)))</f>
        <v>16000</v>
      </c>
      <c r="K4445" s="54">
        <f>Gastos[[#This Row],[Importe AR$]]/$N$1</f>
        <v>10.256410256410257</v>
      </c>
      <c r="M4445" s="69"/>
      <c r="N4445" s="43" t="str">
        <f>IF(Gastos[[#This Row],[Fecha_Cheque]]&gt;0,WEEKNUM(Gastos[[#This Row],[Fecha_Cheque]]),MID(Gastos[[#This Row],[Semana]],6,2))</f>
        <v>41</v>
      </c>
      <c r="O4445" t="s">
        <v>4457</v>
      </c>
      <c r="P4445" t="s">
        <v>27</v>
      </c>
    </row>
    <row r="4446" spans="1:16" hidden="1" x14ac:dyDescent="0.25">
      <c r="A4446" s="3" t="s">
        <v>4513</v>
      </c>
      <c r="B4446" t="s">
        <v>4525</v>
      </c>
      <c r="C4446" t="s">
        <v>4526</v>
      </c>
      <c r="D4446" t="s">
        <v>26</v>
      </c>
      <c r="E4446" t="s">
        <v>42</v>
      </c>
      <c r="F4446">
        <v>1</v>
      </c>
      <c r="G4446" s="3" t="s">
        <v>4</v>
      </c>
      <c r="H4446" s="44" t="s">
        <v>15</v>
      </c>
      <c r="I4446" s="17">
        <v>22000</v>
      </c>
      <c r="J4446" s="17">
        <f>IF(Gastos[[#This Row],[Divisa]]="$", I4446*1, IF(Gastos[[#This Row],[Divisa]]="U$D", I4446*$N$1, IF(Gastos[[#This Row],[Divisa]]="EUR", I4446*$N$2, 0)))</f>
        <v>22000</v>
      </c>
      <c r="K4446" s="54">
        <f>Gastos[[#This Row],[Importe AR$]]/$N$1</f>
        <v>14.102564102564102</v>
      </c>
      <c r="M4446" s="69"/>
      <c r="N4446" s="43" t="str">
        <f>IF(Gastos[[#This Row],[Fecha_Cheque]]&gt;0,WEEKNUM(Gastos[[#This Row],[Fecha_Cheque]]),MID(Gastos[[#This Row],[Semana]],6,2))</f>
        <v>42</v>
      </c>
      <c r="O4446" t="s">
        <v>4527</v>
      </c>
      <c r="P4446" t="s">
        <v>27</v>
      </c>
    </row>
    <row r="4447" spans="1:16" hidden="1" x14ac:dyDescent="0.25">
      <c r="A4447" s="3" t="s">
        <v>53</v>
      </c>
      <c r="B4447" t="s">
        <v>2516</v>
      </c>
      <c r="C4447" t="s">
        <v>2517</v>
      </c>
      <c r="D4447" t="s">
        <v>26</v>
      </c>
      <c r="E4447" t="s">
        <v>91</v>
      </c>
      <c r="F4447">
        <v>1</v>
      </c>
      <c r="G4447" s="3" t="s">
        <v>5</v>
      </c>
      <c r="H4447" s="46" t="s">
        <v>15</v>
      </c>
      <c r="I4447" s="17">
        <v>247650</v>
      </c>
      <c r="J4447" s="17">
        <f>IF(Gastos[[#This Row],[Divisa]]="$", I4447*1, IF(Gastos[[#This Row],[Divisa]]="U$D", I4447*$N$1, IF(Gastos[[#This Row],[Divisa]]="EUR", I4447*$N$2, 0)))</f>
        <v>247650</v>
      </c>
      <c r="K4447" s="54">
        <f>Gastos[[#This Row],[Importe AR$]]/$N$1</f>
        <v>158.75</v>
      </c>
      <c r="M4447" s="69"/>
      <c r="N4447" s="43" t="str">
        <f>IF(Gastos[[#This Row],[Fecha_Cheque]]&gt;0,WEEKNUM(Gastos[[#This Row],[Fecha_Cheque]]),MID(Gastos[[#This Row],[Semana]],6,2))</f>
        <v>34</v>
      </c>
      <c r="O4447" t="s">
        <v>123</v>
      </c>
      <c r="P4447" t="s">
        <v>27</v>
      </c>
    </row>
    <row r="4448" spans="1:16" hidden="1" x14ac:dyDescent="0.25">
      <c r="A4448" s="3" t="s">
        <v>128</v>
      </c>
      <c r="B4448" t="s">
        <v>2516</v>
      </c>
      <c r="C4448" t="s">
        <v>2518</v>
      </c>
      <c r="D4448" t="s">
        <v>26</v>
      </c>
      <c r="E4448" t="s">
        <v>42</v>
      </c>
      <c r="F4448">
        <v>1</v>
      </c>
      <c r="G4448" s="3" t="s">
        <v>5</v>
      </c>
      <c r="H4448" s="46" t="s">
        <v>15</v>
      </c>
      <c r="I4448" s="17">
        <v>154000</v>
      </c>
      <c r="J4448" s="17">
        <f>IF(Gastos[[#This Row],[Divisa]]="$", I4448*1, IF(Gastos[[#This Row],[Divisa]]="U$D", I4448*$N$1, IF(Gastos[[#This Row],[Divisa]]="EUR", I4448*$N$2, 0)))</f>
        <v>154000</v>
      </c>
      <c r="K4448" s="54">
        <f>Gastos[[#This Row],[Importe AR$]]/$N$1</f>
        <v>98.717948717948715</v>
      </c>
      <c r="M4448" s="69"/>
      <c r="N4448" s="43" t="str">
        <f>IF(Gastos[[#This Row],[Fecha_Cheque]]&gt;0,WEEKNUM(Gastos[[#This Row],[Fecha_Cheque]]),MID(Gastos[[#This Row],[Semana]],6,2))</f>
        <v>43</v>
      </c>
      <c r="O4448" t="s">
        <v>2519</v>
      </c>
      <c r="P4448" t="s">
        <v>27</v>
      </c>
    </row>
    <row r="4449" spans="1:16" hidden="1" x14ac:dyDescent="0.25">
      <c r="A4449" s="3" t="s">
        <v>210</v>
      </c>
      <c r="B4449" t="s">
        <v>2520</v>
      </c>
      <c r="C4449" t="s">
        <v>2521</v>
      </c>
      <c r="D4449" t="s">
        <v>26</v>
      </c>
      <c r="E4449" t="s">
        <v>132</v>
      </c>
      <c r="F4449">
        <v>1</v>
      </c>
      <c r="G4449" s="3" t="s">
        <v>5</v>
      </c>
      <c r="H4449" s="46" t="s">
        <v>15</v>
      </c>
      <c r="I4449" s="17">
        <v>3932081.81</v>
      </c>
      <c r="J4449" s="17">
        <f>IF(Gastos[[#This Row],[Divisa]]="$", I4449*1, IF(Gastos[[#This Row],[Divisa]]="U$D", I4449*$N$1, IF(Gastos[[#This Row],[Divisa]]="EUR", I4449*$N$2, 0)))</f>
        <v>3932081.81</v>
      </c>
      <c r="K4449" s="54">
        <f>Gastos[[#This Row],[Importe AR$]]/$N$1</f>
        <v>2520.565262820513</v>
      </c>
      <c r="M4449" s="69"/>
      <c r="N4449" s="43" t="str">
        <f>IF(Gastos[[#This Row],[Fecha_Cheque]]&gt;0,WEEKNUM(Gastos[[#This Row],[Fecha_Cheque]]),MID(Gastos[[#This Row],[Semana]],6,2))</f>
        <v>37</v>
      </c>
      <c r="O4449" t="s">
        <v>2522</v>
      </c>
      <c r="P4449" t="s">
        <v>27</v>
      </c>
    </row>
    <row r="4450" spans="1:16" hidden="1" x14ac:dyDescent="0.25">
      <c r="A4450" s="3" t="s">
        <v>89</v>
      </c>
      <c r="B4450" t="s">
        <v>2520</v>
      </c>
      <c r="C4450" t="s">
        <v>118</v>
      </c>
      <c r="D4450" t="s">
        <v>26</v>
      </c>
      <c r="E4450" t="s">
        <v>132</v>
      </c>
      <c r="F4450">
        <v>1</v>
      </c>
      <c r="G4450" s="3" t="s">
        <v>5</v>
      </c>
      <c r="H4450" s="46" t="s">
        <v>15</v>
      </c>
      <c r="I4450" s="17">
        <v>3927601.81</v>
      </c>
      <c r="J4450" s="17">
        <f>IF(Gastos[[#This Row],[Divisa]]="$", I4450*1, IF(Gastos[[#This Row],[Divisa]]="U$D", I4450*$N$1, IF(Gastos[[#This Row],[Divisa]]="EUR", I4450*$N$2, 0)))</f>
        <v>3927601.81</v>
      </c>
      <c r="K4450" s="54">
        <f>Gastos[[#This Row],[Importe AR$]]/$N$1</f>
        <v>2517.6934679487181</v>
      </c>
      <c r="M4450" s="69"/>
      <c r="N4450" s="43" t="str">
        <f>IF(Gastos[[#This Row],[Fecha_Cheque]]&gt;0,WEEKNUM(Gastos[[#This Row],[Fecha_Cheque]]),MID(Gastos[[#This Row],[Semana]],6,2))</f>
        <v>39</v>
      </c>
      <c r="O4450" t="s">
        <v>2523</v>
      </c>
      <c r="P4450" t="s">
        <v>27</v>
      </c>
    </row>
    <row r="4451" spans="1:16" hidden="1" x14ac:dyDescent="0.25">
      <c r="A4451" s="3" t="s">
        <v>378</v>
      </c>
      <c r="B4451" t="s">
        <v>2525</v>
      </c>
      <c r="C4451" t="s">
        <v>1307</v>
      </c>
      <c r="D4451" t="s">
        <v>26</v>
      </c>
      <c r="E4451" t="s">
        <v>62</v>
      </c>
      <c r="F4451">
        <v>1</v>
      </c>
      <c r="G4451" s="3" t="s">
        <v>32</v>
      </c>
      <c r="H4451" s="46" t="s">
        <v>15</v>
      </c>
      <c r="I4451" s="17">
        <v>2171539.4300000002</v>
      </c>
      <c r="J4451" s="17">
        <f>IF(Gastos[[#This Row],[Divisa]]="$", I4451*1, IF(Gastos[[#This Row],[Divisa]]="U$D", I4451*$N$1, IF(Gastos[[#This Row],[Divisa]]="EUR", I4451*$N$2, 0)))</f>
        <v>2171539.4300000002</v>
      </c>
      <c r="K4451" s="54">
        <f>Gastos[[#This Row],[Importe AR$]]/$N$1</f>
        <v>1392.0124551282051</v>
      </c>
      <c r="M4451" s="69">
        <v>46052</v>
      </c>
      <c r="N4451" s="43">
        <f>IF(Gastos[[#This Row],[Fecha_Cheque]]&gt;0,WEEKNUM(Gastos[[#This Row],[Fecha_Cheque]]),MID(Gastos[[#This Row],[Semana]],6,2))</f>
        <v>5</v>
      </c>
      <c r="O4451" t="s">
        <v>2526</v>
      </c>
      <c r="P4451" t="s">
        <v>27</v>
      </c>
    </row>
    <row r="4452" spans="1:16" hidden="1" x14ac:dyDescent="0.25">
      <c r="A4452" s="3" t="s">
        <v>152</v>
      </c>
      <c r="B4452" t="s">
        <v>2525</v>
      </c>
      <c r="C4452" t="s">
        <v>2527</v>
      </c>
      <c r="D4452" t="s">
        <v>26</v>
      </c>
      <c r="E4452" t="s">
        <v>31</v>
      </c>
      <c r="F4452">
        <v>1</v>
      </c>
      <c r="G4452" s="3" t="s">
        <v>32</v>
      </c>
      <c r="H4452" s="46" t="s">
        <v>15</v>
      </c>
      <c r="I4452" s="17">
        <v>3000000</v>
      </c>
      <c r="J4452" s="17">
        <f>IF(Gastos[[#This Row],[Divisa]]="$", I4452*1, IF(Gastos[[#This Row],[Divisa]]="U$D", I4452*$N$1, IF(Gastos[[#This Row],[Divisa]]="EUR", I4452*$N$2, 0)))</f>
        <v>3000000</v>
      </c>
      <c r="K4452" s="54">
        <f>Gastos[[#This Row],[Importe AR$]]/$N$1</f>
        <v>1923.0769230769231</v>
      </c>
      <c r="M4452" s="69"/>
      <c r="N4452" s="43" t="str">
        <f>IF(Gastos[[#This Row],[Fecha_Cheque]]&gt;0,WEEKNUM(Gastos[[#This Row],[Fecha_Cheque]]),MID(Gastos[[#This Row],[Semana]],6,2))</f>
        <v>04</v>
      </c>
      <c r="O4452" t="s">
        <v>2528</v>
      </c>
      <c r="P4452" t="s">
        <v>27</v>
      </c>
    </row>
    <row r="4453" spans="1:16" hidden="1" x14ac:dyDescent="0.25">
      <c r="A4453" s="3" t="s">
        <v>52</v>
      </c>
      <c r="B4453" t="s">
        <v>2525</v>
      </c>
      <c r="C4453" t="s">
        <v>2531</v>
      </c>
      <c r="D4453" t="s">
        <v>26</v>
      </c>
      <c r="E4453" t="s">
        <v>31</v>
      </c>
      <c r="F4453">
        <v>1</v>
      </c>
      <c r="G4453" s="3" t="s">
        <v>5</v>
      </c>
      <c r="H4453" s="46" t="s">
        <v>15</v>
      </c>
      <c r="I4453" s="19">
        <v>2542953.25</v>
      </c>
      <c r="J4453" s="17">
        <f>IF(Gastos[[#This Row],[Divisa]]="$", I4453*1, IF(Gastos[[#This Row],[Divisa]]="U$D", I4453*$N$1, IF(Gastos[[#This Row],[Divisa]]="EUR", I4453*$N$2, 0)))</f>
        <v>2542953.25</v>
      </c>
      <c r="K4453" s="55">
        <f>Gastos[[#This Row],[Importe AR$]]/$N$1</f>
        <v>1630.0982371794871</v>
      </c>
      <c r="M4453" s="69"/>
      <c r="N4453" s="43" t="str">
        <f>IF(Gastos[[#This Row],[Fecha_Cheque]]&gt;0,WEEKNUM(Gastos[[#This Row],[Fecha_Cheque]]),MID(Gastos[[#This Row],[Semana]],6,2))</f>
        <v>12</v>
      </c>
      <c r="P4453" t="s">
        <v>27</v>
      </c>
    </row>
    <row r="4454" spans="1:16" hidden="1" x14ac:dyDescent="0.25">
      <c r="A4454" s="3" t="s">
        <v>619</v>
      </c>
      <c r="B4454" t="s">
        <v>2525</v>
      </c>
      <c r="C4454" t="s">
        <v>2527</v>
      </c>
      <c r="D4454" t="s">
        <v>26</v>
      </c>
      <c r="E4454" t="s">
        <v>62</v>
      </c>
      <c r="F4454">
        <v>1</v>
      </c>
      <c r="G4454" s="3" t="s">
        <v>32</v>
      </c>
      <c r="H4454" s="44" t="s">
        <v>15</v>
      </c>
      <c r="I4454" s="17">
        <v>1000000</v>
      </c>
      <c r="J4454" s="17">
        <f>IF(Gastos[[#This Row],[Divisa]]="$", I4454*1, IF(Gastos[[#This Row],[Divisa]]="U$D", I4454*$N$1, IF(Gastos[[#This Row],[Divisa]]="EUR", I4454*$N$2, 0)))</f>
        <v>1000000</v>
      </c>
      <c r="K4454" s="54">
        <f>Gastos[[#This Row],[Importe AR$]]/$N$1</f>
        <v>641.02564102564099</v>
      </c>
      <c r="M4454" s="69">
        <v>46127</v>
      </c>
      <c r="N4454" s="43">
        <f>IF(Gastos[[#This Row],[Fecha_Cheque]]&gt;0,WEEKNUM(Gastos[[#This Row],[Fecha_Cheque]]),MID(Gastos[[#This Row],[Semana]],6,2))</f>
        <v>16</v>
      </c>
      <c r="O4454" t="s">
        <v>2680</v>
      </c>
      <c r="P4454" t="s">
        <v>27</v>
      </c>
    </row>
    <row r="4455" spans="1:16" hidden="1" x14ac:dyDescent="0.25">
      <c r="A4455" s="3" t="s">
        <v>619</v>
      </c>
      <c r="B4455" t="s">
        <v>2525</v>
      </c>
      <c r="C4455" t="s">
        <v>2527</v>
      </c>
      <c r="D4455" t="s">
        <v>26</v>
      </c>
      <c r="E4455" t="s">
        <v>62</v>
      </c>
      <c r="F4455">
        <v>1</v>
      </c>
      <c r="G4455" s="3" t="s">
        <v>32</v>
      </c>
      <c r="H4455" s="44" t="s">
        <v>15</v>
      </c>
      <c r="I4455" s="17">
        <v>1000000</v>
      </c>
      <c r="J4455" s="17">
        <f>IF(Gastos[[#This Row],[Divisa]]="$", I4455*1, IF(Gastos[[#This Row],[Divisa]]="U$D", I4455*$N$1, IF(Gastos[[#This Row],[Divisa]]="EUR", I4455*$N$2, 0)))</f>
        <v>1000000</v>
      </c>
      <c r="K4455" s="54">
        <f>Gastos[[#This Row],[Importe AR$]]/$N$1</f>
        <v>641.02564102564099</v>
      </c>
      <c r="M4455" s="69">
        <v>46128</v>
      </c>
      <c r="N4455" s="43">
        <f>IF(Gastos[[#This Row],[Fecha_Cheque]]&gt;0,WEEKNUM(Gastos[[#This Row],[Fecha_Cheque]]),MID(Gastos[[#This Row],[Semana]],6,2))</f>
        <v>16</v>
      </c>
      <c r="O4455" t="s">
        <v>2680</v>
      </c>
      <c r="P4455" t="s">
        <v>27</v>
      </c>
    </row>
    <row r="4456" spans="1:16" hidden="1" x14ac:dyDescent="0.25">
      <c r="A4456" s="3" t="s">
        <v>619</v>
      </c>
      <c r="B4456" t="s">
        <v>2525</v>
      </c>
      <c r="C4456" t="s">
        <v>2527</v>
      </c>
      <c r="D4456" t="s">
        <v>26</v>
      </c>
      <c r="E4456" t="s">
        <v>62</v>
      </c>
      <c r="F4456">
        <v>1</v>
      </c>
      <c r="G4456" s="3" t="s">
        <v>32</v>
      </c>
      <c r="H4456" s="44" t="s">
        <v>15</v>
      </c>
      <c r="I4456" s="17">
        <v>1045106.78</v>
      </c>
      <c r="J4456" s="17">
        <f>IF(Gastos[[#This Row],[Divisa]]="$", I4456*1, IF(Gastos[[#This Row],[Divisa]]="U$D", I4456*$N$1, IF(Gastos[[#This Row],[Divisa]]="EUR", I4456*$N$2, 0)))</f>
        <v>1045106.78</v>
      </c>
      <c r="K4456" s="54">
        <f>Gastos[[#This Row],[Importe AR$]]/$N$1</f>
        <v>669.94024358974366</v>
      </c>
      <c r="M4456" s="69">
        <v>46129</v>
      </c>
      <c r="N4456" s="43">
        <f>IF(Gastos[[#This Row],[Fecha_Cheque]]&gt;0,WEEKNUM(Gastos[[#This Row],[Fecha_Cheque]]),MID(Gastos[[#This Row],[Semana]],6,2))</f>
        <v>16</v>
      </c>
      <c r="O4456" t="s">
        <v>2680</v>
      </c>
      <c r="P4456" t="s">
        <v>27</v>
      </c>
    </row>
    <row r="4457" spans="1:16" hidden="1" x14ac:dyDescent="0.25">
      <c r="A4457" s="3" t="s">
        <v>2804</v>
      </c>
      <c r="B4457" t="s">
        <v>2525</v>
      </c>
      <c r="C4457" t="s">
        <v>2527</v>
      </c>
      <c r="D4457" t="s">
        <v>26</v>
      </c>
      <c r="E4457" t="s">
        <v>31</v>
      </c>
      <c r="F4457">
        <v>1</v>
      </c>
      <c r="G4457" s="3" t="s">
        <v>32</v>
      </c>
      <c r="H4457" s="46" t="s">
        <v>15</v>
      </c>
      <c r="I4457" s="17">
        <v>5012987.83</v>
      </c>
      <c r="J4457" s="17">
        <f>IF(Gastos[[#This Row],[Divisa]]="$", I4457*1, IF(Gastos[[#This Row],[Divisa]]="U$D", I4457*$N$1, IF(Gastos[[#This Row],[Divisa]]="EUR", I4457*$N$2, 0)))</f>
        <v>5012987.83</v>
      </c>
      <c r="K4457" s="54">
        <f>Gastos[[#This Row],[Importe AR$]]/$N$1</f>
        <v>3213.4537371794872</v>
      </c>
      <c r="M4457" s="69">
        <v>46193</v>
      </c>
      <c r="N4457" s="43">
        <f>IF(Gastos[[#This Row],[Fecha_Cheque]]&gt;0,WEEKNUM(Gastos[[#This Row],[Fecha_Cheque]]),MID(Gastos[[#This Row],[Semana]],6,2))</f>
        <v>25</v>
      </c>
      <c r="O4457" t="s">
        <v>3219</v>
      </c>
      <c r="P4457" t="s">
        <v>27</v>
      </c>
    </row>
    <row r="4458" spans="1:16" hidden="1" x14ac:dyDescent="0.25">
      <c r="A4458" s="3" t="s">
        <v>2804</v>
      </c>
      <c r="B4458" t="s">
        <v>2525</v>
      </c>
      <c r="C4458" t="s">
        <v>2527</v>
      </c>
      <c r="D4458" t="s">
        <v>26</v>
      </c>
      <c r="E4458" t="s">
        <v>31</v>
      </c>
      <c r="F4458">
        <v>1</v>
      </c>
      <c r="G4458" s="3" t="s">
        <v>32</v>
      </c>
      <c r="H4458" s="46" t="s">
        <v>15</v>
      </c>
      <c r="I4458" s="17">
        <v>78379.3</v>
      </c>
      <c r="J4458" s="17">
        <f>IF(Gastos[[#This Row],[Divisa]]="$", I4458*1, IF(Gastos[[#This Row],[Divisa]]="U$D", I4458*$N$1, IF(Gastos[[#This Row],[Divisa]]="EUR", I4458*$N$2, 0)))</f>
        <v>78379.3</v>
      </c>
      <c r="K4458" s="54">
        <f>Gastos[[#This Row],[Importe AR$]]/$N$1</f>
        <v>50.24314102564103</v>
      </c>
      <c r="L4458" t="s">
        <v>340</v>
      </c>
      <c r="M4458" s="69"/>
      <c r="N4458" s="43" t="str">
        <f>IF(Gastos[[#This Row],[Fecha_Cheque]]&gt;0,WEEKNUM(Gastos[[#This Row],[Fecha_Cheque]]),MID(Gastos[[#This Row],[Semana]],6,2))</f>
        <v>19</v>
      </c>
      <c r="O4458" t="s">
        <v>3219</v>
      </c>
      <c r="P4458" t="s">
        <v>27</v>
      </c>
    </row>
    <row r="4459" spans="1:16" hidden="1" x14ac:dyDescent="0.25">
      <c r="A4459" s="3" t="s">
        <v>3693</v>
      </c>
      <c r="B4459" t="s">
        <v>2525</v>
      </c>
      <c r="C4459" t="s">
        <v>2527</v>
      </c>
      <c r="D4459" t="s">
        <v>26</v>
      </c>
      <c r="E4459" t="s">
        <v>62</v>
      </c>
      <c r="F4459">
        <v>1</v>
      </c>
      <c r="G4459" s="3" t="s">
        <v>32</v>
      </c>
      <c r="H4459" s="46" t="s">
        <v>15</v>
      </c>
      <c r="I4459" s="17">
        <v>2618473</v>
      </c>
      <c r="J4459" s="17">
        <f>IF(Gastos[[#This Row],[Divisa]]="$", I4459*1, IF(Gastos[[#This Row],[Divisa]]="U$D", I4459*$N$1, IF(Gastos[[#This Row],[Divisa]]="EUR", I4459*$N$2, 0)))</f>
        <v>2618473</v>
      </c>
      <c r="K4459" s="54">
        <f>Gastos[[#This Row],[Importe AR$]]/$N$1</f>
        <v>1678.5083333333334</v>
      </c>
      <c r="M4459" s="69">
        <v>46259</v>
      </c>
      <c r="N4459" s="43">
        <f>IF(Gastos[[#This Row],[Fecha_Cheque]]&gt;0,WEEKNUM(Gastos[[#This Row],[Fecha_Cheque]]),MID(Gastos[[#This Row],[Semana]],6,2))</f>
        <v>35</v>
      </c>
      <c r="O4459" t="s">
        <v>3713</v>
      </c>
      <c r="P4459" t="s">
        <v>27</v>
      </c>
    </row>
    <row r="4460" spans="1:16" hidden="1" x14ac:dyDescent="0.25">
      <c r="A4460" s="3" t="s">
        <v>3693</v>
      </c>
      <c r="B4460" t="s">
        <v>2525</v>
      </c>
      <c r="C4460" t="s">
        <v>2527</v>
      </c>
      <c r="D4460" t="s">
        <v>26</v>
      </c>
      <c r="E4460" t="s">
        <v>62</v>
      </c>
      <c r="F4460">
        <v>1</v>
      </c>
      <c r="G4460" s="3" t="s">
        <v>32</v>
      </c>
      <c r="H4460" s="46" t="s">
        <v>15</v>
      </c>
      <c r="I4460" s="17">
        <v>38800.550000000003</v>
      </c>
      <c r="J4460" s="17">
        <f>IF(Gastos[[#This Row],[Divisa]]="$", I4460*1, IF(Gastos[[#This Row],[Divisa]]="U$D", I4460*$N$1, IF(Gastos[[#This Row],[Divisa]]="EUR", I4460*$N$2, 0)))</f>
        <v>38800.550000000003</v>
      </c>
      <c r="K4460" s="54">
        <f>Gastos[[#This Row],[Importe AR$]]/$N$1</f>
        <v>24.872147435897439</v>
      </c>
      <c r="L4460" t="s">
        <v>340</v>
      </c>
      <c r="M4460" s="69"/>
      <c r="N4460" s="43" t="str">
        <f>IF(Gastos[[#This Row],[Fecha_Cheque]]&gt;0,WEEKNUM(Gastos[[#This Row],[Fecha_Cheque]]),MID(Gastos[[#This Row],[Semana]],6,2))</f>
        <v>28</v>
      </c>
      <c r="O4460" t="s">
        <v>3713</v>
      </c>
      <c r="P4460" t="s">
        <v>27</v>
      </c>
    </row>
    <row r="4461" spans="1:16" hidden="1" x14ac:dyDescent="0.25">
      <c r="A4461" s="3" t="s">
        <v>4005</v>
      </c>
      <c r="B4461" t="s">
        <v>2525</v>
      </c>
      <c r="C4461" t="s">
        <v>2527</v>
      </c>
      <c r="D4461" t="s">
        <v>26</v>
      </c>
      <c r="E4461" t="s">
        <v>62</v>
      </c>
      <c r="F4461">
        <v>1</v>
      </c>
      <c r="G4461" s="3" t="s">
        <v>32</v>
      </c>
      <c r="H4461" s="44" t="s">
        <v>15</v>
      </c>
      <c r="I4461" s="17">
        <v>565540</v>
      </c>
      <c r="J4461" s="17">
        <f>IF(Gastos[[#This Row],[Divisa]]="$", I4461*1, IF(Gastos[[#This Row],[Divisa]]="U$D", I4461*$N$1, IF(Gastos[[#This Row],[Divisa]]="EUR", I4461*$N$2, 0)))</f>
        <v>565540</v>
      </c>
      <c r="K4461" s="54">
        <f>Gastos[[#This Row],[Importe AR$]]/$N$1</f>
        <v>362.52564102564105</v>
      </c>
      <c r="M4461" s="69">
        <v>46263</v>
      </c>
      <c r="N4461" s="43">
        <f>IF(Gastos[[#This Row],[Fecha_Cheque]]&gt;0,WEEKNUM(Gastos[[#This Row],[Fecha_Cheque]]),MID(Gastos[[#This Row],[Semana]],6,2))</f>
        <v>35</v>
      </c>
      <c r="O4461" t="s">
        <v>4034</v>
      </c>
      <c r="P4461" t="s">
        <v>27</v>
      </c>
    </row>
    <row r="4462" spans="1:16" hidden="1" x14ac:dyDescent="0.25">
      <c r="A4462" s="3" t="s">
        <v>4005</v>
      </c>
      <c r="B4462" t="s">
        <v>2525</v>
      </c>
      <c r="C4462" t="s">
        <v>2527</v>
      </c>
      <c r="D4462" t="s">
        <v>26</v>
      </c>
      <c r="E4462" t="s">
        <v>62</v>
      </c>
      <c r="F4462">
        <v>1</v>
      </c>
      <c r="G4462" s="3" t="s">
        <v>32</v>
      </c>
      <c r="H4462" s="44" t="s">
        <v>15</v>
      </c>
      <c r="I4462" s="17">
        <v>1500000</v>
      </c>
      <c r="J4462" s="17">
        <f>IF(Gastos[[#This Row],[Divisa]]="$", I4462*1, IF(Gastos[[#This Row],[Divisa]]="U$D", I4462*$N$1, IF(Gastos[[#This Row],[Divisa]]="EUR", I4462*$N$2, 0)))</f>
        <v>1500000</v>
      </c>
      <c r="K4462" s="54">
        <f>Gastos[[#This Row],[Importe AR$]]/$N$1</f>
        <v>961.53846153846155</v>
      </c>
      <c r="M4462" s="69">
        <v>46271</v>
      </c>
      <c r="N4462" s="43">
        <f>IF(Gastos[[#This Row],[Fecha_Cheque]]&gt;0,WEEKNUM(Gastos[[#This Row],[Fecha_Cheque]]),MID(Gastos[[#This Row],[Semana]],6,2))</f>
        <v>37</v>
      </c>
      <c r="O4462" t="s">
        <v>4034</v>
      </c>
      <c r="P4462" t="s">
        <v>27</v>
      </c>
    </row>
    <row r="4463" spans="1:16" hidden="1" x14ac:dyDescent="0.25">
      <c r="A4463" s="3" t="s">
        <v>4005</v>
      </c>
      <c r="B4463" t="s">
        <v>2525</v>
      </c>
      <c r="C4463" t="s">
        <v>2527</v>
      </c>
      <c r="D4463" t="s">
        <v>26</v>
      </c>
      <c r="E4463" t="s">
        <v>62</v>
      </c>
      <c r="F4463">
        <v>1</v>
      </c>
      <c r="G4463" s="3" t="s">
        <v>32</v>
      </c>
      <c r="H4463" s="44" t="s">
        <v>15</v>
      </c>
      <c r="I4463" s="17">
        <v>29661.16</v>
      </c>
      <c r="J4463" s="17">
        <f>IF(Gastos[[#This Row],[Divisa]]="$", I4463*1, IF(Gastos[[#This Row],[Divisa]]="U$D", I4463*$N$1, IF(Gastos[[#This Row],[Divisa]]="EUR", I4463*$N$2, 0)))</f>
        <v>29661.16</v>
      </c>
      <c r="K4463" s="54">
        <f>Gastos[[#This Row],[Importe AR$]]/$N$1</f>
        <v>19.013564102564104</v>
      </c>
      <c r="L4463" t="s">
        <v>340</v>
      </c>
      <c r="M4463" s="69"/>
      <c r="N4463" s="43" t="str">
        <f>IF(Gastos[[#This Row],[Fecha_Cheque]]&gt;0,WEEKNUM(Gastos[[#This Row],[Fecha_Cheque]]),MID(Gastos[[#This Row],[Semana]],6,2))</f>
        <v>33</v>
      </c>
      <c r="O4463" t="s">
        <v>4034</v>
      </c>
      <c r="P4463" t="s">
        <v>27</v>
      </c>
    </row>
    <row r="4464" spans="1:16" hidden="1" x14ac:dyDescent="0.25">
      <c r="A4464" s="3" t="s">
        <v>4157</v>
      </c>
      <c r="B4464" t="s">
        <v>2525</v>
      </c>
      <c r="C4464" t="s">
        <v>1307</v>
      </c>
      <c r="D4464" t="s">
        <v>26</v>
      </c>
      <c r="E4464" t="s">
        <v>31</v>
      </c>
      <c r="F4464">
        <v>1</v>
      </c>
      <c r="G4464" s="3" t="s">
        <v>32</v>
      </c>
      <c r="H4464" s="44" t="s">
        <v>15</v>
      </c>
      <c r="I4464" s="17">
        <v>500000</v>
      </c>
      <c r="J4464" s="17">
        <f>IF(Gastos[[#This Row],[Divisa]]="$", I4464*1, IF(Gastos[[#This Row],[Divisa]]="U$D", I4464*$N$1, IF(Gastos[[#This Row],[Divisa]]="EUR", I4464*$N$2, 0)))</f>
        <v>500000</v>
      </c>
      <c r="K4464" s="54">
        <f>Gastos[[#This Row],[Importe AR$]]/$N$1</f>
        <v>320.5128205128205</v>
      </c>
      <c r="M4464" s="69">
        <v>46283</v>
      </c>
      <c r="N4464" s="43">
        <f>IF(Gastos[[#This Row],[Fecha_Cheque]]&gt;0,WEEKNUM(Gastos[[#This Row],[Fecha_Cheque]]),MID(Gastos[[#This Row],[Semana]],6,2))</f>
        <v>38</v>
      </c>
      <c r="O4464" t="s">
        <v>4172</v>
      </c>
      <c r="P4464" t="s">
        <v>27</v>
      </c>
    </row>
    <row r="4465" spans="1:16" hidden="1" x14ac:dyDescent="0.25">
      <c r="A4465" s="3" t="s">
        <v>4157</v>
      </c>
      <c r="B4465" t="s">
        <v>2525</v>
      </c>
      <c r="C4465" t="s">
        <v>1307</v>
      </c>
      <c r="D4465" t="s">
        <v>26</v>
      </c>
      <c r="E4465" t="s">
        <v>31</v>
      </c>
      <c r="F4465">
        <v>1</v>
      </c>
      <c r="G4465" s="3" t="s">
        <v>32</v>
      </c>
      <c r="H4465" s="44" t="s">
        <v>15</v>
      </c>
      <c r="I4465" s="17">
        <v>2522800.48</v>
      </c>
      <c r="J4465" s="17">
        <f>IF(Gastos[[#This Row],[Divisa]]="$", I4465*1, IF(Gastos[[#This Row],[Divisa]]="U$D", I4465*$N$1, IF(Gastos[[#This Row],[Divisa]]="EUR", I4465*$N$2, 0)))</f>
        <v>2522800.48</v>
      </c>
      <c r="K4465" s="54">
        <f>Gastos[[#This Row],[Importe AR$]]/$N$1</f>
        <v>1617.1797948717949</v>
      </c>
      <c r="M4465" s="69">
        <v>46304</v>
      </c>
      <c r="N4465" s="43">
        <f>IF(Gastos[[#This Row],[Fecha_Cheque]]&gt;0,WEEKNUM(Gastos[[#This Row],[Fecha_Cheque]]),MID(Gastos[[#This Row],[Semana]],6,2))</f>
        <v>41</v>
      </c>
      <c r="O4465" t="s">
        <v>4172</v>
      </c>
      <c r="P4465" t="s">
        <v>27</v>
      </c>
    </row>
    <row r="4466" spans="1:16" hidden="1" x14ac:dyDescent="0.25">
      <c r="A4466" s="3" t="s">
        <v>4157</v>
      </c>
      <c r="B4466" t="s">
        <v>2525</v>
      </c>
      <c r="C4466" t="s">
        <v>1307</v>
      </c>
      <c r="D4466" t="s">
        <v>26</v>
      </c>
      <c r="E4466" t="s">
        <v>31</v>
      </c>
      <c r="F4466">
        <v>1</v>
      </c>
      <c r="G4466" s="3" t="s">
        <v>32</v>
      </c>
      <c r="H4466" s="44" t="s">
        <v>15</v>
      </c>
      <c r="I4466" s="17">
        <v>50453.91</v>
      </c>
      <c r="J4466" s="17">
        <f>IF(Gastos[[#This Row],[Divisa]]="$", I4466*1, IF(Gastos[[#This Row],[Divisa]]="U$D", I4466*$N$1, IF(Gastos[[#This Row],[Divisa]]="EUR", I4466*$N$2, 0)))</f>
        <v>50453.91</v>
      </c>
      <c r="K4466" s="54">
        <f>Gastos[[#This Row],[Importe AR$]]/$N$1</f>
        <v>32.34225</v>
      </c>
      <c r="L4466" t="s">
        <v>340</v>
      </c>
      <c r="M4466" s="69"/>
      <c r="N4466" s="43" t="str">
        <f>IF(Gastos[[#This Row],[Fecha_Cheque]]&gt;0,WEEKNUM(Gastos[[#This Row],[Fecha_Cheque]]),MID(Gastos[[#This Row],[Semana]],6,2))</f>
        <v>36</v>
      </c>
      <c r="O4466" t="s">
        <v>4172</v>
      </c>
      <c r="P4466" t="s">
        <v>27</v>
      </c>
    </row>
    <row r="4467" spans="1:16" x14ac:dyDescent="0.25">
      <c r="A4467" s="3" t="s">
        <v>4655</v>
      </c>
      <c r="B4467" t="s">
        <v>2305</v>
      </c>
      <c r="C4467" t="s">
        <v>2306</v>
      </c>
      <c r="D4467" t="s">
        <v>26</v>
      </c>
      <c r="E4467" t="s">
        <v>62</v>
      </c>
      <c r="F4467">
        <v>1</v>
      </c>
      <c r="G4467" s="3" t="s">
        <v>5</v>
      </c>
      <c r="H4467" s="46" t="s">
        <v>15</v>
      </c>
      <c r="I4467" s="17">
        <v>15695293.220000001</v>
      </c>
      <c r="J4467" s="17">
        <f>IF(Gastos[[#This Row],[Divisa]]="$", I4467*1, IF(Gastos[[#This Row],[Divisa]]="U$D", I4467*$N$1, IF(Gastos[[#This Row],[Divisa]]="EUR", I4467*$N$2, 0)))</f>
        <v>15695293.220000001</v>
      </c>
      <c r="K4467" s="54">
        <f>Gastos[[#This Row],[Importe AR$]]/$N$1</f>
        <v>10061.085397435898</v>
      </c>
      <c r="M4467" s="69"/>
      <c r="N4467" s="43" t="str">
        <f>IF(Gastos[[#This Row],[Fecha_Cheque]]&gt;0,WEEKNUM(Gastos[[#This Row],[Fecha_Cheque]]),MID(Gastos[[#This Row],[Semana]],6,2))</f>
        <v>44</v>
      </c>
    </row>
    <row r="4468" spans="1:16" hidden="1" x14ac:dyDescent="0.25">
      <c r="A4468" s="3" t="s">
        <v>253</v>
      </c>
      <c r="B4468" t="s">
        <v>2532</v>
      </c>
      <c r="C4468" t="s">
        <v>2533</v>
      </c>
      <c r="D4468" t="s">
        <v>26</v>
      </c>
      <c r="E4468" t="s">
        <v>91</v>
      </c>
      <c r="F4468">
        <v>1</v>
      </c>
      <c r="G4468" s="3" t="s">
        <v>5</v>
      </c>
      <c r="H4468" s="46" t="s">
        <v>15</v>
      </c>
      <c r="I4468" s="17">
        <v>572868.81999999995</v>
      </c>
      <c r="J4468" s="17">
        <f>IF(Gastos[[#This Row],[Divisa]]="$", I4468*1, IF(Gastos[[#This Row],[Divisa]]="U$D", I4468*$N$1, IF(Gastos[[#This Row],[Divisa]]="EUR", I4468*$N$2, 0)))</f>
        <v>572868.81999999995</v>
      </c>
      <c r="K4468" s="54">
        <f>Gastos[[#This Row],[Importe AR$]]/$N$1</f>
        <v>367.22360256410252</v>
      </c>
      <c r="M4468" s="69"/>
      <c r="N4468" s="43" t="str">
        <f>IF(Gastos[[#This Row],[Fecha_Cheque]]&gt;0,WEEKNUM(Gastos[[#This Row],[Fecha_Cheque]]),MID(Gastos[[#This Row],[Semana]],6,2))</f>
        <v>24</v>
      </c>
      <c r="O4468" t="s">
        <v>2534</v>
      </c>
      <c r="P4468" t="s">
        <v>27</v>
      </c>
    </row>
    <row r="4469" spans="1:16" hidden="1" x14ac:dyDescent="0.25">
      <c r="A4469" s="3" t="s">
        <v>3754</v>
      </c>
      <c r="B4469" t="s">
        <v>3768</v>
      </c>
      <c r="C4469" t="s">
        <v>3769</v>
      </c>
      <c r="D4469" t="s">
        <v>26</v>
      </c>
      <c r="E4469" t="s">
        <v>91</v>
      </c>
      <c r="F4469">
        <v>1</v>
      </c>
      <c r="G4469" s="3" t="s">
        <v>5</v>
      </c>
      <c r="H4469" s="44" t="s">
        <v>15</v>
      </c>
      <c r="I4469" s="17">
        <v>262437</v>
      </c>
      <c r="J4469" s="17">
        <f>IF(Gastos[[#This Row],[Divisa]]="$", I4469*1, IF(Gastos[[#This Row],[Divisa]]="U$D", I4469*$N$1, IF(Gastos[[#This Row],[Divisa]]="EUR", I4469*$N$2, 0)))</f>
        <v>262437</v>
      </c>
      <c r="K4469" s="54">
        <f>Gastos[[#This Row],[Importe AR$]]/$N$1</f>
        <v>168.22884615384615</v>
      </c>
      <c r="M4469" s="69"/>
      <c r="N4469" s="43" t="str">
        <f>IF(Gastos[[#This Row],[Fecha_Cheque]]&gt;0,WEEKNUM(Gastos[[#This Row],[Fecha_Cheque]]),MID(Gastos[[#This Row],[Semana]],6,2))</f>
        <v>29</v>
      </c>
      <c r="O4469" t="s">
        <v>3770</v>
      </c>
      <c r="P4469" t="s">
        <v>27</v>
      </c>
    </row>
    <row r="4470" spans="1:16" x14ac:dyDescent="0.25">
      <c r="A4470" s="3" t="s">
        <v>4655</v>
      </c>
      <c r="B4470" t="s">
        <v>3500</v>
      </c>
      <c r="C4470" t="s">
        <v>3919</v>
      </c>
      <c r="D4470" t="s">
        <v>26</v>
      </c>
      <c r="E4470" t="s">
        <v>91</v>
      </c>
      <c r="F4470">
        <v>1</v>
      </c>
      <c r="G4470" s="3" t="s">
        <v>5</v>
      </c>
      <c r="H4470" s="44" t="s">
        <v>15</v>
      </c>
      <c r="I4470" s="17">
        <f>43000+43000+43000+43000+192000+192000+192000+192000+43000+192000</f>
        <v>1175000</v>
      </c>
      <c r="J4470" s="17">
        <f>IF(Gastos[[#This Row],[Divisa]]="$", I4470*1, IF(Gastos[[#This Row],[Divisa]]="U$D", I4470*$N$1, IF(Gastos[[#This Row],[Divisa]]="EUR", I4470*$N$2, 0)))</f>
        <v>1175000</v>
      </c>
      <c r="K4470" s="54">
        <f>Gastos[[#This Row],[Importe AR$]]/$N$1</f>
        <v>753.20512820512818</v>
      </c>
      <c r="M4470" s="69"/>
      <c r="N4470" s="43" t="str">
        <f>IF(Gastos[[#This Row],[Fecha_Cheque]]&gt;0,WEEKNUM(Gastos[[#This Row],[Fecha_Cheque]]),MID(Gastos[[#This Row],[Semana]],6,2))</f>
        <v>44</v>
      </c>
      <c r="P4470" t="s">
        <v>7</v>
      </c>
    </row>
    <row r="4471" spans="1:16" hidden="1" x14ac:dyDescent="0.25">
      <c r="A4471" s="3" t="s">
        <v>397</v>
      </c>
      <c r="B4471" t="s">
        <v>2704</v>
      </c>
      <c r="C4471" t="s">
        <v>2705</v>
      </c>
      <c r="D4471" t="s">
        <v>26</v>
      </c>
      <c r="E4471" t="s">
        <v>31</v>
      </c>
      <c r="F4471">
        <v>1</v>
      </c>
      <c r="G4471" s="3" t="s">
        <v>32</v>
      </c>
      <c r="H4471" s="44" t="s">
        <v>15</v>
      </c>
      <c r="I4471" s="17">
        <v>781896.19</v>
      </c>
      <c r="J4471" s="17">
        <f>IF(Gastos[[#This Row],[Divisa]]="$", I4471*1, IF(Gastos[[#This Row],[Divisa]]="U$D", I4471*$N$1, IF(Gastos[[#This Row],[Divisa]]="EUR", I4471*$N$2, 0)))</f>
        <v>781896.19</v>
      </c>
      <c r="K4471" s="54">
        <f>Gastos[[#This Row],[Importe AR$]]/$N$1</f>
        <v>501.21550641025635</v>
      </c>
      <c r="M4471" s="69"/>
      <c r="N4471" s="43" t="str">
        <f>IF(Gastos[[#This Row],[Fecha_Cheque]]&gt;0,WEEKNUM(Gastos[[#This Row],[Fecha_Cheque]]),MID(Gastos[[#This Row],[Semana]],6,2))</f>
        <v>11</v>
      </c>
      <c r="O4471" t="s">
        <v>2706</v>
      </c>
      <c r="P4471" t="s">
        <v>27</v>
      </c>
    </row>
    <row r="4472" spans="1:16" hidden="1" x14ac:dyDescent="0.25">
      <c r="A4472" s="3" t="s">
        <v>2841</v>
      </c>
      <c r="B4472" t="s">
        <v>2704</v>
      </c>
      <c r="C4472" t="s">
        <v>3347</v>
      </c>
      <c r="D4472" t="s">
        <v>26</v>
      </c>
      <c r="E4472" t="s">
        <v>31</v>
      </c>
      <c r="F4472">
        <v>1</v>
      </c>
      <c r="G4472" s="3" t="s">
        <v>32</v>
      </c>
      <c r="H4472" s="44" t="s">
        <v>15</v>
      </c>
      <c r="I4472" s="17">
        <v>622566.77</v>
      </c>
      <c r="J4472" s="17">
        <f>IF(Gastos[[#This Row],[Divisa]]="$", I4472*1, IF(Gastos[[#This Row],[Divisa]]="U$D", I4472*$N$1, IF(Gastos[[#This Row],[Divisa]]="EUR", I4472*$N$2, 0)))</f>
        <v>622566.77</v>
      </c>
      <c r="K4472" s="54">
        <f>Gastos[[#This Row],[Importe AR$]]/$N$1</f>
        <v>399.08126282051285</v>
      </c>
      <c r="M4472" s="69">
        <v>46199</v>
      </c>
      <c r="N4472" s="43">
        <f>IF(Gastos[[#This Row],[Fecha_Cheque]]&gt;0,WEEKNUM(Gastos[[#This Row],[Fecha_Cheque]]),MID(Gastos[[#This Row],[Semana]],6,2))</f>
        <v>26</v>
      </c>
      <c r="O4472" t="s">
        <v>3348</v>
      </c>
      <c r="P4472" t="s">
        <v>27</v>
      </c>
    </row>
    <row r="4473" spans="1:16" hidden="1" x14ac:dyDescent="0.25">
      <c r="A4473" s="3" t="s">
        <v>2841</v>
      </c>
      <c r="B4473" t="s">
        <v>2704</v>
      </c>
      <c r="C4473" t="s">
        <v>3347</v>
      </c>
      <c r="D4473" t="s">
        <v>26</v>
      </c>
      <c r="E4473" t="s">
        <v>31</v>
      </c>
      <c r="F4473">
        <v>1</v>
      </c>
      <c r="G4473" s="3" t="s">
        <v>32</v>
      </c>
      <c r="H4473" s="44" t="s">
        <v>15</v>
      </c>
      <c r="I4473" s="17">
        <v>622566.77</v>
      </c>
      <c r="J4473" s="17">
        <f>IF(Gastos[[#This Row],[Divisa]]="$", I4473*1, IF(Gastos[[#This Row],[Divisa]]="U$D", I4473*$N$1, IF(Gastos[[#This Row],[Divisa]]="EUR", I4473*$N$2, 0)))</f>
        <v>622566.77</v>
      </c>
      <c r="K4473" s="54">
        <f>Gastos[[#This Row],[Importe AR$]]/$N$1</f>
        <v>399.08126282051285</v>
      </c>
      <c r="M4473" s="69">
        <v>46205</v>
      </c>
      <c r="N4473" s="43">
        <f>IF(Gastos[[#This Row],[Fecha_Cheque]]&gt;0,WEEKNUM(Gastos[[#This Row],[Fecha_Cheque]]),MID(Gastos[[#This Row],[Semana]],6,2))</f>
        <v>27</v>
      </c>
      <c r="O4473" t="s">
        <v>3348</v>
      </c>
      <c r="P4473" t="s">
        <v>27</v>
      </c>
    </row>
    <row r="4474" spans="1:16" hidden="1" x14ac:dyDescent="0.25">
      <c r="A4474" s="3" t="s">
        <v>2841</v>
      </c>
      <c r="B4474" t="s">
        <v>2704</v>
      </c>
      <c r="C4474" t="s">
        <v>3347</v>
      </c>
      <c r="D4474" t="s">
        <v>26</v>
      </c>
      <c r="E4474" t="s">
        <v>31</v>
      </c>
      <c r="F4474">
        <v>1</v>
      </c>
      <c r="G4474" s="3" t="s">
        <v>32</v>
      </c>
      <c r="H4474" s="44" t="s">
        <v>15</v>
      </c>
      <c r="I4474" s="17">
        <v>16371.32</v>
      </c>
      <c r="J4474" s="17">
        <f>IF(Gastos[[#This Row],[Divisa]]="$", I4474*1, IF(Gastos[[#This Row],[Divisa]]="U$D", I4474*$N$1, IF(Gastos[[#This Row],[Divisa]]="EUR", I4474*$N$2, 0)))</f>
        <v>16371.32</v>
      </c>
      <c r="K4474" s="54">
        <f>Gastos[[#This Row],[Importe AR$]]/$N$1</f>
        <v>10.494435897435897</v>
      </c>
      <c r="L4474" t="s">
        <v>340</v>
      </c>
      <c r="M4474" s="69"/>
      <c r="N4474" s="43" t="str">
        <f>IF(Gastos[[#This Row],[Fecha_Cheque]]&gt;0,WEEKNUM(Gastos[[#This Row],[Fecha_Cheque]]),MID(Gastos[[#This Row],[Semana]],6,2))</f>
        <v>22</v>
      </c>
      <c r="O4474" t="s">
        <v>3348</v>
      </c>
      <c r="P4474" t="s">
        <v>27</v>
      </c>
    </row>
    <row r="4475" spans="1:16" hidden="1" x14ac:dyDescent="0.25">
      <c r="A4475" s="3" t="s">
        <v>3617</v>
      </c>
      <c r="B4475" t="s">
        <v>2704</v>
      </c>
      <c r="C4475" t="s">
        <v>3644</v>
      </c>
      <c r="D4475" t="s">
        <v>26</v>
      </c>
      <c r="E4475" t="s">
        <v>31</v>
      </c>
      <c r="F4475">
        <v>1</v>
      </c>
      <c r="G4475" s="3" t="s">
        <v>5</v>
      </c>
      <c r="H4475" s="44" t="s">
        <v>15</v>
      </c>
      <c r="I4475" s="17">
        <v>622566.77</v>
      </c>
      <c r="J4475" s="17">
        <f>IF(Gastos[[#This Row],[Divisa]]="$", I4475*1, IF(Gastos[[#This Row],[Divisa]]="U$D", I4475*$N$1, IF(Gastos[[#This Row],[Divisa]]="EUR", I4475*$N$2, 0)))</f>
        <v>622566.77</v>
      </c>
      <c r="K4475" s="54">
        <f>Gastos[[#This Row],[Importe AR$]]/$N$1</f>
        <v>399.08126282051285</v>
      </c>
      <c r="M4475" s="69"/>
      <c r="N4475" s="43" t="str">
        <f>IF(Gastos[[#This Row],[Fecha_Cheque]]&gt;0,WEEKNUM(Gastos[[#This Row],[Fecha_Cheque]]),MID(Gastos[[#This Row],[Semana]],6,2))</f>
        <v>27</v>
      </c>
      <c r="O4475" t="s">
        <v>3661</v>
      </c>
      <c r="P4475" t="s">
        <v>27</v>
      </c>
    </row>
    <row r="4476" spans="1:16" hidden="1" x14ac:dyDescent="0.25">
      <c r="A4476" s="3" t="s">
        <v>99</v>
      </c>
      <c r="B4476" t="s">
        <v>2535</v>
      </c>
      <c r="C4476" t="s">
        <v>2536</v>
      </c>
      <c r="D4476" t="s">
        <v>26</v>
      </c>
      <c r="E4476" t="s">
        <v>31</v>
      </c>
      <c r="F4476">
        <v>2</v>
      </c>
      <c r="G4476" s="3" t="s">
        <v>32</v>
      </c>
      <c r="H4476" s="46" t="s">
        <v>15</v>
      </c>
      <c r="I4476" s="17">
        <v>2400000</v>
      </c>
      <c r="J4476" s="17">
        <f>IF(Gastos[[#This Row],[Divisa]]="$", I4476*1, IF(Gastos[[#This Row],[Divisa]]="U$D", I4476*$N$1, IF(Gastos[[#This Row],[Divisa]]="EUR", I4476*$N$2, 0)))</f>
        <v>2400000</v>
      </c>
      <c r="K4476" s="54">
        <f>Gastos[[#This Row],[Importe AR$]]/$N$1</f>
        <v>1538.4615384615386</v>
      </c>
      <c r="L4476" t="s">
        <v>2537</v>
      </c>
      <c r="M4476" s="69">
        <v>45868</v>
      </c>
      <c r="N4476" s="43">
        <f>IF(Gastos[[#This Row],[Fecha_Cheque]]&gt;0,WEEKNUM(Gastos[[#This Row],[Fecha_Cheque]]),MID(Gastos[[#This Row],[Semana]],6,2))</f>
        <v>31</v>
      </c>
      <c r="O4476" t="s">
        <v>2538</v>
      </c>
      <c r="P4476" t="s">
        <v>27</v>
      </c>
    </row>
    <row r="4477" spans="1:16" hidden="1" x14ac:dyDescent="0.25">
      <c r="A4477" s="3" t="s">
        <v>34</v>
      </c>
      <c r="B4477" t="s">
        <v>2535</v>
      </c>
      <c r="C4477" t="s">
        <v>2536</v>
      </c>
      <c r="D4477" t="s">
        <v>26</v>
      </c>
      <c r="E4477" t="s">
        <v>31</v>
      </c>
      <c r="F4477">
        <v>2</v>
      </c>
      <c r="G4477" s="3" t="s">
        <v>4</v>
      </c>
      <c r="H4477" s="46" t="s">
        <v>15</v>
      </c>
      <c r="I4477" s="17">
        <v>96000</v>
      </c>
      <c r="J4477" s="17">
        <f>IF(Gastos[[#This Row],[Divisa]]="$", I4477*1, IF(Gastos[[#This Row],[Divisa]]="U$D", I4477*$N$1, IF(Gastos[[#This Row],[Divisa]]="EUR", I4477*$N$2, 0)))</f>
        <v>96000</v>
      </c>
      <c r="K4477" s="54">
        <f>Gastos[[#This Row],[Importe AR$]]/$N$1</f>
        <v>61.53846153846154</v>
      </c>
      <c r="L4477" t="s">
        <v>215</v>
      </c>
      <c r="M4477" s="69"/>
      <c r="N4477" s="43" t="str">
        <f>IF(Gastos[[#This Row],[Fecha_Cheque]]&gt;0,WEEKNUM(Gastos[[#This Row],[Fecha_Cheque]]),MID(Gastos[[#This Row],[Semana]],6,2))</f>
        <v>32</v>
      </c>
      <c r="O4477" t="s">
        <v>2539</v>
      </c>
      <c r="P4477" t="s">
        <v>27</v>
      </c>
    </row>
    <row r="4478" spans="1:16" hidden="1" x14ac:dyDescent="0.25">
      <c r="A4478" s="3" t="s">
        <v>34</v>
      </c>
      <c r="B4478" t="s">
        <v>2535</v>
      </c>
      <c r="C4478" t="s">
        <v>2536</v>
      </c>
      <c r="D4478" t="s">
        <v>26</v>
      </c>
      <c r="E4478" t="s">
        <v>31</v>
      </c>
      <c r="F4478">
        <v>2</v>
      </c>
      <c r="G4478" s="3" t="s">
        <v>4</v>
      </c>
      <c r="H4478" s="46" t="s">
        <v>15</v>
      </c>
      <c r="I4478" s="17">
        <v>250000</v>
      </c>
      <c r="J4478" s="17">
        <f>IF(Gastos[[#This Row],[Divisa]]="$", I4478*1, IF(Gastos[[#This Row],[Divisa]]="U$D", I4478*$N$1, IF(Gastos[[#This Row],[Divisa]]="EUR", I4478*$N$2, 0)))</f>
        <v>250000</v>
      </c>
      <c r="K4478" s="54">
        <f>Gastos[[#This Row],[Importe AR$]]/$N$1</f>
        <v>160.25641025641025</v>
      </c>
      <c r="L4478" t="s">
        <v>215</v>
      </c>
      <c r="M4478" s="69">
        <v>45864</v>
      </c>
      <c r="N4478" s="43">
        <f>IF(Gastos[[#This Row],[Fecha_Cheque]]&gt;0,WEEKNUM(Gastos[[#This Row],[Fecha_Cheque]]),MID(Gastos[[#This Row],[Semana]],6,2))</f>
        <v>30</v>
      </c>
      <c r="O4478" t="s">
        <v>2539</v>
      </c>
      <c r="P4478" t="s">
        <v>27</v>
      </c>
    </row>
    <row r="4479" spans="1:16" hidden="1" x14ac:dyDescent="0.25">
      <c r="A4479" s="3" t="s">
        <v>34</v>
      </c>
      <c r="B4479" t="s">
        <v>2535</v>
      </c>
      <c r="C4479" t="s">
        <v>2536</v>
      </c>
      <c r="D4479" t="s">
        <v>26</v>
      </c>
      <c r="E4479" t="s">
        <v>31</v>
      </c>
      <c r="F4479">
        <v>2</v>
      </c>
      <c r="G4479" s="3" t="s">
        <v>4</v>
      </c>
      <c r="H4479" s="46" t="s">
        <v>15</v>
      </c>
      <c r="I4479" s="17">
        <v>300000</v>
      </c>
      <c r="J4479" s="17">
        <f>IF(Gastos[[#This Row],[Divisa]]="$", I4479*1, IF(Gastos[[#This Row],[Divisa]]="U$D", I4479*$N$1, IF(Gastos[[#This Row],[Divisa]]="EUR", I4479*$N$2, 0)))</f>
        <v>300000</v>
      </c>
      <c r="K4479" s="54">
        <f>Gastos[[#This Row],[Importe AR$]]/$N$1</f>
        <v>192.30769230769232</v>
      </c>
      <c r="L4479" t="s">
        <v>215</v>
      </c>
      <c r="M4479" s="69">
        <v>45887</v>
      </c>
      <c r="N4479" s="43">
        <f>IF(Gastos[[#This Row],[Fecha_Cheque]]&gt;0,WEEKNUM(Gastos[[#This Row],[Fecha_Cheque]]),MID(Gastos[[#This Row],[Semana]],6,2))</f>
        <v>34</v>
      </c>
      <c r="O4479" t="s">
        <v>2539</v>
      </c>
      <c r="P4479" t="s">
        <v>27</v>
      </c>
    </row>
    <row r="4480" spans="1:16" hidden="1" x14ac:dyDescent="0.25">
      <c r="A4480" s="3" t="s">
        <v>34</v>
      </c>
      <c r="B4480" t="s">
        <v>2535</v>
      </c>
      <c r="C4480" t="s">
        <v>2536</v>
      </c>
      <c r="D4480" t="s">
        <v>26</v>
      </c>
      <c r="E4480" t="s">
        <v>31</v>
      </c>
      <c r="F4480">
        <v>2</v>
      </c>
      <c r="G4480" s="3" t="s">
        <v>4</v>
      </c>
      <c r="H4480" s="46" t="s">
        <v>15</v>
      </c>
      <c r="I4480" s="17">
        <v>660000</v>
      </c>
      <c r="J4480" s="17">
        <f>IF(Gastos[[#This Row],[Divisa]]="$", I4480*1, IF(Gastos[[#This Row],[Divisa]]="U$D", I4480*$N$1, IF(Gastos[[#This Row],[Divisa]]="EUR", I4480*$N$2, 0)))</f>
        <v>660000</v>
      </c>
      <c r="K4480" s="54">
        <f>Gastos[[#This Row],[Importe AR$]]/$N$1</f>
        <v>423.07692307692309</v>
      </c>
      <c r="L4480" t="s">
        <v>215</v>
      </c>
      <c r="M4480" s="69">
        <v>45859</v>
      </c>
      <c r="N4480" s="43">
        <f>IF(Gastos[[#This Row],[Fecha_Cheque]]&gt;0,WEEKNUM(Gastos[[#This Row],[Fecha_Cheque]]),MID(Gastos[[#This Row],[Semana]],6,2))</f>
        <v>30</v>
      </c>
      <c r="O4480" t="s">
        <v>2539</v>
      </c>
      <c r="P4480" t="s">
        <v>27</v>
      </c>
    </row>
    <row r="4481" spans="1:16" hidden="1" x14ac:dyDescent="0.25">
      <c r="A4481" s="3" t="s">
        <v>34</v>
      </c>
      <c r="B4481" t="s">
        <v>2535</v>
      </c>
      <c r="C4481" t="s">
        <v>2536</v>
      </c>
      <c r="D4481" t="s">
        <v>26</v>
      </c>
      <c r="E4481" t="s">
        <v>31</v>
      </c>
      <c r="F4481">
        <v>2</v>
      </c>
      <c r="G4481" s="3" t="s">
        <v>4</v>
      </c>
      <c r="H4481" s="46" t="s">
        <v>15</v>
      </c>
      <c r="I4481" s="17">
        <v>669000</v>
      </c>
      <c r="J4481" s="17">
        <f>IF(Gastos[[#This Row],[Divisa]]="$", I4481*1, IF(Gastos[[#This Row],[Divisa]]="U$D", I4481*$N$1, IF(Gastos[[#This Row],[Divisa]]="EUR", I4481*$N$2, 0)))</f>
        <v>669000</v>
      </c>
      <c r="K4481" s="54">
        <f>Gastos[[#This Row],[Importe AR$]]/$N$1</f>
        <v>428.84615384615387</v>
      </c>
      <c r="L4481" t="s">
        <v>215</v>
      </c>
      <c r="M4481" s="69">
        <v>45883</v>
      </c>
      <c r="N4481" s="43">
        <f>IF(Gastos[[#This Row],[Fecha_Cheque]]&gt;0,WEEKNUM(Gastos[[#This Row],[Fecha_Cheque]]),MID(Gastos[[#This Row],[Semana]],6,2))</f>
        <v>33</v>
      </c>
      <c r="O4481" t="s">
        <v>2539</v>
      </c>
      <c r="P4481" t="s">
        <v>27</v>
      </c>
    </row>
    <row r="4482" spans="1:16" hidden="1" x14ac:dyDescent="0.25">
      <c r="A4482" s="3" t="s">
        <v>3817</v>
      </c>
      <c r="B4482" t="s">
        <v>3819</v>
      </c>
      <c r="C4482" t="s">
        <v>3820</v>
      </c>
      <c r="D4482" t="s">
        <v>26</v>
      </c>
      <c r="E4482" t="s">
        <v>31</v>
      </c>
      <c r="F4482">
        <v>2</v>
      </c>
      <c r="G4482" s="3" t="s">
        <v>32</v>
      </c>
      <c r="H4482" s="44" t="s">
        <v>15</v>
      </c>
      <c r="I4482" s="17">
        <v>2500000</v>
      </c>
      <c r="J4482" s="17">
        <f>IF(Gastos[[#This Row],[Divisa]]="$", I4482*1, IF(Gastos[[#This Row],[Divisa]]="U$D", I4482*$N$1, IF(Gastos[[#This Row],[Divisa]]="EUR", I4482*$N$2, 0)))</f>
        <v>2500000</v>
      </c>
      <c r="K4482" s="54">
        <f>Gastos[[#This Row],[Importe AR$]]/$N$1</f>
        <v>1602.5641025641025</v>
      </c>
      <c r="M4482" s="69">
        <v>46252</v>
      </c>
      <c r="N4482" s="43">
        <f>IF(Gastos[[#This Row],[Fecha_Cheque]]&gt;0,WEEKNUM(Gastos[[#This Row],[Fecha_Cheque]]),MID(Gastos[[#This Row],[Semana]],6,2))</f>
        <v>34</v>
      </c>
      <c r="O4482" t="s">
        <v>3821</v>
      </c>
      <c r="P4482" t="s">
        <v>27</v>
      </c>
    </row>
    <row r="4483" spans="1:16" hidden="1" x14ac:dyDescent="0.25">
      <c r="A4483" s="3" t="s">
        <v>3817</v>
      </c>
      <c r="B4483" t="s">
        <v>3819</v>
      </c>
      <c r="C4483" t="s">
        <v>3820</v>
      </c>
      <c r="D4483" t="s">
        <v>26</v>
      </c>
      <c r="E4483" t="s">
        <v>31</v>
      </c>
      <c r="F4483">
        <v>2</v>
      </c>
      <c r="G4483" s="3" t="s">
        <v>32</v>
      </c>
      <c r="H4483" s="44" t="s">
        <v>15</v>
      </c>
      <c r="I4483" s="17">
        <v>2726733</v>
      </c>
      <c r="J4483" s="17">
        <f>IF(Gastos[[#This Row],[Divisa]]="$", I4483*1, IF(Gastos[[#This Row],[Divisa]]="U$D", I4483*$N$1, IF(Gastos[[#This Row],[Divisa]]="EUR", I4483*$N$2, 0)))</f>
        <v>2726733</v>
      </c>
      <c r="K4483" s="54">
        <f>Gastos[[#This Row],[Importe AR$]]/$N$1</f>
        <v>1747.9057692307692</v>
      </c>
      <c r="M4483" s="69">
        <v>46262</v>
      </c>
      <c r="N4483" s="43">
        <f>IF(Gastos[[#This Row],[Fecha_Cheque]]&gt;0,WEEKNUM(Gastos[[#This Row],[Fecha_Cheque]]),MID(Gastos[[#This Row],[Semana]],6,2))</f>
        <v>35</v>
      </c>
      <c r="O4483" t="s">
        <v>3821</v>
      </c>
      <c r="P4483" t="s">
        <v>27</v>
      </c>
    </row>
    <row r="4484" spans="1:16" hidden="1" x14ac:dyDescent="0.25">
      <c r="A4484" s="3" t="s">
        <v>128</v>
      </c>
      <c r="B4484" t="s">
        <v>2540</v>
      </c>
      <c r="C4484" t="s">
        <v>2541</v>
      </c>
      <c r="D4484" t="s">
        <v>26</v>
      </c>
      <c r="E4484" t="s">
        <v>31</v>
      </c>
      <c r="F4484">
        <v>1</v>
      </c>
      <c r="G4484" s="3" t="s">
        <v>5</v>
      </c>
      <c r="H4484" s="46" t="s">
        <v>15</v>
      </c>
      <c r="I4484" s="17">
        <v>700000</v>
      </c>
      <c r="J4484" s="17">
        <f>IF(Gastos[[#This Row],[Divisa]]="$", I4484*1, IF(Gastos[[#This Row],[Divisa]]="U$D", I4484*$N$1, IF(Gastos[[#This Row],[Divisa]]="EUR", I4484*$N$2, 0)))</f>
        <v>700000</v>
      </c>
      <c r="K4484" s="54">
        <f>Gastos[[#This Row],[Importe AR$]]/$N$1</f>
        <v>448.71794871794873</v>
      </c>
      <c r="M4484" s="69"/>
      <c r="N4484" s="43" t="str">
        <f>IF(Gastos[[#This Row],[Fecha_Cheque]]&gt;0,WEEKNUM(Gastos[[#This Row],[Fecha_Cheque]]),MID(Gastos[[#This Row],[Semana]],6,2))</f>
        <v>43</v>
      </c>
      <c r="O4484" t="s">
        <v>2542</v>
      </c>
      <c r="P4484" t="s">
        <v>27</v>
      </c>
    </row>
    <row r="4485" spans="1:16" hidden="1" x14ac:dyDescent="0.25">
      <c r="A4485" s="3" t="s">
        <v>128</v>
      </c>
      <c r="B4485" t="s">
        <v>2540</v>
      </c>
      <c r="C4485" t="s">
        <v>2541</v>
      </c>
      <c r="D4485" t="s">
        <v>26</v>
      </c>
      <c r="E4485" t="s">
        <v>31</v>
      </c>
      <c r="F4485">
        <v>1</v>
      </c>
      <c r="G4485" s="3" t="s">
        <v>32</v>
      </c>
      <c r="H4485" s="46" t="s">
        <v>15</v>
      </c>
      <c r="I4485" s="17">
        <v>670000</v>
      </c>
      <c r="J4485" s="17">
        <f>IF(Gastos[[#This Row],[Divisa]]="$", I4485*1, IF(Gastos[[#This Row],[Divisa]]="U$D", I4485*$N$1, IF(Gastos[[#This Row],[Divisa]]="EUR", I4485*$N$2, 0)))</f>
        <v>670000</v>
      </c>
      <c r="K4485" s="54">
        <f>Gastos[[#This Row],[Importe AR$]]/$N$1</f>
        <v>429.4871794871795</v>
      </c>
      <c r="M4485" s="69">
        <v>46003</v>
      </c>
      <c r="N4485" s="43">
        <f>IF(Gastos[[#This Row],[Fecha_Cheque]]&gt;0,WEEKNUM(Gastos[[#This Row],[Fecha_Cheque]]),MID(Gastos[[#This Row],[Semana]],6,2))</f>
        <v>50</v>
      </c>
      <c r="O4485" t="s">
        <v>2543</v>
      </c>
      <c r="P4485" t="s">
        <v>27</v>
      </c>
    </row>
    <row r="4486" spans="1:16" hidden="1" x14ac:dyDescent="0.25">
      <c r="A4486" s="3" t="s">
        <v>128</v>
      </c>
      <c r="B4486" t="s">
        <v>2540</v>
      </c>
      <c r="C4486" t="s">
        <v>2541</v>
      </c>
      <c r="D4486" t="s">
        <v>26</v>
      </c>
      <c r="E4486" t="s">
        <v>31</v>
      </c>
      <c r="F4486">
        <v>1</v>
      </c>
      <c r="G4486" s="3" t="s">
        <v>32</v>
      </c>
      <c r="H4486" s="46" t="s">
        <v>15</v>
      </c>
      <c r="I4486" s="17">
        <v>336250</v>
      </c>
      <c r="J4486" s="17">
        <f>IF(Gastos[[#This Row],[Divisa]]="$", I4486*1, IF(Gastos[[#This Row],[Divisa]]="U$D", I4486*$N$1, IF(Gastos[[#This Row],[Divisa]]="EUR", I4486*$N$2, 0)))</f>
        <v>336250</v>
      </c>
      <c r="K4486" s="54">
        <f>Gastos[[#This Row],[Importe AR$]]/$N$1</f>
        <v>215.5448717948718</v>
      </c>
      <c r="M4486" s="69">
        <v>45973</v>
      </c>
      <c r="N4486" s="43">
        <f>IF(Gastos[[#This Row],[Fecha_Cheque]]&gt;0,WEEKNUM(Gastos[[#This Row],[Fecha_Cheque]]),MID(Gastos[[#This Row],[Semana]],6,2))</f>
        <v>46</v>
      </c>
      <c r="O4486" t="s">
        <v>2543</v>
      </c>
      <c r="P4486" t="s">
        <v>27</v>
      </c>
    </row>
    <row r="4487" spans="1:16" hidden="1" x14ac:dyDescent="0.25">
      <c r="A4487" s="3" t="s">
        <v>128</v>
      </c>
      <c r="B4487" t="s">
        <v>2540</v>
      </c>
      <c r="C4487" t="s">
        <v>2541</v>
      </c>
      <c r="D4487" t="s">
        <v>26</v>
      </c>
      <c r="E4487" t="s">
        <v>31</v>
      </c>
      <c r="F4487">
        <v>1</v>
      </c>
      <c r="G4487" s="3" t="s">
        <v>32</v>
      </c>
      <c r="H4487" s="46" t="s">
        <v>15</v>
      </c>
      <c r="I4487" s="17">
        <v>380141.9</v>
      </c>
      <c r="J4487" s="17">
        <f>IF(Gastos[[#This Row],[Divisa]]="$", I4487*1, IF(Gastos[[#This Row],[Divisa]]="U$D", I4487*$N$1, IF(Gastos[[#This Row],[Divisa]]="EUR", I4487*$N$2, 0)))</f>
        <v>380141.9</v>
      </c>
      <c r="K4487" s="54">
        <f>Gastos[[#This Row],[Importe AR$]]/$N$1</f>
        <v>243.68070512820515</v>
      </c>
      <c r="M4487" s="69">
        <v>45948</v>
      </c>
      <c r="N4487" s="43">
        <f>IF(Gastos[[#This Row],[Fecha_Cheque]]&gt;0,WEEKNUM(Gastos[[#This Row],[Fecha_Cheque]]),MID(Gastos[[#This Row],[Semana]],6,2))</f>
        <v>42</v>
      </c>
      <c r="O4487" t="s">
        <v>2543</v>
      </c>
      <c r="P4487" t="s">
        <v>27</v>
      </c>
    </row>
    <row r="4488" spans="1:16" hidden="1" x14ac:dyDescent="0.25">
      <c r="A4488" s="3" t="s">
        <v>79</v>
      </c>
      <c r="B4488" t="s">
        <v>2540</v>
      </c>
      <c r="C4488" t="s">
        <v>2541</v>
      </c>
      <c r="D4488" t="s">
        <v>26</v>
      </c>
      <c r="E4488" t="s">
        <v>62</v>
      </c>
      <c r="F4488">
        <v>1</v>
      </c>
      <c r="G4488" s="3" t="s">
        <v>32</v>
      </c>
      <c r="H4488" s="46" t="s">
        <v>15</v>
      </c>
      <c r="I4488" s="17">
        <v>1015520</v>
      </c>
      <c r="J4488" s="17">
        <f>IF(Gastos[[#This Row],[Divisa]]="$", I4488*1, IF(Gastos[[#This Row],[Divisa]]="U$D", I4488*$N$1, IF(Gastos[[#This Row],[Divisa]]="EUR", I4488*$N$2, 0)))</f>
        <v>1015520</v>
      </c>
      <c r="K4488" s="54">
        <f>Gastos[[#This Row],[Importe AR$]]/$N$1</f>
        <v>650.97435897435901</v>
      </c>
      <c r="M4488" s="69"/>
      <c r="N4488" s="43" t="str">
        <f>IF(Gastos[[#This Row],[Fecha_Cheque]]&gt;0,WEEKNUM(Gastos[[#This Row],[Fecha_Cheque]]),MID(Gastos[[#This Row],[Semana]],6,2))</f>
        <v>47</v>
      </c>
      <c r="O4488" t="s">
        <v>2544</v>
      </c>
      <c r="P4488" t="s">
        <v>27</v>
      </c>
    </row>
    <row r="4489" spans="1:16" hidden="1" x14ac:dyDescent="0.25">
      <c r="A4489" s="3" t="s">
        <v>68</v>
      </c>
      <c r="B4489" t="s">
        <v>2540</v>
      </c>
      <c r="C4489" t="s">
        <v>2541</v>
      </c>
      <c r="D4489" t="s">
        <v>26</v>
      </c>
      <c r="E4489" t="s">
        <v>62</v>
      </c>
      <c r="F4489">
        <v>1</v>
      </c>
      <c r="G4489" s="3" t="s">
        <v>32</v>
      </c>
      <c r="H4489" s="46" t="s">
        <v>15</v>
      </c>
      <c r="I4489" s="17">
        <v>582500</v>
      </c>
      <c r="J4489" s="17">
        <f>IF(Gastos[[#This Row],[Divisa]]="$", I4489*1, IF(Gastos[[#This Row],[Divisa]]="U$D", I4489*$N$1, IF(Gastos[[#This Row],[Divisa]]="EUR", I4489*$N$2, 0)))</f>
        <v>582500</v>
      </c>
      <c r="K4489" s="54">
        <f>Gastos[[#This Row],[Importe AR$]]/$N$1</f>
        <v>373.39743589743591</v>
      </c>
      <c r="M4489" s="69">
        <v>46036</v>
      </c>
      <c r="N4489" s="43">
        <f>IF(Gastos[[#This Row],[Fecha_Cheque]]&gt;0,WEEKNUM(Gastos[[#This Row],[Fecha_Cheque]]),MID(Gastos[[#This Row],[Semana]],6,2))</f>
        <v>3</v>
      </c>
      <c r="O4489" t="s">
        <v>2545</v>
      </c>
      <c r="P4489" t="s">
        <v>27</v>
      </c>
    </row>
    <row r="4490" spans="1:16" hidden="1" x14ac:dyDescent="0.25">
      <c r="A4490" s="3" t="s">
        <v>68</v>
      </c>
      <c r="B4490" t="s">
        <v>2540</v>
      </c>
      <c r="C4490" t="s">
        <v>2541</v>
      </c>
      <c r="D4490" t="s">
        <v>26</v>
      </c>
      <c r="E4490" t="s">
        <v>62</v>
      </c>
      <c r="F4490">
        <v>1</v>
      </c>
      <c r="G4490" s="3" t="s">
        <v>32</v>
      </c>
      <c r="H4490" s="46" t="s">
        <v>15</v>
      </c>
      <c r="I4490" s="17">
        <v>603800</v>
      </c>
      <c r="J4490" s="17">
        <f>IF(Gastos[[#This Row],[Divisa]]="$", I4490*1, IF(Gastos[[#This Row],[Divisa]]="U$D", I4490*$N$1, IF(Gastos[[#This Row],[Divisa]]="EUR", I4490*$N$2, 0)))</f>
        <v>603800</v>
      </c>
      <c r="K4490" s="54">
        <f>Gastos[[#This Row],[Importe AR$]]/$N$1</f>
        <v>387.05128205128204</v>
      </c>
      <c r="M4490" s="69">
        <v>46067</v>
      </c>
      <c r="N4490" s="43">
        <f>IF(Gastos[[#This Row],[Fecha_Cheque]]&gt;0,WEEKNUM(Gastos[[#This Row],[Fecha_Cheque]]),MID(Gastos[[#This Row],[Semana]],6,2))</f>
        <v>7</v>
      </c>
      <c r="O4490" t="s">
        <v>2545</v>
      </c>
      <c r="P4490" t="s">
        <v>27</v>
      </c>
    </row>
    <row r="4491" spans="1:16" hidden="1" x14ac:dyDescent="0.25">
      <c r="A4491" s="3" t="s">
        <v>68</v>
      </c>
      <c r="B4491" t="s">
        <v>2540</v>
      </c>
      <c r="C4491" t="s">
        <v>2541</v>
      </c>
      <c r="D4491" t="s">
        <v>26</v>
      </c>
      <c r="E4491" t="s">
        <v>62</v>
      </c>
      <c r="F4491">
        <v>1</v>
      </c>
      <c r="G4491" s="3" t="s">
        <v>32</v>
      </c>
      <c r="H4491" s="46" t="s">
        <v>15</v>
      </c>
      <c r="I4491" s="17">
        <v>1376200</v>
      </c>
      <c r="J4491" s="17">
        <f>IF(Gastos[[#This Row],[Divisa]]="$", I4491*1, IF(Gastos[[#This Row],[Divisa]]="U$D", I4491*$N$1, IF(Gastos[[#This Row],[Divisa]]="EUR", I4491*$N$2, 0)))</f>
        <v>1376200</v>
      </c>
      <c r="K4491" s="54">
        <f>Gastos[[#This Row],[Importe AR$]]/$N$1</f>
        <v>882.17948717948718</v>
      </c>
      <c r="M4491" s="69">
        <v>46088</v>
      </c>
      <c r="N4491" s="43">
        <f>IF(Gastos[[#This Row],[Fecha_Cheque]]&gt;0,WEEKNUM(Gastos[[#This Row],[Fecha_Cheque]]),MID(Gastos[[#This Row],[Semana]],6,2))</f>
        <v>10</v>
      </c>
      <c r="O4491" t="s">
        <v>2545</v>
      </c>
      <c r="P4491" t="s">
        <v>27</v>
      </c>
    </row>
    <row r="4492" spans="1:16" hidden="1" x14ac:dyDescent="0.25">
      <c r="A4492" s="3" t="s">
        <v>114</v>
      </c>
      <c r="B4492" t="s">
        <v>2540</v>
      </c>
      <c r="C4492" t="s">
        <v>2548</v>
      </c>
      <c r="D4492" t="s">
        <v>26</v>
      </c>
      <c r="E4492" t="s">
        <v>31</v>
      </c>
      <c r="F4492">
        <v>1</v>
      </c>
      <c r="G4492" s="3" t="s">
        <v>32</v>
      </c>
      <c r="H4492" s="46" t="s">
        <v>15</v>
      </c>
      <c r="I4492" s="17">
        <v>4736000</v>
      </c>
      <c r="J4492" s="17">
        <f>IF(Gastos[[#This Row],[Divisa]]="$", I4492*1, IF(Gastos[[#This Row],[Divisa]]="U$D", I4492*$N$1, IF(Gastos[[#This Row],[Divisa]]="EUR", I4492*$N$2, 0)))</f>
        <v>4736000</v>
      </c>
      <c r="K4492" s="54">
        <f>Gastos[[#This Row],[Importe AR$]]/$N$1</f>
        <v>3035.897435897436</v>
      </c>
      <c r="M4492" s="69">
        <v>45877</v>
      </c>
      <c r="N4492" s="43">
        <f>IF(Gastos[[#This Row],[Fecha_Cheque]]&gt;0,WEEKNUM(Gastos[[#This Row],[Fecha_Cheque]]),MID(Gastos[[#This Row],[Semana]],6,2))</f>
        <v>32</v>
      </c>
      <c r="O4492" t="s">
        <v>2549</v>
      </c>
      <c r="P4492" t="s">
        <v>27</v>
      </c>
    </row>
    <row r="4493" spans="1:16" hidden="1" x14ac:dyDescent="0.25">
      <c r="A4493" s="3" t="s">
        <v>180</v>
      </c>
      <c r="B4493" t="s">
        <v>2540</v>
      </c>
      <c r="C4493" t="s">
        <v>2541</v>
      </c>
      <c r="D4493" t="s">
        <v>26</v>
      </c>
      <c r="E4493" t="s">
        <v>62</v>
      </c>
      <c r="F4493">
        <v>1</v>
      </c>
      <c r="G4493" s="3" t="s">
        <v>32</v>
      </c>
      <c r="H4493" s="46" t="s">
        <v>15</v>
      </c>
      <c r="I4493" s="17">
        <v>1223150</v>
      </c>
      <c r="J4493" s="17">
        <f>IF(Gastos[[#This Row],[Divisa]]="$", I4493*1, IF(Gastos[[#This Row],[Divisa]]="U$D", I4493*$N$1, IF(Gastos[[#This Row],[Divisa]]="EUR", I4493*$N$2, 0)))</f>
        <v>1223150</v>
      </c>
      <c r="K4493" s="54">
        <f>Gastos[[#This Row],[Importe AR$]]/$N$1</f>
        <v>784.07051282051282</v>
      </c>
      <c r="M4493" s="69">
        <v>46049</v>
      </c>
      <c r="N4493" s="43">
        <f>IF(Gastos[[#This Row],[Fecha_Cheque]]&gt;0,WEEKNUM(Gastos[[#This Row],[Fecha_Cheque]]),MID(Gastos[[#This Row],[Semana]],6,2))</f>
        <v>5</v>
      </c>
      <c r="O4493" t="s">
        <v>2626</v>
      </c>
      <c r="P4493" t="s">
        <v>27</v>
      </c>
    </row>
    <row r="4494" spans="1:16" hidden="1" x14ac:dyDescent="0.25">
      <c r="A4494" s="3" t="s">
        <v>180</v>
      </c>
      <c r="B4494" t="s">
        <v>2540</v>
      </c>
      <c r="C4494" t="s">
        <v>2541</v>
      </c>
      <c r="D4494" t="s">
        <v>26</v>
      </c>
      <c r="E4494" t="s">
        <v>62</v>
      </c>
      <c r="F4494">
        <v>1</v>
      </c>
      <c r="G4494" s="3" t="s">
        <v>32</v>
      </c>
      <c r="H4494" s="46" t="s">
        <v>15</v>
      </c>
      <c r="I4494" s="17">
        <v>2753451.8</v>
      </c>
      <c r="J4494" s="17">
        <f>IF(Gastos[[#This Row],[Divisa]]="$", I4494*1, IF(Gastos[[#This Row],[Divisa]]="U$D", I4494*$N$1, IF(Gastos[[#This Row],[Divisa]]="EUR", I4494*$N$2, 0)))</f>
        <v>2753451.8</v>
      </c>
      <c r="K4494" s="54">
        <f>Gastos[[#This Row],[Importe AR$]]/$N$1</f>
        <v>1765.0332051282051</v>
      </c>
      <c r="M4494" s="69"/>
      <c r="N4494" s="43" t="str">
        <f>IF(Gastos[[#This Row],[Fecha_Cheque]]&gt;0,WEEKNUM(Gastos[[#This Row],[Fecha_Cheque]]),MID(Gastos[[#This Row],[Semana]],6,2))</f>
        <v>09</v>
      </c>
      <c r="O4494" t="s">
        <v>2626</v>
      </c>
      <c r="P4494" t="s">
        <v>27</v>
      </c>
    </row>
    <row r="4495" spans="1:16" hidden="1" x14ac:dyDescent="0.25">
      <c r="A4495" s="3" t="s">
        <v>332</v>
      </c>
      <c r="B4495" t="s">
        <v>2540</v>
      </c>
      <c r="C4495" t="s">
        <v>2786</v>
      </c>
      <c r="D4495" t="s">
        <v>26</v>
      </c>
      <c r="E4495" t="s">
        <v>62</v>
      </c>
      <c r="F4495">
        <v>1</v>
      </c>
      <c r="G4495" s="3" t="s">
        <v>32</v>
      </c>
      <c r="H4495" s="44" t="s">
        <v>15</v>
      </c>
      <c r="I4495" s="17">
        <v>400000</v>
      </c>
      <c r="J4495" s="17">
        <f>IF(Gastos[[#This Row],[Divisa]]="$", I4495*1, IF(Gastos[[#This Row],[Divisa]]="U$D", I4495*$N$1, IF(Gastos[[#This Row],[Divisa]]="EUR", I4495*$N$2, 0)))</f>
        <v>400000</v>
      </c>
      <c r="K4495" s="54">
        <f>Gastos[[#This Row],[Importe AR$]]/$N$1</f>
        <v>256.41025641025641</v>
      </c>
      <c r="M4495" s="69"/>
      <c r="N4495" s="43" t="str">
        <f>IF(Gastos[[#This Row],[Fecha_Cheque]]&gt;0,WEEKNUM(Gastos[[#This Row],[Fecha_Cheque]]),MID(Gastos[[#This Row],[Semana]],6,2))</f>
        <v>12</v>
      </c>
      <c r="O4495" t="s">
        <v>2787</v>
      </c>
      <c r="P4495" t="s">
        <v>27</v>
      </c>
    </row>
    <row r="4496" spans="1:16" hidden="1" x14ac:dyDescent="0.25">
      <c r="A4496" s="3" t="s">
        <v>332</v>
      </c>
      <c r="B4496" t="s">
        <v>2540</v>
      </c>
      <c r="C4496" t="s">
        <v>2786</v>
      </c>
      <c r="D4496" t="s">
        <v>26</v>
      </c>
      <c r="E4496" t="s">
        <v>62</v>
      </c>
      <c r="F4496">
        <v>1</v>
      </c>
      <c r="G4496" s="3" t="s">
        <v>32</v>
      </c>
      <c r="H4496" s="44" t="s">
        <v>15</v>
      </c>
      <c r="I4496" s="17">
        <v>2131.5700000000002</v>
      </c>
      <c r="J4496" s="17">
        <f>IF(Gastos[[#This Row],[Divisa]]="$", I4496*1, IF(Gastos[[#This Row],[Divisa]]="U$D", I4496*$N$1, IF(Gastos[[#This Row],[Divisa]]="EUR", I4496*$N$2, 0)))</f>
        <v>2131.5700000000002</v>
      </c>
      <c r="K4496" s="54">
        <f>Gastos[[#This Row],[Importe AR$]]/$N$1</f>
        <v>1.3663910256410257</v>
      </c>
      <c r="L4496" t="s">
        <v>340</v>
      </c>
      <c r="M4496" s="69"/>
      <c r="N4496" s="43" t="str">
        <f>IF(Gastos[[#This Row],[Fecha_Cheque]]&gt;0,WEEKNUM(Gastos[[#This Row],[Fecha_Cheque]]),MID(Gastos[[#This Row],[Semana]],6,2))</f>
        <v>12</v>
      </c>
      <c r="O4496" t="s">
        <v>2787</v>
      </c>
      <c r="P4496" t="s">
        <v>27</v>
      </c>
    </row>
    <row r="4497" spans="1:16" hidden="1" x14ac:dyDescent="0.25">
      <c r="A4497" s="3" t="s">
        <v>2731</v>
      </c>
      <c r="B4497" t="s">
        <v>2540</v>
      </c>
      <c r="C4497" t="s">
        <v>2541</v>
      </c>
      <c r="D4497" t="s">
        <v>26</v>
      </c>
      <c r="E4497" t="s">
        <v>62</v>
      </c>
      <c r="F4497">
        <v>1</v>
      </c>
      <c r="G4497" s="3" t="s">
        <v>32</v>
      </c>
      <c r="H4497" s="46" t="s">
        <v>15</v>
      </c>
      <c r="I4497" s="17">
        <v>17338.18</v>
      </c>
      <c r="J4497" s="17">
        <f>IF(Gastos[[#This Row],[Divisa]]="$", I4497*1, IF(Gastos[[#This Row],[Divisa]]="U$D", I4497*$N$1, IF(Gastos[[#This Row],[Divisa]]="EUR", I4497*$N$2, 0)))</f>
        <v>17338.18</v>
      </c>
      <c r="K4497" s="54">
        <f>Gastos[[#This Row],[Importe AR$]]/$N$1</f>
        <v>11.114217948717949</v>
      </c>
      <c r="L4497" t="s">
        <v>340</v>
      </c>
      <c r="M4497" s="69"/>
      <c r="N4497" s="43" t="str">
        <f>IF(Gastos[[#This Row],[Fecha_Cheque]]&gt;0,WEEKNUM(Gastos[[#This Row],[Fecha_Cheque]]),MID(Gastos[[#This Row],[Semana]],6,2))</f>
        <v>17</v>
      </c>
      <c r="O4497" t="s">
        <v>3142</v>
      </c>
      <c r="P4497" t="s">
        <v>27</v>
      </c>
    </row>
    <row r="4498" spans="1:16" hidden="1" x14ac:dyDescent="0.25">
      <c r="A4498" s="3" t="s">
        <v>2731</v>
      </c>
      <c r="B4498" t="s">
        <v>2540</v>
      </c>
      <c r="C4498" t="s">
        <v>2541</v>
      </c>
      <c r="D4498" t="s">
        <v>26</v>
      </c>
      <c r="E4498" t="s">
        <v>62</v>
      </c>
      <c r="F4498">
        <v>1</v>
      </c>
      <c r="G4498" s="3" t="s">
        <v>32</v>
      </c>
      <c r="H4498" s="46" t="s">
        <v>15</v>
      </c>
      <c r="I4498" s="17">
        <v>1320000</v>
      </c>
      <c r="J4498" s="17">
        <f>IF(Gastos[[#This Row],[Divisa]]="$", I4498*1, IF(Gastos[[#This Row],[Divisa]]="U$D", I4498*$N$1, IF(Gastos[[#This Row],[Divisa]]="EUR", I4498*$N$2, 0)))</f>
        <v>1320000</v>
      </c>
      <c r="K4498" s="54">
        <f>Gastos[[#This Row],[Importe AR$]]/$N$1</f>
        <v>846.15384615384619</v>
      </c>
      <c r="M4498" s="69">
        <v>46163</v>
      </c>
      <c r="N4498" s="43">
        <f>IF(Gastos[[#This Row],[Fecha_Cheque]]&gt;0,WEEKNUM(Gastos[[#This Row],[Fecha_Cheque]]),MID(Gastos[[#This Row],[Semana]],6,2))</f>
        <v>21</v>
      </c>
      <c r="O4498" t="s">
        <v>3142</v>
      </c>
      <c r="P4498" t="s">
        <v>27</v>
      </c>
    </row>
    <row r="4499" spans="1:16" hidden="1" x14ac:dyDescent="0.25">
      <c r="A4499" s="3" t="s">
        <v>2763</v>
      </c>
      <c r="B4499" t="s">
        <v>2540</v>
      </c>
      <c r="C4499" t="s">
        <v>2541</v>
      </c>
      <c r="D4499" t="s">
        <v>26</v>
      </c>
      <c r="E4499" t="s">
        <v>62</v>
      </c>
      <c r="F4499">
        <v>1</v>
      </c>
      <c r="G4499" s="3" t="s">
        <v>32</v>
      </c>
      <c r="H4499" s="46" t="s">
        <v>15</v>
      </c>
      <c r="I4499" s="17">
        <v>1515338.75</v>
      </c>
      <c r="J4499" s="17">
        <f>IF(Gastos[[#This Row],[Divisa]]="$", I4499*1, IF(Gastos[[#This Row],[Divisa]]="U$D", I4499*$N$1, IF(Gastos[[#This Row],[Divisa]]="EUR", I4499*$N$2, 0)))</f>
        <v>1515338.75</v>
      </c>
      <c r="K4499" s="54">
        <f>Gastos[[#This Row],[Importe AR$]]/$N$1</f>
        <v>971.37099358974353</v>
      </c>
      <c r="M4499" s="69">
        <v>46203</v>
      </c>
      <c r="N4499" s="43">
        <f>IF(Gastos[[#This Row],[Fecha_Cheque]]&gt;0,WEEKNUM(Gastos[[#This Row],[Fecha_Cheque]]),MID(Gastos[[#This Row],[Semana]],6,2))</f>
        <v>27</v>
      </c>
      <c r="O4499" t="s">
        <v>3419</v>
      </c>
      <c r="P4499" t="s">
        <v>27</v>
      </c>
    </row>
    <row r="4500" spans="1:16" hidden="1" x14ac:dyDescent="0.25">
      <c r="A4500" s="3" t="s">
        <v>2763</v>
      </c>
      <c r="B4500" t="s">
        <v>2540</v>
      </c>
      <c r="C4500" t="s">
        <v>2541</v>
      </c>
      <c r="D4500" t="s">
        <v>26</v>
      </c>
      <c r="E4500" t="s">
        <v>62</v>
      </c>
      <c r="F4500">
        <v>1</v>
      </c>
      <c r="G4500" s="3" t="s">
        <v>32</v>
      </c>
      <c r="H4500" s="46" t="s">
        <v>15</v>
      </c>
      <c r="I4500" s="17">
        <v>20912.580000000002</v>
      </c>
      <c r="J4500" s="17">
        <f>IF(Gastos[[#This Row],[Divisa]]="$", I4500*1, IF(Gastos[[#This Row],[Divisa]]="U$D", I4500*$N$1, IF(Gastos[[#This Row],[Divisa]]="EUR", I4500*$N$2, 0)))</f>
        <v>20912.580000000002</v>
      </c>
      <c r="K4500" s="54">
        <f>Gastos[[#This Row],[Importe AR$]]/$N$1</f>
        <v>13.405500000000002</v>
      </c>
      <c r="L4500" t="s">
        <v>340</v>
      </c>
      <c r="M4500" s="69"/>
      <c r="N4500" s="43" t="str">
        <f>IF(Gastos[[#This Row],[Fecha_Cheque]]&gt;0,WEEKNUM(Gastos[[#This Row],[Fecha_Cheque]]),MID(Gastos[[#This Row],[Semana]],6,2))</f>
        <v>23</v>
      </c>
      <c r="O4500" t="s">
        <v>3419</v>
      </c>
      <c r="P4500" t="s">
        <v>27</v>
      </c>
    </row>
    <row r="4501" spans="1:16" hidden="1" x14ac:dyDescent="0.25">
      <c r="A4501" s="3" t="s">
        <v>2763</v>
      </c>
      <c r="B4501" t="s">
        <v>2540</v>
      </c>
      <c r="C4501" t="s">
        <v>2541</v>
      </c>
      <c r="D4501" t="s">
        <v>26</v>
      </c>
      <c r="E4501" t="s">
        <v>62</v>
      </c>
      <c r="F4501">
        <v>1</v>
      </c>
      <c r="G4501" s="3" t="s">
        <v>32</v>
      </c>
      <c r="H4501" s="46" t="s">
        <v>15</v>
      </c>
      <c r="I4501" s="17">
        <v>1223150</v>
      </c>
      <c r="J4501" s="17">
        <f>IF(Gastos[[#This Row],[Divisa]]="$", I4501*1, IF(Gastos[[#This Row],[Divisa]]="U$D", I4501*$N$1, IF(Gastos[[#This Row],[Divisa]]="EUR", I4501*$N$2, 0)))</f>
        <v>1223150</v>
      </c>
      <c r="K4501" s="54">
        <f>Gastos[[#This Row],[Importe AR$]]/$N$1</f>
        <v>784.07051282051282</v>
      </c>
      <c r="M4501" s="69">
        <v>46195</v>
      </c>
      <c r="N4501" s="43">
        <f>IF(Gastos[[#This Row],[Fecha_Cheque]]&gt;0,WEEKNUM(Gastos[[#This Row],[Fecha_Cheque]]),MID(Gastos[[#This Row],[Semana]],6,2))</f>
        <v>26</v>
      </c>
      <c r="O4501" t="s">
        <v>3420</v>
      </c>
      <c r="P4501" t="s">
        <v>27</v>
      </c>
    </row>
    <row r="4502" spans="1:16" hidden="1" x14ac:dyDescent="0.25">
      <c r="A4502" s="3" t="s">
        <v>3617</v>
      </c>
      <c r="B4502" t="s">
        <v>2540</v>
      </c>
      <c r="C4502" t="s">
        <v>3644</v>
      </c>
      <c r="D4502" t="s">
        <v>26</v>
      </c>
      <c r="E4502" t="s">
        <v>31</v>
      </c>
      <c r="F4502">
        <v>1</v>
      </c>
      <c r="G4502" s="3" t="s">
        <v>5</v>
      </c>
      <c r="H4502" s="44" t="s">
        <v>15</v>
      </c>
      <c r="I4502" s="17">
        <v>1223150</v>
      </c>
      <c r="J4502" s="17">
        <f>IF(Gastos[[#This Row],[Divisa]]="$", I4502*1, IF(Gastos[[#This Row],[Divisa]]="U$D", I4502*$N$1, IF(Gastos[[#This Row],[Divisa]]="EUR", I4502*$N$2, 0)))</f>
        <v>1223150</v>
      </c>
      <c r="K4502" s="54">
        <f>Gastos[[#This Row],[Importe AR$]]/$N$1</f>
        <v>784.07051282051282</v>
      </c>
      <c r="M4502" s="69"/>
      <c r="N4502" s="43" t="str">
        <f>IF(Gastos[[#This Row],[Fecha_Cheque]]&gt;0,WEEKNUM(Gastos[[#This Row],[Fecha_Cheque]]),MID(Gastos[[#This Row],[Semana]],6,2))</f>
        <v>27</v>
      </c>
      <c r="O4502" t="s">
        <v>3662</v>
      </c>
      <c r="P4502" t="s">
        <v>27</v>
      </c>
    </row>
    <row r="4503" spans="1:16" hidden="1" x14ac:dyDescent="0.25">
      <c r="A4503" s="3" t="s">
        <v>538</v>
      </c>
      <c r="B4503" t="s">
        <v>2546</v>
      </c>
      <c r="C4503" t="s">
        <v>2547</v>
      </c>
      <c r="D4503" t="s">
        <v>26</v>
      </c>
      <c r="E4503" t="s">
        <v>31</v>
      </c>
      <c r="F4503">
        <v>1</v>
      </c>
      <c r="G4503" s="3" t="s">
        <v>5</v>
      </c>
      <c r="H4503" s="46" t="s">
        <v>15</v>
      </c>
      <c r="I4503" s="17">
        <v>11451765.01</v>
      </c>
      <c r="J4503" s="17">
        <f>IF(Gastos[[#This Row],[Divisa]]="$", I4503*1, IF(Gastos[[#This Row],[Divisa]]="U$D", I4503*$N$1, IF(Gastos[[#This Row],[Divisa]]="EUR", I4503*$N$2, 0)))</f>
        <v>11451765.01</v>
      </c>
      <c r="K4503" s="54">
        <f>Gastos[[#This Row],[Importe AR$]]/$N$1</f>
        <v>7340.875006410256</v>
      </c>
      <c r="M4503" s="69"/>
      <c r="N4503" s="43" t="str">
        <f>IF(Gastos[[#This Row],[Fecha_Cheque]]&gt;0,WEEKNUM(Gastos[[#This Row],[Fecha_Cheque]]),MID(Gastos[[#This Row],[Semana]],6,2))</f>
        <v>13</v>
      </c>
      <c r="P4503" t="s">
        <v>27</v>
      </c>
    </row>
    <row r="4504" spans="1:16" hidden="1" x14ac:dyDescent="0.25">
      <c r="A4504" s="3" t="s">
        <v>3693</v>
      </c>
      <c r="B4504" t="s">
        <v>3731</v>
      </c>
      <c r="C4504" t="s">
        <v>1948</v>
      </c>
      <c r="D4504" t="s">
        <v>26</v>
      </c>
      <c r="E4504" t="s">
        <v>42</v>
      </c>
      <c r="F4504">
        <v>1</v>
      </c>
      <c r="G4504" s="3" t="s">
        <v>4</v>
      </c>
      <c r="H4504" s="44" t="s">
        <v>15</v>
      </c>
      <c r="I4504" s="17">
        <v>4800</v>
      </c>
      <c r="J4504" s="17">
        <f>IF(Gastos[[#This Row],[Divisa]]="$", I4504*1, IF(Gastos[[#This Row],[Divisa]]="U$D", I4504*$N$1, IF(Gastos[[#This Row],[Divisa]]="EUR", I4504*$N$2, 0)))</f>
        <v>4800</v>
      </c>
      <c r="K4504" s="54">
        <f>Gastos[[#This Row],[Importe AR$]]/$N$1</f>
        <v>3.0769230769230771</v>
      </c>
      <c r="M4504" s="69"/>
      <c r="N4504" s="43" t="str">
        <f>IF(Gastos[[#This Row],[Fecha_Cheque]]&gt;0,WEEKNUM(Gastos[[#This Row],[Fecha_Cheque]]),MID(Gastos[[#This Row],[Semana]],6,2))</f>
        <v>28</v>
      </c>
      <c r="O4504" t="s">
        <v>3732</v>
      </c>
      <c r="P4504" t="s">
        <v>27</v>
      </c>
    </row>
    <row r="4505" spans="1:16" hidden="1" x14ac:dyDescent="0.25">
      <c r="A4505" s="3" t="s">
        <v>4157</v>
      </c>
      <c r="B4505" t="s">
        <v>3731</v>
      </c>
      <c r="C4505" t="s">
        <v>1948</v>
      </c>
      <c r="D4505" t="s">
        <v>26</v>
      </c>
      <c r="E4505" t="s">
        <v>42</v>
      </c>
      <c r="F4505">
        <v>1</v>
      </c>
      <c r="G4505" s="3" t="s">
        <v>4</v>
      </c>
      <c r="H4505" s="44" t="s">
        <v>15</v>
      </c>
      <c r="I4505" s="17">
        <v>18000</v>
      </c>
      <c r="J4505" s="17">
        <f>IF(Gastos[[#This Row],[Divisa]]="$", I4505*1, IF(Gastos[[#This Row],[Divisa]]="U$D", I4505*$N$1, IF(Gastos[[#This Row],[Divisa]]="EUR", I4505*$N$2, 0)))</f>
        <v>18000</v>
      </c>
      <c r="K4505" s="54">
        <f>Gastos[[#This Row],[Importe AR$]]/$N$1</f>
        <v>11.538461538461538</v>
      </c>
      <c r="M4505" s="69"/>
      <c r="N4505" s="43" t="str">
        <f>IF(Gastos[[#This Row],[Fecha_Cheque]]&gt;0,WEEKNUM(Gastos[[#This Row],[Fecha_Cheque]]),MID(Gastos[[#This Row],[Semana]],6,2))</f>
        <v>36</v>
      </c>
      <c r="O4505" t="s">
        <v>4181</v>
      </c>
      <c r="P4505" t="s">
        <v>27</v>
      </c>
    </row>
    <row r="4506" spans="1:16" hidden="1" x14ac:dyDescent="0.25">
      <c r="A4506" s="3" t="s">
        <v>79</v>
      </c>
      <c r="B4506" t="s">
        <v>2550</v>
      </c>
      <c r="C4506" t="s">
        <v>2551</v>
      </c>
      <c r="D4506" t="s">
        <v>26</v>
      </c>
      <c r="E4506" t="s">
        <v>31</v>
      </c>
      <c r="F4506">
        <v>1</v>
      </c>
      <c r="G4506" s="3" t="s">
        <v>5</v>
      </c>
      <c r="H4506" s="46" t="s">
        <v>15</v>
      </c>
      <c r="I4506" s="17">
        <v>313705</v>
      </c>
      <c r="J4506" s="17">
        <f>IF(Gastos[[#This Row],[Divisa]]="$", I4506*1, IF(Gastos[[#This Row],[Divisa]]="U$D", I4506*$N$1, IF(Gastos[[#This Row],[Divisa]]="EUR", I4506*$N$2, 0)))</f>
        <v>313705</v>
      </c>
      <c r="K4506" s="54">
        <f>Gastos[[#This Row],[Importe AR$]]/$N$1</f>
        <v>201.09294871794873</v>
      </c>
      <c r="M4506" s="69"/>
      <c r="N4506" s="43" t="str">
        <f>IF(Gastos[[#This Row],[Fecha_Cheque]]&gt;0,WEEKNUM(Gastos[[#This Row],[Fecha_Cheque]]),MID(Gastos[[#This Row],[Semana]],6,2))</f>
        <v>47</v>
      </c>
      <c r="O4506" t="s">
        <v>2552</v>
      </c>
      <c r="P4506" t="s">
        <v>27</v>
      </c>
    </row>
    <row r="4507" spans="1:16" hidden="1" x14ac:dyDescent="0.25">
      <c r="A4507" s="3" t="s">
        <v>89</v>
      </c>
      <c r="B4507" t="s">
        <v>2553</v>
      </c>
      <c r="C4507" t="s">
        <v>2554</v>
      </c>
      <c r="D4507" t="s">
        <v>26</v>
      </c>
      <c r="E4507" t="s">
        <v>31</v>
      </c>
      <c r="F4507">
        <v>1</v>
      </c>
      <c r="G4507" s="3" t="s">
        <v>32</v>
      </c>
      <c r="H4507" s="46" t="s">
        <v>15</v>
      </c>
      <c r="I4507" s="17">
        <v>919676.82</v>
      </c>
      <c r="J4507" s="17">
        <f>IF(Gastos[[#This Row],[Divisa]]="$", I4507*1, IF(Gastos[[#This Row],[Divisa]]="U$D", I4507*$N$1, IF(Gastos[[#This Row],[Divisa]]="EUR", I4507*$N$2, 0)))</f>
        <v>919676.82</v>
      </c>
      <c r="K4507" s="54">
        <f>Gastos[[#This Row],[Importe AR$]]/$N$1</f>
        <v>589.53642307692303</v>
      </c>
      <c r="M4507" s="69">
        <v>45946</v>
      </c>
      <c r="N4507" s="43">
        <f>IF(Gastos[[#This Row],[Fecha_Cheque]]&gt;0,WEEKNUM(Gastos[[#This Row],[Fecha_Cheque]]),MID(Gastos[[#This Row],[Semana]],6,2))</f>
        <v>42</v>
      </c>
      <c r="O4507" t="s">
        <v>2555</v>
      </c>
      <c r="P4507" t="s">
        <v>27</v>
      </c>
    </row>
    <row r="4508" spans="1:16" hidden="1" x14ac:dyDescent="0.25">
      <c r="A4508" s="3" t="s">
        <v>89</v>
      </c>
      <c r="B4508" t="s">
        <v>2553</v>
      </c>
      <c r="C4508" t="s">
        <v>2554</v>
      </c>
      <c r="D4508" t="s">
        <v>26</v>
      </c>
      <c r="E4508" t="s">
        <v>31</v>
      </c>
      <c r="F4508">
        <v>1</v>
      </c>
      <c r="G4508" s="3" t="s">
        <v>32</v>
      </c>
      <c r="H4508" s="46" t="s">
        <v>15</v>
      </c>
      <c r="I4508" s="17">
        <v>956238.42</v>
      </c>
      <c r="J4508" s="17">
        <f>IF(Gastos[[#This Row],[Divisa]]="$", I4508*1, IF(Gastos[[#This Row],[Divisa]]="U$D", I4508*$N$1, IF(Gastos[[#This Row],[Divisa]]="EUR", I4508*$N$2, 0)))</f>
        <v>956238.42</v>
      </c>
      <c r="K4508" s="54">
        <f>Gastos[[#This Row],[Importe AR$]]/$N$1</f>
        <v>612.97334615384614</v>
      </c>
      <c r="M4508" s="69">
        <v>45946</v>
      </c>
      <c r="N4508" s="43">
        <f>IF(Gastos[[#This Row],[Fecha_Cheque]]&gt;0,WEEKNUM(Gastos[[#This Row],[Fecha_Cheque]]),MID(Gastos[[#This Row],[Semana]],6,2))</f>
        <v>42</v>
      </c>
      <c r="O4508" t="s">
        <v>2555</v>
      </c>
      <c r="P4508" t="s">
        <v>27</v>
      </c>
    </row>
    <row r="4509" spans="1:16" hidden="1" x14ac:dyDescent="0.25">
      <c r="A4509" s="3" t="s">
        <v>152</v>
      </c>
      <c r="B4509" t="s">
        <v>2556</v>
      </c>
      <c r="D4509" t="s">
        <v>26</v>
      </c>
      <c r="E4509" t="s">
        <v>31</v>
      </c>
      <c r="F4509">
        <v>1</v>
      </c>
      <c r="G4509" s="3" t="s">
        <v>5</v>
      </c>
      <c r="H4509" s="46" t="s">
        <v>15</v>
      </c>
      <c r="I4509" s="17">
        <v>732857.65</v>
      </c>
      <c r="J4509" s="17">
        <f>IF(Gastos[[#This Row],[Divisa]]="$", I4509*1, IF(Gastos[[#This Row],[Divisa]]="U$D", I4509*$N$1, IF(Gastos[[#This Row],[Divisa]]="EUR", I4509*$N$2, 0)))</f>
        <v>732857.65</v>
      </c>
      <c r="K4509" s="54">
        <f>Gastos[[#This Row],[Importe AR$]]/$N$1</f>
        <v>469.78054487179486</v>
      </c>
      <c r="M4509" s="69"/>
      <c r="N4509" s="43" t="str">
        <f>IF(Gastos[[#This Row],[Fecha_Cheque]]&gt;0,WEEKNUM(Gastos[[#This Row],[Fecha_Cheque]]),MID(Gastos[[#This Row],[Semana]],6,2))</f>
        <v>04</v>
      </c>
      <c r="O4509" t="s">
        <v>2557</v>
      </c>
      <c r="P4509" t="s">
        <v>27</v>
      </c>
    </row>
    <row r="4510" spans="1:16" hidden="1" x14ac:dyDescent="0.25">
      <c r="A4510" s="3" t="s">
        <v>56</v>
      </c>
      <c r="B4510" t="s">
        <v>2556</v>
      </c>
      <c r="C4510" t="s">
        <v>2558</v>
      </c>
      <c r="D4510" t="s">
        <v>26</v>
      </c>
      <c r="E4510" t="s">
        <v>31</v>
      </c>
      <c r="F4510">
        <v>1</v>
      </c>
      <c r="G4510" s="3" t="s">
        <v>32</v>
      </c>
      <c r="H4510" s="46" t="s">
        <v>15</v>
      </c>
      <c r="I4510" s="17">
        <v>1555415.25</v>
      </c>
      <c r="J4510" s="17">
        <f>IF(Gastos[[#This Row],[Divisa]]="$", I4510*1, IF(Gastos[[#This Row],[Divisa]]="U$D", I4510*$N$1, IF(Gastos[[#This Row],[Divisa]]="EUR", I4510*$N$2, 0)))</f>
        <v>1555415.25</v>
      </c>
      <c r="K4510" s="54">
        <f>Gastos[[#This Row],[Importe AR$]]/$N$1</f>
        <v>997.06105769230771</v>
      </c>
      <c r="M4510" s="69"/>
      <c r="N4510" s="43" t="str">
        <f>IF(Gastos[[#This Row],[Fecha_Cheque]]&gt;0,WEEKNUM(Gastos[[#This Row],[Fecha_Cheque]]),MID(Gastos[[#This Row],[Semana]],6,2))</f>
        <v>41</v>
      </c>
      <c r="O4510" t="s">
        <v>127</v>
      </c>
      <c r="P4510" t="s">
        <v>27</v>
      </c>
    </row>
    <row r="4511" spans="1:16" hidden="1" x14ac:dyDescent="0.25">
      <c r="A4511" s="3" t="s">
        <v>128</v>
      </c>
      <c r="B4511" t="s">
        <v>2556</v>
      </c>
      <c r="D4511" t="s">
        <v>26</v>
      </c>
      <c r="E4511" t="s">
        <v>31</v>
      </c>
      <c r="F4511">
        <v>1</v>
      </c>
      <c r="G4511" s="3" t="s">
        <v>5</v>
      </c>
      <c r="H4511" s="46" t="s">
        <v>15</v>
      </c>
      <c r="I4511" s="17">
        <v>1605008.2</v>
      </c>
      <c r="J4511" s="17">
        <f>IF(Gastos[[#This Row],[Divisa]]="$", I4511*1, IF(Gastos[[#This Row],[Divisa]]="U$D", I4511*$N$1, IF(Gastos[[#This Row],[Divisa]]="EUR", I4511*$N$2, 0)))</f>
        <v>1605008.2</v>
      </c>
      <c r="K4511" s="54">
        <f>Gastos[[#This Row],[Importe AR$]]/$N$1</f>
        <v>1028.8514102564102</v>
      </c>
      <c r="M4511" s="69"/>
      <c r="N4511" s="43" t="str">
        <f>IF(Gastos[[#This Row],[Fecha_Cheque]]&gt;0,WEEKNUM(Gastos[[#This Row],[Fecha_Cheque]]),MID(Gastos[[#This Row],[Semana]],6,2))</f>
        <v>43</v>
      </c>
      <c r="O4511" t="s">
        <v>2559</v>
      </c>
      <c r="P4511" t="s">
        <v>27</v>
      </c>
    </row>
    <row r="4512" spans="1:16" hidden="1" x14ac:dyDescent="0.25">
      <c r="A4512" s="3" t="s">
        <v>4447</v>
      </c>
      <c r="B4512" t="s">
        <v>2556</v>
      </c>
      <c r="C4512" t="s">
        <v>4479</v>
      </c>
      <c r="D4512" t="s">
        <v>26</v>
      </c>
      <c r="E4512" t="s">
        <v>31</v>
      </c>
      <c r="F4512">
        <v>1</v>
      </c>
      <c r="G4512" s="3" t="s">
        <v>5</v>
      </c>
      <c r="H4512" s="44" t="s">
        <v>15</v>
      </c>
      <c r="I4512" s="17">
        <v>68232.58</v>
      </c>
      <c r="J4512" s="17">
        <f>IF(Gastos[[#This Row],[Divisa]]="$", I4512*1, IF(Gastos[[#This Row],[Divisa]]="U$D", I4512*$N$1, IF(Gastos[[#This Row],[Divisa]]="EUR", I4512*$N$2, 0)))</f>
        <v>68232.58</v>
      </c>
      <c r="K4512" s="54">
        <f>Gastos[[#This Row],[Importe AR$]]/$N$1</f>
        <v>43.738833333333332</v>
      </c>
      <c r="M4512" s="69"/>
      <c r="N4512" s="43" t="str">
        <f>IF(Gastos[[#This Row],[Fecha_Cheque]]&gt;0,WEEKNUM(Gastos[[#This Row],[Fecha_Cheque]]),MID(Gastos[[#This Row],[Semana]],6,2))</f>
        <v>41</v>
      </c>
      <c r="O4512" t="s">
        <v>4480</v>
      </c>
      <c r="P4512" t="s">
        <v>27</v>
      </c>
    </row>
    <row r="4513" spans="1:16" hidden="1" x14ac:dyDescent="0.25">
      <c r="A4513" s="3" t="s">
        <v>4447</v>
      </c>
      <c r="B4513" t="s">
        <v>2556</v>
      </c>
      <c r="C4513" t="s">
        <v>4479</v>
      </c>
      <c r="D4513" t="s">
        <v>26</v>
      </c>
      <c r="E4513" t="s">
        <v>31</v>
      </c>
      <c r="F4513">
        <v>1</v>
      </c>
      <c r="G4513" s="3" t="s">
        <v>5</v>
      </c>
      <c r="H4513" s="44" t="s">
        <v>15</v>
      </c>
      <c r="I4513" s="17">
        <v>205821.16</v>
      </c>
      <c r="J4513" s="17">
        <f>IF(Gastos[[#This Row],[Divisa]]="$", I4513*1, IF(Gastos[[#This Row],[Divisa]]="U$D", I4513*$N$1, IF(Gastos[[#This Row],[Divisa]]="EUR", I4513*$N$2, 0)))</f>
        <v>205821.16</v>
      </c>
      <c r="K4513" s="54">
        <f>Gastos[[#This Row],[Importe AR$]]/$N$1</f>
        <v>131.93664102564102</v>
      </c>
      <c r="M4513" s="69"/>
      <c r="N4513" s="43" t="str">
        <f>IF(Gastos[[#This Row],[Fecha_Cheque]]&gt;0,WEEKNUM(Gastos[[#This Row],[Fecha_Cheque]]),MID(Gastos[[#This Row],[Semana]],6,2))</f>
        <v>41</v>
      </c>
      <c r="O4513" t="s">
        <v>4480</v>
      </c>
      <c r="P4513" t="s">
        <v>27</v>
      </c>
    </row>
    <row r="4514" spans="1:16" hidden="1" x14ac:dyDescent="0.25">
      <c r="A4514" s="3" t="s">
        <v>4447</v>
      </c>
      <c r="B4514" t="s">
        <v>2556</v>
      </c>
      <c r="C4514" t="s">
        <v>4479</v>
      </c>
      <c r="D4514" t="s">
        <v>26</v>
      </c>
      <c r="E4514" t="s">
        <v>31</v>
      </c>
      <c r="F4514">
        <v>1</v>
      </c>
      <c r="G4514" s="3" t="s">
        <v>5</v>
      </c>
      <c r="H4514" s="44" t="s">
        <v>15</v>
      </c>
      <c r="I4514" s="17">
        <v>1021.51</v>
      </c>
      <c r="J4514" s="17">
        <f>IF(Gastos[[#This Row],[Divisa]]="$", I4514*1, IF(Gastos[[#This Row],[Divisa]]="U$D", I4514*$N$1, IF(Gastos[[#This Row],[Divisa]]="EUR", I4514*$N$2, 0)))</f>
        <v>1021.51</v>
      </c>
      <c r="K4514" s="54">
        <f>Gastos[[#This Row],[Importe AR$]]/$N$1</f>
        <v>0.65481410256410255</v>
      </c>
      <c r="L4514" t="s">
        <v>340</v>
      </c>
      <c r="M4514" s="69"/>
      <c r="N4514" s="43" t="str">
        <f>IF(Gastos[[#This Row],[Fecha_Cheque]]&gt;0,WEEKNUM(Gastos[[#This Row],[Fecha_Cheque]]),MID(Gastos[[#This Row],[Semana]],6,2))</f>
        <v>41</v>
      </c>
      <c r="O4514" t="s">
        <v>4480</v>
      </c>
      <c r="P4514" t="s">
        <v>27</v>
      </c>
    </row>
    <row r="4515" spans="1:16" hidden="1" x14ac:dyDescent="0.25">
      <c r="A4515" s="3" t="s">
        <v>114</v>
      </c>
      <c r="B4515" t="s">
        <v>2560</v>
      </c>
      <c r="C4515" t="s">
        <v>2561</v>
      </c>
      <c r="D4515" t="s">
        <v>26</v>
      </c>
      <c r="E4515" t="s">
        <v>31</v>
      </c>
      <c r="F4515">
        <v>1</v>
      </c>
      <c r="G4515" s="3" t="s">
        <v>32</v>
      </c>
      <c r="H4515" s="46" t="s">
        <v>15</v>
      </c>
      <c r="I4515" s="17">
        <v>290000</v>
      </c>
      <c r="J4515" s="17">
        <f>IF(Gastos[[#This Row],[Divisa]]="$", I4515*1, IF(Gastos[[#This Row],[Divisa]]="U$D", I4515*$N$1, IF(Gastos[[#This Row],[Divisa]]="EUR", I4515*$N$2, 0)))</f>
        <v>290000</v>
      </c>
      <c r="K4515" s="54">
        <f>Gastos[[#This Row],[Importe AR$]]/$N$1</f>
        <v>185.89743589743588</v>
      </c>
      <c r="M4515" s="69">
        <v>45861</v>
      </c>
      <c r="N4515" s="43">
        <f>IF(Gastos[[#This Row],[Fecha_Cheque]]&gt;0,WEEKNUM(Gastos[[#This Row],[Fecha_Cheque]]),MID(Gastos[[#This Row],[Semana]],6,2))</f>
        <v>30</v>
      </c>
      <c r="O4515" t="s">
        <v>2562</v>
      </c>
      <c r="P4515" t="s">
        <v>27</v>
      </c>
    </row>
    <row r="4516" spans="1:16" hidden="1" x14ac:dyDescent="0.25">
      <c r="A4516" s="3" t="s">
        <v>114</v>
      </c>
      <c r="B4516" t="s">
        <v>2560</v>
      </c>
      <c r="C4516" t="s">
        <v>2561</v>
      </c>
      <c r="D4516" t="s">
        <v>26</v>
      </c>
      <c r="E4516" t="s">
        <v>31</v>
      </c>
      <c r="F4516">
        <v>1</v>
      </c>
      <c r="G4516" s="3" t="s">
        <v>32</v>
      </c>
      <c r="H4516" s="46" t="s">
        <v>15</v>
      </c>
      <c r="I4516" s="17">
        <v>288344</v>
      </c>
      <c r="J4516" s="17">
        <f>IF(Gastos[[#This Row],[Divisa]]="$", I4516*1, IF(Gastos[[#This Row],[Divisa]]="U$D", I4516*$N$1, IF(Gastos[[#This Row],[Divisa]]="EUR", I4516*$N$2, 0)))</f>
        <v>288344</v>
      </c>
      <c r="K4516" s="54">
        <f>Gastos[[#This Row],[Importe AR$]]/$N$1</f>
        <v>184.83589743589744</v>
      </c>
      <c r="M4516" s="69">
        <v>45862</v>
      </c>
      <c r="N4516" s="43">
        <f>IF(Gastos[[#This Row],[Fecha_Cheque]]&gt;0,WEEKNUM(Gastos[[#This Row],[Fecha_Cheque]]),MID(Gastos[[#This Row],[Semana]],6,2))</f>
        <v>30</v>
      </c>
      <c r="O4516" t="s">
        <v>2562</v>
      </c>
      <c r="P4516" t="s">
        <v>27</v>
      </c>
    </row>
    <row r="4517" spans="1:16" hidden="1" x14ac:dyDescent="0.25">
      <c r="A4517" s="3" t="s">
        <v>114</v>
      </c>
      <c r="B4517" t="s">
        <v>2560</v>
      </c>
      <c r="C4517" t="s">
        <v>2561</v>
      </c>
      <c r="D4517" t="s">
        <v>26</v>
      </c>
      <c r="E4517" t="s">
        <v>31</v>
      </c>
      <c r="F4517">
        <v>1</v>
      </c>
      <c r="G4517" s="3" t="s">
        <v>32</v>
      </c>
      <c r="H4517" s="46" t="s">
        <v>15</v>
      </c>
      <c r="I4517" s="17">
        <v>500000</v>
      </c>
      <c r="J4517" s="17">
        <f>IF(Gastos[[#This Row],[Divisa]]="$", I4517*1, IF(Gastos[[#This Row],[Divisa]]="U$D", I4517*$N$1, IF(Gastos[[#This Row],[Divisa]]="EUR", I4517*$N$2, 0)))</f>
        <v>500000</v>
      </c>
      <c r="K4517" s="54">
        <f>Gastos[[#This Row],[Importe AR$]]/$N$1</f>
        <v>320.5128205128205</v>
      </c>
      <c r="M4517" s="69">
        <v>45869</v>
      </c>
      <c r="N4517" s="43">
        <f>IF(Gastos[[#This Row],[Fecha_Cheque]]&gt;0,WEEKNUM(Gastos[[#This Row],[Fecha_Cheque]]),MID(Gastos[[#This Row],[Semana]],6,2))</f>
        <v>31</v>
      </c>
      <c r="O4517" t="s">
        <v>2562</v>
      </c>
      <c r="P4517" t="s">
        <v>27</v>
      </c>
    </row>
    <row r="4518" spans="1:16" hidden="1" x14ac:dyDescent="0.25">
      <c r="A4518" s="3" t="s">
        <v>114</v>
      </c>
      <c r="B4518" t="s">
        <v>2560</v>
      </c>
      <c r="C4518" t="s">
        <v>2561</v>
      </c>
      <c r="D4518" t="s">
        <v>26</v>
      </c>
      <c r="E4518" t="s">
        <v>31</v>
      </c>
      <c r="F4518">
        <v>1</v>
      </c>
      <c r="G4518" s="3" t="s">
        <v>32</v>
      </c>
      <c r="H4518" s="46" t="s">
        <v>15</v>
      </c>
      <c r="I4518" s="17">
        <v>311347.93</v>
      </c>
      <c r="J4518" s="17">
        <f>IF(Gastos[[#This Row],[Divisa]]="$", I4518*1, IF(Gastos[[#This Row],[Divisa]]="U$D", I4518*$N$1, IF(Gastos[[#This Row],[Divisa]]="EUR", I4518*$N$2, 0)))</f>
        <v>311347.93</v>
      </c>
      <c r="K4518" s="54">
        <f>Gastos[[#This Row],[Importe AR$]]/$N$1</f>
        <v>199.58200641025641</v>
      </c>
      <c r="M4518" s="69">
        <v>45914</v>
      </c>
      <c r="N4518" s="43">
        <f>IF(Gastos[[#This Row],[Fecha_Cheque]]&gt;0,WEEKNUM(Gastos[[#This Row],[Fecha_Cheque]]),MID(Gastos[[#This Row],[Semana]],6,2))</f>
        <v>38</v>
      </c>
      <c r="O4518" t="s">
        <v>2562</v>
      </c>
      <c r="P4518" t="s">
        <v>27</v>
      </c>
    </row>
    <row r="4519" spans="1:16" hidden="1" x14ac:dyDescent="0.25">
      <c r="A4519" s="3" t="s">
        <v>34</v>
      </c>
      <c r="B4519" t="s">
        <v>2560</v>
      </c>
      <c r="C4519" t="s">
        <v>2563</v>
      </c>
      <c r="D4519" t="s">
        <v>26</v>
      </c>
      <c r="E4519" t="s">
        <v>31</v>
      </c>
      <c r="F4519">
        <v>1</v>
      </c>
      <c r="G4519" s="3" t="s">
        <v>4</v>
      </c>
      <c r="H4519" s="46" t="s">
        <v>15</v>
      </c>
      <c r="I4519" s="17">
        <v>46311.26</v>
      </c>
      <c r="J4519" s="17">
        <f>IF(Gastos[[#This Row],[Divisa]]="$", I4519*1, IF(Gastos[[#This Row],[Divisa]]="U$D", I4519*$N$1, IF(Gastos[[#This Row],[Divisa]]="EUR", I4519*$N$2, 0)))</f>
        <v>46311.26</v>
      </c>
      <c r="K4519" s="54">
        <f>Gastos[[#This Row],[Importe AR$]]/$N$1</f>
        <v>29.68670512820513</v>
      </c>
      <c r="M4519" s="69"/>
      <c r="N4519" s="43" t="str">
        <f>IF(Gastos[[#This Row],[Fecha_Cheque]]&gt;0,WEEKNUM(Gastos[[#This Row],[Fecha_Cheque]]),MID(Gastos[[#This Row],[Semana]],6,2))</f>
        <v>32</v>
      </c>
      <c r="O4519" t="s">
        <v>2564</v>
      </c>
      <c r="P4519" t="s">
        <v>27</v>
      </c>
    </row>
    <row r="4520" spans="1:16" hidden="1" x14ac:dyDescent="0.25">
      <c r="A4520" s="3" t="s">
        <v>34</v>
      </c>
      <c r="B4520" t="s">
        <v>2560</v>
      </c>
      <c r="C4520" t="s">
        <v>2563</v>
      </c>
      <c r="D4520" t="s">
        <v>26</v>
      </c>
      <c r="E4520" t="s">
        <v>31</v>
      </c>
      <c r="F4520">
        <v>1</v>
      </c>
      <c r="G4520" s="3" t="s">
        <v>32</v>
      </c>
      <c r="H4520" s="46" t="s">
        <v>15</v>
      </c>
      <c r="I4520" s="17">
        <v>202120</v>
      </c>
      <c r="J4520" s="17">
        <f>IF(Gastos[[#This Row],[Divisa]]="$", I4520*1, IF(Gastos[[#This Row],[Divisa]]="U$D", I4520*$N$1, IF(Gastos[[#This Row],[Divisa]]="EUR", I4520*$N$2, 0)))</f>
        <v>202120</v>
      </c>
      <c r="K4520" s="54">
        <f>Gastos[[#This Row],[Importe AR$]]/$N$1</f>
        <v>129.56410256410257</v>
      </c>
      <c r="M4520" s="69">
        <v>45865</v>
      </c>
      <c r="N4520" s="43">
        <f>IF(Gastos[[#This Row],[Fecha_Cheque]]&gt;0,WEEKNUM(Gastos[[#This Row],[Fecha_Cheque]]),MID(Gastos[[#This Row],[Semana]],6,2))</f>
        <v>31</v>
      </c>
      <c r="O4520" t="s">
        <v>2564</v>
      </c>
      <c r="P4520" t="s">
        <v>27</v>
      </c>
    </row>
    <row r="4521" spans="1:16" hidden="1" x14ac:dyDescent="0.25">
      <c r="A4521" s="3" t="s">
        <v>34</v>
      </c>
      <c r="B4521" t="s">
        <v>2560</v>
      </c>
      <c r="C4521" t="s">
        <v>2563</v>
      </c>
      <c r="D4521" t="s">
        <v>26</v>
      </c>
      <c r="E4521" t="s">
        <v>31</v>
      </c>
      <c r="F4521">
        <v>1</v>
      </c>
      <c r="G4521" s="3" t="s">
        <v>32</v>
      </c>
      <c r="H4521" s="46" t="s">
        <v>15</v>
      </c>
      <c r="I4521" s="17">
        <v>1000000</v>
      </c>
      <c r="J4521" s="17">
        <f>IF(Gastos[[#This Row],[Divisa]]="$", I4521*1, IF(Gastos[[#This Row],[Divisa]]="U$D", I4521*$N$1, IF(Gastos[[#This Row],[Divisa]]="EUR", I4521*$N$2, 0)))</f>
        <v>1000000</v>
      </c>
      <c r="K4521" s="54">
        <f>Gastos[[#This Row],[Importe AR$]]/$N$1</f>
        <v>641.02564102564099</v>
      </c>
      <c r="M4521" s="69">
        <v>45884</v>
      </c>
      <c r="N4521" s="43">
        <f>IF(Gastos[[#This Row],[Fecha_Cheque]]&gt;0,WEEKNUM(Gastos[[#This Row],[Fecha_Cheque]]),MID(Gastos[[#This Row],[Semana]],6,2))</f>
        <v>33</v>
      </c>
      <c r="O4521" t="s">
        <v>2564</v>
      </c>
      <c r="P4521" t="s">
        <v>27</v>
      </c>
    </row>
    <row r="4522" spans="1:16" hidden="1" x14ac:dyDescent="0.25">
      <c r="A4522" s="3" t="s">
        <v>68</v>
      </c>
      <c r="B4522" t="s">
        <v>2560</v>
      </c>
      <c r="C4522" t="s">
        <v>2565</v>
      </c>
      <c r="D4522" t="s">
        <v>26</v>
      </c>
      <c r="E4522" t="s">
        <v>31</v>
      </c>
      <c r="F4522">
        <v>1</v>
      </c>
      <c r="G4522" s="3" t="s">
        <v>32</v>
      </c>
      <c r="H4522" s="46" t="s">
        <v>15</v>
      </c>
      <c r="I4522" s="17">
        <v>611632.59</v>
      </c>
      <c r="J4522" s="17">
        <f>IF(Gastos[[#This Row],[Divisa]]="$", I4522*1, IF(Gastos[[#This Row],[Divisa]]="U$D", I4522*$N$1, IF(Gastos[[#This Row],[Divisa]]="EUR", I4522*$N$2, 0)))</f>
        <v>611632.59</v>
      </c>
      <c r="K4522" s="54">
        <f>Gastos[[#This Row],[Importe AR$]]/$N$1</f>
        <v>392.07217307692304</v>
      </c>
      <c r="M4522" s="69">
        <v>46080</v>
      </c>
      <c r="N4522" s="43">
        <f>IF(Gastos[[#This Row],[Fecha_Cheque]]&gt;0,WEEKNUM(Gastos[[#This Row],[Fecha_Cheque]]),MID(Gastos[[#This Row],[Semana]],6,2))</f>
        <v>9</v>
      </c>
      <c r="O4522" t="s">
        <v>2566</v>
      </c>
      <c r="P4522" t="s">
        <v>27</v>
      </c>
    </row>
    <row r="4523" spans="1:16" hidden="1" x14ac:dyDescent="0.25">
      <c r="A4523" s="3" t="s">
        <v>68</v>
      </c>
      <c r="B4523" t="s">
        <v>2560</v>
      </c>
      <c r="C4523" t="s">
        <v>2565</v>
      </c>
      <c r="D4523" t="s">
        <v>26</v>
      </c>
      <c r="E4523" t="s">
        <v>31</v>
      </c>
      <c r="F4523">
        <v>1</v>
      </c>
      <c r="G4523" s="3" t="s">
        <v>32</v>
      </c>
      <c r="H4523" s="46" t="s">
        <v>15</v>
      </c>
      <c r="I4523" s="17">
        <v>1183489.43</v>
      </c>
      <c r="J4523" s="17">
        <f>IF(Gastos[[#This Row],[Divisa]]="$", I4523*1, IF(Gastos[[#This Row],[Divisa]]="U$D", I4523*$N$1, IF(Gastos[[#This Row],[Divisa]]="EUR", I4523*$N$2, 0)))</f>
        <v>1183489.43</v>
      </c>
      <c r="K4523" s="54">
        <f>Gastos[[#This Row],[Importe AR$]]/$N$1</f>
        <v>758.64707051282051</v>
      </c>
      <c r="M4523" s="69">
        <v>46080</v>
      </c>
      <c r="N4523" s="43">
        <f>IF(Gastos[[#This Row],[Fecha_Cheque]]&gt;0,WEEKNUM(Gastos[[#This Row],[Fecha_Cheque]]),MID(Gastos[[#This Row],[Semana]],6,2))</f>
        <v>9</v>
      </c>
      <c r="O4523" t="s">
        <v>2566</v>
      </c>
      <c r="P4523" t="s">
        <v>27</v>
      </c>
    </row>
    <row r="4524" spans="1:16" hidden="1" x14ac:dyDescent="0.25">
      <c r="A4524" s="3" t="s">
        <v>68</v>
      </c>
      <c r="B4524" t="s">
        <v>2560</v>
      </c>
      <c r="C4524" t="s">
        <v>2565</v>
      </c>
      <c r="D4524" t="s">
        <v>26</v>
      </c>
      <c r="E4524" t="s">
        <v>31</v>
      </c>
      <c r="F4524">
        <v>1</v>
      </c>
      <c r="G4524" s="3" t="s">
        <v>5</v>
      </c>
      <c r="H4524" s="46" t="s">
        <v>15</v>
      </c>
      <c r="I4524" s="17">
        <v>206197.65</v>
      </c>
      <c r="J4524" s="17">
        <f>IF(Gastos[[#This Row],[Divisa]]="$", I4524*1, IF(Gastos[[#This Row],[Divisa]]="U$D", I4524*$N$1, IF(Gastos[[#This Row],[Divisa]]="EUR", I4524*$N$2, 0)))</f>
        <v>206197.65</v>
      </c>
      <c r="K4524" s="54">
        <f>Gastos[[#This Row],[Importe AR$]]/$N$1</f>
        <v>132.17798076923077</v>
      </c>
      <c r="M4524" s="69"/>
      <c r="N4524" s="43" t="str">
        <f>IF(Gastos[[#This Row],[Fecha_Cheque]]&gt;0,WEEKNUM(Gastos[[#This Row],[Fecha_Cheque]]),MID(Gastos[[#This Row],[Semana]],6,2))</f>
        <v>05</v>
      </c>
      <c r="O4524" t="s">
        <v>2567</v>
      </c>
      <c r="P4524" t="s">
        <v>27</v>
      </c>
    </row>
    <row r="4525" spans="1:16" hidden="1" x14ac:dyDescent="0.25">
      <c r="A4525" s="3" t="s">
        <v>828</v>
      </c>
      <c r="B4525" t="s">
        <v>2560</v>
      </c>
      <c r="C4525" t="s">
        <v>2813</v>
      </c>
      <c r="D4525" t="s">
        <v>26</v>
      </c>
      <c r="E4525" t="s">
        <v>31</v>
      </c>
      <c r="F4525">
        <v>1</v>
      </c>
      <c r="G4525" s="3" t="s">
        <v>32</v>
      </c>
      <c r="H4525" s="44" t="s">
        <v>15</v>
      </c>
      <c r="I4525" s="17">
        <v>100000</v>
      </c>
      <c r="J4525" s="17">
        <f>IF(Gastos[[#This Row],[Divisa]]="$", I4525*1, IF(Gastos[[#This Row],[Divisa]]="U$D", I4525*$N$1, IF(Gastos[[#This Row],[Divisa]]="EUR", I4525*$N$2, 0)))</f>
        <v>100000</v>
      </c>
      <c r="K4525" s="54">
        <f>Gastos[[#This Row],[Importe AR$]]/$N$1</f>
        <v>64.102564102564102</v>
      </c>
      <c r="M4525" s="69">
        <v>46137</v>
      </c>
      <c r="N4525" s="43">
        <f>IF(Gastos[[#This Row],[Fecha_Cheque]]&gt;0,WEEKNUM(Gastos[[#This Row],[Fecha_Cheque]]),MID(Gastos[[#This Row],[Semana]],6,2))</f>
        <v>17</v>
      </c>
      <c r="O4525" t="s">
        <v>2814</v>
      </c>
      <c r="P4525" t="s">
        <v>27</v>
      </c>
    </row>
    <row r="4526" spans="1:16" hidden="1" x14ac:dyDescent="0.25">
      <c r="A4526" s="3" t="s">
        <v>828</v>
      </c>
      <c r="B4526" t="s">
        <v>2560</v>
      </c>
      <c r="C4526" t="s">
        <v>2813</v>
      </c>
      <c r="D4526" t="s">
        <v>26</v>
      </c>
      <c r="E4526" t="s">
        <v>31</v>
      </c>
      <c r="F4526">
        <v>1</v>
      </c>
      <c r="G4526" s="3" t="s">
        <v>32</v>
      </c>
      <c r="H4526" s="44" t="s">
        <v>15</v>
      </c>
      <c r="I4526" s="17">
        <v>100000</v>
      </c>
      <c r="J4526" s="17">
        <f>IF(Gastos[[#This Row],[Divisa]]="$", I4526*1, IF(Gastos[[#This Row],[Divisa]]="U$D", I4526*$N$1, IF(Gastos[[#This Row],[Divisa]]="EUR", I4526*$N$2, 0)))</f>
        <v>100000</v>
      </c>
      <c r="K4526" s="54">
        <f>Gastos[[#This Row],[Importe AR$]]/$N$1</f>
        <v>64.102564102564102</v>
      </c>
      <c r="M4526" s="69">
        <v>46167</v>
      </c>
      <c r="N4526" s="43">
        <f>IF(Gastos[[#This Row],[Fecha_Cheque]]&gt;0,WEEKNUM(Gastos[[#This Row],[Fecha_Cheque]]),MID(Gastos[[#This Row],[Semana]],6,2))</f>
        <v>22</v>
      </c>
      <c r="O4526" t="s">
        <v>2814</v>
      </c>
      <c r="P4526" t="s">
        <v>27</v>
      </c>
    </row>
    <row r="4527" spans="1:16" hidden="1" x14ac:dyDescent="0.25">
      <c r="A4527" s="3" t="s">
        <v>828</v>
      </c>
      <c r="B4527" t="s">
        <v>2560</v>
      </c>
      <c r="C4527" t="s">
        <v>2813</v>
      </c>
      <c r="D4527" t="s">
        <v>26</v>
      </c>
      <c r="E4527" t="s">
        <v>31</v>
      </c>
      <c r="F4527">
        <v>1</v>
      </c>
      <c r="G4527" s="3" t="s">
        <v>32</v>
      </c>
      <c r="H4527" s="44" t="s">
        <v>15</v>
      </c>
      <c r="I4527" s="17">
        <v>115256.86</v>
      </c>
      <c r="J4527" s="17">
        <f>IF(Gastos[[#This Row],[Divisa]]="$", I4527*1, IF(Gastos[[#This Row],[Divisa]]="U$D", I4527*$N$1, IF(Gastos[[#This Row],[Divisa]]="EUR", I4527*$N$2, 0)))</f>
        <v>115256.86</v>
      </c>
      <c r="K4527" s="54">
        <f>Gastos[[#This Row],[Importe AR$]]/$N$1</f>
        <v>73.882602564102569</v>
      </c>
      <c r="M4527" s="69">
        <v>46198</v>
      </c>
      <c r="N4527" s="43">
        <f>IF(Gastos[[#This Row],[Fecha_Cheque]]&gt;0,WEEKNUM(Gastos[[#This Row],[Fecha_Cheque]]),MID(Gastos[[#This Row],[Semana]],6,2))</f>
        <v>26</v>
      </c>
      <c r="O4527" t="s">
        <v>2814</v>
      </c>
      <c r="P4527" t="s">
        <v>27</v>
      </c>
    </row>
    <row r="4528" spans="1:16" hidden="1" x14ac:dyDescent="0.25">
      <c r="A4528" s="3" t="s">
        <v>828</v>
      </c>
      <c r="B4528" t="s">
        <v>2560</v>
      </c>
      <c r="C4528" t="s">
        <v>2813</v>
      </c>
      <c r="D4528" t="s">
        <v>26</v>
      </c>
      <c r="E4528" t="s">
        <v>31</v>
      </c>
      <c r="F4528">
        <v>1</v>
      </c>
      <c r="G4528" s="3" t="s">
        <v>32</v>
      </c>
      <c r="H4528" s="44" t="s">
        <v>15</v>
      </c>
      <c r="I4528" s="17">
        <v>743.14</v>
      </c>
      <c r="J4528" s="17">
        <f>IF(Gastos[[#This Row],[Divisa]]="$", I4528*1, IF(Gastos[[#This Row],[Divisa]]="U$D", I4528*$N$1, IF(Gastos[[#This Row],[Divisa]]="EUR", I4528*$N$2, 0)))</f>
        <v>743.14</v>
      </c>
      <c r="K4528" s="54">
        <f>Gastos[[#This Row],[Importe AR$]]/$N$1</f>
        <v>0.47637179487179487</v>
      </c>
      <c r="L4528" t="s">
        <v>340</v>
      </c>
      <c r="M4528" s="69"/>
      <c r="N4528" s="43" t="str">
        <f>IF(Gastos[[#This Row],[Fecha_Cheque]]&gt;0,WEEKNUM(Gastos[[#This Row],[Fecha_Cheque]]),MID(Gastos[[#This Row],[Semana]],6,2))</f>
        <v>13</v>
      </c>
      <c r="O4528" t="s">
        <v>2814</v>
      </c>
      <c r="P4528" t="s">
        <v>27</v>
      </c>
    </row>
    <row r="4529" spans="1:16" hidden="1" x14ac:dyDescent="0.25">
      <c r="A4529" s="3" t="s">
        <v>2740</v>
      </c>
      <c r="B4529" t="s">
        <v>2560</v>
      </c>
      <c r="C4529" t="s">
        <v>3079</v>
      </c>
      <c r="D4529" t="s">
        <v>26</v>
      </c>
      <c r="E4529" t="s">
        <v>31</v>
      </c>
      <c r="F4529">
        <v>1</v>
      </c>
      <c r="G4529" s="3" t="s">
        <v>32</v>
      </c>
      <c r="H4529" s="44" t="s">
        <v>15</v>
      </c>
      <c r="I4529" s="17">
        <v>253261.93</v>
      </c>
      <c r="J4529" s="17">
        <f>IF(Gastos[[#This Row],[Divisa]]="$", I4529*1, IF(Gastos[[#This Row],[Divisa]]="U$D", I4529*$N$1, IF(Gastos[[#This Row],[Divisa]]="EUR", I4529*$N$2, 0)))</f>
        <v>253261.93</v>
      </c>
      <c r="K4529" s="54">
        <f>Gastos[[#This Row],[Importe AR$]]/$N$1</f>
        <v>162.34739102564103</v>
      </c>
      <c r="M4529" s="69">
        <v>46126</v>
      </c>
      <c r="N4529" s="43">
        <f>IF(Gastos[[#This Row],[Fecha_Cheque]]&gt;0,WEEKNUM(Gastos[[#This Row],[Fecha_Cheque]]),MID(Gastos[[#This Row],[Semana]],6,2))</f>
        <v>16</v>
      </c>
      <c r="O4529" t="s">
        <v>3080</v>
      </c>
      <c r="P4529" t="s">
        <v>27</v>
      </c>
    </row>
    <row r="4530" spans="1:16" hidden="1" x14ac:dyDescent="0.25">
      <c r="A4530" s="3" t="s">
        <v>2740</v>
      </c>
      <c r="B4530" t="s">
        <v>2560</v>
      </c>
      <c r="C4530" t="s">
        <v>3079</v>
      </c>
      <c r="D4530" t="s">
        <v>26</v>
      </c>
      <c r="E4530" t="s">
        <v>31</v>
      </c>
      <c r="F4530">
        <v>1</v>
      </c>
      <c r="G4530" s="3" t="s">
        <v>32</v>
      </c>
      <c r="H4530" s="44" t="s">
        <v>15</v>
      </c>
      <c r="I4530" s="17">
        <v>253261.93</v>
      </c>
      <c r="J4530" s="17">
        <f>IF(Gastos[[#This Row],[Divisa]]="$", I4530*1, IF(Gastos[[#This Row],[Divisa]]="U$D", I4530*$N$1, IF(Gastos[[#This Row],[Divisa]]="EUR", I4530*$N$2, 0)))</f>
        <v>253261.93</v>
      </c>
      <c r="K4530" s="54">
        <f>Gastos[[#This Row],[Importe AR$]]/$N$1</f>
        <v>162.34739102564103</v>
      </c>
      <c r="M4530" s="69">
        <v>46156</v>
      </c>
      <c r="N4530" s="43">
        <f>IF(Gastos[[#This Row],[Fecha_Cheque]]&gt;0,WEEKNUM(Gastos[[#This Row],[Fecha_Cheque]]),MID(Gastos[[#This Row],[Semana]],6,2))</f>
        <v>20</v>
      </c>
      <c r="O4530" t="s">
        <v>3080</v>
      </c>
      <c r="P4530" t="s">
        <v>27</v>
      </c>
    </row>
    <row r="4531" spans="1:16" hidden="1" x14ac:dyDescent="0.25">
      <c r="A4531" s="3" t="s">
        <v>2740</v>
      </c>
      <c r="B4531" t="s">
        <v>2560</v>
      </c>
      <c r="C4531" t="s">
        <v>3079</v>
      </c>
      <c r="D4531" t="s">
        <v>26</v>
      </c>
      <c r="E4531" t="s">
        <v>31</v>
      </c>
      <c r="F4531">
        <v>1</v>
      </c>
      <c r="G4531" s="3" t="s">
        <v>32</v>
      </c>
      <c r="H4531" s="44" t="s">
        <v>15</v>
      </c>
      <c r="I4531" s="17">
        <v>253261.93</v>
      </c>
      <c r="J4531" s="17">
        <f>IF(Gastos[[#This Row],[Divisa]]="$", I4531*1, IF(Gastos[[#This Row],[Divisa]]="U$D", I4531*$N$1, IF(Gastos[[#This Row],[Divisa]]="EUR", I4531*$N$2, 0)))</f>
        <v>253261.93</v>
      </c>
      <c r="K4531" s="54">
        <f>Gastos[[#This Row],[Importe AR$]]/$N$1</f>
        <v>162.34739102564103</v>
      </c>
      <c r="M4531" s="69">
        <v>46171</v>
      </c>
      <c r="N4531" s="43">
        <f>IF(Gastos[[#This Row],[Fecha_Cheque]]&gt;0,WEEKNUM(Gastos[[#This Row],[Fecha_Cheque]]),MID(Gastos[[#This Row],[Semana]],6,2))</f>
        <v>22</v>
      </c>
      <c r="O4531" t="s">
        <v>3080</v>
      </c>
      <c r="P4531" t="s">
        <v>27</v>
      </c>
    </row>
    <row r="4532" spans="1:16" hidden="1" x14ac:dyDescent="0.25">
      <c r="A4532" s="3" t="s">
        <v>2740</v>
      </c>
      <c r="B4532" t="s">
        <v>2560</v>
      </c>
      <c r="C4532" t="s">
        <v>3079</v>
      </c>
      <c r="D4532" t="s">
        <v>26</v>
      </c>
      <c r="E4532" t="s">
        <v>31</v>
      </c>
      <c r="F4532">
        <v>1</v>
      </c>
      <c r="G4532" s="3" t="s">
        <v>32</v>
      </c>
      <c r="H4532" s="44" t="s">
        <v>15</v>
      </c>
      <c r="I4532" s="17">
        <v>8214.2099999999991</v>
      </c>
      <c r="J4532" s="17">
        <f>IF(Gastos[[#This Row],[Divisa]]="$", I4532*1, IF(Gastos[[#This Row],[Divisa]]="U$D", I4532*$N$1, IF(Gastos[[#This Row],[Divisa]]="EUR", I4532*$N$2, 0)))</f>
        <v>8214.2099999999991</v>
      </c>
      <c r="K4532" s="54">
        <f>Gastos[[#This Row],[Importe AR$]]/$N$1</f>
        <v>5.2655192307692298</v>
      </c>
      <c r="L4532" t="s">
        <v>340</v>
      </c>
      <c r="M4532" s="69"/>
      <c r="N4532" s="43" t="str">
        <f>IF(Gastos[[#This Row],[Fecha_Cheque]]&gt;0,WEEKNUM(Gastos[[#This Row],[Fecha_Cheque]]),MID(Gastos[[#This Row],[Semana]],6,2))</f>
        <v>16</v>
      </c>
      <c r="O4532" t="s">
        <v>3080</v>
      </c>
      <c r="P4532" t="s">
        <v>27</v>
      </c>
    </row>
    <row r="4533" spans="1:16" hidden="1" x14ac:dyDescent="0.25">
      <c r="A4533" s="3" t="s">
        <v>2841</v>
      </c>
      <c r="B4533" t="s">
        <v>2560</v>
      </c>
      <c r="C4533" t="s">
        <v>3349</v>
      </c>
      <c r="D4533" t="s">
        <v>26</v>
      </c>
      <c r="E4533" t="s">
        <v>31</v>
      </c>
      <c r="F4533">
        <v>1</v>
      </c>
      <c r="G4533" s="3" t="s">
        <v>32</v>
      </c>
      <c r="H4533" s="44" t="s">
        <v>15</v>
      </c>
      <c r="I4533" s="17">
        <v>568023.04000000004</v>
      </c>
      <c r="J4533" s="17">
        <f>IF(Gastos[[#This Row],[Divisa]]="$", I4533*1, IF(Gastos[[#This Row],[Divisa]]="U$D", I4533*$N$1, IF(Gastos[[#This Row],[Divisa]]="EUR", I4533*$N$2, 0)))</f>
        <v>568023.04000000004</v>
      </c>
      <c r="K4533" s="54">
        <f>Gastos[[#This Row],[Importe AR$]]/$N$1</f>
        <v>364.11733333333336</v>
      </c>
      <c r="M4533" s="69">
        <v>46200</v>
      </c>
      <c r="N4533" s="43">
        <f>IF(Gastos[[#This Row],[Fecha_Cheque]]&gt;0,WEEKNUM(Gastos[[#This Row],[Fecha_Cheque]]),MID(Gastos[[#This Row],[Semana]],6,2))</f>
        <v>26</v>
      </c>
      <c r="O4533" t="s">
        <v>3350</v>
      </c>
      <c r="P4533" t="s">
        <v>27</v>
      </c>
    </row>
    <row r="4534" spans="1:16" hidden="1" x14ac:dyDescent="0.25">
      <c r="A4534" s="3" t="s">
        <v>2841</v>
      </c>
      <c r="B4534" t="s">
        <v>2560</v>
      </c>
      <c r="C4534" t="s">
        <v>3349</v>
      </c>
      <c r="D4534" t="s">
        <v>26</v>
      </c>
      <c r="E4534" t="s">
        <v>31</v>
      </c>
      <c r="F4534">
        <v>1</v>
      </c>
      <c r="G4534" s="3" t="s">
        <v>32</v>
      </c>
      <c r="H4534" s="44" t="s">
        <v>15</v>
      </c>
      <c r="I4534" s="17">
        <v>568023.04000000004</v>
      </c>
      <c r="J4534" s="17">
        <f>IF(Gastos[[#This Row],[Divisa]]="$", I4534*1, IF(Gastos[[#This Row],[Divisa]]="U$D", I4534*$N$1, IF(Gastos[[#This Row],[Divisa]]="EUR", I4534*$N$2, 0)))</f>
        <v>568023.04000000004</v>
      </c>
      <c r="K4534" s="54">
        <f>Gastos[[#This Row],[Importe AR$]]/$N$1</f>
        <v>364.11733333333336</v>
      </c>
      <c r="M4534" s="69">
        <v>46205</v>
      </c>
      <c r="N4534" s="43">
        <f>IF(Gastos[[#This Row],[Fecha_Cheque]]&gt;0,WEEKNUM(Gastos[[#This Row],[Fecha_Cheque]]),MID(Gastos[[#This Row],[Semana]],6,2))</f>
        <v>27</v>
      </c>
      <c r="O4534" t="s">
        <v>3350</v>
      </c>
      <c r="P4534" t="s">
        <v>27</v>
      </c>
    </row>
    <row r="4535" spans="1:16" hidden="1" x14ac:dyDescent="0.25">
      <c r="A4535" s="3" t="s">
        <v>2841</v>
      </c>
      <c r="B4535" t="s">
        <v>2560</v>
      </c>
      <c r="C4535" t="s">
        <v>3349</v>
      </c>
      <c r="D4535" t="s">
        <v>26</v>
      </c>
      <c r="E4535" t="s">
        <v>31</v>
      </c>
      <c r="F4535">
        <v>1</v>
      </c>
      <c r="G4535" s="3" t="s">
        <v>32</v>
      </c>
      <c r="H4535" s="44" t="s">
        <v>15</v>
      </c>
      <c r="I4535" s="17">
        <v>14537.92</v>
      </c>
      <c r="J4535" s="17">
        <f>IF(Gastos[[#This Row],[Divisa]]="$", I4535*1, IF(Gastos[[#This Row],[Divisa]]="U$D", I4535*$N$1, IF(Gastos[[#This Row],[Divisa]]="EUR", I4535*$N$2, 0)))</f>
        <v>14537.92</v>
      </c>
      <c r="K4535" s="54">
        <f>Gastos[[#This Row],[Importe AR$]]/$N$1</f>
        <v>9.319179487179488</v>
      </c>
      <c r="L4535" t="s">
        <v>340</v>
      </c>
      <c r="M4535" s="69"/>
      <c r="N4535" s="43" t="str">
        <f>IF(Gastos[[#This Row],[Fecha_Cheque]]&gt;0,WEEKNUM(Gastos[[#This Row],[Fecha_Cheque]]),MID(Gastos[[#This Row],[Semana]],6,2))</f>
        <v>22</v>
      </c>
      <c r="O4535" t="s">
        <v>3350</v>
      </c>
      <c r="P4535" t="s">
        <v>27</v>
      </c>
    </row>
    <row r="4536" spans="1:16" hidden="1" x14ac:dyDescent="0.25">
      <c r="A4536" s="3" t="s">
        <v>3617</v>
      </c>
      <c r="B4536" t="s">
        <v>2560</v>
      </c>
      <c r="C4536" t="s">
        <v>3644</v>
      </c>
      <c r="D4536" t="s">
        <v>26</v>
      </c>
      <c r="E4536" t="s">
        <v>31</v>
      </c>
      <c r="F4536">
        <v>1</v>
      </c>
      <c r="G4536" s="3" t="s">
        <v>5</v>
      </c>
      <c r="H4536" s="44" t="s">
        <v>15</v>
      </c>
      <c r="I4536" s="17">
        <v>568023.04000000004</v>
      </c>
      <c r="J4536" s="17">
        <f>IF(Gastos[[#This Row],[Divisa]]="$", I4536*1, IF(Gastos[[#This Row],[Divisa]]="U$D", I4536*$N$1, IF(Gastos[[#This Row],[Divisa]]="EUR", I4536*$N$2, 0)))</f>
        <v>568023.04000000004</v>
      </c>
      <c r="K4536" s="54">
        <f>Gastos[[#This Row],[Importe AR$]]/$N$1</f>
        <v>364.11733333333336</v>
      </c>
      <c r="M4536" s="69"/>
      <c r="N4536" s="43" t="str">
        <f>IF(Gastos[[#This Row],[Fecha_Cheque]]&gt;0,WEEKNUM(Gastos[[#This Row],[Fecha_Cheque]]),MID(Gastos[[#This Row],[Semana]],6,2))</f>
        <v>27</v>
      </c>
      <c r="O4536" t="s">
        <v>3663</v>
      </c>
      <c r="P4536" t="s">
        <v>27</v>
      </c>
    </row>
    <row r="4537" spans="1:16" hidden="1" x14ac:dyDescent="0.25">
      <c r="A4537" s="3" t="s">
        <v>180</v>
      </c>
      <c r="B4537" t="s">
        <v>2627</v>
      </c>
      <c r="C4537" t="s">
        <v>2628</v>
      </c>
      <c r="D4537" t="s">
        <v>26</v>
      </c>
      <c r="E4537" t="s">
        <v>31</v>
      </c>
      <c r="F4537">
        <v>2</v>
      </c>
      <c r="G4537" s="3" t="s">
        <v>4</v>
      </c>
      <c r="H4537" s="46" t="s">
        <v>15</v>
      </c>
      <c r="I4537" s="17">
        <v>5600</v>
      </c>
      <c r="J4537" s="17">
        <f>IF(Gastos[[#This Row],[Divisa]]="$", I4537*1, IF(Gastos[[#This Row],[Divisa]]="U$D", I4537*$N$1, IF(Gastos[[#This Row],[Divisa]]="EUR", I4537*$N$2, 0)))</f>
        <v>5600</v>
      </c>
      <c r="K4537" s="54">
        <f>Gastos[[#This Row],[Importe AR$]]/$N$1</f>
        <v>3.5897435897435899</v>
      </c>
      <c r="M4537" s="69"/>
      <c r="N4537" s="43" t="str">
        <f>IF(Gastos[[#This Row],[Fecha_Cheque]]&gt;0,WEEKNUM(Gastos[[#This Row],[Fecha_Cheque]]),MID(Gastos[[#This Row],[Semana]],6,2))</f>
        <v>09</v>
      </c>
      <c r="O4537" t="s">
        <v>2629</v>
      </c>
      <c r="P4537" t="s">
        <v>27</v>
      </c>
    </row>
    <row r="4538" spans="1:16" hidden="1" x14ac:dyDescent="0.25">
      <c r="A4538" s="3" t="s">
        <v>180</v>
      </c>
      <c r="B4538" t="s">
        <v>2627</v>
      </c>
      <c r="C4538" t="s">
        <v>2628</v>
      </c>
      <c r="D4538" t="s">
        <v>26</v>
      </c>
      <c r="E4538" t="s">
        <v>31</v>
      </c>
      <c r="F4538">
        <v>2</v>
      </c>
      <c r="G4538" s="3" t="s">
        <v>32</v>
      </c>
      <c r="H4538" s="46" t="s">
        <v>15</v>
      </c>
      <c r="I4538" s="17">
        <v>100000</v>
      </c>
      <c r="J4538" s="17">
        <f>IF(Gastos[[#This Row],[Divisa]]="$", I4538*1, IF(Gastos[[#This Row],[Divisa]]="U$D", I4538*$N$1, IF(Gastos[[#This Row],[Divisa]]="EUR", I4538*$N$2, 0)))</f>
        <v>100000</v>
      </c>
      <c r="K4538" s="54">
        <f>Gastos[[#This Row],[Importe AR$]]/$N$1</f>
        <v>64.102564102564102</v>
      </c>
      <c r="M4538" s="69">
        <v>46086</v>
      </c>
      <c r="N4538" s="43">
        <f>IF(Gastos[[#This Row],[Fecha_Cheque]]&gt;0,WEEKNUM(Gastos[[#This Row],[Fecha_Cheque]]),MID(Gastos[[#This Row],[Semana]],6,2))</f>
        <v>10</v>
      </c>
      <c r="O4538" t="s">
        <v>2629</v>
      </c>
      <c r="P4538" t="s">
        <v>27</v>
      </c>
    </row>
    <row r="4539" spans="1:16" hidden="1" x14ac:dyDescent="0.25">
      <c r="A4539" s="3" t="s">
        <v>180</v>
      </c>
      <c r="B4539" t="s">
        <v>2627</v>
      </c>
      <c r="C4539" t="s">
        <v>2628</v>
      </c>
      <c r="D4539" t="s">
        <v>26</v>
      </c>
      <c r="E4539" t="s">
        <v>31</v>
      </c>
      <c r="F4539">
        <v>2</v>
      </c>
      <c r="G4539" s="3" t="s">
        <v>32</v>
      </c>
      <c r="H4539" s="46" t="s">
        <v>15</v>
      </c>
      <c r="I4539" s="17">
        <v>300000</v>
      </c>
      <c r="J4539" s="17">
        <f>IF(Gastos[[#This Row],[Divisa]]="$", I4539*1, IF(Gastos[[#This Row],[Divisa]]="U$D", I4539*$N$1, IF(Gastos[[#This Row],[Divisa]]="EUR", I4539*$N$2, 0)))</f>
        <v>300000</v>
      </c>
      <c r="K4539" s="54">
        <f>Gastos[[#This Row],[Importe AR$]]/$N$1</f>
        <v>192.30769230769232</v>
      </c>
      <c r="M4539" s="69">
        <v>46081</v>
      </c>
      <c r="N4539" s="43">
        <f>IF(Gastos[[#This Row],[Fecha_Cheque]]&gt;0,WEEKNUM(Gastos[[#This Row],[Fecha_Cheque]]),MID(Gastos[[#This Row],[Semana]],6,2))</f>
        <v>9</v>
      </c>
      <c r="O4539" t="s">
        <v>2629</v>
      </c>
      <c r="P4539" t="s">
        <v>27</v>
      </c>
    </row>
    <row r="4540" spans="1:16" hidden="1" x14ac:dyDescent="0.25">
      <c r="A4540" s="3" t="s">
        <v>180</v>
      </c>
      <c r="B4540" t="s">
        <v>2627</v>
      </c>
      <c r="C4540" t="s">
        <v>2628</v>
      </c>
      <c r="D4540" t="s">
        <v>26</v>
      </c>
      <c r="E4540" t="s">
        <v>31</v>
      </c>
      <c r="F4540">
        <v>2</v>
      </c>
      <c r="G4540" s="3" t="s">
        <v>32</v>
      </c>
      <c r="H4540" s="46" t="s">
        <v>15</v>
      </c>
      <c r="I4540" s="17">
        <v>398400</v>
      </c>
      <c r="J4540" s="17">
        <f>IF(Gastos[[#This Row],[Divisa]]="$", I4540*1, IF(Gastos[[#This Row],[Divisa]]="U$D", I4540*$N$1, IF(Gastos[[#This Row],[Divisa]]="EUR", I4540*$N$2, 0)))</f>
        <v>398400</v>
      </c>
      <c r="K4540" s="54">
        <f>Gastos[[#This Row],[Importe AR$]]/$N$1</f>
        <v>255.38461538461539</v>
      </c>
      <c r="M4540" s="69">
        <v>46081</v>
      </c>
      <c r="N4540" s="43">
        <f>IF(Gastos[[#This Row],[Fecha_Cheque]]&gt;0,WEEKNUM(Gastos[[#This Row],[Fecha_Cheque]]),MID(Gastos[[#This Row],[Semana]],6,2))</f>
        <v>9</v>
      </c>
      <c r="O4540" t="s">
        <v>2629</v>
      </c>
      <c r="P4540" t="s">
        <v>27</v>
      </c>
    </row>
    <row r="4541" spans="1:16" hidden="1" x14ac:dyDescent="0.25">
      <c r="A4541" s="3" t="s">
        <v>290</v>
      </c>
      <c r="B4541" t="s">
        <v>2568</v>
      </c>
      <c r="C4541" t="s">
        <v>2569</v>
      </c>
      <c r="D4541" t="s">
        <v>26</v>
      </c>
      <c r="E4541" t="s">
        <v>31</v>
      </c>
      <c r="F4541">
        <v>1</v>
      </c>
      <c r="G4541" s="3" t="s">
        <v>5</v>
      </c>
      <c r="H4541" s="46" t="s">
        <v>15</v>
      </c>
      <c r="I4541" s="17">
        <v>714400</v>
      </c>
      <c r="J4541" s="17">
        <f>IF(Gastos[[#This Row],[Divisa]]="$", I4541*1, IF(Gastos[[#This Row],[Divisa]]="U$D", I4541*$N$1, IF(Gastos[[#This Row],[Divisa]]="EUR", I4541*$N$2, 0)))</f>
        <v>714400</v>
      </c>
      <c r="K4541" s="54">
        <f>Gastos[[#This Row],[Importe AR$]]/$N$1</f>
        <v>457.94871794871796</v>
      </c>
      <c r="L4541" t="s">
        <v>1713</v>
      </c>
      <c r="M4541" s="69"/>
      <c r="N4541" s="43" t="str">
        <f>IF(Gastos[[#This Row],[Fecha_Cheque]]&gt;0,WEEKNUM(Gastos[[#This Row],[Fecha_Cheque]]),MID(Gastos[[#This Row],[Semana]],6,2))</f>
        <v>23</v>
      </c>
      <c r="O4541" t="s">
        <v>2570</v>
      </c>
      <c r="P4541" t="s">
        <v>27</v>
      </c>
    </row>
    <row r="4542" spans="1:16" hidden="1" x14ac:dyDescent="0.25">
      <c r="A4542" s="3" t="s">
        <v>253</v>
      </c>
      <c r="B4542" t="s">
        <v>2568</v>
      </c>
      <c r="C4542" t="s">
        <v>2571</v>
      </c>
      <c r="D4542" t="s">
        <v>26</v>
      </c>
      <c r="E4542" t="s">
        <v>31</v>
      </c>
      <c r="F4542">
        <v>1</v>
      </c>
      <c r="G4542" s="3" t="s">
        <v>5</v>
      </c>
      <c r="H4542" s="46" t="s">
        <v>15</v>
      </c>
      <c r="I4542" s="17">
        <v>408000</v>
      </c>
      <c r="J4542" s="17">
        <f>IF(Gastos[[#This Row],[Divisa]]="$", I4542*1, IF(Gastos[[#This Row],[Divisa]]="U$D", I4542*$N$1, IF(Gastos[[#This Row],[Divisa]]="EUR", I4542*$N$2, 0)))</f>
        <v>408000</v>
      </c>
      <c r="K4542" s="54">
        <f>Gastos[[#This Row],[Importe AR$]]/$N$1</f>
        <v>261.53846153846155</v>
      </c>
      <c r="M4542" s="69"/>
      <c r="N4542" s="43" t="str">
        <f>IF(Gastos[[#This Row],[Fecha_Cheque]]&gt;0,WEEKNUM(Gastos[[#This Row],[Fecha_Cheque]]),MID(Gastos[[#This Row],[Semana]],6,2))</f>
        <v>24</v>
      </c>
      <c r="O4542" t="s">
        <v>2572</v>
      </c>
      <c r="P4542" t="s">
        <v>27</v>
      </c>
    </row>
    <row r="4543" spans="1:16" hidden="1" x14ac:dyDescent="0.25">
      <c r="A4543" s="3" t="s">
        <v>114</v>
      </c>
      <c r="B4543" t="s">
        <v>2568</v>
      </c>
      <c r="C4543" t="s">
        <v>2573</v>
      </c>
      <c r="D4543" t="s">
        <v>26</v>
      </c>
      <c r="E4543" t="s">
        <v>31</v>
      </c>
      <c r="F4543">
        <v>1</v>
      </c>
      <c r="G4543" s="3" t="s">
        <v>5</v>
      </c>
      <c r="H4543" s="46" t="s">
        <v>15</v>
      </c>
      <c r="I4543" s="17">
        <v>156000</v>
      </c>
      <c r="J4543" s="17">
        <f>IF(Gastos[[#This Row],[Divisa]]="$", I4543*1, IF(Gastos[[#This Row],[Divisa]]="U$D", I4543*$N$1, IF(Gastos[[#This Row],[Divisa]]="EUR", I4543*$N$2, 0)))</f>
        <v>156000</v>
      </c>
      <c r="K4543" s="54">
        <f>Gastos[[#This Row],[Importe AR$]]/$N$1</f>
        <v>100</v>
      </c>
      <c r="M4543" s="69"/>
      <c r="N4543" s="43" t="str">
        <f>IF(Gastos[[#This Row],[Fecha_Cheque]]&gt;0,WEEKNUM(Gastos[[#This Row],[Fecha_Cheque]]),MID(Gastos[[#This Row],[Semana]],6,2))</f>
        <v>29</v>
      </c>
      <c r="O4543" t="s">
        <v>2574</v>
      </c>
      <c r="P4543" t="s">
        <v>27</v>
      </c>
    </row>
    <row r="4544" spans="1:16" hidden="1" x14ac:dyDescent="0.25">
      <c r="A4544" s="3" t="s">
        <v>217</v>
      </c>
      <c r="B4544" t="s">
        <v>2568</v>
      </c>
      <c r="C4544" t="s">
        <v>2575</v>
      </c>
      <c r="D4544" t="s">
        <v>26</v>
      </c>
      <c r="E4544" t="s">
        <v>31</v>
      </c>
      <c r="F4544">
        <v>1</v>
      </c>
      <c r="G4544" s="3" t="s">
        <v>5</v>
      </c>
      <c r="H4544" s="46" t="s">
        <v>15</v>
      </c>
      <c r="I4544" s="17">
        <v>1190000</v>
      </c>
      <c r="J4544" s="17">
        <f>IF(Gastos[[#This Row],[Divisa]]="$", I4544*1, IF(Gastos[[#This Row],[Divisa]]="U$D", I4544*$N$1, IF(Gastos[[#This Row],[Divisa]]="EUR", I4544*$N$2, 0)))</f>
        <v>1190000</v>
      </c>
      <c r="K4544" s="54">
        <f>Gastos[[#This Row],[Importe AR$]]/$N$1</f>
        <v>762.82051282051282</v>
      </c>
      <c r="M4544" s="69"/>
      <c r="N4544" s="43" t="str">
        <f>IF(Gastos[[#This Row],[Fecha_Cheque]]&gt;0,WEEKNUM(Gastos[[#This Row],[Fecha_Cheque]]),MID(Gastos[[#This Row],[Semana]],6,2))</f>
        <v>30</v>
      </c>
      <c r="P4544" t="s">
        <v>27</v>
      </c>
    </row>
    <row r="4545" spans="1:16" hidden="1" x14ac:dyDescent="0.25">
      <c r="A4545" s="3" t="s">
        <v>53</v>
      </c>
      <c r="B4545" t="s">
        <v>2568</v>
      </c>
      <c r="C4545" t="s">
        <v>2576</v>
      </c>
      <c r="D4545" t="s">
        <v>26</v>
      </c>
      <c r="E4545" t="s">
        <v>31</v>
      </c>
      <c r="F4545">
        <v>1</v>
      </c>
      <c r="G4545" s="3" t="s">
        <v>5</v>
      </c>
      <c r="H4545" s="46" t="s">
        <v>15</v>
      </c>
      <c r="I4545" s="17">
        <v>8929</v>
      </c>
      <c r="J4545" s="17">
        <f>IF(Gastos[[#This Row],[Divisa]]="$", I4545*1, IF(Gastos[[#This Row],[Divisa]]="U$D", I4545*$N$1, IF(Gastos[[#This Row],[Divisa]]="EUR", I4545*$N$2, 0)))</f>
        <v>8929</v>
      </c>
      <c r="K4545" s="54">
        <f>Gastos[[#This Row],[Importe AR$]]/$N$1</f>
        <v>5.7237179487179484</v>
      </c>
      <c r="M4545" s="69"/>
      <c r="N4545" s="43" t="str">
        <f>IF(Gastos[[#This Row],[Fecha_Cheque]]&gt;0,WEEKNUM(Gastos[[#This Row],[Fecha_Cheque]]),MID(Gastos[[#This Row],[Semana]],6,2))</f>
        <v>34</v>
      </c>
      <c r="O4545" t="s">
        <v>123</v>
      </c>
      <c r="P4545" t="s">
        <v>27</v>
      </c>
    </row>
    <row r="4546" spans="1:16" hidden="1" x14ac:dyDescent="0.25">
      <c r="A4546" s="3" t="s">
        <v>89</v>
      </c>
      <c r="B4546" t="s">
        <v>2568</v>
      </c>
      <c r="C4546" t="s">
        <v>2577</v>
      </c>
      <c r="D4546" t="s">
        <v>26</v>
      </c>
      <c r="E4546" t="s">
        <v>31</v>
      </c>
      <c r="F4546">
        <v>1</v>
      </c>
      <c r="G4546" s="3" t="s">
        <v>5</v>
      </c>
      <c r="H4546" s="46" t="s">
        <v>15</v>
      </c>
      <c r="I4546" s="17">
        <v>107000</v>
      </c>
      <c r="J4546" s="17">
        <f>IF(Gastos[[#This Row],[Divisa]]="$", I4546*1, IF(Gastos[[#This Row],[Divisa]]="U$D", I4546*$N$1, IF(Gastos[[#This Row],[Divisa]]="EUR", I4546*$N$2, 0)))</f>
        <v>107000</v>
      </c>
      <c r="K4546" s="54">
        <f>Gastos[[#This Row],[Importe AR$]]/$N$1</f>
        <v>68.589743589743591</v>
      </c>
      <c r="M4546" s="69"/>
      <c r="N4546" s="43" t="str">
        <f>IF(Gastos[[#This Row],[Fecha_Cheque]]&gt;0,WEEKNUM(Gastos[[#This Row],[Fecha_Cheque]]),MID(Gastos[[#This Row],[Semana]],6,2))</f>
        <v>39</v>
      </c>
      <c r="O4546" t="s">
        <v>2578</v>
      </c>
      <c r="P4546" t="s">
        <v>27</v>
      </c>
    </row>
    <row r="4547" spans="1:16" hidden="1" x14ac:dyDescent="0.25">
      <c r="A4547" s="3" t="s">
        <v>124</v>
      </c>
      <c r="B4547" t="s">
        <v>2568</v>
      </c>
      <c r="C4547" t="s">
        <v>2579</v>
      </c>
      <c r="D4547" t="s">
        <v>26</v>
      </c>
      <c r="E4547" t="s">
        <v>31</v>
      </c>
      <c r="F4547">
        <v>1</v>
      </c>
      <c r="G4547" s="3" t="s">
        <v>32</v>
      </c>
      <c r="H4547" s="46" t="s">
        <v>15</v>
      </c>
      <c r="I4547" s="17">
        <v>316000</v>
      </c>
      <c r="J4547" s="17">
        <f>IF(Gastos[[#This Row],[Divisa]]="$", I4547*1, IF(Gastos[[#This Row],[Divisa]]="U$D", I4547*$N$1, IF(Gastos[[#This Row],[Divisa]]="EUR", I4547*$N$2, 0)))</f>
        <v>316000</v>
      </c>
      <c r="K4547" s="54">
        <f>Gastos[[#This Row],[Importe AR$]]/$N$1</f>
        <v>202.56410256410257</v>
      </c>
      <c r="M4547" s="69"/>
      <c r="N4547" s="43" t="str">
        <f>IF(Gastos[[#This Row],[Fecha_Cheque]]&gt;0,WEEKNUM(Gastos[[#This Row],[Fecha_Cheque]]),MID(Gastos[[#This Row],[Semana]],6,2))</f>
        <v>42</v>
      </c>
      <c r="O4547" t="s">
        <v>2580</v>
      </c>
      <c r="P4547" t="s">
        <v>27</v>
      </c>
    </row>
    <row r="4548" spans="1:16" hidden="1" x14ac:dyDescent="0.25">
      <c r="A4548" s="3" t="s">
        <v>53</v>
      </c>
      <c r="B4548" t="s">
        <v>2568</v>
      </c>
      <c r="D4548" t="s">
        <v>26</v>
      </c>
      <c r="E4548" t="s">
        <v>31</v>
      </c>
      <c r="F4548">
        <v>1</v>
      </c>
      <c r="G4548" s="3" t="s">
        <v>32</v>
      </c>
      <c r="H4548" s="46" t="s">
        <v>15</v>
      </c>
      <c r="I4548" s="17">
        <v>347407.23</v>
      </c>
      <c r="J4548" s="17">
        <f>IF(Gastos[[#This Row],[Divisa]]="$", I4548*1, IF(Gastos[[#This Row],[Divisa]]="U$D", I4548*$N$1, IF(Gastos[[#This Row],[Divisa]]="EUR", I4548*$N$2, 0)))</f>
        <v>347407.23</v>
      </c>
      <c r="K4548" s="54">
        <f>Gastos[[#This Row],[Importe AR$]]/$N$1</f>
        <v>222.6969423076923</v>
      </c>
      <c r="M4548" s="69">
        <v>45932</v>
      </c>
      <c r="N4548" s="43">
        <f>IF(Gastos[[#This Row],[Fecha_Cheque]]&gt;0,WEEKNUM(Gastos[[#This Row],[Fecha_Cheque]]),MID(Gastos[[#This Row],[Semana]],6,2))</f>
        <v>40</v>
      </c>
      <c r="O4548" t="s">
        <v>2581</v>
      </c>
      <c r="P4548" t="s">
        <v>27</v>
      </c>
    </row>
    <row r="4549" spans="1:16" hidden="1" x14ac:dyDescent="0.25">
      <c r="A4549" s="3" t="s">
        <v>130</v>
      </c>
      <c r="B4549" t="s">
        <v>2568</v>
      </c>
      <c r="C4549" t="s">
        <v>2582</v>
      </c>
      <c r="D4549" t="s">
        <v>26</v>
      </c>
      <c r="E4549" t="s">
        <v>31</v>
      </c>
      <c r="F4549">
        <v>1</v>
      </c>
      <c r="G4549" s="3" t="s">
        <v>5</v>
      </c>
      <c r="H4549" s="46" t="s">
        <v>15</v>
      </c>
      <c r="I4549" s="17">
        <v>504592.77</v>
      </c>
      <c r="J4549" s="17">
        <f>IF(Gastos[[#This Row],[Divisa]]="$", I4549*1, IF(Gastos[[#This Row],[Divisa]]="U$D", I4549*$N$1, IF(Gastos[[#This Row],[Divisa]]="EUR", I4549*$N$2, 0)))</f>
        <v>504592.77</v>
      </c>
      <c r="K4549" s="54">
        <f>Gastos[[#This Row],[Importe AR$]]/$N$1</f>
        <v>323.45690384615386</v>
      </c>
      <c r="M4549" s="69"/>
      <c r="N4549" s="43" t="str">
        <f>IF(Gastos[[#This Row],[Fecha_Cheque]]&gt;0,WEEKNUM(Gastos[[#This Row],[Fecha_Cheque]]),MID(Gastos[[#This Row],[Semana]],6,2))</f>
        <v>45</v>
      </c>
      <c r="O4549" t="s">
        <v>2583</v>
      </c>
      <c r="P4549" t="s">
        <v>27</v>
      </c>
    </row>
    <row r="4550" spans="1:16" hidden="1" x14ac:dyDescent="0.25">
      <c r="A4550" s="3" t="s">
        <v>60</v>
      </c>
      <c r="B4550" t="s">
        <v>2568</v>
      </c>
      <c r="C4550" t="s">
        <v>2584</v>
      </c>
      <c r="D4550" t="s">
        <v>26</v>
      </c>
      <c r="E4550" t="s">
        <v>31</v>
      </c>
      <c r="F4550">
        <v>1</v>
      </c>
      <c r="G4550" s="3" t="s">
        <v>5</v>
      </c>
      <c r="H4550" s="46" t="s">
        <v>15</v>
      </c>
      <c r="I4550" s="17">
        <v>1088000</v>
      </c>
      <c r="J4550" s="17">
        <f>IF(Gastos[[#This Row],[Divisa]]="$", I4550*1, IF(Gastos[[#This Row],[Divisa]]="U$D", I4550*$N$1, IF(Gastos[[#This Row],[Divisa]]="EUR", I4550*$N$2, 0)))</f>
        <v>1088000</v>
      </c>
      <c r="K4550" s="54">
        <f>Gastos[[#This Row],[Importe AR$]]/$N$1</f>
        <v>697.43589743589746</v>
      </c>
      <c r="M4550" s="69"/>
      <c r="N4550" s="43" t="str">
        <f>IF(Gastos[[#This Row],[Fecha_Cheque]]&gt;0,WEEKNUM(Gastos[[#This Row],[Fecha_Cheque]]),MID(Gastos[[#This Row],[Semana]],6,2))</f>
        <v>46</v>
      </c>
      <c r="O4550" t="s">
        <v>2585</v>
      </c>
      <c r="P4550" t="s">
        <v>27</v>
      </c>
    </row>
    <row r="4551" spans="1:16" hidden="1" x14ac:dyDescent="0.25">
      <c r="A4551" s="3" t="s">
        <v>44</v>
      </c>
      <c r="B4551" t="s">
        <v>2568</v>
      </c>
      <c r="C4551" t="s">
        <v>1307</v>
      </c>
      <c r="D4551" t="s">
        <v>26</v>
      </c>
      <c r="E4551" t="s">
        <v>31</v>
      </c>
      <c r="F4551">
        <v>1</v>
      </c>
      <c r="G4551" s="3" t="s">
        <v>5</v>
      </c>
      <c r="H4551" s="46" t="s">
        <v>15</v>
      </c>
      <c r="I4551" s="17">
        <v>857000</v>
      </c>
      <c r="J4551" s="17">
        <f>IF(Gastos[[#This Row],[Divisa]]="$", I4551*1, IF(Gastos[[#This Row],[Divisa]]="U$D", I4551*$N$1, IF(Gastos[[#This Row],[Divisa]]="EUR", I4551*$N$2, 0)))</f>
        <v>857000</v>
      </c>
      <c r="K4551" s="54">
        <f>Gastos[[#This Row],[Importe AR$]]/$N$1</f>
        <v>549.35897435897436</v>
      </c>
      <c r="M4551" s="69"/>
      <c r="N4551" s="43" t="str">
        <f>IF(Gastos[[#This Row],[Fecha_Cheque]]&gt;0,WEEKNUM(Gastos[[#This Row],[Fecha_Cheque]]),MID(Gastos[[#This Row],[Semana]],6,2))</f>
        <v>51</v>
      </c>
      <c r="O4551" t="s">
        <v>2586</v>
      </c>
      <c r="P4551" t="s">
        <v>27</v>
      </c>
    </row>
    <row r="4552" spans="1:16" hidden="1" x14ac:dyDescent="0.25">
      <c r="A4552" s="3" t="s">
        <v>4569</v>
      </c>
      <c r="B4552" t="s">
        <v>2568</v>
      </c>
      <c r="C4552" t="s">
        <v>4620</v>
      </c>
      <c r="D4552" t="s">
        <v>26</v>
      </c>
      <c r="E4552" t="s">
        <v>31</v>
      </c>
      <c r="F4552">
        <v>1</v>
      </c>
      <c r="G4552" s="3" t="s">
        <v>5</v>
      </c>
      <c r="H4552" s="44" t="s">
        <v>15</v>
      </c>
      <c r="I4552" s="17">
        <v>780000</v>
      </c>
      <c r="J4552" s="17">
        <f>IF(Gastos[[#This Row],[Divisa]]="$", I4552*1, IF(Gastos[[#This Row],[Divisa]]="U$D", I4552*$N$1, IF(Gastos[[#This Row],[Divisa]]="EUR", I4552*$N$2, 0)))</f>
        <v>780000</v>
      </c>
      <c r="K4552" s="54">
        <f>Gastos[[#This Row],[Importe AR$]]/$N$1</f>
        <v>500</v>
      </c>
      <c r="M4552" s="69"/>
      <c r="N4552" s="43" t="str">
        <f>IF(Gastos[[#This Row],[Fecha_Cheque]]&gt;0,WEEKNUM(Gastos[[#This Row],[Fecha_Cheque]]),MID(Gastos[[#This Row],[Semana]],6,2))</f>
        <v>43</v>
      </c>
      <c r="O4552" t="s">
        <v>4621</v>
      </c>
      <c r="P4552" t="s">
        <v>27</v>
      </c>
    </row>
    <row r="4553" spans="1:16" hidden="1" x14ac:dyDescent="0.25">
      <c r="A4553" s="3" t="s">
        <v>2773</v>
      </c>
      <c r="B4553" t="s">
        <v>3256</v>
      </c>
      <c r="C4553" t="s">
        <v>1307</v>
      </c>
      <c r="D4553" t="s">
        <v>26</v>
      </c>
      <c r="E4553" t="s">
        <v>31</v>
      </c>
      <c r="F4553">
        <v>1</v>
      </c>
      <c r="G4553" s="3" t="s">
        <v>32</v>
      </c>
      <c r="H4553" s="44" t="s">
        <v>15</v>
      </c>
      <c r="I4553" s="17">
        <v>197433</v>
      </c>
      <c r="J4553" s="17">
        <f>IF(Gastos[[#This Row],[Divisa]]="$", I4553*1, IF(Gastos[[#This Row],[Divisa]]="U$D", I4553*$N$1, IF(Gastos[[#This Row],[Divisa]]="EUR", I4553*$N$2, 0)))</f>
        <v>197433</v>
      </c>
      <c r="K4553" s="54">
        <f>Gastos[[#This Row],[Importe AR$]]/$N$1</f>
        <v>126.55961538461538</v>
      </c>
      <c r="M4553" s="69">
        <v>46193</v>
      </c>
      <c r="N4553" s="43">
        <f>IF(Gastos[[#This Row],[Fecha_Cheque]]&gt;0,WEEKNUM(Gastos[[#This Row],[Fecha_Cheque]]),MID(Gastos[[#This Row],[Semana]],6,2))</f>
        <v>25</v>
      </c>
      <c r="O4553" t="s">
        <v>3257</v>
      </c>
      <c r="P4553" t="s">
        <v>27</v>
      </c>
    </row>
    <row r="4554" spans="1:16" hidden="1" x14ac:dyDescent="0.25">
      <c r="A4554" s="3" t="s">
        <v>2773</v>
      </c>
      <c r="B4554" t="s">
        <v>3256</v>
      </c>
      <c r="C4554" t="s">
        <v>1307</v>
      </c>
      <c r="D4554" t="s">
        <v>26</v>
      </c>
      <c r="E4554" t="s">
        <v>31</v>
      </c>
      <c r="F4554">
        <v>1</v>
      </c>
      <c r="G4554" s="3" t="s">
        <v>32</v>
      </c>
      <c r="H4554" s="44" t="s">
        <v>15</v>
      </c>
      <c r="I4554" s="17">
        <v>430000</v>
      </c>
      <c r="J4554" s="17">
        <f>IF(Gastos[[#This Row],[Divisa]]="$", I4554*1, IF(Gastos[[#This Row],[Divisa]]="U$D", I4554*$N$1, IF(Gastos[[#This Row],[Divisa]]="EUR", I4554*$N$2, 0)))</f>
        <v>430000</v>
      </c>
      <c r="K4554" s="54">
        <f>Gastos[[#This Row],[Importe AR$]]/$N$1</f>
        <v>275.64102564102564</v>
      </c>
      <c r="M4554" s="69">
        <v>46190</v>
      </c>
      <c r="N4554" s="43">
        <f>IF(Gastos[[#This Row],[Fecha_Cheque]]&gt;0,WEEKNUM(Gastos[[#This Row],[Fecha_Cheque]]),MID(Gastos[[#This Row],[Semana]],6,2))</f>
        <v>25</v>
      </c>
      <c r="O4554" t="s">
        <v>3257</v>
      </c>
      <c r="P4554" t="s">
        <v>27</v>
      </c>
    </row>
    <row r="4555" spans="1:16" hidden="1" x14ac:dyDescent="0.25">
      <c r="A4555" s="3" t="s">
        <v>2773</v>
      </c>
      <c r="B4555" t="s">
        <v>3256</v>
      </c>
      <c r="C4555" t="s">
        <v>1307</v>
      </c>
      <c r="D4555" t="s">
        <v>26</v>
      </c>
      <c r="E4555" t="s">
        <v>31</v>
      </c>
      <c r="F4555">
        <v>1</v>
      </c>
      <c r="G4555" s="3" t="s">
        <v>32</v>
      </c>
      <c r="H4555" s="44" t="s">
        <v>15</v>
      </c>
      <c r="I4555" s="17">
        <v>659050</v>
      </c>
      <c r="J4555" s="17">
        <f>IF(Gastos[[#This Row],[Divisa]]="$", I4555*1, IF(Gastos[[#This Row],[Divisa]]="U$D", I4555*$N$1, IF(Gastos[[#This Row],[Divisa]]="EUR", I4555*$N$2, 0)))</f>
        <v>659050</v>
      </c>
      <c r="K4555" s="54">
        <f>Gastos[[#This Row],[Importe AR$]]/$N$1</f>
        <v>422.46794871794873</v>
      </c>
      <c r="M4555" s="69">
        <v>46175</v>
      </c>
      <c r="N4555" s="43">
        <f>IF(Gastos[[#This Row],[Fecha_Cheque]]&gt;0,WEEKNUM(Gastos[[#This Row],[Fecha_Cheque]]),MID(Gastos[[#This Row],[Semana]],6,2))</f>
        <v>23</v>
      </c>
      <c r="O4555" t="s">
        <v>3257</v>
      </c>
      <c r="P4555" t="s">
        <v>27</v>
      </c>
    </row>
    <row r="4556" spans="1:16" hidden="1" x14ac:dyDescent="0.25">
      <c r="A4556" s="3" t="s">
        <v>2763</v>
      </c>
      <c r="B4556" t="s">
        <v>3256</v>
      </c>
      <c r="C4556" t="s">
        <v>3421</v>
      </c>
      <c r="D4556" t="s">
        <v>26</v>
      </c>
      <c r="E4556" t="s">
        <v>42</v>
      </c>
      <c r="F4556">
        <v>1</v>
      </c>
      <c r="G4556" s="3" t="s">
        <v>5</v>
      </c>
      <c r="H4556" s="44" t="s">
        <v>15</v>
      </c>
      <c r="I4556" s="17">
        <v>1140517</v>
      </c>
      <c r="J4556" s="17">
        <f>IF(Gastos[[#This Row],[Divisa]]="$", I4556*1, IF(Gastos[[#This Row],[Divisa]]="U$D", I4556*$N$1, IF(Gastos[[#This Row],[Divisa]]="EUR", I4556*$N$2, 0)))</f>
        <v>1140517</v>
      </c>
      <c r="K4556" s="54">
        <f>Gastos[[#This Row],[Importe AR$]]/$N$1</f>
        <v>731.10064102564104</v>
      </c>
      <c r="M4556" s="69"/>
      <c r="N4556" s="43" t="str">
        <f>IF(Gastos[[#This Row],[Fecha_Cheque]]&gt;0,WEEKNUM(Gastos[[#This Row],[Fecha_Cheque]]),MID(Gastos[[#This Row],[Semana]],6,2))</f>
        <v>23</v>
      </c>
      <c r="O4556" t="s">
        <v>3422</v>
      </c>
      <c r="P4556" t="s">
        <v>27</v>
      </c>
    </row>
    <row r="4557" spans="1:16" hidden="1" x14ac:dyDescent="0.25">
      <c r="A4557" s="3" t="s">
        <v>2763</v>
      </c>
      <c r="B4557" t="s">
        <v>3256</v>
      </c>
      <c r="C4557" t="s">
        <v>2582</v>
      </c>
      <c r="D4557" t="s">
        <v>26</v>
      </c>
      <c r="E4557" t="s">
        <v>31</v>
      </c>
      <c r="F4557">
        <v>1</v>
      </c>
      <c r="G4557" s="3" t="s">
        <v>5</v>
      </c>
      <c r="H4557" s="44" t="s">
        <v>15</v>
      </c>
      <c r="I4557" s="17">
        <v>525000</v>
      </c>
      <c r="J4557" s="17">
        <f>IF(Gastos[[#This Row],[Divisa]]="$", I4557*1, IF(Gastos[[#This Row],[Divisa]]="U$D", I4557*$N$1, IF(Gastos[[#This Row],[Divisa]]="EUR", I4557*$N$2, 0)))</f>
        <v>525000</v>
      </c>
      <c r="K4557" s="54">
        <f>Gastos[[#This Row],[Importe AR$]]/$N$1</f>
        <v>336.53846153846155</v>
      </c>
      <c r="M4557" s="69"/>
      <c r="N4557" s="43" t="str">
        <f>IF(Gastos[[#This Row],[Fecha_Cheque]]&gt;0,WEEKNUM(Gastos[[#This Row],[Fecha_Cheque]]),MID(Gastos[[#This Row],[Semana]],6,2))</f>
        <v>23</v>
      </c>
      <c r="O4557" t="s">
        <v>3423</v>
      </c>
      <c r="P4557" t="s">
        <v>27</v>
      </c>
    </row>
    <row r="4558" spans="1:16" hidden="1" x14ac:dyDescent="0.25">
      <c r="A4558" s="3" t="s">
        <v>3882</v>
      </c>
      <c r="B4558" t="s">
        <v>3256</v>
      </c>
      <c r="C4558" t="s">
        <v>2582</v>
      </c>
      <c r="D4558" t="s">
        <v>26</v>
      </c>
      <c r="E4558" t="s">
        <v>31</v>
      </c>
      <c r="F4558">
        <v>1</v>
      </c>
      <c r="G4558" s="3" t="s">
        <v>5</v>
      </c>
      <c r="H4558" s="44" t="s">
        <v>15</v>
      </c>
      <c r="I4558" s="17">
        <v>1000000</v>
      </c>
      <c r="J4558" s="17">
        <f>IF(Gastos[[#This Row],[Divisa]]="$", I4558*1, IF(Gastos[[#This Row],[Divisa]]="U$D", I4558*$N$1, IF(Gastos[[#This Row],[Divisa]]="EUR", I4558*$N$2, 0)))</f>
        <v>1000000</v>
      </c>
      <c r="K4558" s="54">
        <f>Gastos[[#This Row],[Importe AR$]]/$N$1</f>
        <v>641.02564102564099</v>
      </c>
      <c r="M4558" s="69"/>
      <c r="N4558" s="43" t="str">
        <f>IF(Gastos[[#This Row],[Fecha_Cheque]]&gt;0,WEEKNUM(Gastos[[#This Row],[Fecha_Cheque]]),MID(Gastos[[#This Row],[Semana]],6,2))</f>
        <v>31</v>
      </c>
      <c r="O4558" t="s">
        <v>3899</v>
      </c>
      <c r="P4558" t="s">
        <v>27</v>
      </c>
    </row>
    <row r="4559" spans="1:16" hidden="1" x14ac:dyDescent="0.25">
      <c r="A4559" s="3" t="s">
        <v>3963</v>
      </c>
      <c r="B4559" t="s">
        <v>3256</v>
      </c>
      <c r="C4559" t="s">
        <v>2582</v>
      </c>
      <c r="D4559" t="s">
        <v>26</v>
      </c>
      <c r="E4559" t="s">
        <v>42</v>
      </c>
      <c r="F4559">
        <v>1</v>
      </c>
      <c r="G4559" s="3" t="s">
        <v>4</v>
      </c>
      <c r="H4559" s="44" t="s">
        <v>15</v>
      </c>
      <c r="I4559" s="17">
        <v>640000</v>
      </c>
      <c r="J4559" s="17">
        <f>IF(Gastos[[#This Row],[Divisa]]="$", I4559*1, IF(Gastos[[#This Row],[Divisa]]="U$D", I4559*$N$1, IF(Gastos[[#This Row],[Divisa]]="EUR", I4559*$N$2, 0)))</f>
        <v>640000</v>
      </c>
      <c r="K4559" s="54">
        <f>Gastos[[#This Row],[Importe AR$]]/$N$1</f>
        <v>410.25641025641028</v>
      </c>
      <c r="M4559" s="69"/>
      <c r="N4559" s="43" t="str">
        <f>IF(Gastos[[#This Row],[Fecha_Cheque]]&gt;0,WEEKNUM(Gastos[[#This Row],[Fecha_Cheque]]),MID(Gastos[[#This Row],[Semana]],6,2))</f>
        <v>32</v>
      </c>
      <c r="O4559" t="s">
        <v>3984</v>
      </c>
      <c r="P4559" t="s">
        <v>27</v>
      </c>
    </row>
    <row r="4560" spans="1:16" hidden="1" x14ac:dyDescent="0.25">
      <c r="A4560" s="3" t="s">
        <v>4005</v>
      </c>
      <c r="B4560" t="s">
        <v>3256</v>
      </c>
      <c r="C4560" t="s">
        <v>1307</v>
      </c>
      <c r="D4560" t="s">
        <v>26</v>
      </c>
      <c r="E4560" t="s">
        <v>31</v>
      </c>
      <c r="F4560">
        <v>1</v>
      </c>
      <c r="G4560" s="3" t="s">
        <v>32</v>
      </c>
      <c r="H4560" s="44" t="s">
        <v>15</v>
      </c>
      <c r="I4560" s="17">
        <v>1681000</v>
      </c>
      <c r="J4560" s="17">
        <f>IF(Gastos[[#This Row],[Divisa]]="$", I4560*1, IF(Gastos[[#This Row],[Divisa]]="U$D", I4560*$N$1, IF(Gastos[[#This Row],[Divisa]]="EUR", I4560*$N$2, 0)))</f>
        <v>1681000</v>
      </c>
      <c r="K4560" s="54">
        <f>Gastos[[#This Row],[Importe AR$]]/$N$1</f>
        <v>1077.5641025641025</v>
      </c>
      <c r="M4560" s="69">
        <v>46262</v>
      </c>
      <c r="N4560" s="43">
        <f>IF(Gastos[[#This Row],[Fecha_Cheque]]&gt;0,WEEKNUM(Gastos[[#This Row],[Fecha_Cheque]]),MID(Gastos[[#This Row],[Semana]],6,2))</f>
        <v>35</v>
      </c>
      <c r="O4560" t="s">
        <v>4043</v>
      </c>
      <c r="P4560" t="s">
        <v>27</v>
      </c>
    </row>
    <row r="4561" spans="1:16" hidden="1" x14ac:dyDescent="0.25">
      <c r="A4561" s="3" t="s">
        <v>4119</v>
      </c>
      <c r="B4561" t="s">
        <v>3256</v>
      </c>
      <c r="C4561" t="s">
        <v>4086</v>
      </c>
      <c r="D4561" t="s">
        <v>26</v>
      </c>
      <c r="E4561" t="s">
        <v>31</v>
      </c>
      <c r="F4561">
        <v>1</v>
      </c>
      <c r="G4561" s="3" t="s">
        <v>4</v>
      </c>
      <c r="H4561" s="44" t="s">
        <v>15</v>
      </c>
      <c r="I4561" s="17">
        <v>300000</v>
      </c>
      <c r="J4561" s="17">
        <f>IF(Gastos[[#This Row],[Divisa]]="$", I4561*1, IF(Gastos[[#This Row],[Divisa]]="U$D", I4561*$N$1, IF(Gastos[[#This Row],[Divisa]]="EUR", I4561*$N$2, 0)))</f>
        <v>300000</v>
      </c>
      <c r="K4561" s="54">
        <f>Gastos[[#This Row],[Importe AR$]]/$N$1</f>
        <v>192.30769230769232</v>
      </c>
      <c r="M4561" s="69"/>
      <c r="N4561" s="43" t="str">
        <f>IF(Gastos[[#This Row],[Fecha_Cheque]]&gt;0,WEEKNUM(Gastos[[#This Row],[Fecha_Cheque]]),MID(Gastos[[#This Row],[Semana]],6,2))</f>
        <v>35</v>
      </c>
      <c r="O4561" t="s">
        <v>4124</v>
      </c>
      <c r="P4561" t="s">
        <v>27</v>
      </c>
    </row>
    <row r="4562" spans="1:16" hidden="1" x14ac:dyDescent="0.25">
      <c r="A4562" s="3" t="s">
        <v>4157</v>
      </c>
      <c r="B4562" t="s">
        <v>3256</v>
      </c>
      <c r="C4562" t="s">
        <v>4086</v>
      </c>
      <c r="D4562" t="s">
        <v>26</v>
      </c>
      <c r="E4562" t="s">
        <v>42</v>
      </c>
      <c r="F4562">
        <v>1</v>
      </c>
      <c r="G4562" s="3" t="s">
        <v>4</v>
      </c>
      <c r="H4562" s="44" t="s">
        <v>15</v>
      </c>
      <c r="I4562" s="17">
        <v>250000</v>
      </c>
      <c r="J4562" s="17">
        <f>IF(Gastos[[#This Row],[Divisa]]="$", I4562*1, IF(Gastos[[#This Row],[Divisa]]="U$D", I4562*$N$1, IF(Gastos[[#This Row],[Divisa]]="EUR", I4562*$N$2, 0)))</f>
        <v>250000</v>
      </c>
      <c r="K4562" s="54">
        <f>Gastos[[#This Row],[Importe AR$]]/$N$1</f>
        <v>160.25641025641025</v>
      </c>
      <c r="M4562" s="69"/>
      <c r="N4562" s="43" t="str">
        <f>IF(Gastos[[#This Row],[Fecha_Cheque]]&gt;0,WEEKNUM(Gastos[[#This Row],[Fecha_Cheque]]),MID(Gastos[[#This Row],[Semana]],6,2))</f>
        <v>36</v>
      </c>
      <c r="O4562" t="s">
        <v>4207</v>
      </c>
      <c r="P4562" t="s">
        <v>27</v>
      </c>
    </row>
    <row r="4563" spans="1:16" hidden="1" x14ac:dyDescent="0.25">
      <c r="A4563" s="3" t="s">
        <v>4322</v>
      </c>
      <c r="B4563" t="s">
        <v>3256</v>
      </c>
      <c r="C4563" t="s">
        <v>4344</v>
      </c>
      <c r="D4563" t="s">
        <v>26</v>
      </c>
      <c r="E4563" t="s">
        <v>31</v>
      </c>
      <c r="F4563">
        <v>1</v>
      </c>
      <c r="G4563" s="3" t="s">
        <v>5</v>
      </c>
      <c r="H4563" s="44" t="s">
        <v>15</v>
      </c>
      <c r="I4563" s="17">
        <v>1000000</v>
      </c>
      <c r="J4563" s="17">
        <f>IF(Gastos[[#This Row],[Divisa]]="$", I4563*1, IF(Gastos[[#This Row],[Divisa]]="U$D", I4563*$N$1, IF(Gastos[[#This Row],[Divisa]]="EUR", I4563*$N$2, 0)))</f>
        <v>1000000</v>
      </c>
      <c r="K4563" s="54">
        <f>Gastos[[#This Row],[Importe AR$]]/$N$1</f>
        <v>641.02564102564099</v>
      </c>
      <c r="M4563" s="69"/>
      <c r="N4563" s="43" t="str">
        <f>IF(Gastos[[#This Row],[Fecha_Cheque]]&gt;0,WEEKNUM(Gastos[[#This Row],[Fecha_Cheque]]),MID(Gastos[[#This Row],[Semana]],6,2))</f>
        <v>38</v>
      </c>
      <c r="O4563" t="s">
        <v>4343</v>
      </c>
      <c r="P4563" t="s">
        <v>27</v>
      </c>
    </row>
    <row r="4564" spans="1:16" hidden="1" x14ac:dyDescent="0.25">
      <c r="A4564" s="3" t="s">
        <v>4322</v>
      </c>
      <c r="B4564" t="s">
        <v>3256</v>
      </c>
      <c r="C4564" t="s">
        <v>4344</v>
      </c>
      <c r="D4564" t="s">
        <v>26</v>
      </c>
      <c r="E4564" t="s">
        <v>31</v>
      </c>
      <c r="F4564">
        <v>1</v>
      </c>
      <c r="G4564" s="3" t="s">
        <v>5</v>
      </c>
      <c r="H4564" s="44" t="s">
        <v>15</v>
      </c>
      <c r="I4564" s="17">
        <v>2000000</v>
      </c>
      <c r="J4564" s="17">
        <f>IF(Gastos[[#This Row],[Divisa]]="$", I4564*1, IF(Gastos[[#This Row],[Divisa]]="U$D", I4564*$N$1, IF(Gastos[[#This Row],[Divisa]]="EUR", I4564*$N$2, 0)))</f>
        <v>2000000</v>
      </c>
      <c r="K4564" s="54">
        <f>Gastos[[#This Row],[Importe AR$]]/$N$1</f>
        <v>1282.051282051282</v>
      </c>
      <c r="M4564" s="69"/>
      <c r="N4564" s="43" t="str">
        <f>IF(Gastos[[#This Row],[Fecha_Cheque]]&gt;0,WEEKNUM(Gastos[[#This Row],[Fecha_Cheque]]),MID(Gastos[[#This Row],[Semana]],6,2))</f>
        <v>38</v>
      </c>
      <c r="O4564" t="s">
        <v>4363</v>
      </c>
      <c r="P4564" t="s">
        <v>27</v>
      </c>
    </row>
    <row r="4565" spans="1:16" hidden="1" x14ac:dyDescent="0.25">
      <c r="A4565" s="3" t="s">
        <v>4409</v>
      </c>
      <c r="B4565" t="s">
        <v>3256</v>
      </c>
      <c r="C4565" t="s">
        <v>4344</v>
      </c>
      <c r="D4565" t="s">
        <v>26</v>
      </c>
      <c r="E4565" t="s">
        <v>42</v>
      </c>
      <c r="F4565">
        <v>1</v>
      </c>
      <c r="G4565" s="3" t="s">
        <v>4</v>
      </c>
      <c r="H4565" s="44" t="s">
        <v>15</v>
      </c>
      <c r="I4565" s="17">
        <v>700000</v>
      </c>
      <c r="J4565" s="17">
        <f>IF(Gastos[[#This Row],[Divisa]]="$", I4565*1, IF(Gastos[[#This Row],[Divisa]]="U$D", I4565*$N$1, IF(Gastos[[#This Row],[Divisa]]="EUR", I4565*$N$2, 0)))</f>
        <v>700000</v>
      </c>
      <c r="K4565" s="54">
        <f>Gastos[[#This Row],[Importe AR$]]/$N$1</f>
        <v>448.71794871794873</v>
      </c>
      <c r="M4565" s="69"/>
      <c r="N4565" s="43" t="str">
        <f>IF(Gastos[[#This Row],[Fecha_Cheque]]&gt;0,WEEKNUM(Gastos[[#This Row],[Fecha_Cheque]]),MID(Gastos[[#This Row],[Semana]],6,2))</f>
        <v>40</v>
      </c>
      <c r="O4565" t="s">
        <v>4446</v>
      </c>
      <c r="P4565" t="s">
        <v>27</v>
      </c>
    </row>
    <row r="4566" spans="1:16" hidden="1" x14ac:dyDescent="0.25">
      <c r="A4566" s="3" t="s">
        <v>4513</v>
      </c>
      <c r="B4566" t="s">
        <v>3256</v>
      </c>
      <c r="C4566" t="s">
        <v>4449</v>
      </c>
      <c r="D4566" t="s">
        <v>26</v>
      </c>
      <c r="E4566" t="s">
        <v>31</v>
      </c>
      <c r="F4566">
        <v>1</v>
      </c>
      <c r="G4566" s="3" t="s">
        <v>32</v>
      </c>
      <c r="H4566" s="44" t="s">
        <v>15</v>
      </c>
      <c r="I4566" s="17">
        <v>500000</v>
      </c>
      <c r="J4566" s="17">
        <f>IF(Gastos[[#This Row],[Divisa]]="$", I4566*1, IF(Gastos[[#This Row],[Divisa]]="U$D", I4566*$N$1, IF(Gastos[[#This Row],[Divisa]]="EUR", I4566*$N$2, 0)))</f>
        <v>500000</v>
      </c>
      <c r="K4566" s="54">
        <f>Gastos[[#This Row],[Importe AR$]]/$N$1</f>
        <v>320.5128205128205</v>
      </c>
      <c r="M4566" s="69"/>
      <c r="N4566" s="43" t="str">
        <f>IF(Gastos[[#This Row],[Fecha_Cheque]]&gt;0,WEEKNUM(Gastos[[#This Row],[Fecha_Cheque]]),MID(Gastos[[#This Row],[Semana]],6,2))</f>
        <v>42</v>
      </c>
      <c r="O4566" t="s">
        <v>4564</v>
      </c>
      <c r="P4566" t="s">
        <v>27</v>
      </c>
    </row>
    <row r="4567" spans="1:16" hidden="1" x14ac:dyDescent="0.25">
      <c r="A4567" s="3" t="s">
        <v>4513</v>
      </c>
      <c r="B4567" t="s">
        <v>3256</v>
      </c>
      <c r="C4567" t="s">
        <v>4449</v>
      </c>
      <c r="D4567" t="s">
        <v>26</v>
      </c>
      <c r="E4567" t="s">
        <v>31</v>
      </c>
      <c r="F4567">
        <v>1</v>
      </c>
      <c r="G4567" s="3" t="s">
        <v>32</v>
      </c>
      <c r="H4567" s="44" t="s">
        <v>15</v>
      </c>
      <c r="I4567" s="17">
        <v>376675</v>
      </c>
      <c r="J4567" s="17">
        <f>IF(Gastos[[#This Row],[Divisa]]="$", I4567*1, IF(Gastos[[#This Row],[Divisa]]="U$D", I4567*$N$1, IF(Gastos[[#This Row],[Divisa]]="EUR", I4567*$N$2, 0)))</f>
        <v>376675</v>
      </c>
      <c r="K4567" s="54">
        <f>Gastos[[#This Row],[Importe AR$]]/$N$1</f>
        <v>241.45833333333334</v>
      </c>
      <c r="M4567" s="69"/>
      <c r="N4567" s="43" t="str">
        <f>IF(Gastos[[#This Row],[Fecha_Cheque]]&gt;0,WEEKNUM(Gastos[[#This Row],[Fecha_Cheque]]),MID(Gastos[[#This Row],[Semana]],6,2))</f>
        <v>42</v>
      </c>
      <c r="O4567" t="s">
        <v>4564</v>
      </c>
      <c r="P4567" t="s">
        <v>27</v>
      </c>
    </row>
    <row r="4568" spans="1:16" hidden="1" x14ac:dyDescent="0.25">
      <c r="A4568" s="3" t="s">
        <v>4513</v>
      </c>
      <c r="B4568" t="s">
        <v>3256</v>
      </c>
      <c r="C4568" t="s">
        <v>4449</v>
      </c>
      <c r="D4568" t="s">
        <v>26</v>
      </c>
      <c r="E4568" t="s">
        <v>62</v>
      </c>
      <c r="F4568">
        <v>1</v>
      </c>
      <c r="G4568" s="3" t="s">
        <v>5</v>
      </c>
      <c r="H4568" s="44" t="s">
        <v>15</v>
      </c>
      <c r="I4568" s="17">
        <v>1000000</v>
      </c>
      <c r="J4568" s="17">
        <f>IF(Gastos[[#This Row],[Divisa]]="$", I4568*1, IF(Gastos[[#This Row],[Divisa]]="U$D", I4568*$N$1, IF(Gastos[[#This Row],[Divisa]]="EUR", I4568*$N$2, 0)))</f>
        <v>1000000</v>
      </c>
      <c r="K4568" s="54">
        <f>Gastos[[#This Row],[Importe AR$]]/$N$1</f>
        <v>641.02564102564099</v>
      </c>
      <c r="M4568" s="69"/>
      <c r="N4568" s="43" t="str">
        <f>IF(Gastos[[#This Row],[Fecha_Cheque]]&gt;0,WEEKNUM(Gastos[[#This Row],[Fecha_Cheque]]),MID(Gastos[[#This Row],[Semana]],6,2))</f>
        <v>42</v>
      </c>
      <c r="O4568" t="s">
        <v>4514</v>
      </c>
      <c r="P4568" t="s">
        <v>27</v>
      </c>
    </row>
    <row r="4569" spans="1:16" hidden="1" x14ac:dyDescent="0.25">
      <c r="A4569" s="3" t="s">
        <v>4513</v>
      </c>
      <c r="B4569" t="s">
        <v>3256</v>
      </c>
      <c r="C4569" t="s">
        <v>4449</v>
      </c>
      <c r="D4569" t="s">
        <v>26</v>
      </c>
      <c r="E4569" t="s">
        <v>42</v>
      </c>
      <c r="F4569">
        <v>1</v>
      </c>
      <c r="G4569" s="3" t="s">
        <v>4</v>
      </c>
      <c r="H4569" s="44" t="s">
        <v>15</v>
      </c>
      <c r="I4569" s="17">
        <v>500000</v>
      </c>
      <c r="J4569" s="17">
        <f>IF(Gastos[[#This Row],[Divisa]]="$", I4569*1, IF(Gastos[[#This Row],[Divisa]]="U$D", I4569*$N$1, IF(Gastos[[#This Row],[Divisa]]="EUR", I4569*$N$2, 0)))</f>
        <v>500000</v>
      </c>
      <c r="K4569" s="54">
        <f>Gastos[[#This Row],[Importe AR$]]/$N$1</f>
        <v>320.5128205128205</v>
      </c>
      <c r="L4569" t="s">
        <v>4512</v>
      </c>
      <c r="M4569" s="69"/>
      <c r="N4569" s="43" t="str">
        <f>IF(Gastos[[#This Row],[Fecha_Cheque]]&gt;0,WEEKNUM(Gastos[[#This Row],[Fecha_Cheque]]),MID(Gastos[[#This Row],[Semana]],6,2))</f>
        <v>42</v>
      </c>
      <c r="O4569" t="s">
        <v>4514</v>
      </c>
      <c r="P4569" t="s">
        <v>27</v>
      </c>
    </row>
    <row r="4570" spans="1:16" hidden="1" x14ac:dyDescent="0.25">
      <c r="A4570" s="3" t="s">
        <v>4513</v>
      </c>
      <c r="B4570" t="s">
        <v>3256</v>
      </c>
      <c r="C4570" t="s">
        <v>4449</v>
      </c>
      <c r="D4570" t="s">
        <v>26</v>
      </c>
      <c r="E4570" t="s">
        <v>42</v>
      </c>
      <c r="F4570">
        <v>1</v>
      </c>
      <c r="G4570" s="3" t="s">
        <v>32</v>
      </c>
      <c r="H4570" s="44" t="s">
        <v>15</v>
      </c>
      <c r="I4570" s="17">
        <v>200000</v>
      </c>
      <c r="J4570" s="17">
        <f>IF(Gastos[[#This Row],[Divisa]]="$", I4570*1, IF(Gastos[[#This Row],[Divisa]]="U$D", I4570*$N$1, IF(Gastos[[#This Row],[Divisa]]="EUR", I4570*$N$2, 0)))</f>
        <v>200000</v>
      </c>
      <c r="K4570" s="54">
        <f>Gastos[[#This Row],[Importe AR$]]/$N$1</f>
        <v>128.2051282051282</v>
      </c>
      <c r="M4570" s="69">
        <v>46324</v>
      </c>
      <c r="N4570" s="43">
        <f>IF(Gastos[[#This Row],[Fecha_Cheque]]&gt;0,WEEKNUM(Gastos[[#This Row],[Fecha_Cheque]]),MID(Gastos[[#This Row],[Semana]],6,2))</f>
        <v>44</v>
      </c>
      <c r="O4570" t="s">
        <v>4536</v>
      </c>
      <c r="P4570" t="s">
        <v>27</v>
      </c>
    </row>
    <row r="4571" spans="1:16" hidden="1" x14ac:dyDescent="0.25">
      <c r="A4571" s="3" t="s">
        <v>4513</v>
      </c>
      <c r="B4571" t="s">
        <v>3256</v>
      </c>
      <c r="C4571" t="s">
        <v>4449</v>
      </c>
      <c r="D4571" t="s">
        <v>26</v>
      </c>
      <c r="E4571" t="s">
        <v>42</v>
      </c>
      <c r="F4571">
        <v>1</v>
      </c>
      <c r="G4571" s="3" t="s">
        <v>32</v>
      </c>
      <c r="H4571" s="44" t="s">
        <v>15</v>
      </c>
      <c r="I4571" s="17">
        <v>204587</v>
      </c>
      <c r="J4571" s="17">
        <f>IF(Gastos[[#This Row],[Divisa]]="$", I4571*1, IF(Gastos[[#This Row],[Divisa]]="U$D", I4571*$N$1, IF(Gastos[[#This Row],[Divisa]]="EUR", I4571*$N$2, 0)))</f>
        <v>204587</v>
      </c>
      <c r="K4571" s="54">
        <f>Gastos[[#This Row],[Importe AR$]]/$N$1</f>
        <v>131.14551282051283</v>
      </c>
      <c r="M4571" s="69">
        <v>46331</v>
      </c>
      <c r="N4571" s="43">
        <f>IF(Gastos[[#This Row],[Fecha_Cheque]]&gt;0,WEEKNUM(Gastos[[#This Row],[Fecha_Cheque]]),MID(Gastos[[#This Row],[Semana]],6,2))</f>
        <v>45</v>
      </c>
      <c r="O4571" t="s">
        <v>4536</v>
      </c>
      <c r="P4571" t="s">
        <v>27</v>
      </c>
    </row>
    <row r="4572" spans="1:16" hidden="1" x14ac:dyDescent="0.25">
      <c r="A4572" s="3" t="s">
        <v>4513</v>
      </c>
      <c r="B4572" t="s">
        <v>3256</v>
      </c>
      <c r="C4572" t="s">
        <v>4449</v>
      </c>
      <c r="D4572" t="s">
        <v>26</v>
      </c>
      <c r="E4572" t="s">
        <v>42</v>
      </c>
      <c r="F4572">
        <v>1</v>
      </c>
      <c r="G4572" s="3" t="s">
        <v>32</v>
      </c>
      <c r="H4572" s="44" t="s">
        <v>15</v>
      </c>
      <c r="I4572" s="17">
        <v>207516</v>
      </c>
      <c r="J4572" s="17">
        <f>IF(Gastos[[#This Row],[Divisa]]="$", I4572*1, IF(Gastos[[#This Row],[Divisa]]="U$D", I4572*$N$1, IF(Gastos[[#This Row],[Divisa]]="EUR", I4572*$N$2, 0)))</f>
        <v>207516</v>
      </c>
      <c r="K4572" s="54">
        <f>Gastos[[#This Row],[Importe AR$]]/$N$1</f>
        <v>133.02307692307693</v>
      </c>
      <c r="M4572" s="69">
        <v>46324</v>
      </c>
      <c r="N4572" s="43">
        <f>IF(Gastos[[#This Row],[Fecha_Cheque]]&gt;0,WEEKNUM(Gastos[[#This Row],[Fecha_Cheque]]),MID(Gastos[[#This Row],[Semana]],6,2))</f>
        <v>44</v>
      </c>
      <c r="O4572" t="s">
        <v>4536</v>
      </c>
      <c r="P4572" t="s">
        <v>27</v>
      </c>
    </row>
    <row r="4573" spans="1:16" hidden="1" x14ac:dyDescent="0.25">
      <c r="A4573" s="3" t="s">
        <v>4513</v>
      </c>
      <c r="B4573" t="s">
        <v>3256</v>
      </c>
      <c r="C4573" t="s">
        <v>4449</v>
      </c>
      <c r="D4573" t="s">
        <v>26</v>
      </c>
      <c r="E4573" t="s">
        <v>42</v>
      </c>
      <c r="F4573">
        <v>1</v>
      </c>
      <c r="G4573" s="3" t="s">
        <v>32</v>
      </c>
      <c r="H4573" s="44" t="s">
        <v>15</v>
      </c>
      <c r="I4573" s="17">
        <v>853222</v>
      </c>
      <c r="J4573" s="17">
        <f>IF(Gastos[[#This Row],[Divisa]]="$", I4573*1, IF(Gastos[[#This Row],[Divisa]]="U$D", I4573*$N$1, IF(Gastos[[#This Row],[Divisa]]="EUR", I4573*$N$2, 0)))</f>
        <v>853222</v>
      </c>
      <c r="K4573" s="54">
        <f>Gastos[[#This Row],[Importe AR$]]/$N$1</f>
        <v>546.93717948717949</v>
      </c>
      <c r="M4573" s="69">
        <v>46325</v>
      </c>
      <c r="N4573" s="43">
        <f>IF(Gastos[[#This Row],[Fecha_Cheque]]&gt;0,WEEKNUM(Gastos[[#This Row],[Fecha_Cheque]]),MID(Gastos[[#This Row],[Semana]],6,2))</f>
        <v>44</v>
      </c>
      <c r="O4573" t="s">
        <v>4536</v>
      </c>
      <c r="P4573" t="s">
        <v>27</v>
      </c>
    </row>
    <row r="4574" spans="1:16" hidden="1" x14ac:dyDescent="0.25">
      <c r="A4574" s="3" t="s">
        <v>2740</v>
      </c>
      <c r="B4574" t="s">
        <v>3081</v>
      </c>
      <c r="C4574" t="s">
        <v>3082</v>
      </c>
      <c r="D4574" t="s">
        <v>26</v>
      </c>
      <c r="E4574" t="s">
        <v>31</v>
      </c>
      <c r="F4574">
        <v>1</v>
      </c>
      <c r="G4574" s="3" t="s">
        <v>32</v>
      </c>
      <c r="H4574" s="44" t="s">
        <v>15</v>
      </c>
      <c r="I4574" s="17">
        <v>1603627.92</v>
      </c>
      <c r="J4574" s="17">
        <f>IF(Gastos[[#This Row],[Divisa]]="$", I4574*1, IF(Gastos[[#This Row],[Divisa]]="U$D", I4574*$N$1, IF(Gastos[[#This Row],[Divisa]]="EUR", I4574*$N$2, 0)))</f>
        <v>1603627.92</v>
      </c>
      <c r="K4574" s="54">
        <f>Gastos[[#This Row],[Importe AR$]]/$N$1</f>
        <v>1027.9666153846154</v>
      </c>
      <c r="M4574" s="69">
        <v>46159</v>
      </c>
      <c r="N4574" s="43">
        <f>IF(Gastos[[#This Row],[Fecha_Cheque]]&gt;0,WEEKNUM(Gastos[[#This Row],[Fecha_Cheque]]),MID(Gastos[[#This Row],[Semana]],6,2))</f>
        <v>21</v>
      </c>
      <c r="O4574" t="s">
        <v>3083</v>
      </c>
      <c r="P4574" t="s">
        <v>27</v>
      </c>
    </row>
    <row r="4575" spans="1:16" hidden="1" x14ac:dyDescent="0.25">
      <c r="A4575" s="3" t="s">
        <v>2740</v>
      </c>
      <c r="B4575" t="s">
        <v>3081</v>
      </c>
      <c r="C4575" t="s">
        <v>3082</v>
      </c>
      <c r="D4575" t="s">
        <v>26</v>
      </c>
      <c r="E4575" t="s">
        <v>31</v>
      </c>
      <c r="F4575">
        <v>1</v>
      </c>
      <c r="G4575" s="3" t="s">
        <v>32</v>
      </c>
      <c r="H4575" s="44" t="s">
        <v>15</v>
      </c>
      <c r="I4575" s="17">
        <v>1603627.91</v>
      </c>
      <c r="J4575" s="17">
        <f>IF(Gastos[[#This Row],[Divisa]]="$", I4575*1, IF(Gastos[[#This Row],[Divisa]]="U$D", I4575*$N$1, IF(Gastos[[#This Row],[Divisa]]="EUR", I4575*$N$2, 0)))</f>
        <v>1603627.91</v>
      </c>
      <c r="K4575" s="54">
        <f>Gastos[[#This Row],[Importe AR$]]/$N$1</f>
        <v>1027.9666089743589</v>
      </c>
      <c r="M4575" s="69">
        <v>46190</v>
      </c>
      <c r="N4575" s="43">
        <f>IF(Gastos[[#This Row],[Fecha_Cheque]]&gt;0,WEEKNUM(Gastos[[#This Row],[Fecha_Cheque]]),MID(Gastos[[#This Row],[Semana]],6,2))</f>
        <v>25</v>
      </c>
      <c r="O4575" t="s">
        <v>3083</v>
      </c>
      <c r="P4575" t="s">
        <v>27</v>
      </c>
    </row>
    <row r="4576" spans="1:16" hidden="1" x14ac:dyDescent="0.25">
      <c r="A4576" s="3" t="s">
        <v>2740</v>
      </c>
      <c r="B4576" t="s">
        <v>3081</v>
      </c>
      <c r="C4576" t="s">
        <v>3082</v>
      </c>
      <c r="D4576" t="s">
        <v>26</v>
      </c>
      <c r="E4576" t="s">
        <v>31</v>
      </c>
      <c r="F4576">
        <v>1</v>
      </c>
      <c r="G4576" s="3" t="s">
        <v>32</v>
      </c>
      <c r="H4576" s="44" t="s">
        <v>15</v>
      </c>
      <c r="I4576" s="17">
        <v>49348.17</v>
      </c>
      <c r="J4576" s="17">
        <f>IF(Gastos[[#This Row],[Divisa]]="$", I4576*1, IF(Gastos[[#This Row],[Divisa]]="U$D", I4576*$N$1, IF(Gastos[[#This Row],[Divisa]]="EUR", I4576*$N$2, 0)))</f>
        <v>49348.17</v>
      </c>
      <c r="K4576" s="54">
        <f>Gastos[[#This Row],[Importe AR$]]/$N$1</f>
        <v>31.633442307692306</v>
      </c>
      <c r="L4576" t="s">
        <v>340</v>
      </c>
      <c r="M4576" s="69"/>
      <c r="N4576" s="43" t="str">
        <f>IF(Gastos[[#This Row],[Fecha_Cheque]]&gt;0,WEEKNUM(Gastos[[#This Row],[Fecha_Cheque]]),MID(Gastos[[#This Row],[Semana]],6,2))</f>
        <v>16</v>
      </c>
      <c r="O4576" t="s">
        <v>3083</v>
      </c>
      <c r="P4576" t="s">
        <v>27</v>
      </c>
    </row>
    <row r="4577" spans="1:16" hidden="1" x14ac:dyDescent="0.25">
      <c r="A4577" s="3" t="s">
        <v>3754</v>
      </c>
      <c r="B4577" t="s">
        <v>3814</v>
      </c>
      <c r="C4577" t="s">
        <v>3815</v>
      </c>
      <c r="D4577" t="s">
        <v>26</v>
      </c>
      <c r="E4577" t="s">
        <v>31</v>
      </c>
      <c r="F4577">
        <v>2</v>
      </c>
      <c r="G4577" s="3" t="s">
        <v>32</v>
      </c>
      <c r="H4577" s="44" t="s">
        <v>15</v>
      </c>
      <c r="I4577" s="17">
        <v>1200000</v>
      </c>
      <c r="J4577" s="17">
        <f>IF(Gastos[[#This Row],[Divisa]]="$", I4577*1, IF(Gastos[[#This Row],[Divisa]]="U$D", I4577*$N$1, IF(Gastos[[#This Row],[Divisa]]="EUR", I4577*$N$2, 0)))</f>
        <v>1200000</v>
      </c>
      <c r="K4577" s="54">
        <f>Gastos[[#This Row],[Importe AR$]]/$N$1</f>
        <v>769.23076923076928</v>
      </c>
      <c r="M4577" s="69"/>
      <c r="N4577" s="43" t="str">
        <f>IF(Gastos[[#This Row],[Fecha_Cheque]]&gt;0,WEEKNUM(Gastos[[#This Row],[Fecha_Cheque]]),MID(Gastos[[#This Row],[Semana]],6,2))</f>
        <v>29</v>
      </c>
      <c r="O4577" t="s">
        <v>3816</v>
      </c>
      <c r="P4577" t="s">
        <v>27</v>
      </c>
    </row>
    <row r="4578" spans="1:16" hidden="1" x14ac:dyDescent="0.25">
      <c r="A4578" s="3" t="s">
        <v>3754</v>
      </c>
      <c r="B4578" t="s">
        <v>3814</v>
      </c>
      <c r="C4578" t="s">
        <v>3815</v>
      </c>
      <c r="D4578" t="s">
        <v>26</v>
      </c>
      <c r="E4578" t="s">
        <v>31</v>
      </c>
      <c r="F4578">
        <v>2</v>
      </c>
      <c r="G4578" s="3" t="s">
        <v>32</v>
      </c>
      <c r="H4578" s="44" t="s">
        <v>15</v>
      </c>
      <c r="I4578" s="17">
        <v>2000000</v>
      </c>
      <c r="J4578" s="17">
        <f>IF(Gastos[[#This Row],[Divisa]]="$", I4578*1, IF(Gastos[[#This Row],[Divisa]]="U$D", I4578*$N$1, IF(Gastos[[#This Row],[Divisa]]="EUR", I4578*$N$2, 0)))</f>
        <v>2000000</v>
      </c>
      <c r="K4578" s="54">
        <f>Gastos[[#This Row],[Importe AR$]]/$N$1</f>
        <v>1282.051282051282</v>
      </c>
      <c r="M4578" s="69"/>
      <c r="N4578" s="43" t="str">
        <f>IF(Gastos[[#This Row],[Fecha_Cheque]]&gt;0,WEEKNUM(Gastos[[#This Row],[Fecha_Cheque]]),MID(Gastos[[#This Row],[Semana]],6,2))</f>
        <v>29</v>
      </c>
      <c r="O4578" t="s">
        <v>3816</v>
      </c>
      <c r="P4578" t="s">
        <v>27</v>
      </c>
    </row>
    <row r="4579" spans="1:16" hidden="1" x14ac:dyDescent="0.25">
      <c r="A4579" s="3" t="s">
        <v>3817</v>
      </c>
      <c r="B4579" t="s">
        <v>3814</v>
      </c>
      <c r="C4579" t="s">
        <v>2741</v>
      </c>
      <c r="D4579" t="s">
        <v>26</v>
      </c>
      <c r="E4579" t="s">
        <v>3872</v>
      </c>
      <c r="F4579">
        <v>1</v>
      </c>
      <c r="G4579" s="3" t="s">
        <v>32</v>
      </c>
      <c r="H4579" s="44" t="s">
        <v>15</v>
      </c>
      <c r="I4579" s="17">
        <v>1328280</v>
      </c>
      <c r="J4579" s="17">
        <f>IF(Gastos[[#This Row],[Divisa]]="$", I4579*1, IF(Gastos[[#This Row],[Divisa]]="U$D", I4579*$N$1, IF(Gastos[[#This Row],[Divisa]]="EUR", I4579*$N$2, 0)))</f>
        <v>1328280</v>
      </c>
      <c r="K4579" s="54">
        <f>Gastos[[#This Row],[Importe AR$]]/$N$1</f>
        <v>851.46153846153845</v>
      </c>
      <c r="M4579" s="69">
        <v>46246</v>
      </c>
      <c r="N4579" s="43">
        <f>IF(Gastos[[#This Row],[Fecha_Cheque]]&gt;0,WEEKNUM(Gastos[[#This Row],[Fecha_Cheque]]),MID(Gastos[[#This Row],[Semana]],6,2))</f>
        <v>33</v>
      </c>
      <c r="O4579" t="s">
        <v>3873</v>
      </c>
      <c r="P4579" t="s">
        <v>27</v>
      </c>
    </row>
    <row r="4580" spans="1:16" hidden="1" x14ac:dyDescent="0.25">
      <c r="A4580" s="3" t="s">
        <v>3817</v>
      </c>
      <c r="B4580" t="s">
        <v>3814</v>
      </c>
      <c r="C4580" t="s">
        <v>2741</v>
      </c>
      <c r="D4580" t="s">
        <v>26</v>
      </c>
      <c r="E4580" t="s">
        <v>42</v>
      </c>
      <c r="F4580">
        <v>1</v>
      </c>
      <c r="G4580" s="3" t="s">
        <v>4</v>
      </c>
      <c r="H4580" s="44" t="s">
        <v>15</v>
      </c>
      <c r="I4580" s="17">
        <v>171720</v>
      </c>
      <c r="J4580" s="17">
        <f>IF(Gastos[[#This Row],[Divisa]]="$", I4580*1, IF(Gastos[[#This Row],[Divisa]]="U$D", I4580*$N$1, IF(Gastos[[#This Row],[Divisa]]="EUR", I4580*$N$2, 0)))</f>
        <v>171720</v>
      </c>
      <c r="K4580" s="54">
        <f>Gastos[[#This Row],[Importe AR$]]/$N$1</f>
        <v>110.07692307692308</v>
      </c>
      <c r="M4580" s="69">
        <v>46246</v>
      </c>
      <c r="N4580" s="43">
        <f>IF(Gastos[[#This Row],[Fecha_Cheque]]&gt;0,WEEKNUM(Gastos[[#This Row],[Fecha_Cheque]]),MID(Gastos[[#This Row],[Semana]],6,2))</f>
        <v>33</v>
      </c>
      <c r="O4580" t="s">
        <v>3873</v>
      </c>
      <c r="P4580" t="s">
        <v>27</v>
      </c>
    </row>
    <row r="4581" spans="1:16" hidden="1" x14ac:dyDescent="0.25">
      <c r="A4581" s="3" t="s">
        <v>3882</v>
      </c>
      <c r="B4581" t="s">
        <v>3814</v>
      </c>
      <c r="C4581" t="s">
        <v>3910</v>
      </c>
      <c r="D4581" t="s">
        <v>26</v>
      </c>
      <c r="E4581" t="s">
        <v>62</v>
      </c>
      <c r="F4581">
        <v>2</v>
      </c>
      <c r="G4581" s="3" t="s">
        <v>4</v>
      </c>
      <c r="H4581" s="44" t="s">
        <v>15</v>
      </c>
      <c r="I4581" s="17">
        <v>500000</v>
      </c>
      <c r="J4581" s="17">
        <f>IF(Gastos[[#This Row],[Divisa]]="$", I4581*1, IF(Gastos[[#This Row],[Divisa]]="U$D", I4581*$N$1, IF(Gastos[[#This Row],[Divisa]]="EUR", I4581*$N$2, 0)))</f>
        <v>500000</v>
      </c>
      <c r="K4581" s="54">
        <f>Gastos[[#This Row],[Importe AR$]]/$N$1</f>
        <v>320.5128205128205</v>
      </c>
      <c r="M4581" s="69"/>
      <c r="N4581" s="43" t="str">
        <f>IF(Gastos[[#This Row],[Fecha_Cheque]]&gt;0,WEEKNUM(Gastos[[#This Row],[Fecha_Cheque]]),MID(Gastos[[#This Row],[Semana]],6,2))</f>
        <v>31</v>
      </c>
      <c r="O4581" t="s">
        <v>3950</v>
      </c>
      <c r="P4581" t="s">
        <v>27</v>
      </c>
    </row>
    <row r="4582" spans="1:16" hidden="1" x14ac:dyDescent="0.25">
      <c r="A4582" s="3" t="s">
        <v>4157</v>
      </c>
      <c r="B4582" t="s">
        <v>3814</v>
      </c>
      <c r="C4582" t="s">
        <v>3295</v>
      </c>
      <c r="D4582" t="s">
        <v>26</v>
      </c>
      <c r="E4582" t="s">
        <v>42</v>
      </c>
      <c r="F4582">
        <v>2</v>
      </c>
      <c r="G4582" s="3" t="s">
        <v>4</v>
      </c>
      <c r="H4582" s="44" t="s">
        <v>15</v>
      </c>
      <c r="I4582" s="17">
        <v>300000</v>
      </c>
      <c r="J4582" s="17">
        <f>IF(Gastos[[#This Row],[Divisa]]="$", I4582*1, IF(Gastos[[#This Row],[Divisa]]="U$D", I4582*$N$1, IF(Gastos[[#This Row],[Divisa]]="EUR", I4582*$N$2, 0)))</f>
        <v>300000</v>
      </c>
      <c r="K4582" s="54">
        <f>Gastos[[#This Row],[Importe AR$]]/$N$1</f>
        <v>192.30769230769232</v>
      </c>
      <c r="M4582" s="69"/>
      <c r="N4582" s="43" t="str">
        <f>IF(Gastos[[#This Row],[Fecha_Cheque]]&gt;0,WEEKNUM(Gastos[[#This Row],[Fecha_Cheque]]),MID(Gastos[[#This Row],[Semana]],6,2))</f>
        <v>36</v>
      </c>
      <c r="O4582" t="s">
        <v>4204</v>
      </c>
      <c r="P4582" t="s">
        <v>27</v>
      </c>
    </row>
    <row r="4583" spans="1:16" hidden="1" x14ac:dyDescent="0.25">
      <c r="A4583" s="3" t="s">
        <v>4211</v>
      </c>
      <c r="B4583" t="s">
        <v>3814</v>
      </c>
      <c r="C4583" t="s">
        <v>3295</v>
      </c>
      <c r="D4583" t="s">
        <v>26</v>
      </c>
      <c r="E4583" t="s">
        <v>42</v>
      </c>
      <c r="F4583">
        <v>2</v>
      </c>
      <c r="G4583" s="3" t="s">
        <v>4</v>
      </c>
      <c r="H4583" s="44" t="s">
        <v>15</v>
      </c>
      <c r="I4583" s="17">
        <v>200000</v>
      </c>
      <c r="J4583" s="17">
        <f>IF(Gastos[[#This Row],[Divisa]]="$", I4583*1, IF(Gastos[[#This Row],[Divisa]]="U$D", I4583*$N$1, IF(Gastos[[#This Row],[Divisa]]="EUR", I4583*$N$2, 0)))</f>
        <v>200000</v>
      </c>
      <c r="K4583" s="54">
        <f>Gastos[[#This Row],[Importe AR$]]/$N$1</f>
        <v>128.2051282051282</v>
      </c>
      <c r="M4583" s="69"/>
      <c r="N4583" s="43" t="str">
        <f>IF(Gastos[[#This Row],[Fecha_Cheque]]&gt;0,WEEKNUM(Gastos[[#This Row],[Fecha_Cheque]]),MID(Gastos[[#This Row],[Semana]],6,2))</f>
        <v>37</v>
      </c>
      <c r="O4583" t="s">
        <v>4305</v>
      </c>
      <c r="P4583" t="s">
        <v>27</v>
      </c>
    </row>
    <row r="4584" spans="1:16" hidden="1" x14ac:dyDescent="0.25">
      <c r="A4584" s="3" t="s">
        <v>4409</v>
      </c>
      <c r="B4584" t="s">
        <v>3814</v>
      </c>
      <c r="C4584" t="s">
        <v>3295</v>
      </c>
      <c r="D4584" t="s">
        <v>26</v>
      </c>
      <c r="E4584" t="s">
        <v>42</v>
      </c>
      <c r="F4584">
        <v>2</v>
      </c>
      <c r="G4584" s="3" t="s">
        <v>4</v>
      </c>
      <c r="H4584" s="44" t="s">
        <v>15</v>
      </c>
      <c r="I4584" s="17">
        <v>100000</v>
      </c>
      <c r="J4584" s="17">
        <f>IF(Gastos[[#This Row],[Divisa]]="$", I4584*1, IF(Gastos[[#This Row],[Divisa]]="U$D", I4584*$N$1, IF(Gastos[[#This Row],[Divisa]]="EUR", I4584*$N$2, 0)))</f>
        <v>100000</v>
      </c>
      <c r="K4584" s="54">
        <f>Gastos[[#This Row],[Importe AR$]]/$N$1</f>
        <v>64.102564102564102</v>
      </c>
      <c r="M4584" s="69"/>
      <c r="N4584" s="43" t="str">
        <f>IF(Gastos[[#This Row],[Fecha_Cheque]]&gt;0,WEEKNUM(Gastos[[#This Row],[Fecha_Cheque]]),MID(Gastos[[#This Row],[Semana]],6,2))</f>
        <v>40</v>
      </c>
      <c r="O4584" t="s">
        <v>720</v>
      </c>
      <c r="P4584" t="s">
        <v>27</v>
      </c>
    </row>
    <row r="4585" spans="1:16" hidden="1" x14ac:dyDescent="0.25">
      <c r="A4585" s="3" t="s">
        <v>171</v>
      </c>
      <c r="B4585" t="s">
        <v>2587</v>
      </c>
      <c r="C4585" t="s">
        <v>2588</v>
      </c>
      <c r="D4585" t="s">
        <v>26</v>
      </c>
      <c r="E4585" t="s">
        <v>31</v>
      </c>
      <c r="F4585">
        <v>1</v>
      </c>
      <c r="G4585" s="3" t="s">
        <v>4</v>
      </c>
      <c r="H4585" s="46" t="s">
        <v>15</v>
      </c>
      <c r="I4585" s="17">
        <v>377325</v>
      </c>
      <c r="J4585" s="17">
        <f>IF(Gastos[[#This Row],[Divisa]]="$", I4585*1, IF(Gastos[[#This Row],[Divisa]]="U$D", I4585*$N$1, IF(Gastos[[#This Row],[Divisa]]="EUR", I4585*$N$2, 0)))</f>
        <v>377325</v>
      </c>
      <c r="K4585" s="54">
        <f>Gastos[[#This Row],[Importe AR$]]/$N$1</f>
        <v>241.875</v>
      </c>
      <c r="M4585" s="69"/>
      <c r="N4585" s="43" t="str">
        <f>IF(Gastos[[#This Row],[Fecha_Cheque]]&gt;0,WEEKNUM(Gastos[[#This Row],[Fecha_Cheque]]),MID(Gastos[[#This Row],[Semana]],6,2))</f>
        <v>38</v>
      </c>
      <c r="O4585" t="s">
        <v>2589</v>
      </c>
      <c r="P4585" t="s">
        <v>27</v>
      </c>
    </row>
    <row r="4586" spans="1:16" hidden="1" x14ac:dyDescent="0.25">
      <c r="A4586" s="3" t="s">
        <v>128</v>
      </c>
      <c r="B4586" t="s">
        <v>2587</v>
      </c>
      <c r="C4586" t="s">
        <v>1948</v>
      </c>
      <c r="D4586" t="s">
        <v>26</v>
      </c>
      <c r="E4586" t="s">
        <v>31</v>
      </c>
      <c r="F4586">
        <v>1</v>
      </c>
      <c r="G4586" s="3" t="s">
        <v>5</v>
      </c>
      <c r="H4586" s="46" t="s">
        <v>15</v>
      </c>
      <c r="I4586" s="17">
        <v>39600</v>
      </c>
      <c r="J4586" s="17">
        <f>IF(Gastos[[#This Row],[Divisa]]="$", I4586*1, IF(Gastos[[#This Row],[Divisa]]="U$D", I4586*$N$1, IF(Gastos[[#This Row],[Divisa]]="EUR", I4586*$N$2, 0)))</f>
        <v>39600</v>
      </c>
      <c r="K4586" s="54">
        <f>Gastos[[#This Row],[Importe AR$]]/$N$1</f>
        <v>25.384615384615383</v>
      </c>
      <c r="M4586" s="69"/>
      <c r="N4586" s="43" t="str">
        <f>IF(Gastos[[#This Row],[Fecha_Cheque]]&gt;0,WEEKNUM(Gastos[[#This Row],[Fecha_Cheque]]),MID(Gastos[[#This Row],[Semana]],6,2))</f>
        <v>43</v>
      </c>
      <c r="O4586" t="s">
        <v>2590</v>
      </c>
      <c r="P4586" t="s">
        <v>27</v>
      </c>
    </row>
    <row r="4587" spans="1:16" hidden="1" x14ac:dyDescent="0.25">
      <c r="A4587" s="3" t="s">
        <v>232</v>
      </c>
      <c r="B4587" t="s">
        <v>2587</v>
      </c>
      <c r="C4587" t="s">
        <v>1948</v>
      </c>
      <c r="D4587" t="s">
        <v>26</v>
      </c>
      <c r="E4587" t="s">
        <v>31</v>
      </c>
      <c r="F4587">
        <v>1</v>
      </c>
      <c r="G4587" s="3" t="s">
        <v>5</v>
      </c>
      <c r="H4587" s="46" t="s">
        <v>15</v>
      </c>
      <c r="I4587" s="17">
        <v>110450</v>
      </c>
      <c r="J4587" s="17">
        <f>IF(Gastos[[#This Row],[Divisa]]="$", I4587*1, IF(Gastos[[#This Row],[Divisa]]="U$D", I4587*$N$1, IF(Gastos[[#This Row],[Divisa]]="EUR", I4587*$N$2, 0)))</f>
        <v>110450</v>
      </c>
      <c r="K4587" s="54">
        <f>Gastos[[#This Row],[Importe AR$]]/$N$1</f>
        <v>70.801282051282058</v>
      </c>
      <c r="M4587" s="69"/>
      <c r="N4587" s="43" t="str">
        <f>IF(Gastos[[#This Row],[Fecha_Cheque]]&gt;0,WEEKNUM(Gastos[[#This Row],[Fecha_Cheque]]),MID(Gastos[[#This Row],[Semana]],6,2))</f>
        <v>44</v>
      </c>
      <c r="O4587" t="s">
        <v>2591</v>
      </c>
      <c r="P4587" t="s">
        <v>27</v>
      </c>
    </row>
    <row r="4588" spans="1:16" hidden="1" x14ac:dyDescent="0.25">
      <c r="A4588" s="3" t="s">
        <v>130</v>
      </c>
      <c r="B4588" t="s">
        <v>2587</v>
      </c>
      <c r="C4588" t="s">
        <v>2592</v>
      </c>
      <c r="D4588" t="s">
        <v>26</v>
      </c>
      <c r="E4588" t="s">
        <v>31</v>
      </c>
      <c r="F4588">
        <v>1</v>
      </c>
      <c r="G4588" s="3" t="s">
        <v>5</v>
      </c>
      <c r="H4588" s="46" t="s">
        <v>15</v>
      </c>
      <c r="I4588" s="17">
        <v>105600</v>
      </c>
      <c r="J4588" s="17">
        <f>IF(Gastos[[#This Row],[Divisa]]="$", I4588*1, IF(Gastos[[#This Row],[Divisa]]="U$D", I4588*$N$1, IF(Gastos[[#This Row],[Divisa]]="EUR", I4588*$N$2, 0)))</f>
        <v>105600</v>
      </c>
      <c r="K4588" s="54">
        <f>Gastos[[#This Row],[Importe AR$]]/$N$1</f>
        <v>67.692307692307693</v>
      </c>
      <c r="M4588" s="69"/>
      <c r="N4588" s="43" t="str">
        <f>IF(Gastos[[#This Row],[Fecha_Cheque]]&gt;0,WEEKNUM(Gastos[[#This Row],[Fecha_Cheque]]),MID(Gastos[[#This Row],[Semana]],6,2))</f>
        <v>45</v>
      </c>
      <c r="O4588" t="s">
        <v>2593</v>
      </c>
      <c r="P4588" t="s">
        <v>27</v>
      </c>
    </row>
    <row r="4589" spans="1:16" hidden="1" x14ac:dyDescent="0.25">
      <c r="A4589" s="3" t="s">
        <v>72</v>
      </c>
      <c r="B4589" t="s">
        <v>2587</v>
      </c>
      <c r="C4589" t="s">
        <v>2594</v>
      </c>
      <c r="D4589" t="s">
        <v>26</v>
      </c>
      <c r="E4589" t="s">
        <v>31</v>
      </c>
      <c r="F4589">
        <v>1</v>
      </c>
      <c r="G4589" s="3" t="s">
        <v>5</v>
      </c>
      <c r="H4589" s="46" t="s">
        <v>15</v>
      </c>
      <c r="I4589" s="17">
        <v>153550</v>
      </c>
      <c r="J4589" s="17">
        <f>IF(Gastos[[#This Row],[Divisa]]="$", I4589*1, IF(Gastos[[#This Row],[Divisa]]="U$D", I4589*$N$1, IF(Gastos[[#This Row],[Divisa]]="EUR", I4589*$N$2, 0)))</f>
        <v>153550</v>
      </c>
      <c r="K4589" s="54">
        <f>Gastos[[#This Row],[Importe AR$]]/$N$1</f>
        <v>98.429487179487182</v>
      </c>
      <c r="M4589" s="69"/>
      <c r="N4589" s="43" t="str">
        <f>IF(Gastos[[#This Row],[Fecha_Cheque]]&gt;0,WEEKNUM(Gastos[[#This Row],[Fecha_Cheque]]),MID(Gastos[[#This Row],[Semana]],6,2))</f>
        <v>48</v>
      </c>
      <c r="O4589" t="s">
        <v>2595</v>
      </c>
      <c r="P4589" t="s">
        <v>27</v>
      </c>
    </row>
    <row r="4590" spans="1:16" hidden="1" x14ac:dyDescent="0.25">
      <c r="A4590" s="3" t="s">
        <v>44</v>
      </c>
      <c r="B4590" t="s">
        <v>2587</v>
      </c>
      <c r="C4590" t="s">
        <v>2596</v>
      </c>
      <c r="D4590" t="s">
        <v>26</v>
      </c>
      <c r="E4590" t="s">
        <v>31</v>
      </c>
      <c r="F4590">
        <v>1</v>
      </c>
      <c r="G4590" s="3" t="s">
        <v>5</v>
      </c>
      <c r="H4590" s="46" t="s">
        <v>15</v>
      </c>
      <c r="I4590" s="17">
        <v>205200</v>
      </c>
      <c r="J4590" s="17">
        <f>IF(Gastos[[#This Row],[Divisa]]="$", I4590*1, IF(Gastos[[#This Row],[Divisa]]="U$D", I4590*$N$1, IF(Gastos[[#This Row],[Divisa]]="EUR", I4590*$N$2, 0)))</f>
        <v>205200</v>
      </c>
      <c r="K4590" s="54">
        <f>Gastos[[#This Row],[Importe AR$]]/$N$1</f>
        <v>131.53846153846155</v>
      </c>
      <c r="M4590" s="69"/>
      <c r="N4590" s="43" t="str">
        <f>IF(Gastos[[#This Row],[Fecha_Cheque]]&gt;0,WEEKNUM(Gastos[[#This Row],[Fecha_Cheque]]),MID(Gastos[[#This Row],[Semana]],6,2))</f>
        <v>51</v>
      </c>
      <c r="O4590" t="s">
        <v>2597</v>
      </c>
      <c r="P4590" t="s">
        <v>27</v>
      </c>
    </row>
    <row r="4591" spans="1:16" hidden="1" x14ac:dyDescent="0.25">
      <c r="A4591" s="3" t="s">
        <v>44</v>
      </c>
      <c r="B4591" t="s">
        <v>2587</v>
      </c>
      <c r="C4591" t="s">
        <v>2598</v>
      </c>
      <c r="D4591" t="s">
        <v>26</v>
      </c>
      <c r="E4591" t="s">
        <v>31</v>
      </c>
      <c r="F4591">
        <v>1</v>
      </c>
      <c r="G4591" s="3" t="s">
        <v>5</v>
      </c>
      <c r="H4591" s="46" t="s">
        <v>15</v>
      </c>
      <c r="I4591" s="17">
        <v>37200</v>
      </c>
      <c r="J4591" s="17">
        <f>IF(Gastos[[#This Row],[Divisa]]="$", I4591*1, IF(Gastos[[#This Row],[Divisa]]="U$D", I4591*$N$1, IF(Gastos[[#This Row],[Divisa]]="EUR", I4591*$N$2, 0)))</f>
        <v>37200</v>
      </c>
      <c r="K4591" s="54">
        <f>Gastos[[#This Row],[Importe AR$]]/$N$1</f>
        <v>23.846153846153847</v>
      </c>
      <c r="M4591" s="69"/>
      <c r="N4591" s="43" t="str">
        <f>IF(Gastos[[#This Row],[Fecha_Cheque]]&gt;0,WEEKNUM(Gastos[[#This Row],[Fecha_Cheque]]),MID(Gastos[[#This Row],[Semana]],6,2))</f>
        <v>51</v>
      </c>
      <c r="O4591" t="s">
        <v>2599</v>
      </c>
      <c r="P4591" t="s">
        <v>27</v>
      </c>
    </row>
    <row r="4592" spans="1:16" hidden="1" x14ac:dyDescent="0.25">
      <c r="A4592" s="3" t="s">
        <v>619</v>
      </c>
      <c r="B4592" t="s">
        <v>2587</v>
      </c>
      <c r="C4592" t="s">
        <v>2592</v>
      </c>
      <c r="D4592" t="s">
        <v>26</v>
      </c>
      <c r="E4592" t="s">
        <v>42</v>
      </c>
      <c r="F4592">
        <v>1</v>
      </c>
      <c r="G4592" s="3" t="s">
        <v>4</v>
      </c>
      <c r="H4592" s="46" t="s">
        <v>15</v>
      </c>
      <c r="I4592" s="17">
        <v>142470</v>
      </c>
      <c r="J4592" s="17">
        <f>IF(Gastos[[#This Row],[Divisa]]="$", I4592*1, IF(Gastos[[#This Row],[Divisa]]="U$D", I4592*$N$1, IF(Gastos[[#This Row],[Divisa]]="EUR", I4592*$N$2, 0)))</f>
        <v>142470</v>
      </c>
      <c r="K4592" s="54">
        <f>Gastos[[#This Row],[Importe AR$]]/$N$1</f>
        <v>91.32692307692308</v>
      </c>
      <c r="M4592" s="69"/>
      <c r="N4592" s="43" t="str">
        <f>IF(Gastos[[#This Row],[Fecha_Cheque]]&gt;0,WEEKNUM(Gastos[[#This Row],[Fecha_Cheque]]),MID(Gastos[[#This Row],[Semana]],6,2))</f>
        <v>10</v>
      </c>
      <c r="O4592" t="s">
        <v>2681</v>
      </c>
      <c r="P4592" t="s">
        <v>27</v>
      </c>
    </row>
    <row r="4593" spans="1:16" hidden="1" x14ac:dyDescent="0.25">
      <c r="A4593" s="3" t="s">
        <v>39</v>
      </c>
      <c r="B4593" t="s">
        <v>2587</v>
      </c>
      <c r="C4593" t="s">
        <v>1948</v>
      </c>
      <c r="D4593" t="s">
        <v>26</v>
      </c>
      <c r="E4593" t="s">
        <v>42</v>
      </c>
      <c r="F4593">
        <v>1</v>
      </c>
      <c r="G4593" s="3" t="s">
        <v>4</v>
      </c>
      <c r="H4593" s="44" t="s">
        <v>15</v>
      </c>
      <c r="I4593" s="17">
        <v>70700</v>
      </c>
      <c r="J4593" s="17">
        <f>IF(Gastos[[#This Row],[Divisa]]="$", I4593*1, IF(Gastos[[#This Row],[Divisa]]="U$D", I4593*$N$1, IF(Gastos[[#This Row],[Divisa]]="EUR", I4593*$N$2, 0)))</f>
        <v>70700</v>
      </c>
      <c r="K4593" s="54">
        <f>Gastos[[#This Row],[Importe AR$]]/$N$1</f>
        <v>45.320512820512818</v>
      </c>
      <c r="M4593" s="69"/>
      <c r="N4593" s="43" t="str">
        <f>IF(Gastos[[#This Row],[Fecha_Cheque]]&gt;0,WEEKNUM(Gastos[[#This Row],[Fecha_Cheque]]),MID(Gastos[[#This Row],[Semana]],6,2))</f>
        <v>14</v>
      </c>
      <c r="O4593" t="s">
        <v>2710</v>
      </c>
      <c r="P4593" t="s">
        <v>27</v>
      </c>
    </row>
    <row r="4594" spans="1:16" hidden="1" x14ac:dyDescent="0.25">
      <c r="A4594" s="3" t="s">
        <v>828</v>
      </c>
      <c r="B4594" t="s">
        <v>2587</v>
      </c>
      <c r="C4594" t="s">
        <v>1948</v>
      </c>
      <c r="D4594" t="s">
        <v>26</v>
      </c>
      <c r="E4594" t="s">
        <v>42</v>
      </c>
      <c r="F4594">
        <v>1</v>
      </c>
      <c r="G4594" s="3" t="s">
        <v>4</v>
      </c>
      <c r="H4594" s="44" t="s">
        <v>15</v>
      </c>
      <c r="I4594" s="17">
        <v>76550</v>
      </c>
      <c r="J4594" s="17">
        <f>IF(Gastos[[#This Row],[Divisa]]="$", I4594*1, IF(Gastos[[#This Row],[Divisa]]="U$D", I4594*$N$1, IF(Gastos[[#This Row],[Divisa]]="EUR", I4594*$N$2, 0)))</f>
        <v>76550</v>
      </c>
      <c r="K4594" s="54">
        <f>Gastos[[#This Row],[Importe AR$]]/$N$1</f>
        <v>49.070512820512818</v>
      </c>
      <c r="M4594" s="69"/>
      <c r="N4594" s="43" t="str">
        <f>IF(Gastos[[#This Row],[Fecha_Cheque]]&gt;0,WEEKNUM(Gastos[[#This Row],[Fecha_Cheque]]),MID(Gastos[[#This Row],[Semana]],6,2))</f>
        <v>13</v>
      </c>
      <c r="O4594" t="s">
        <v>2815</v>
      </c>
      <c r="P4594" t="s">
        <v>27</v>
      </c>
    </row>
    <row r="4595" spans="1:16" hidden="1" x14ac:dyDescent="0.25">
      <c r="A4595" s="3" t="s">
        <v>828</v>
      </c>
      <c r="B4595" t="s">
        <v>2587</v>
      </c>
      <c r="C4595" t="s">
        <v>1948</v>
      </c>
      <c r="D4595" t="s">
        <v>26</v>
      </c>
      <c r="E4595" t="s">
        <v>42</v>
      </c>
      <c r="F4595">
        <v>1</v>
      </c>
      <c r="G4595" s="3" t="s">
        <v>4</v>
      </c>
      <c r="H4595" s="44" t="s">
        <v>15</v>
      </c>
      <c r="I4595" s="17">
        <v>33000</v>
      </c>
      <c r="J4595" s="17">
        <f>IF(Gastos[[#This Row],[Divisa]]="$", I4595*1, IF(Gastos[[#This Row],[Divisa]]="U$D", I4595*$N$1, IF(Gastos[[#This Row],[Divisa]]="EUR", I4595*$N$2, 0)))</f>
        <v>33000</v>
      </c>
      <c r="K4595" s="54">
        <f>Gastos[[#This Row],[Importe AR$]]/$N$1</f>
        <v>21.153846153846153</v>
      </c>
      <c r="M4595" s="69"/>
      <c r="N4595" s="43" t="str">
        <f>IF(Gastos[[#This Row],[Fecha_Cheque]]&gt;0,WEEKNUM(Gastos[[#This Row],[Fecha_Cheque]]),MID(Gastos[[#This Row],[Semana]],6,2))</f>
        <v>13</v>
      </c>
      <c r="O4595" t="s">
        <v>2816</v>
      </c>
      <c r="P4595" t="s">
        <v>27</v>
      </c>
    </row>
    <row r="4596" spans="1:16" hidden="1" x14ac:dyDescent="0.25">
      <c r="A4596" s="3" t="s">
        <v>2711</v>
      </c>
      <c r="B4596" t="s">
        <v>2587</v>
      </c>
      <c r="C4596" t="s">
        <v>2990</v>
      </c>
      <c r="D4596" t="s">
        <v>26</v>
      </c>
      <c r="E4596" t="s">
        <v>42</v>
      </c>
      <c r="F4596">
        <v>1</v>
      </c>
      <c r="G4596" s="3" t="s">
        <v>4</v>
      </c>
      <c r="H4596" s="44" t="s">
        <v>15</v>
      </c>
      <c r="I4596" s="17">
        <v>49800</v>
      </c>
      <c r="J4596" s="17">
        <f>IF(Gastos[[#This Row],[Divisa]]="$", I4596*1, IF(Gastos[[#This Row],[Divisa]]="U$D", I4596*$N$1, IF(Gastos[[#This Row],[Divisa]]="EUR", I4596*$N$2, 0)))</f>
        <v>49800</v>
      </c>
      <c r="K4596" s="54">
        <f>Gastos[[#This Row],[Importe AR$]]/$N$1</f>
        <v>31.923076923076923</v>
      </c>
      <c r="M4596" s="69"/>
      <c r="N4596" s="43" t="str">
        <f>IF(Gastos[[#This Row],[Fecha_Cheque]]&gt;0,WEEKNUM(Gastos[[#This Row],[Fecha_Cheque]]),MID(Gastos[[#This Row],[Semana]],6,2))</f>
        <v>15</v>
      </c>
      <c r="O4596" t="s">
        <v>2991</v>
      </c>
      <c r="P4596" t="s">
        <v>27</v>
      </c>
    </row>
    <row r="4597" spans="1:16" hidden="1" x14ac:dyDescent="0.25">
      <c r="A4597" s="3" t="s">
        <v>2740</v>
      </c>
      <c r="B4597" t="s">
        <v>2587</v>
      </c>
      <c r="C4597" t="s">
        <v>1948</v>
      </c>
      <c r="D4597" t="s">
        <v>26</v>
      </c>
      <c r="E4597" t="s">
        <v>42</v>
      </c>
      <c r="F4597">
        <v>1</v>
      </c>
      <c r="G4597" s="3" t="s">
        <v>4</v>
      </c>
      <c r="H4597" s="44" t="s">
        <v>15</v>
      </c>
      <c r="I4597" s="17">
        <v>33000</v>
      </c>
      <c r="J4597" s="17">
        <f>IF(Gastos[[#This Row],[Divisa]]="$", I4597*1, IF(Gastos[[#This Row],[Divisa]]="U$D", I4597*$N$1, IF(Gastos[[#This Row],[Divisa]]="EUR", I4597*$N$2, 0)))</f>
        <v>33000</v>
      </c>
      <c r="K4597" s="54">
        <f>Gastos[[#This Row],[Importe AR$]]/$N$1</f>
        <v>21.153846153846153</v>
      </c>
      <c r="M4597" s="69"/>
      <c r="N4597" s="43" t="str">
        <f>IF(Gastos[[#This Row],[Fecha_Cheque]]&gt;0,WEEKNUM(Gastos[[#This Row],[Fecha_Cheque]]),MID(Gastos[[#This Row],[Semana]],6,2))</f>
        <v>16</v>
      </c>
      <c r="O4597" t="s">
        <v>3097</v>
      </c>
      <c r="P4597" t="s">
        <v>27</v>
      </c>
    </row>
    <row r="4598" spans="1:16" hidden="1" x14ac:dyDescent="0.25">
      <c r="A4598" s="3" t="s">
        <v>2773</v>
      </c>
      <c r="B4598" t="s">
        <v>2587</v>
      </c>
      <c r="C4598" t="s">
        <v>1948</v>
      </c>
      <c r="D4598" t="s">
        <v>26</v>
      </c>
      <c r="E4598" t="s">
        <v>42</v>
      </c>
      <c r="F4598">
        <v>1</v>
      </c>
      <c r="G4598" s="3" t="s">
        <v>4</v>
      </c>
      <c r="H4598" s="44" t="s">
        <v>15</v>
      </c>
      <c r="I4598" s="17">
        <v>167550</v>
      </c>
      <c r="J4598" s="17">
        <f>IF(Gastos[[#This Row],[Divisa]]="$", I4598*1, IF(Gastos[[#This Row],[Divisa]]="U$D", I4598*$N$1, IF(Gastos[[#This Row],[Divisa]]="EUR", I4598*$N$2, 0)))</f>
        <v>167550</v>
      </c>
      <c r="K4598" s="54">
        <f>Gastos[[#This Row],[Importe AR$]]/$N$1</f>
        <v>107.40384615384616</v>
      </c>
      <c r="M4598" s="69"/>
      <c r="N4598" s="43" t="str">
        <f>IF(Gastos[[#This Row],[Fecha_Cheque]]&gt;0,WEEKNUM(Gastos[[#This Row],[Fecha_Cheque]]),MID(Gastos[[#This Row],[Semana]],6,2))</f>
        <v>20</v>
      </c>
      <c r="O4598" t="s">
        <v>3258</v>
      </c>
      <c r="P4598" t="s">
        <v>27</v>
      </c>
    </row>
    <row r="4599" spans="1:16" hidden="1" x14ac:dyDescent="0.25">
      <c r="A4599" s="3" t="s">
        <v>2841</v>
      </c>
      <c r="B4599" t="s">
        <v>2587</v>
      </c>
      <c r="C4599" t="s">
        <v>1948</v>
      </c>
      <c r="D4599" t="s">
        <v>26</v>
      </c>
      <c r="E4599" t="s">
        <v>42</v>
      </c>
      <c r="F4599">
        <v>1</v>
      </c>
      <c r="G4599" s="3" t="s">
        <v>4</v>
      </c>
      <c r="H4599" s="44" t="s">
        <v>15</v>
      </c>
      <c r="I4599" s="17">
        <v>58400</v>
      </c>
      <c r="J4599" s="17">
        <f>IF(Gastos[[#This Row],[Divisa]]="$", I4599*1, IF(Gastos[[#This Row],[Divisa]]="U$D", I4599*$N$1, IF(Gastos[[#This Row],[Divisa]]="EUR", I4599*$N$2, 0)))</f>
        <v>58400</v>
      </c>
      <c r="K4599" s="54">
        <f>Gastos[[#This Row],[Importe AR$]]/$N$1</f>
        <v>37.435897435897438</v>
      </c>
      <c r="M4599" s="69"/>
      <c r="N4599" s="43" t="str">
        <f>IF(Gastos[[#This Row],[Fecha_Cheque]]&gt;0,WEEKNUM(Gastos[[#This Row],[Fecha_Cheque]]),MID(Gastos[[#This Row],[Semana]],6,2))</f>
        <v>22</v>
      </c>
      <c r="O4599" t="s">
        <v>3351</v>
      </c>
      <c r="P4599" t="s">
        <v>27</v>
      </c>
    </row>
    <row r="4600" spans="1:16" hidden="1" x14ac:dyDescent="0.25">
      <c r="A4600" s="3" t="s">
        <v>2841</v>
      </c>
      <c r="B4600" t="s">
        <v>2587</v>
      </c>
      <c r="C4600" t="s">
        <v>1948</v>
      </c>
      <c r="D4600" t="s">
        <v>26</v>
      </c>
      <c r="E4600" t="s">
        <v>42</v>
      </c>
      <c r="F4600">
        <v>1</v>
      </c>
      <c r="G4600" s="3" t="s">
        <v>4</v>
      </c>
      <c r="H4600" s="44" t="s">
        <v>15</v>
      </c>
      <c r="I4600" s="17">
        <v>36700</v>
      </c>
      <c r="J4600" s="17">
        <f>IF(Gastos[[#This Row],[Divisa]]="$", I4600*1, IF(Gastos[[#This Row],[Divisa]]="U$D", I4600*$N$1, IF(Gastos[[#This Row],[Divisa]]="EUR", I4600*$N$2, 0)))</f>
        <v>36700</v>
      </c>
      <c r="K4600" s="54">
        <f>Gastos[[#This Row],[Importe AR$]]/$N$1</f>
        <v>23.525641025641026</v>
      </c>
      <c r="M4600" s="69"/>
      <c r="N4600" s="43" t="str">
        <f>IF(Gastos[[#This Row],[Fecha_Cheque]]&gt;0,WEEKNUM(Gastos[[#This Row],[Fecha_Cheque]]),MID(Gastos[[#This Row],[Semana]],6,2))</f>
        <v>22</v>
      </c>
      <c r="O4600" t="s">
        <v>3352</v>
      </c>
      <c r="P4600" t="s">
        <v>27</v>
      </c>
    </row>
    <row r="4601" spans="1:16" hidden="1" x14ac:dyDescent="0.25">
      <c r="A4601" s="3" t="s">
        <v>2763</v>
      </c>
      <c r="B4601" t="s">
        <v>2587</v>
      </c>
      <c r="C4601" t="s">
        <v>3281</v>
      </c>
      <c r="D4601" t="s">
        <v>26</v>
      </c>
      <c r="E4601" t="s">
        <v>31</v>
      </c>
      <c r="F4601">
        <v>1</v>
      </c>
      <c r="G4601" s="3" t="s">
        <v>5</v>
      </c>
      <c r="H4601" s="44" t="s">
        <v>15</v>
      </c>
      <c r="I4601" s="17">
        <v>281300</v>
      </c>
      <c r="J4601" s="17">
        <f>IF(Gastos[[#This Row],[Divisa]]="$", I4601*1, IF(Gastos[[#This Row],[Divisa]]="U$D", I4601*$N$1, IF(Gastos[[#This Row],[Divisa]]="EUR", I4601*$N$2, 0)))</f>
        <v>281300</v>
      </c>
      <c r="K4601" s="54">
        <f>Gastos[[#This Row],[Importe AR$]]/$N$1</f>
        <v>180.32051282051282</v>
      </c>
      <c r="M4601" s="69"/>
      <c r="N4601" s="43" t="str">
        <f>IF(Gastos[[#This Row],[Fecha_Cheque]]&gt;0,WEEKNUM(Gastos[[#This Row],[Fecha_Cheque]]),MID(Gastos[[#This Row],[Semana]],6,2))</f>
        <v>23</v>
      </c>
      <c r="O4601" t="s">
        <v>3424</v>
      </c>
      <c r="P4601" t="s">
        <v>27</v>
      </c>
    </row>
    <row r="4602" spans="1:16" hidden="1" x14ac:dyDescent="0.25">
      <c r="A4602" s="3" t="s">
        <v>3439</v>
      </c>
      <c r="B4602" t="s">
        <v>2587</v>
      </c>
      <c r="C4602" t="s">
        <v>1948</v>
      </c>
      <c r="D4602" t="s">
        <v>26</v>
      </c>
      <c r="E4602" t="s">
        <v>31</v>
      </c>
      <c r="F4602">
        <v>1</v>
      </c>
      <c r="G4602" s="3" t="s">
        <v>5</v>
      </c>
      <c r="H4602" s="44" t="s">
        <v>15</v>
      </c>
      <c r="I4602" s="17">
        <v>140400</v>
      </c>
      <c r="J4602" s="17">
        <f>IF(Gastos[[#This Row],[Divisa]]="$", I4602*1, IF(Gastos[[#This Row],[Divisa]]="U$D", I4602*$N$1, IF(Gastos[[#This Row],[Divisa]]="EUR", I4602*$N$2, 0)))</f>
        <v>140400</v>
      </c>
      <c r="K4602" s="54">
        <f>Gastos[[#This Row],[Importe AR$]]/$N$1</f>
        <v>90</v>
      </c>
      <c r="M4602" s="69"/>
      <c r="N4602" s="43" t="str">
        <f>IF(Gastos[[#This Row],[Fecha_Cheque]]&gt;0,WEEKNUM(Gastos[[#This Row],[Fecha_Cheque]]),MID(Gastos[[#This Row],[Semana]],6,2))</f>
        <v>25</v>
      </c>
      <c r="O4602" t="s">
        <v>3513</v>
      </c>
      <c r="P4602" t="s">
        <v>27</v>
      </c>
    </row>
    <row r="4603" spans="1:16" hidden="1" x14ac:dyDescent="0.25">
      <c r="A4603" s="3" t="s">
        <v>3439</v>
      </c>
      <c r="B4603" t="s">
        <v>2587</v>
      </c>
      <c r="C4603" t="s">
        <v>1948</v>
      </c>
      <c r="D4603" t="s">
        <v>26</v>
      </c>
      <c r="E4603" t="s">
        <v>31</v>
      </c>
      <c r="F4603">
        <v>1</v>
      </c>
      <c r="G4603" s="3" t="s">
        <v>5</v>
      </c>
      <c r="H4603" s="44" t="s">
        <v>15</v>
      </c>
      <c r="I4603" s="17">
        <v>72100</v>
      </c>
      <c r="J4603" s="17">
        <f>IF(Gastos[[#This Row],[Divisa]]="$", I4603*1, IF(Gastos[[#This Row],[Divisa]]="U$D", I4603*$N$1, IF(Gastos[[#This Row],[Divisa]]="EUR", I4603*$N$2, 0)))</f>
        <v>72100</v>
      </c>
      <c r="K4603" s="54">
        <f>Gastos[[#This Row],[Importe AR$]]/$N$1</f>
        <v>46.217948717948715</v>
      </c>
      <c r="M4603" s="69"/>
      <c r="N4603" s="43" t="str">
        <f>IF(Gastos[[#This Row],[Fecha_Cheque]]&gt;0,WEEKNUM(Gastos[[#This Row],[Fecha_Cheque]]),MID(Gastos[[#This Row],[Semana]],6,2))</f>
        <v>25</v>
      </c>
      <c r="O4603" t="s">
        <v>3547</v>
      </c>
      <c r="P4603" t="s">
        <v>27</v>
      </c>
    </row>
    <row r="4604" spans="1:16" hidden="1" x14ac:dyDescent="0.25">
      <c r="A4604" s="3" t="s">
        <v>3617</v>
      </c>
      <c r="B4604" t="s">
        <v>2587</v>
      </c>
      <c r="C4604" t="s">
        <v>1948</v>
      </c>
      <c r="D4604" t="s">
        <v>26</v>
      </c>
      <c r="E4604" t="s">
        <v>42</v>
      </c>
      <c r="F4604">
        <v>1</v>
      </c>
      <c r="G4604" s="3" t="s">
        <v>4</v>
      </c>
      <c r="H4604" s="44" t="s">
        <v>15</v>
      </c>
      <c r="I4604" s="17">
        <v>55400</v>
      </c>
      <c r="J4604" s="17">
        <f>IF(Gastos[[#This Row],[Divisa]]="$", I4604*1, IF(Gastos[[#This Row],[Divisa]]="U$D", I4604*$N$1, IF(Gastos[[#This Row],[Divisa]]="EUR", I4604*$N$2, 0)))</f>
        <v>55400</v>
      </c>
      <c r="K4604" s="54">
        <f>Gastos[[#This Row],[Importe AR$]]/$N$1</f>
        <v>35.512820512820511</v>
      </c>
      <c r="M4604" s="69"/>
      <c r="N4604" s="43" t="str">
        <f>IF(Gastos[[#This Row],[Fecha_Cheque]]&gt;0,WEEKNUM(Gastos[[#This Row],[Fecha_Cheque]]),MID(Gastos[[#This Row],[Semana]],6,2))</f>
        <v>27</v>
      </c>
      <c r="O4604" t="s">
        <v>3630</v>
      </c>
      <c r="P4604" t="s">
        <v>27</v>
      </c>
    </row>
    <row r="4605" spans="1:16" hidden="1" x14ac:dyDescent="0.25">
      <c r="A4605" s="3" t="s">
        <v>3754</v>
      </c>
      <c r="B4605" t="s">
        <v>2587</v>
      </c>
      <c r="C4605" t="s">
        <v>1948</v>
      </c>
      <c r="D4605" t="s">
        <v>26</v>
      </c>
      <c r="E4605" t="s">
        <v>42</v>
      </c>
      <c r="F4605">
        <v>1</v>
      </c>
      <c r="G4605" s="3" t="s">
        <v>4</v>
      </c>
      <c r="H4605" s="44" t="s">
        <v>15</v>
      </c>
      <c r="I4605" s="17">
        <v>96100</v>
      </c>
      <c r="J4605" s="17">
        <f>IF(Gastos[[#This Row],[Divisa]]="$", I4605*1, IF(Gastos[[#This Row],[Divisa]]="U$D", I4605*$N$1, IF(Gastos[[#This Row],[Divisa]]="EUR", I4605*$N$2, 0)))</f>
        <v>96100</v>
      </c>
      <c r="K4605" s="54">
        <f>Gastos[[#This Row],[Importe AR$]]/$N$1</f>
        <v>61.602564102564102</v>
      </c>
      <c r="M4605" s="69"/>
      <c r="N4605" s="43" t="str">
        <f>IF(Gastos[[#This Row],[Fecha_Cheque]]&gt;0,WEEKNUM(Gastos[[#This Row],[Fecha_Cheque]]),MID(Gastos[[#This Row],[Semana]],6,2))</f>
        <v>29</v>
      </c>
      <c r="O4605" t="s">
        <v>3798</v>
      </c>
      <c r="P4605" t="s">
        <v>27</v>
      </c>
    </row>
    <row r="4606" spans="1:16" hidden="1" x14ac:dyDescent="0.25">
      <c r="A4606" s="3" t="s">
        <v>3817</v>
      </c>
      <c r="B4606" t="s">
        <v>2587</v>
      </c>
      <c r="C4606" t="s">
        <v>1948</v>
      </c>
      <c r="D4606" t="s">
        <v>26</v>
      </c>
      <c r="E4606" t="s">
        <v>42</v>
      </c>
      <c r="F4606">
        <v>1</v>
      </c>
      <c r="G4606" s="3" t="s">
        <v>4</v>
      </c>
      <c r="H4606" s="44" t="s">
        <v>15</v>
      </c>
      <c r="I4606" s="17">
        <v>144000</v>
      </c>
      <c r="J4606" s="17">
        <f>IF(Gastos[[#This Row],[Divisa]]="$", I4606*1, IF(Gastos[[#This Row],[Divisa]]="U$D", I4606*$N$1, IF(Gastos[[#This Row],[Divisa]]="EUR", I4606*$N$2, 0)))</f>
        <v>144000</v>
      </c>
      <c r="K4606" s="54">
        <f>Gastos[[#This Row],[Importe AR$]]/$N$1</f>
        <v>92.307692307692307</v>
      </c>
      <c r="M4606" s="69"/>
      <c r="N4606" s="43" t="str">
        <f>IF(Gastos[[#This Row],[Fecha_Cheque]]&gt;0,WEEKNUM(Gastos[[#This Row],[Fecha_Cheque]]),MID(Gastos[[#This Row],[Semana]],6,2))</f>
        <v>30</v>
      </c>
      <c r="O4606" t="s">
        <v>3829</v>
      </c>
      <c r="P4606" t="s">
        <v>27</v>
      </c>
    </row>
    <row r="4607" spans="1:16" hidden="1" x14ac:dyDescent="0.25">
      <c r="A4607" s="3" t="s">
        <v>3817</v>
      </c>
      <c r="B4607" t="s">
        <v>2587</v>
      </c>
      <c r="C4607" t="s">
        <v>1948</v>
      </c>
      <c r="D4607" t="s">
        <v>26</v>
      </c>
      <c r="E4607" t="s">
        <v>42</v>
      </c>
      <c r="F4607">
        <v>1</v>
      </c>
      <c r="G4607" s="3" t="s">
        <v>4</v>
      </c>
      <c r="H4607" s="44" t="s">
        <v>15</v>
      </c>
      <c r="I4607" s="17">
        <v>72600</v>
      </c>
      <c r="J4607" s="17">
        <f>IF(Gastos[[#This Row],[Divisa]]="$", I4607*1, IF(Gastos[[#This Row],[Divisa]]="U$D", I4607*$N$1, IF(Gastos[[#This Row],[Divisa]]="EUR", I4607*$N$2, 0)))</f>
        <v>72600</v>
      </c>
      <c r="K4607" s="54">
        <f>Gastos[[#This Row],[Importe AR$]]/$N$1</f>
        <v>46.53846153846154</v>
      </c>
      <c r="M4607" s="69"/>
      <c r="N4607" s="43" t="str">
        <f>IF(Gastos[[#This Row],[Fecha_Cheque]]&gt;0,WEEKNUM(Gastos[[#This Row],[Fecha_Cheque]]),MID(Gastos[[#This Row],[Semana]],6,2))</f>
        <v>30</v>
      </c>
      <c r="O4607" t="s">
        <v>3853</v>
      </c>
      <c r="P4607" t="s">
        <v>27</v>
      </c>
    </row>
    <row r="4608" spans="1:16" hidden="1" x14ac:dyDescent="0.25">
      <c r="A4608" s="3" t="s">
        <v>3882</v>
      </c>
      <c r="B4608" t="s">
        <v>2587</v>
      </c>
      <c r="C4608" t="s">
        <v>1211</v>
      </c>
      <c r="D4608" t="s">
        <v>26</v>
      </c>
      <c r="E4608" t="s">
        <v>42</v>
      </c>
      <c r="F4608">
        <v>1</v>
      </c>
      <c r="G4608" s="3" t="s">
        <v>4</v>
      </c>
      <c r="H4608" s="44" t="s">
        <v>15</v>
      </c>
      <c r="I4608" s="17">
        <v>79200</v>
      </c>
      <c r="J4608" s="17">
        <f>IF(Gastos[[#This Row],[Divisa]]="$", I4608*1, IF(Gastos[[#This Row],[Divisa]]="U$D", I4608*$N$1, IF(Gastos[[#This Row],[Divisa]]="EUR", I4608*$N$2, 0)))</f>
        <v>79200</v>
      </c>
      <c r="K4608" s="54">
        <f>Gastos[[#This Row],[Importe AR$]]/$N$1</f>
        <v>50.769230769230766</v>
      </c>
      <c r="M4608" s="69"/>
      <c r="N4608" s="43" t="str">
        <f>IF(Gastos[[#This Row],[Fecha_Cheque]]&gt;0,WEEKNUM(Gastos[[#This Row],[Fecha_Cheque]]),MID(Gastos[[#This Row],[Semana]],6,2))</f>
        <v>31</v>
      </c>
      <c r="O4608" t="s">
        <v>3895</v>
      </c>
      <c r="P4608" t="s">
        <v>27</v>
      </c>
    </row>
    <row r="4609" spans="1:16" hidden="1" x14ac:dyDescent="0.25">
      <c r="A4609" s="3" t="s">
        <v>3882</v>
      </c>
      <c r="B4609" t="s">
        <v>2587</v>
      </c>
      <c r="C4609" t="s">
        <v>1211</v>
      </c>
      <c r="D4609" t="s">
        <v>26</v>
      </c>
      <c r="E4609" t="s">
        <v>42</v>
      </c>
      <c r="F4609">
        <v>1</v>
      </c>
      <c r="G4609" s="3" t="s">
        <v>4</v>
      </c>
      <c r="H4609" s="44" t="s">
        <v>15</v>
      </c>
      <c r="I4609" s="17">
        <v>154200</v>
      </c>
      <c r="J4609" s="17">
        <f>IF(Gastos[[#This Row],[Divisa]]="$", I4609*1, IF(Gastos[[#This Row],[Divisa]]="U$D", I4609*$N$1, IF(Gastos[[#This Row],[Divisa]]="EUR", I4609*$N$2, 0)))</f>
        <v>154200</v>
      </c>
      <c r="K4609" s="54">
        <f>Gastos[[#This Row],[Importe AR$]]/$N$1</f>
        <v>98.84615384615384</v>
      </c>
      <c r="M4609" s="69"/>
      <c r="N4609" s="43" t="str">
        <f>IF(Gastos[[#This Row],[Fecha_Cheque]]&gt;0,WEEKNUM(Gastos[[#This Row],[Fecha_Cheque]]),MID(Gastos[[#This Row],[Semana]],6,2))</f>
        <v>31</v>
      </c>
      <c r="O4609" t="s">
        <v>3934</v>
      </c>
      <c r="P4609" t="s">
        <v>27</v>
      </c>
    </row>
    <row r="4610" spans="1:16" hidden="1" x14ac:dyDescent="0.25">
      <c r="A4610" s="3" t="s">
        <v>3963</v>
      </c>
      <c r="B4610" t="s">
        <v>2587</v>
      </c>
      <c r="C4610" t="s">
        <v>1948</v>
      </c>
      <c r="D4610" t="s">
        <v>26</v>
      </c>
      <c r="E4610" t="s">
        <v>42</v>
      </c>
      <c r="F4610">
        <v>1</v>
      </c>
      <c r="G4610" s="3" t="s">
        <v>4</v>
      </c>
      <c r="H4610" s="44" t="s">
        <v>15</v>
      </c>
      <c r="I4610" s="17">
        <v>158400</v>
      </c>
      <c r="J4610" s="17">
        <f>IF(Gastos[[#This Row],[Divisa]]="$", I4610*1, IF(Gastos[[#This Row],[Divisa]]="U$D", I4610*$N$1, IF(Gastos[[#This Row],[Divisa]]="EUR", I4610*$N$2, 0)))</f>
        <v>158400</v>
      </c>
      <c r="K4610" s="54">
        <f>Gastos[[#This Row],[Importe AR$]]/$N$1</f>
        <v>101.53846153846153</v>
      </c>
      <c r="M4610" s="69"/>
      <c r="N4610" s="43" t="str">
        <f>IF(Gastos[[#This Row],[Fecha_Cheque]]&gt;0,WEEKNUM(Gastos[[#This Row],[Fecha_Cheque]]),MID(Gastos[[#This Row],[Semana]],6,2))</f>
        <v>32</v>
      </c>
      <c r="O4610" t="s">
        <v>3981</v>
      </c>
      <c r="P4610" t="s">
        <v>27</v>
      </c>
    </row>
    <row r="4611" spans="1:16" hidden="1" x14ac:dyDescent="0.25">
      <c r="A4611" s="3" t="s">
        <v>3963</v>
      </c>
      <c r="B4611" t="s">
        <v>2587</v>
      </c>
      <c r="C4611" t="s">
        <v>3982</v>
      </c>
      <c r="D4611" t="s">
        <v>26</v>
      </c>
      <c r="E4611" t="s">
        <v>42</v>
      </c>
      <c r="F4611">
        <v>2</v>
      </c>
      <c r="G4611" s="3" t="s">
        <v>4</v>
      </c>
      <c r="H4611" s="44" t="s">
        <v>15</v>
      </c>
      <c r="I4611" s="17">
        <v>428550</v>
      </c>
      <c r="J4611" s="17">
        <f>IF(Gastos[[#This Row],[Divisa]]="$", I4611*1, IF(Gastos[[#This Row],[Divisa]]="U$D", I4611*$N$1, IF(Gastos[[#This Row],[Divisa]]="EUR", I4611*$N$2, 0)))</f>
        <v>428550</v>
      </c>
      <c r="K4611" s="54">
        <f>Gastos[[#This Row],[Importe AR$]]/$N$1</f>
        <v>274.71153846153845</v>
      </c>
      <c r="M4611" s="69"/>
      <c r="N4611" s="43" t="str">
        <f>IF(Gastos[[#This Row],[Fecha_Cheque]]&gt;0,WEEKNUM(Gastos[[#This Row],[Fecha_Cheque]]),MID(Gastos[[#This Row],[Semana]],6,2))</f>
        <v>32</v>
      </c>
      <c r="O4611" t="s">
        <v>3983</v>
      </c>
      <c r="P4611" t="s">
        <v>27</v>
      </c>
    </row>
    <row r="4612" spans="1:16" hidden="1" x14ac:dyDescent="0.25">
      <c r="A4612" s="3" t="s">
        <v>3963</v>
      </c>
      <c r="B4612" t="s">
        <v>2587</v>
      </c>
      <c r="C4612" t="s">
        <v>1948</v>
      </c>
      <c r="D4612" t="s">
        <v>26</v>
      </c>
      <c r="E4612" t="s">
        <v>42</v>
      </c>
      <c r="F4612">
        <v>1</v>
      </c>
      <c r="G4612" s="3" t="s">
        <v>4</v>
      </c>
      <c r="H4612" s="44" t="s">
        <v>15</v>
      </c>
      <c r="I4612" s="17">
        <v>77400</v>
      </c>
      <c r="J4612" s="17">
        <f>IF(Gastos[[#This Row],[Divisa]]="$", I4612*1, IF(Gastos[[#This Row],[Divisa]]="U$D", I4612*$N$1, IF(Gastos[[#This Row],[Divisa]]="EUR", I4612*$N$2, 0)))</f>
        <v>77400</v>
      </c>
      <c r="K4612" s="54">
        <f>Gastos[[#This Row],[Importe AR$]]/$N$1</f>
        <v>49.615384615384613</v>
      </c>
      <c r="M4612" s="69"/>
      <c r="N4612" s="43" t="str">
        <f>IF(Gastos[[#This Row],[Fecha_Cheque]]&gt;0,WEEKNUM(Gastos[[#This Row],[Fecha_Cheque]]),MID(Gastos[[#This Row],[Semana]],6,2))</f>
        <v>32</v>
      </c>
      <c r="O4612" t="s">
        <v>4010</v>
      </c>
      <c r="P4612" t="s">
        <v>27</v>
      </c>
    </row>
    <row r="4613" spans="1:16" hidden="1" x14ac:dyDescent="0.25">
      <c r="A4613" s="3" t="s">
        <v>4005</v>
      </c>
      <c r="B4613" t="s">
        <v>2587</v>
      </c>
      <c r="C4613" t="s">
        <v>1948</v>
      </c>
      <c r="D4613" t="s">
        <v>26</v>
      </c>
      <c r="E4613" t="s">
        <v>42</v>
      </c>
      <c r="F4613">
        <v>1</v>
      </c>
      <c r="G4613" s="3" t="s">
        <v>4</v>
      </c>
      <c r="H4613" s="44" t="s">
        <v>15</v>
      </c>
      <c r="I4613" s="17">
        <v>22700</v>
      </c>
      <c r="J4613" s="17">
        <f>IF(Gastos[[#This Row],[Divisa]]="$", I4613*1, IF(Gastos[[#This Row],[Divisa]]="U$D", I4613*$N$1, IF(Gastos[[#This Row],[Divisa]]="EUR", I4613*$N$2, 0)))</f>
        <v>22700</v>
      </c>
      <c r="K4613" s="54">
        <f>Gastos[[#This Row],[Importe AR$]]/$N$1</f>
        <v>14.551282051282051</v>
      </c>
      <c r="M4613" s="69"/>
      <c r="N4613" s="43" t="str">
        <f>IF(Gastos[[#This Row],[Fecha_Cheque]]&gt;0,WEEKNUM(Gastos[[#This Row],[Fecha_Cheque]]),MID(Gastos[[#This Row],[Semana]],6,2))</f>
        <v>33</v>
      </c>
      <c r="O4613" t="s">
        <v>4054</v>
      </c>
      <c r="P4613" t="s">
        <v>27</v>
      </c>
    </row>
    <row r="4614" spans="1:16" hidden="1" x14ac:dyDescent="0.25">
      <c r="A4614" s="3" t="s">
        <v>4119</v>
      </c>
      <c r="B4614" t="s">
        <v>2587</v>
      </c>
      <c r="C4614" t="s">
        <v>1948</v>
      </c>
      <c r="D4614" t="s">
        <v>26</v>
      </c>
      <c r="E4614" t="s">
        <v>42</v>
      </c>
      <c r="F4614">
        <v>1</v>
      </c>
      <c r="G4614" s="3" t="s">
        <v>4</v>
      </c>
      <c r="H4614" s="44" t="s">
        <v>15</v>
      </c>
      <c r="I4614" s="17">
        <v>333800</v>
      </c>
      <c r="J4614" s="17">
        <f>IF(Gastos[[#This Row],[Divisa]]="$", I4614*1, IF(Gastos[[#This Row],[Divisa]]="U$D", I4614*$N$1, IF(Gastos[[#This Row],[Divisa]]="EUR", I4614*$N$2, 0)))</f>
        <v>333800</v>
      </c>
      <c r="K4614" s="54">
        <f>Gastos[[#This Row],[Importe AR$]]/$N$1</f>
        <v>213.97435897435898</v>
      </c>
      <c r="M4614" s="69"/>
      <c r="N4614" s="43" t="str">
        <f>IF(Gastos[[#This Row],[Fecha_Cheque]]&gt;0,WEEKNUM(Gastos[[#This Row],[Fecha_Cheque]]),MID(Gastos[[#This Row],[Semana]],6,2))</f>
        <v>35</v>
      </c>
      <c r="O4614" t="s">
        <v>4139</v>
      </c>
      <c r="P4614" t="s">
        <v>27</v>
      </c>
    </row>
    <row r="4615" spans="1:16" hidden="1" x14ac:dyDescent="0.25">
      <c r="A4615" s="3" t="s">
        <v>4119</v>
      </c>
      <c r="B4615" t="s">
        <v>2587</v>
      </c>
      <c r="C4615" t="s">
        <v>1948</v>
      </c>
      <c r="D4615" t="s">
        <v>26</v>
      </c>
      <c r="E4615" t="s">
        <v>42</v>
      </c>
      <c r="F4615">
        <v>1</v>
      </c>
      <c r="G4615" s="3" t="s">
        <v>4</v>
      </c>
      <c r="H4615" s="44" t="s">
        <v>15</v>
      </c>
      <c r="I4615" s="17">
        <v>91900</v>
      </c>
      <c r="J4615" s="17">
        <f>IF(Gastos[[#This Row],[Divisa]]="$", I4615*1, IF(Gastos[[#This Row],[Divisa]]="U$D", I4615*$N$1, IF(Gastos[[#This Row],[Divisa]]="EUR", I4615*$N$2, 0)))</f>
        <v>91900</v>
      </c>
      <c r="K4615" s="54">
        <f>Gastos[[#This Row],[Importe AR$]]/$N$1</f>
        <v>58.910256410256409</v>
      </c>
      <c r="M4615" s="69"/>
      <c r="N4615" s="43" t="str">
        <f>IF(Gastos[[#This Row],[Fecha_Cheque]]&gt;0,WEEKNUM(Gastos[[#This Row],[Fecha_Cheque]]),MID(Gastos[[#This Row],[Semana]],6,2))</f>
        <v>35</v>
      </c>
      <c r="O4615" t="s">
        <v>4160</v>
      </c>
      <c r="P4615" t="s">
        <v>27</v>
      </c>
    </row>
    <row r="4616" spans="1:16" hidden="1" x14ac:dyDescent="0.25">
      <c r="A4616" s="3" t="s">
        <v>4211</v>
      </c>
      <c r="B4616" t="s">
        <v>2587</v>
      </c>
      <c r="C4616" t="s">
        <v>1948</v>
      </c>
      <c r="D4616" t="s">
        <v>26</v>
      </c>
      <c r="E4616" t="s">
        <v>42</v>
      </c>
      <c r="F4616">
        <v>1</v>
      </c>
      <c r="G4616" s="3" t="s">
        <v>4</v>
      </c>
      <c r="H4616" s="44" t="s">
        <v>15</v>
      </c>
      <c r="I4616" s="17">
        <v>20400</v>
      </c>
      <c r="J4616" s="17">
        <f>IF(Gastos[[#This Row],[Divisa]]="$", I4616*1, IF(Gastos[[#This Row],[Divisa]]="U$D", I4616*$N$1, IF(Gastos[[#This Row],[Divisa]]="EUR", I4616*$N$2, 0)))</f>
        <v>20400</v>
      </c>
      <c r="K4616" s="54">
        <f>Gastos[[#This Row],[Importe AR$]]/$N$1</f>
        <v>13.076923076923077</v>
      </c>
      <c r="M4616" s="69"/>
      <c r="N4616" s="43" t="str">
        <f>IF(Gastos[[#This Row],[Fecha_Cheque]]&gt;0,WEEKNUM(Gastos[[#This Row],[Fecha_Cheque]]),MID(Gastos[[#This Row],[Semana]],6,2))</f>
        <v>37</v>
      </c>
      <c r="O4616" t="s">
        <v>4221</v>
      </c>
      <c r="P4616" t="s">
        <v>27</v>
      </c>
    </row>
    <row r="4617" spans="1:16" hidden="1" x14ac:dyDescent="0.25">
      <c r="A4617" s="3" t="s">
        <v>4322</v>
      </c>
      <c r="B4617" t="s">
        <v>2587</v>
      </c>
      <c r="C4617" t="s">
        <v>1948</v>
      </c>
      <c r="D4617" t="s">
        <v>26</v>
      </c>
      <c r="E4617" t="s">
        <v>42</v>
      </c>
      <c r="F4617">
        <v>1</v>
      </c>
      <c r="G4617" s="3" t="s">
        <v>4</v>
      </c>
      <c r="H4617" s="44" t="s">
        <v>15</v>
      </c>
      <c r="I4617" s="17">
        <v>30600</v>
      </c>
      <c r="J4617" s="17">
        <f>IF(Gastos[[#This Row],[Divisa]]="$", I4617*1, IF(Gastos[[#This Row],[Divisa]]="U$D", I4617*$N$1, IF(Gastos[[#This Row],[Divisa]]="EUR", I4617*$N$2, 0)))</f>
        <v>30600</v>
      </c>
      <c r="K4617" s="54">
        <f>Gastos[[#This Row],[Importe AR$]]/$N$1</f>
        <v>19.615384615384617</v>
      </c>
      <c r="M4617" s="69"/>
      <c r="N4617" s="43" t="str">
        <f>IF(Gastos[[#This Row],[Fecha_Cheque]]&gt;0,WEEKNUM(Gastos[[#This Row],[Fecha_Cheque]]),MID(Gastos[[#This Row],[Semana]],6,2))</f>
        <v>38</v>
      </c>
      <c r="O4617" t="s">
        <v>4354</v>
      </c>
      <c r="P4617" t="s">
        <v>27</v>
      </c>
    </row>
    <row r="4618" spans="1:16" hidden="1" x14ac:dyDescent="0.25">
      <c r="A4618" s="3" t="s">
        <v>4447</v>
      </c>
      <c r="B4618" t="s">
        <v>2587</v>
      </c>
      <c r="C4618" t="s">
        <v>1948</v>
      </c>
      <c r="D4618" t="s">
        <v>26</v>
      </c>
      <c r="E4618" t="s">
        <v>42</v>
      </c>
      <c r="F4618">
        <v>1</v>
      </c>
      <c r="G4618" s="3" t="s">
        <v>4</v>
      </c>
      <c r="H4618" s="44" t="s">
        <v>15</v>
      </c>
      <c r="I4618" s="17">
        <v>70650</v>
      </c>
      <c r="J4618" s="17">
        <f>IF(Gastos[[#This Row],[Divisa]]="$", I4618*1, IF(Gastos[[#This Row],[Divisa]]="U$D", I4618*$N$1, IF(Gastos[[#This Row],[Divisa]]="EUR", I4618*$N$2, 0)))</f>
        <v>70650</v>
      </c>
      <c r="K4618" s="54">
        <f>Gastos[[#This Row],[Importe AR$]]/$N$1</f>
        <v>45.28846153846154</v>
      </c>
      <c r="M4618" s="69"/>
      <c r="N4618" s="43" t="str">
        <f>IF(Gastos[[#This Row],[Fecha_Cheque]]&gt;0,WEEKNUM(Gastos[[#This Row],[Fecha_Cheque]]),MID(Gastos[[#This Row],[Semana]],6,2))</f>
        <v>41</v>
      </c>
      <c r="O4618" t="s">
        <v>4460</v>
      </c>
      <c r="P4618" t="s">
        <v>27</v>
      </c>
    </row>
    <row r="4619" spans="1:16" hidden="1" x14ac:dyDescent="0.25">
      <c r="A4619" s="3" t="s">
        <v>4447</v>
      </c>
      <c r="B4619" t="s">
        <v>2587</v>
      </c>
      <c r="C4619" t="s">
        <v>1948</v>
      </c>
      <c r="D4619" t="s">
        <v>26</v>
      </c>
      <c r="E4619" t="s">
        <v>42</v>
      </c>
      <c r="F4619">
        <v>1</v>
      </c>
      <c r="G4619" s="3" t="s">
        <v>4</v>
      </c>
      <c r="H4619" s="44" t="s">
        <v>15</v>
      </c>
      <c r="I4619" s="17">
        <v>8500</v>
      </c>
      <c r="J4619" s="17">
        <f>IF(Gastos[[#This Row],[Divisa]]="$", I4619*1, IF(Gastos[[#This Row],[Divisa]]="U$D", I4619*$N$1, IF(Gastos[[#This Row],[Divisa]]="EUR", I4619*$N$2, 0)))</f>
        <v>8500</v>
      </c>
      <c r="K4619" s="54">
        <f>Gastos[[#This Row],[Importe AR$]]/$N$1</f>
        <v>5.4487179487179489</v>
      </c>
      <c r="M4619" s="69"/>
      <c r="N4619" s="43" t="str">
        <f>IF(Gastos[[#This Row],[Fecha_Cheque]]&gt;0,WEEKNUM(Gastos[[#This Row],[Fecha_Cheque]]),MID(Gastos[[#This Row],[Semana]],6,2))</f>
        <v>41</v>
      </c>
      <c r="O4619" t="s">
        <v>4461</v>
      </c>
      <c r="P4619" t="s">
        <v>27</v>
      </c>
    </row>
    <row r="4620" spans="1:16" hidden="1" x14ac:dyDescent="0.25">
      <c r="A4620" s="3" t="s">
        <v>4447</v>
      </c>
      <c r="B4620" t="s">
        <v>2587</v>
      </c>
      <c r="C4620" t="s">
        <v>1948</v>
      </c>
      <c r="D4620" t="s">
        <v>26</v>
      </c>
      <c r="E4620" t="s">
        <v>42</v>
      </c>
      <c r="F4620">
        <v>1</v>
      </c>
      <c r="G4620" s="3" t="s">
        <v>4</v>
      </c>
      <c r="H4620" s="44" t="s">
        <v>15</v>
      </c>
      <c r="I4620" s="17">
        <v>53600</v>
      </c>
      <c r="J4620" s="17">
        <f>IF(Gastos[[#This Row],[Divisa]]="$", I4620*1, IF(Gastos[[#This Row],[Divisa]]="U$D", I4620*$N$1, IF(Gastos[[#This Row],[Divisa]]="EUR", I4620*$N$2, 0)))</f>
        <v>53600</v>
      </c>
      <c r="K4620" s="54">
        <f>Gastos[[#This Row],[Importe AR$]]/$N$1</f>
        <v>34.358974358974358</v>
      </c>
      <c r="M4620" s="69"/>
      <c r="N4620" s="43" t="str">
        <f>IF(Gastos[[#This Row],[Fecha_Cheque]]&gt;0,WEEKNUM(Gastos[[#This Row],[Fecha_Cheque]]),MID(Gastos[[#This Row],[Semana]],6,2))</f>
        <v>41</v>
      </c>
      <c r="O4620" t="s">
        <v>4499</v>
      </c>
      <c r="P4620" t="s">
        <v>27</v>
      </c>
    </row>
    <row r="4621" spans="1:16" hidden="1" x14ac:dyDescent="0.25">
      <c r="A4621" s="3" t="s">
        <v>4569</v>
      </c>
      <c r="B4621" t="s">
        <v>2587</v>
      </c>
      <c r="C4621" t="s">
        <v>1948</v>
      </c>
      <c r="D4621" t="s">
        <v>26</v>
      </c>
      <c r="E4621" t="s">
        <v>42</v>
      </c>
      <c r="F4621">
        <v>1</v>
      </c>
      <c r="G4621" s="3" t="s">
        <v>4</v>
      </c>
      <c r="H4621" s="44" t="s">
        <v>15</v>
      </c>
      <c r="I4621" s="17">
        <v>26600</v>
      </c>
      <c r="J4621" s="17">
        <f>IF(Gastos[[#This Row],[Divisa]]="$", I4621*1, IF(Gastos[[#This Row],[Divisa]]="U$D", I4621*$N$1, IF(Gastos[[#This Row],[Divisa]]="EUR", I4621*$N$2, 0)))</f>
        <v>26600</v>
      </c>
      <c r="K4621" s="54">
        <f>Gastos[[#This Row],[Importe AR$]]/$N$1</f>
        <v>17.051282051282051</v>
      </c>
      <c r="M4621" s="69"/>
      <c r="N4621" s="43" t="str">
        <f>IF(Gastos[[#This Row],[Fecha_Cheque]]&gt;0,WEEKNUM(Gastos[[#This Row],[Fecha_Cheque]]),MID(Gastos[[#This Row],[Semana]],6,2))</f>
        <v>43</v>
      </c>
      <c r="O4621" t="s">
        <v>4585</v>
      </c>
      <c r="P4621" t="s">
        <v>27</v>
      </c>
    </row>
    <row r="4622" spans="1:16" hidden="1" x14ac:dyDescent="0.25">
      <c r="A4622" s="3" t="s">
        <v>144</v>
      </c>
      <c r="B4622" t="s">
        <v>2600</v>
      </c>
      <c r="C4622" t="s">
        <v>2601</v>
      </c>
      <c r="D4622" t="s">
        <v>26</v>
      </c>
      <c r="E4622" t="s">
        <v>31</v>
      </c>
      <c r="F4622">
        <v>2</v>
      </c>
      <c r="G4622" s="3" t="s">
        <v>4</v>
      </c>
      <c r="H4622" s="46" t="s">
        <v>15</v>
      </c>
      <c r="I4622" s="17">
        <v>20000</v>
      </c>
      <c r="J4622" s="17">
        <f>IF(Gastos[[#This Row],[Divisa]]="$", I4622*1, IF(Gastos[[#This Row],[Divisa]]="U$D", I4622*$N$1, IF(Gastos[[#This Row],[Divisa]]="EUR", I4622*$N$2, 0)))</f>
        <v>20000</v>
      </c>
      <c r="K4622" s="54">
        <f>Gastos[[#This Row],[Importe AR$]]/$N$1</f>
        <v>12.820512820512821</v>
      </c>
      <c r="M4622" s="69"/>
      <c r="N4622" s="43" t="str">
        <f>IF(Gastos[[#This Row],[Fecha_Cheque]]&gt;0,WEEKNUM(Gastos[[#This Row],[Fecha_Cheque]]),MID(Gastos[[#This Row],[Semana]],6,2))</f>
        <v>16</v>
      </c>
      <c r="P4622" t="s">
        <v>27</v>
      </c>
    </row>
    <row r="4623" spans="1:16" hidden="1" x14ac:dyDescent="0.25">
      <c r="A4623" s="3" t="s">
        <v>79</v>
      </c>
      <c r="B4623" t="s">
        <v>2602</v>
      </c>
      <c r="C4623" t="s">
        <v>2603</v>
      </c>
      <c r="D4623" t="s">
        <v>26</v>
      </c>
      <c r="E4623" t="s">
        <v>31</v>
      </c>
      <c r="F4623">
        <v>1</v>
      </c>
      <c r="G4623" s="3" t="s">
        <v>32</v>
      </c>
      <c r="H4623" s="46" t="s">
        <v>15</v>
      </c>
      <c r="I4623" s="17">
        <v>44862288</v>
      </c>
      <c r="J4623" s="17">
        <f>IF(Gastos[[#This Row],[Divisa]]="$", I4623*1, IF(Gastos[[#This Row],[Divisa]]="U$D", I4623*$N$1, IF(Gastos[[#This Row],[Divisa]]="EUR", I4623*$N$2, 0)))</f>
        <v>44862288</v>
      </c>
      <c r="K4623" s="54">
        <f>Gastos[[#This Row],[Importe AR$]]/$N$1</f>
        <v>28757.876923076925</v>
      </c>
      <c r="M4623" s="69">
        <v>46012</v>
      </c>
      <c r="N4623" s="43">
        <f>IF(Gastos[[#This Row],[Fecha_Cheque]]&gt;0,WEEKNUM(Gastos[[#This Row],[Fecha_Cheque]]),MID(Gastos[[#This Row],[Semana]],6,2))</f>
        <v>52</v>
      </c>
      <c r="O4623" t="s">
        <v>2604</v>
      </c>
      <c r="P4623" t="s">
        <v>27</v>
      </c>
    </row>
    <row r="4624" spans="1:16" hidden="1" x14ac:dyDescent="0.25">
      <c r="A4624" s="3" t="s">
        <v>79</v>
      </c>
      <c r="B4624" t="s">
        <v>2602</v>
      </c>
      <c r="C4624" t="s">
        <v>2603</v>
      </c>
      <c r="D4624" t="s">
        <v>26</v>
      </c>
      <c r="E4624" t="s">
        <v>31</v>
      </c>
      <c r="F4624">
        <v>1</v>
      </c>
      <c r="G4624" s="3" t="s">
        <v>32</v>
      </c>
      <c r="H4624" s="46" t="s">
        <v>15</v>
      </c>
      <c r="I4624" s="17">
        <v>44862288</v>
      </c>
      <c r="J4624" s="17">
        <f>IF(Gastos[[#This Row],[Divisa]]="$", I4624*1, IF(Gastos[[#This Row],[Divisa]]="U$D", I4624*$N$1, IF(Gastos[[#This Row],[Divisa]]="EUR", I4624*$N$2, 0)))</f>
        <v>44862288</v>
      </c>
      <c r="K4624" s="54">
        <f>Gastos[[#This Row],[Importe AR$]]/$N$1</f>
        <v>28757.876923076925</v>
      </c>
      <c r="M4624" s="69">
        <v>46042</v>
      </c>
      <c r="N4624" s="43">
        <f>IF(Gastos[[#This Row],[Fecha_Cheque]]&gt;0,WEEKNUM(Gastos[[#This Row],[Fecha_Cheque]]),MID(Gastos[[#This Row],[Semana]],6,2))</f>
        <v>4</v>
      </c>
      <c r="O4624" t="s">
        <v>2604</v>
      </c>
      <c r="P4624" t="s">
        <v>27</v>
      </c>
    </row>
    <row r="4625" spans="1:16" x14ac:dyDescent="0.25">
      <c r="A4625" s="3" t="s">
        <v>4655</v>
      </c>
      <c r="B4625" t="s">
        <v>2355</v>
      </c>
      <c r="C4625" t="s">
        <v>422</v>
      </c>
      <c r="D4625" t="s">
        <v>26</v>
      </c>
      <c r="E4625" t="s">
        <v>91</v>
      </c>
      <c r="F4625">
        <v>1</v>
      </c>
      <c r="G4625" s="3" t="s">
        <v>5</v>
      </c>
      <c r="H4625" s="44" t="s">
        <v>15</v>
      </c>
      <c r="I4625" s="17">
        <v>1165883.3999999999</v>
      </c>
      <c r="J4625" s="17">
        <f>IF(Gastos[[#This Row],[Divisa]]="$", I4625*1, IF(Gastos[[#This Row],[Divisa]]="U$D", I4625*$N$1, IF(Gastos[[#This Row],[Divisa]]="EUR", I4625*$N$2, 0)))</f>
        <v>1165883.3999999999</v>
      </c>
      <c r="K4625" s="54">
        <f>Gastos[[#This Row],[Importe AR$]]/$N$1</f>
        <v>747.3611538461538</v>
      </c>
      <c r="M4625" s="69"/>
      <c r="N4625" s="43" t="str">
        <f>IF(Gastos[[#This Row],[Fecha_Cheque]]&gt;0,WEEKNUM(Gastos[[#This Row],[Fecha_Cheque]]),MID(Gastos[[#This Row],[Semana]],6,2))</f>
        <v>44</v>
      </c>
      <c r="P4625" t="s">
        <v>7</v>
      </c>
    </row>
    <row r="4626" spans="1:16" x14ac:dyDescent="0.25">
      <c r="A4626" s="3" t="s">
        <v>4655</v>
      </c>
      <c r="B4626" t="s">
        <v>2355</v>
      </c>
      <c r="C4626" t="s">
        <v>422</v>
      </c>
      <c r="D4626" t="s">
        <v>26</v>
      </c>
      <c r="E4626" t="s">
        <v>91</v>
      </c>
      <c r="F4626">
        <v>1</v>
      </c>
      <c r="G4626" s="3" t="s">
        <v>5</v>
      </c>
      <c r="H4626" s="44" t="s">
        <v>15</v>
      </c>
      <c r="I4626" s="17">
        <v>0</v>
      </c>
      <c r="J4626" s="17">
        <f>IF(Gastos[[#This Row],[Divisa]]="$", I4626*1, IF(Gastos[[#This Row],[Divisa]]="U$D", I4626*$N$1, IF(Gastos[[#This Row],[Divisa]]="EUR", I4626*$N$2, 0)))</f>
        <v>0</v>
      </c>
      <c r="K4626" s="54">
        <f>Gastos[[#This Row],[Importe AR$]]/$N$1</f>
        <v>0</v>
      </c>
      <c r="M4626" s="69"/>
      <c r="N4626" s="43" t="str">
        <f>IF(Gastos[[#This Row],[Fecha_Cheque]]&gt;0,WEEKNUM(Gastos[[#This Row],[Fecha_Cheque]]),MID(Gastos[[#This Row],[Semana]],6,2))</f>
        <v>44</v>
      </c>
    </row>
    <row r="4627" spans="1:16" x14ac:dyDescent="0.25">
      <c r="A4627" s="3" t="s">
        <v>4655</v>
      </c>
      <c r="B4627" t="s">
        <v>2368</v>
      </c>
      <c r="C4627" t="s">
        <v>2373</v>
      </c>
      <c r="D4627" t="s">
        <v>26</v>
      </c>
      <c r="E4627" t="s">
        <v>62</v>
      </c>
      <c r="F4627">
        <v>1</v>
      </c>
      <c r="G4627" s="3" t="s">
        <v>32</v>
      </c>
      <c r="H4627" s="46" t="s">
        <v>2</v>
      </c>
      <c r="I4627" s="17">
        <v>7233.1383006535943</v>
      </c>
      <c r="J4627" s="17">
        <f>IF(Gastos[[#This Row],[Divisa]]="$", I4627*1, IF(Gastos[[#This Row],[Divisa]]="U$D", I4627*$N$1, IF(Gastos[[#This Row],[Divisa]]="EUR", I4627*$N$2, 0)))</f>
        <v>11283695.749019608</v>
      </c>
      <c r="K4627" s="54">
        <f>Gastos[[#This Row],[Importe AR$]]/$N$1</f>
        <v>7233.1383006535953</v>
      </c>
      <c r="M4627" s="69"/>
      <c r="N4627" s="43" t="str">
        <f>IF(Gastos[[#This Row],[Fecha_Cheque]]&gt;0,WEEKNUM(Gastos[[#This Row],[Fecha_Cheque]]),MID(Gastos[[#This Row],[Semana]],6,2))</f>
        <v>44</v>
      </c>
    </row>
    <row r="4628" spans="1:16" x14ac:dyDescent="0.25">
      <c r="A4628" s="3" t="s">
        <v>4655</v>
      </c>
      <c r="B4628" t="s">
        <v>2377</v>
      </c>
      <c r="C4628" t="s">
        <v>3887</v>
      </c>
      <c r="D4628" t="s">
        <v>26</v>
      </c>
      <c r="E4628" t="s">
        <v>62</v>
      </c>
      <c r="F4628">
        <v>1</v>
      </c>
      <c r="G4628" s="3" t="s">
        <v>32</v>
      </c>
      <c r="H4628" s="44" t="s">
        <v>15</v>
      </c>
      <c r="I4628" s="17">
        <v>1907092.63</v>
      </c>
      <c r="J4628" s="17">
        <f>IF(Gastos[[#This Row],[Divisa]]="$", I4628*1, IF(Gastos[[#This Row],[Divisa]]="U$D", I4628*$N$1, IF(Gastos[[#This Row],[Divisa]]="EUR", I4628*$N$2, 0)))</f>
        <v>1907092.63</v>
      </c>
      <c r="K4628" s="54">
        <f>Gastos[[#This Row],[Importe AR$]]/$N$1</f>
        <v>1222.4952756410255</v>
      </c>
      <c r="M4628" s="69"/>
      <c r="N4628" s="43" t="str">
        <f>IF(Gastos[[#This Row],[Fecha_Cheque]]&gt;0,WEEKNUM(Gastos[[#This Row],[Fecha_Cheque]]),MID(Gastos[[#This Row],[Semana]],6,2))</f>
        <v>44</v>
      </c>
    </row>
    <row r="4629" spans="1:16" x14ac:dyDescent="0.25">
      <c r="A4629" s="99" t="s">
        <v>4655</v>
      </c>
      <c r="B4629" s="100" t="s">
        <v>2418</v>
      </c>
      <c r="C4629" s="100" t="s">
        <v>4698</v>
      </c>
      <c r="D4629" s="100" t="s">
        <v>26</v>
      </c>
      <c r="E4629" s="100" t="s">
        <v>31</v>
      </c>
      <c r="F4629" s="100">
        <v>1</v>
      </c>
      <c r="G4629" s="99" t="s">
        <v>5</v>
      </c>
      <c r="H4629" s="44" t="s">
        <v>15</v>
      </c>
      <c r="I4629" s="17">
        <v>38100</v>
      </c>
      <c r="J4629" s="17">
        <f>IF(Gastos[[#This Row],[Divisa]]="$", I4629*1, IF(Gastos[[#This Row],[Divisa]]="U$D", I4629*$N$1, IF(Gastos[[#This Row],[Divisa]]="EUR", I4629*$N$2, 0)))</f>
        <v>38100</v>
      </c>
      <c r="K4629" s="54">
        <f>Gastos[[#This Row],[Importe AR$]]/$N$1</f>
        <v>24.423076923076923</v>
      </c>
      <c r="L4629" s="100"/>
      <c r="M4629" s="101"/>
      <c r="N4629" s="102" t="str">
        <f>IF(Gastos[[#This Row],[Fecha_Cheque]]&gt;0,WEEKNUM(Gastos[[#This Row],[Fecha_Cheque]]),MID(Gastos[[#This Row],[Semana]],6,2))</f>
        <v>44</v>
      </c>
      <c r="O4629" s="100" t="s">
        <v>4699</v>
      </c>
      <c r="P4629" s="100" t="s">
        <v>27</v>
      </c>
    </row>
    <row r="4630" spans="1:16" x14ac:dyDescent="0.25">
      <c r="A4630" s="3" t="s">
        <v>4655</v>
      </c>
      <c r="B4630" t="s">
        <v>2436</v>
      </c>
      <c r="C4630" t="s">
        <v>118</v>
      </c>
      <c r="D4630" t="s">
        <v>26</v>
      </c>
      <c r="E4630" t="s">
        <v>3929</v>
      </c>
      <c r="F4630">
        <v>1</v>
      </c>
      <c r="G4630" s="3" t="s">
        <v>32</v>
      </c>
      <c r="H4630" s="44" t="s">
        <v>2</v>
      </c>
      <c r="I4630" s="17">
        <v>24742</v>
      </c>
      <c r="J4630" s="17">
        <f>IF(Gastos[[#This Row],[Divisa]]="$", I4630*1, IF(Gastos[[#This Row],[Divisa]]="U$D", I4630*$N$1, IF(Gastos[[#This Row],[Divisa]]="EUR", I4630*$N$2, 0)))</f>
        <v>38597520</v>
      </c>
      <c r="K4630" s="54">
        <f>Gastos[[#This Row],[Importe AR$]]/$N$1</f>
        <v>24742</v>
      </c>
      <c r="L4630" s="8"/>
      <c r="M4630" s="69"/>
      <c r="N4630" s="43" t="str">
        <f>IF(Gastos[[#This Row],[Fecha_Cheque]]&gt;0,WEEKNUM(Gastos[[#This Row],[Fecha_Cheque]]),MID(Gastos[[#This Row],[Semana]],6,2))</f>
        <v>44</v>
      </c>
    </row>
    <row r="4631" spans="1:16" x14ac:dyDescent="0.25">
      <c r="A4631" s="3" t="s">
        <v>4655</v>
      </c>
      <c r="B4631" t="s">
        <v>3415</v>
      </c>
      <c r="C4631" t="s">
        <v>4317</v>
      </c>
      <c r="D4631" t="s">
        <v>26</v>
      </c>
      <c r="E4631" t="s">
        <v>62</v>
      </c>
      <c r="F4631">
        <v>1</v>
      </c>
      <c r="G4631" s="3" t="s">
        <v>32</v>
      </c>
      <c r="H4631" s="44" t="s">
        <v>15</v>
      </c>
      <c r="I4631" s="17">
        <v>4040401.8299999996</v>
      </c>
      <c r="J4631" s="17">
        <f>IF(Gastos[[#This Row],[Divisa]]="$", I4631*1, IF(Gastos[[#This Row],[Divisa]]="U$D", I4631*$N$1, IF(Gastos[[#This Row],[Divisa]]="EUR", I4631*$N$2, 0)))</f>
        <v>4040401.8299999996</v>
      </c>
      <c r="K4631" s="54">
        <f>Gastos[[#This Row],[Importe AR$]]/$N$1</f>
        <v>2590.0011730769229</v>
      </c>
      <c r="M4631" s="69"/>
      <c r="N4631" s="43" t="str">
        <f>IF(Gastos[[#This Row],[Fecha_Cheque]]&gt;0,WEEKNUM(Gastos[[#This Row],[Fecha_Cheque]]),MID(Gastos[[#This Row],[Semana]],6,2))</f>
        <v>44</v>
      </c>
    </row>
    <row r="4632" spans="1:16" x14ac:dyDescent="0.25">
      <c r="A4632" s="3" t="s">
        <v>4655</v>
      </c>
      <c r="B4632" t="s">
        <v>3169</v>
      </c>
      <c r="C4632" t="s">
        <v>3988</v>
      </c>
      <c r="D4632" t="s">
        <v>26</v>
      </c>
      <c r="E4632" t="s">
        <v>62</v>
      </c>
      <c r="F4632">
        <v>1</v>
      </c>
      <c r="G4632" s="3" t="s">
        <v>32</v>
      </c>
      <c r="H4632" s="44" t="s">
        <v>15</v>
      </c>
      <c r="I4632" s="17">
        <f>3320000-500000</f>
        <v>2820000</v>
      </c>
      <c r="J4632" s="17">
        <f>IF(Gastos[[#This Row],[Divisa]]="$", I4632*1, IF(Gastos[[#This Row],[Divisa]]="U$D", I4632*$N$1, IF(Gastos[[#This Row],[Divisa]]="EUR", I4632*$N$2, 0)))</f>
        <v>2820000</v>
      </c>
      <c r="K4632" s="54">
        <f>Gastos[[#This Row],[Importe AR$]]/$N$1</f>
        <v>1807.6923076923076</v>
      </c>
      <c r="M4632" s="69"/>
      <c r="N4632" s="43" t="str">
        <f>IF(Gastos[[#This Row],[Fecha_Cheque]]&gt;0,WEEKNUM(Gastos[[#This Row],[Fecha_Cheque]]),MID(Gastos[[#This Row],[Semana]],6,2))</f>
        <v>44</v>
      </c>
    </row>
    <row r="4633" spans="1:16" x14ac:dyDescent="0.25">
      <c r="A4633" s="3" t="s">
        <v>4655</v>
      </c>
      <c r="B4633" t="s">
        <v>3169</v>
      </c>
      <c r="C4633" t="s">
        <v>3988</v>
      </c>
      <c r="D4633" t="s">
        <v>26</v>
      </c>
      <c r="E4633" t="s">
        <v>62</v>
      </c>
      <c r="F4633">
        <v>1</v>
      </c>
      <c r="G4633" s="3" t="s">
        <v>32</v>
      </c>
      <c r="H4633" s="44" t="s">
        <v>15</v>
      </c>
      <c r="I4633" s="17">
        <v>400000</v>
      </c>
      <c r="J4633" s="17">
        <f>IF(Gastos[[#This Row],[Divisa]]="$", I4633*1, IF(Gastos[[#This Row],[Divisa]]="U$D", I4633*$N$1, IF(Gastos[[#This Row],[Divisa]]="EUR", I4633*$N$2, 0)))</f>
        <v>400000</v>
      </c>
      <c r="K4633" s="54">
        <f>Gastos[[#This Row],[Importe AR$]]/$N$1</f>
        <v>256.41025641025641</v>
      </c>
      <c r="M4633" s="69"/>
      <c r="N4633" s="43" t="str">
        <f>IF(Gastos[[#This Row],[Fecha_Cheque]]&gt;0,WEEKNUM(Gastos[[#This Row],[Fecha_Cheque]]),MID(Gastos[[#This Row],[Semana]],6,2))</f>
        <v>44</v>
      </c>
      <c r="P4633" t="s">
        <v>7</v>
      </c>
    </row>
    <row r="4634" spans="1:16" x14ac:dyDescent="0.25">
      <c r="A4634" s="3" t="s">
        <v>4655</v>
      </c>
      <c r="B4634" t="s">
        <v>2501</v>
      </c>
      <c r="C4634" t="s">
        <v>2010</v>
      </c>
      <c r="D4634" t="s">
        <v>26</v>
      </c>
      <c r="E4634" t="s">
        <v>62</v>
      </c>
      <c r="F4634">
        <v>1</v>
      </c>
      <c r="G4634" s="3" t="s">
        <v>32</v>
      </c>
      <c r="H4634" s="46" t="s">
        <v>15</v>
      </c>
      <c r="I4634" s="17">
        <v>2129664.16</v>
      </c>
      <c r="J4634" s="17">
        <f>IF(Gastos[[#This Row],[Divisa]]="$", I4634*1, IF(Gastos[[#This Row],[Divisa]]="U$D", I4634*$N$1, IF(Gastos[[#This Row],[Divisa]]="EUR", I4634*$N$2, 0)))</f>
        <v>2129664.16</v>
      </c>
      <c r="K4634" s="54">
        <f>Gastos[[#This Row],[Importe AR$]]/$N$1</f>
        <v>1365.1693333333335</v>
      </c>
      <c r="M4634" s="69"/>
      <c r="N4634" s="43" t="str">
        <f>IF(Gastos[[#This Row],[Fecha_Cheque]]&gt;0,WEEKNUM(Gastos[[#This Row],[Fecha_Cheque]]),MID(Gastos[[#This Row],[Semana]],6,2))</f>
        <v>44</v>
      </c>
    </row>
    <row r="4635" spans="1:16" x14ac:dyDescent="0.25">
      <c r="A4635" s="3" t="s">
        <v>4655</v>
      </c>
      <c r="B4635" t="s">
        <v>2508</v>
      </c>
      <c r="C4635" t="s">
        <v>4532</v>
      </c>
      <c r="D4635" t="s">
        <v>26</v>
      </c>
      <c r="E4635" t="s">
        <v>31</v>
      </c>
      <c r="F4635">
        <v>1</v>
      </c>
      <c r="G4635" s="3" t="s">
        <v>32</v>
      </c>
      <c r="H4635" s="44" t="s">
        <v>15</v>
      </c>
      <c r="I4635" s="17">
        <v>0</v>
      </c>
      <c r="J4635" s="17">
        <f>IF(Gastos[[#This Row],[Divisa]]="$", I4635*1, IF(Gastos[[#This Row],[Divisa]]="U$D", I4635*$N$1, IF(Gastos[[#This Row],[Divisa]]="EUR", I4635*$N$2, 0)))</f>
        <v>0</v>
      </c>
      <c r="K4635" s="54">
        <f>Gastos[[#This Row],[Importe AR$]]/$N$1</f>
        <v>0</v>
      </c>
      <c r="M4635" s="69"/>
      <c r="N4635" s="43" t="str">
        <f>IF(Gastos[[#This Row],[Fecha_Cheque]]&gt;0,WEEKNUM(Gastos[[#This Row],[Fecha_Cheque]]),MID(Gastos[[#This Row],[Semana]],6,2))</f>
        <v>44</v>
      </c>
    </row>
    <row r="4636" spans="1:16" x14ac:dyDescent="0.25">
      <c r="A4636" s="3" t="s">
        <v>4655</v>
      </c>
      <c r="B4636" t="s">
        <v>2525</v>
      </c>
      <c r="C4636" t="s">
        <v>2527</v>
      </c>
      <c r="D4636" t="s">
        <v>26</v>
      </c>
      <c r="E4636" t="s">
        <v>62</v>
      </c>
      <c r="F4636">
        <v>1</v>
      </c>
      <c r="G4636" s="3" t="s">
        <v>32</v>
      </c>
      <c r="H4636" s="46" t="s">
        <v>15</v>
      </c>
      <c r="I4636" s="17">
        <v>3178557.1099999994</v>
      </c>
      <c r="J4636" s="17">
        <f>IF(Gastos[[#This Row],[Divisa]]="$", I4636*1, IF(Gastos[[#This Row],[Divisa]]="U$D", I4636*$N$1, IF(Gastos[[#This Row],[Divisa]]="EUR", I4636*$N$2, 0)))</f>
        <v>3178557.1099999994</v>
      </c>
      <c r="K4636" s="54">
        <f>Gastos[[#This Row],[Importe AR$]]/$N$1</f>
        <v>2037.5366089743586</v>
      </c>
      <c r="M4636" s="69"/>
      <c r="N4636" s="43" t="str">
        <f>IF(Gastos[[#This Row],[Fecha_Cheque]]&gt;0,WEEKNUM(Gastos[[#This Row],[Fecha_Cheque]]),MID(Gastos[[#This Row],[Semana]],6,2))</f>
        <v>44</v>
      </c>
      <c r="P4636" t="s">
        <v>7</v>
      </c>
    </row>
    <row r="4637" spans="1:16" x14ac:dyDescent="0.25">
      <c r="A4637" s="3" t="s">
        <v>4655</v>
      </c>
      <c r="B4637" t="s">
        <v>3768</v>
      </c>
      <c r="C4637" t="s">
        <v>2533</v>
      </c>
      <c r="D4637" t="s">
        <v>26</v>
      </c>
      <c r="E4637" t="s">
        <v>91</v>
      </c>
      <c r="F4637">
        <v>1</v>
      </c>
      <c r="G4637" s="3" t="s">
        <v>5</v>
      </c>
      <c r="H4637" s="44" t="s">
        <v>15</v>
      </c>
      <c r="I4637" s="17">
        <v>87479</v>
      </c>
      <c r="J4637" s="17">
        <f>IF(Gastos[[#This Row],[Divisa]]="$", I4637*1, IF(Gastos[[#This Row],[Divisa]]="U$D", I4637*$N$1, IF(Gastos[[#This Row],[Divisa]]="EUR", I4637*$N$2, 0)))</f>
        <v>87479</v>
      </c>
      <c r="K4637" s="54">
        <f>Gastos[[#This Row],[Importe AR$]]/$N$1</f>
        <v>56.07628205128205</v>
      </c>
      <c r="M4637" s="69"/>
      <c r="N4637" s="43" t="str">
        <f>IF(Gastos[[#This Row],[Fecha_Cheque]]&gt;0,WEEKNUM(Gastos[[#This Row],[Fecha_Cheque]]),MID(Gastos[[#This Row],[Semana]],6,2))</f>
        <v>44</v>
      </c>
    </row>
  </sheetData>
  <phoneticPr fontId="8" type="noConversion"/>
  <pageMargins left="0.25" right="0.25" top="0.75" bottom="0.75" header="0.3" footer="0.3"/>
  <pageSetup paperSize="9" scale="47" fitToHeight="0" orientation="landscape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45C0-24CC-4480-B9C1-D70B5BFF63CA}">
  <dimension ref="A1:AA1036"/>
  <sheetViews>
    <sheetView showGridLines="0" topLeftCell="A998" zoomScale="115" zoomScaleNormal="115" workbookViewId="0">
      <selection activeCell="J1032" sqref="J1032"/>
    </sheetView>
  </sheetViews>
  <sheetFormatPr baseColWidth="10" defaultColWidth="11.42578125" defaultRowHeight="15" x14ac:dyDescent="0.25"/>
  <cols>
    <col min="1" max="1" width="11.5703125" bestFit="1" customWidth="1"/>
    <col min="2" max="2" width="29.28515625" bestFit="1" customWidth="1"/>
    <col min="3" max="3" width="41.85546875" customWidth="1"/>
    <col min="4" max="5" width="11.5703125" hidden="1" customWidth="1"/>
    <col min="6" max="6" width="15.85546875" bestFit="1" customWidth="1"/>
    <col min="7" max="7" width="16.7109375" bestFit="1" customWidth="1"/>
    <col min="8" max="9" width="11.5703125" hidden="1" customWidth="1"/>
    <col min="10" max="10" width="17.28515625" style="2" bestFit="1" customWidth="1"/>
    <col min="11" max="11" width="14.5703125" hidden="1" customWidth="1"/>
    <col min="12" max="12" width="11.5703125" hidden="1" customWidth="1"/>
    <col min="13" max="13" width="16.5703125" hidden="1" customWidth="1"/>
    <col min="14" max="14" width="13" hidden="1" customWidth="1"/>
    <col min="15" max="16" width="11.5703125" hidden="1" customWidth="1"/>
    <col min="19" max="19" width="9.140625" customWidth="1"/>
    <col min="20" max="20" width="15.85546875" bestFit="1" customWidth="1"/>
    <col min="23" max="23" width="6.140625" customWidth="1"/>
    <col min="24" max="24" width="14.5703125" bestFit="1" customWidth="1"/>
  </cols>
  <sheetData>
    <row r="1" spans="1:16" x14ac:dyDescent="0.25">
      <c r="A1" s="25" t="s">
        <v>3465</v>
      </c>
    </row>
    <row r="2" spans="1:1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25">
      <c r="A3" t="s">
        <v>2804</v>
      </c>
      <c r="B3" t="s">
        <v>1571</v>
      </c>
      <c r="C3" t="s">
        <v>3466</v>
      </c>
      <c r="D3" t="s">
        <v>26</v>
      </c>
      <c r="E3" t="s">
        <v>42</v>
      </c>
      <c r="F3">
        <v>1</v>
      </c>
      <c r="G3" t="s">
        <v>4</v>
      </c>
      <c r="H3" t="s">
        <v>15</v>
      </c>
      <c r="I3">
        <v>60000</v>
      </c>
      <c r="J3" s="2">
        <v>60000</v>
      </c>
      <c r="K3">
        <v>42.10526315789474</v>
      </c>
      <c r="N3" t="s">
        <v>3467</v>
      </c>
      <c r="P3" t="s">
        <v>3465</v>
      </c>
    </row>
    <row r="4" spans="1:16" x14ac:dyDescent="0.25">
      <c r="A4" t="s">
        <v>2804</v>
      </c>
      <c r="B4" t="s">
        <v>1462</v>
      </c>
      <c r="C4" t="s">
        <v>155</v>
      </c>
      <c r="D4" t="s">
        <v>26</v>
      </c>
      <c r="E4" t="s">
        <v>42</v>
      </c>
      <c r="F4">
        <v>1</v>
      </c>
      <c r="G4" t="s">
        <v>4</v>
      </c>
      <c r="H4" t="s">
        <v>15</v>
      </c>
      <c r="I4">
        <v>80000</v>
      </c>
      <c r="J4" s="2">
        <v>80000</v>
      </c>
      <c r="K4">
        <v>56.140350877192979</v>
      </c>
      <c r="N4" t="s">
        <v>3467</v>
      </c>
      <c r="P4" t="s">
        <v>3465</v>
      </c>
    </row>
    <row r="5" spans="1:16" x14ac:dyDescent="0.25">
      <c r="A5" t="s">
        <v>2804</v>
      </c>
      <c r="B5" t="s">
        <v>1571</v>
      </c>
      <c r="C5" t="s">
        <v>155</v>
      </c>
      <c r="D5" t="s">
        <v>26</v>
      </c>
      <c r="E5" t="s">
        <v>42</v>
      </c>
      <c r="F5">
        <v>1</v>
      </c>
      <c r="G5" t="s">
        <v>4</v>
      </c>
      <c r="H5" t="s">
        <v>15</v>
      </c>
      <c r="I5">
        <v>176030.88</v>
      </c>
      <c r="J5" s="2">
        <v>176030.88</v>
      </c>
      <c r="K5">
        <v>123.53044210526316</v>
      </c>
      <c r="N5" t="s">
        <v>3467</v>
      </c>
      <c r="P5" t="s">
        <v>3465</v>
      </c>
    </row>
    <row r="6" spans="1:16" x14ac:dyDescent="0.25">
      <c r="A6" t="s">
        <v>2804</v>
      </c>
      <c r="B6" t="s">
        <v>1580</v>
      </c>
      <c r="C6" t="s">
        <v>155</v>
      </c>
      <c r="D6" t="s">
        <v>26</v>
      </c>
      <c r="E6" t="s">
        <v>42</v>
      </c>
      <c r="F6">
        <v>1</v>
      </c>
      <c r="G6" t="s">
        <v>4</v>
      </c>
      <c r="H6" t="s">
        <v>15</v>
      </c>
      <c r="I6">
        <v>180005.99</v>
      </c>
      <c r="J6" s="2">
        <v>180005.99</v>
      </c>
      <c r="K6">
        <v>126.31999298245613</v>
      </c>
      <c r="N6" t="s">
        <v>3467</v>
      </c>
      <c r="P6" t="s">
        <v>3465</v>
      </c>
    </row>
    <row r="7" spans="1:16" x14ac:dyDescent="0.25">
      <c r="A7" t="s">
        <v>2804</v>
      </c>
      <c r="B7" t="s">
        <v>2153</v>
      </c>
      <c r="C7" t="s">
        <v>155</v>
      </c>
      <c r="D7" t="s">
        <v>26</v>
      </c>
      <c r="E7" t="s">
        <v>42</v>
      </c>
      <c r="F7">
        <v>1</v>
      </c>
      <c r="G7" t="s">
        <v>4</v>
      </c>
      <c r="H7" t="s">
        <v>15</v>
      </c>
      <c r="I7">
        <v>195000</v>
      </c>
      <c r="J7" s="2">
        <v>195000</v>
      </c>
      <c r="K7">
        <v>136.84210526315789</v>
      </c>
      <c r="N7" t="s">
        <v>3467</v>
      </c>
      <c r="P7" t="s">
        <v>3465</v>
      </c>
    </row>
    <row r="8" spans="1:16" x14ac:dyDescent="0.25">
      <c r="A8" t="s">
        <v>2804</v>
      </c>
      <c r="B8" t="s">
        <v>483</v>
      </c>
      <c r="C8" t="s">
        <v>155</v>
      </c>
      <c r="D8" t="s">
        <v>26</v>
      </c>
      <c r="E8" t="s">
        <v>42</v>
      </c>
      <c r="F8">
        <v>1</v>
      </c>
      <c r="G8" t="s">
        <v>4</v>
      </c>
      <c r="H8" t="s">
        <v>15</v>
      </c>
      <c r="I8">
        <v>200000</v>
      </c>
      <c r="J8" s="2">
        <v>200000</v>
      </c>
      <c r="K8">
        <v>140.35087719298247</v>
      </c>
      <c r="L8" t="s">
        <v>3177</v>
      </c>
      <c r="N8" t="s">
        <v>3467</v>
      </c>
      <c r="P8" t="s">
        <v>3465</v>
      </c>
    </row>
    <row r="9" spans="1:16" x14ac:dyDescent="0.25">
      <c r="A9" t="s">
        <v>2804</v>
      </c>
      <c r="B9" t="s">
        <v>3299</v>
      </c>
      <c r="C9" t="s">
        <v>3300</v>
      </c>
      <c r="D9" t="s">
        <v>26</v>
      </c>
      <c r="E9" t="s">
        <v>42</v>
      </c>
      <c r="F9">
        <v>1</v>
      </c>
      <c r="G9" t="s">
        <v>4</v>
      </c>
      <c r="H9" t="s">
        <v>15</v>
      </c>
      <c r="I9">
        <v>250000</v>
      </c>
      <c r="J9" s="2">
        <v>250000</v>
      </c>
      <c r="K9">
        <v>175.43859649122808</v>
      </c>
      <c r="N9" t="s">
        <v>3467</v>
      </c>
      <c r="P9" t="s">
        <v>3465</v>
      </c>
    </row>
    <row r="10" spans="1:16" x14ac:dyDescent="0.25">
      <c r="A10" t="s">
        <v>2804</v>
      </c>
      <c r="B10" t="s">
        <v>3155</v>
      </c>
      <c r="C10" t="s">
        <v>3156</v>
      </c>
      <c r="D10" t="s">
        <v>26</v>
      </c>
      <c r="E10" t="s">
        <v>42</v>
      </c>
      <c r="F10">
        <v>1</v>
      </c>
      <c r="G10" t="s">
        <v>4</v>
      </c>
      <c r="H10" t="s">
        <v>15</v>
      </c>
      <c r="I10">
        <v>250000</v>
      </c>
      <c r="J10" s="2">
        <v>250000</v>
      </c>
      <c r="K10">
        <v>175.43859649122808</v>
      </c>
      <c r="N10" t="s">
        <v>3467</v>
      </c>
      <c r="P10" t="s">
        <v>3465</v>
      </c>
    </row>
    <row r="11" spans="1:16" x14ac:dyDescent="0.25">
      <c r="A11" t="s">
        <v>2804</v>
      </c>
      <c r="B11" t="s">
        <v>3169</v>
      </c>
      <c r="C11" t="s">
        <v>3170</v>
      </c>
      <c r="D11" t="s">
        <v>26</v>
      </c>
      <c r="E11" t="s">
        <v>42</v>
      </c>
      <c r="F11">
        <v>1</v>
      </c>
      <c r="G11" t="s">
        <v>4</v>
      </c>
      <c r="H11" t="s">
        <v>15</v>
      </c>
      <c r="I11">
        <v>335000</v>
      </c>
      <c r="J11" s="2">
        <v>335000</v>
      </c>
      <c r="K11">
        <v>235.08771929824562</v>
      </c>
      <c r="N11" t="s">
        <v>3467</v>
      </c>
      <c r="P11" t="s">
        <v>3465</v>
      </c>
    </row>
    <row r="12" spans="1:16" x14ac:dyDescent="0.25">
      <c r="A12" t="s">
        <v>2804</v>
      </c>
      <c r="B12" t="s">
        <v>1026</v>
      </c>
      <c r="C12" t="s">
        <v>1029</v>
      </c>
      <c r="D12" t="s">
        <v>26</v>
      </c>
      <c r="E12" t="s">
        <v>42</v>
      </c>
      <c r="F12">
        <v>1</v>
      </c>
      <c r="G12" t="s">
        <v>4</v>
      </c>
      <c r="H12" t="s">
        <v>15</v>
      </c>
      <c r="I12">
        <v>450000</v>
      </c>
      <c r="J12" s="2">
        <v>450000</v>
      </c>
      <c r="K12">
        <v>315.78947368421052</v>
      </c>
      <c r="N12" t="s">
        <v>3467</v>
      </c>
      <c r="P12" t="s">
        <v>3465</v>
      </c>
    </row>
    <row r="13" spans="1:16" x14ac:dyDescent="0.25">
      <c r="A13" t="s">
        <v>2804</v>
      </c>
      <c r="B13" t="s">
        <v>2153</v>
      </c>
      <c r="C13" t="s">
        <v>3468</v>
      </c>
      <c r="D13" t="s">
        <v>26</v>
      </c>
      <c r="E13" t="s">
        <v>42</v>
      </c>
      <c r="F13">
        <v>1</v>
      </c>
      <c r="G13" t="s">
        <v>4</v>
      </c>
      <c r="H13" t="s">
        <v>15</v>
      </c>
      <c r="I13">
        <v>479981.21</v>
      </c>
      <c r="J13" s="2">
        <v>479981.21</v>
      </c>
      <c r="K13">
        <v>336.82891929824564</v>
      </c>
      <c r="N13" t="s">
        <v>3467</v>
      </c>
      <c r="P13" t="s">
        <v>3465</v>
      </c>
    </row>
    <row r="14" spans="1:16" x14ac:dyDescent="0.25">
      <c r="A14" t="s">
        <v>2804</v>
      </c>
      <c r="B14" t="s">
        <v>3287</v>
      </c>
      <c r="C14" t="s">
        <v>3469</v>
      </c>
      <c r="D14" t="s">
        <v>26</v>
      </c>
      <c r="E14" t="s">
        <v>42</v>
      </c>
      <c r="F14">
        <v>1</v>
      </c>
      <c r="G14" t="s">
        <v>4</v>
      </c>
      <c r="H14" t="s">
        <v>15</v>
      </c>
      <c r="I14">
        <v>1000000</v>
      </c>
      <c r="J14" s="2">
        <v>1000000</v>
      </c>
      <c r="K14">
        <v>701.75438596491233</v>
      </c>
      <c r="N14" t="s">
        <v>3467</v>
      </c>
      <c r="P14" t="s">
        <v>3465</v>
      </c>
    </row>
    <row r="15" spans="1:16" hidden="1" x14ac:dyDescent="0.25">
      <c r="A15" t="s">
        <v>2804</v>
      </c>
      <c r="B15" t="s">
        <v>1841</v>
      </c>
      <c r="C15" t="s">
        <v>1842</v>
      </c>
      <c r="D15" t="s">
        <v>26</v>
      </c>
      <c r="E15" t="s">
        <v>42</v>
      </c>
      <c r="F15">
        <v>2</v>
      </c>
      <c r="G15" t="s">
        <v>4</v>
      </c>
      <c r="H15" t="s">
        <v>15</v>
      </c>
      <c r="I15">
        <v>1000000</v>
      </c>
      <c r="J15" s="2">
        <v>1000000</v>
      </c>
      <c r="K15">
        <v>701.75438596491233</v>
      </c>
      <c r="N15" t="s">
        <v>3467</v>
      </c>
      <c r="P15" t="s">
        <v>3465</v>
      </c>
    </row>
    <row r="16" spans="1:16" hidden="1" x14ac:dyDescent="0.25">
      <c r="A16" t="s">
        <v>2804</v>
      </c>
      <c r="B16" t="s">
        <v>1580</v>
      </c>
      <c r="C16" t="s">
        <v>3206</v>
      </c>
      <c r="D16" t="s">
        <v>26</v>
      </c>
      <c r="E16" t="s">
        <v>42</v>
      </c>
      <c r="F16">
        <v>2</v>
      </c>
      <c r="G16" t="s">
        <v>4</v>
      </c>
      <c r="H16" t="s">
        <v>15</v>
      </c>
      <c r="I16">
        <v>1000000</v>
      </c>
      <c r="J16" s="2">
        <v>1000000</v>
      </c>
      <c r="K16">
        <v>701.75438596491233</v>
      </c>
      <c r="N16" t="s">
        <v>3467</v>
      </c>
      <c r="P16" t="s">
        <v>3465</v>
      </c>
    </row>
    <row r="17" spans="1:16" hidden="1" x14ac:dyDescent="0.25">
      <c r="A17" t="s">
        <v>2804</v>
      </c>
      <c r="B17" t="s">
        <v>3051</v>
      </c>
      <c r="C17" t="s">
        <v>3084</v>
      </c>
      <c r="D17" t="s">
        <v>26</v>
      </c>
      <c r="E17" t="s">
        <v>42</v>
      </c>
      <c r="F17">
        <v>2</v>
      </c>
      <c r="G17" t="s">
        <v>4</v>
      </c>
      <c r="H17" t="s">
        <v>15</v>
      </c>
      <c r="I17">
        <v>2000000</v>
      </c>
      <c r="J17" s="2">
        <v>2000000</v>
      </c>
      <c r="K17">
        <v>1403.5087719298247</v>
      </c>
      <c r="N17" t="s">
        <v>3467</v>
      </c>
      <c r="P17" t="s">
        <v>3465</v>
      </c>
    </row>
    <row r="18" spans="1:16" hidden="1" x14ac:dyDescent="0.25">
      <c r="A18" t="s">
        <v>2804</v>
      </c>
      <c r="B18" t="s">
        <v>1760</v>
      </c>
      <c r="C18" t="s">
        <v>2098</v>
      </c>
      <c r="D18" t="s">
        <v>26</v>
      </c>
      <c r="E18" t="s">
        <v>42</v>
      </c>
      <c r="F18">
        <v>2</v>
      </c>
      <c r="G18" t="s">
        <v>4</v>
      </c>
      <c r="H18" t="s">
        <v>15</v>
      </c>
      <c r="I18">
        <v>2000000</v>
      </c>
      <c r="J18" s="2">
        <v>2000000</v>
      </c>
      <c r="K18">
        <v>1403.5087719298247</v>
      </c>
      <c r="N18" t="s">
        <v>3467</v>
      </c>
      <c r="P18" t="s">
        <v>3465</v>
      </c>
    </row>
    <row r="19" spans="1:16" hidden="1" x14ac:dyDescent="0.25">
      <c r="A19" t="s">
        <v>2804</v>
      </c>
      <c r="B19" t="s">
        <v>1854</v>
      </c>
      <c r="C19" t="s">
        <v>118</v>
      </c>
      <c r="D19" t="s">
        <v>26</v>
      </c>
      <c r="E19" t="s">
        <v>42</v>
      </c>
      <c r="F19">
        <v>2</v>
      </c>
      <c r="G19" t="s">
        <v>4</v>
      </c>
      <c r="H19" t="s">
        <v>15</v>
      </c>
      <c r="I19">
        <v>12000000</v>
      </c>
      <c r="J19" s="2">
        <v>12000000</v>
      </c>
      <c r="K19">
        <v>8421.0526315789466</v>
      </c>
      <c r="N19" t="s">
        <v>3467</v>
      </c>
      <c r="P19" t="s">
        <v>3465</v>
      </c>
    </row>
    <row r="20" spans="1:16" x14ac:dyDescent="0.25">
      <c r="G20" s="76" t="s">
        <v>26</v>
      </c>
      <c r="J20" s="2">
        <f>SUBTOTAL(109,Tabla18[Importe AR$])</f>
        <v>3656018.08</v>
      </c>
    </row>
    <row r="21" spans="1:16" ht="3.75" customHeight="1" x14ac:dyDescent="0.25"/>
    <row r="22" spans="1:16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  <c r="J22" s="2" t="s">
        <v>16</v>
      </c>
      <c r="K22" t="s">
        <v>17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</row>
    <row r="23" spans="1:16" hidden="1" x14ac:dyDescent="0.25">
      <c r="A23" t="s">
        <v>2804</v>
      </c>
      <c r="B23" t="s">
        <v>1571</v>
      </c>
      <c r="C23" t="s">
        <v>3466</v>
      </c>
      <c r="D23" t="s">
        <v>26</v>
      </c>
      <c r="E23" t="s">
        <v>42</v>
      </c>
      <c r="F23">
        <v>1</v>
      </c>
      <c r="G23" t="s">
        <v>4</v>
      </c>
      <c r="H23" t="s">
        <v>15</v>
      </c>
      <c r="I23">
        <v>60000</v>
      </c>
      <c r="J23" s="2">
        <v>60000</v>
      </c>
      <c r="K23">
        <v>42.10526315789474</v>
      </c>
      <c r="N23" t="s">
        <v>3467</v>
      </c>
      <c r="P23" t="s">
        <v>3465</v>
      </c>
    </row>
    <row r="24" spans="1:16" hidden="1" x14ac:dyDescent="0.25">
      <c r="A24" t="s">
        <v>2804</v>
      </c>
      <c r="B24" t="s">
        <v>1462</v>
      </c>
      <c r="C24" t="s">
        <v>155</v>
      </c>
      <c r="D24" t="s">
        <v>26</v>
      </c>
      <c r="E24" t="s">
        <v>42</v>
      </c>
      <c r="F24">
        <v>1</v>
      </c>
      <c r="G24" t="s">
        <v>4</v>
      </c>
      <c r="H24" t="s">
        <v>15</v>
      </c>
      <c r="I24">
        <v>80000</v>
      </c>
      <c r="J24" s="2">
        <v>80000</v>
      </c>
      <c r="K24">
        <v>56.140350877192979</v>
      </c>
      <c r="N24" t="s">
        <v>3467</v>
      </c>
      <c r="P24" t="s">
        <v>3465</v>
      </c>
    </row>
    <row r="25" spans="1:16" hidden="1" x14ac:dyDescent="0.25">
      <c r="A25" t="s">
        <v>2804</v>
      </c>
      <c r="B25" t="s">
        <v>1571</v>
      </c>
      <c r="C25" t="s">
        <v>155</v>
      </c>
      <c r="D25" t="s">
        <v>26</v>
      </c>
      <c r="E25" t="s">
        <v>42</v>
      </c>
      <c r="F25">
        <v>1</v>
      </c>
      <c r="G25" t="s">
        <v>4</v>
      </c>
      <c r="H25" t="s">
        <v>15</v>
      </c>
      <c r="I25">
        <v>176030.88</v>
      </c>
      <c r="J25" s="2">
        <v>176030.88</v>
      </c>
      <c r="K25">
        <v>123.53044210526316</v>
      </c>
      <c r="N25" t="s">
        <v>3467</v>
      </c>
      <c r="P25" t="s">
        <v>3465</v>
      </c>
    </row>
    <row r="26" spans="1:16" hidden="1" x14ac:dyDescent="0.25">
      <c r="A26" t="s">
        <v>2804</v>
      </c>
      <c r="B26" t="s">
        <v>1580</v>
      </c>
      <c r="C26" t="s">
        <v>155</v>
      </c>
      <c r="D26" t="s">
        <v>26</v>
      </c>
      <c r="E26" t="s">
        <v>42</v>
      </c>
      <c r="F26">
        <v>1</v>
      </c>
      <c r="G26" t="s">
        <v>4</v>
      </c>
      <c r="H26" t="s">
        <v>15</v>
      </c>
      <c r="I26">
        <v>180005.99</v>
      </c>
      <c r="J26" s="2">
        <v>180005.99</v>
      </c>
      <c r="K26">
        <v>126.31999298245613</v>
      </c>
      <c r="N26" t="s">
        <v>3467</v>
      </c>
      <c r="P26" t="s">
        <v>3465</v>
      </c>
    </row>
    <row r="27" spans="1:16" hidden="1" x14ac:dyDescent="0.25">
      <c r="A27" t="s">
        <v>2804</v>
      </c>
      <c r="B27" t="s">
        <v>2153</v>
      </c>
      <c r="C27" t="s">
        <v>155</v>
      </c>
      <c r="D27" t="s">
        <v>26</v>
      </c>
      <c r="E27" t="s">
        <v>42</v>
      </c>
      <c r="F27">
        <v>1</v>
      </c>
      <c r="G27" t="s">
        <v>4</v>
      </c>
      <c r="H27" t="s">
        <v>15</v>
      </c>
      <c r="I27">
        <v>195000</v>
      </c>
      <c r="J27" s="2">
        <v>195000</v>
      </c>
      <c r="K27">
        <v>136.84210526315789</v>
      </c>
      <c r="N27" t="s">
        <v>3467</v>
      </c>
      <c r="P27" t="s">
        <v>3465</v>
      </c>
    </row>
    <row r="28" spans="1:16" hidden="1" x14ac:dyDescent="0.25">
      <c r="A28" t="s">
        <v>2804</v>
      </c>
      <c r="B28" t="s">
        <v>483</v>
      </c>
      <c r="C28" t="s">
        <v>155</v>
      </c>
      <c r="D28" t="s">
        <v>26</v>
      </c>
      <c r="E28" t="s">
        <v>42</v>
      </c>
      <c r="F28">
        <v>1</v>
      </c>
      <c r="G28" t="s">
        <v>4</v>
      </c>
      <c r="H28" t="s">
        <v>15</v>
      </c>
      <c r="I28">
        <v>200000</v>
      </c>
      <c r="J28" s="2">
        <v>200000</v>
      </c>
      <c r="K28">
        <v>140.35087719298247</v>
      </c>
      <c r="L28" t="s">
        <v>3177</v>
      </c>
      <c r="N28" t="s">
        <v>3467</v>
      </c>
      <c r="P28" t="s">
        <v>3465</v>
      </c>
    </row>
    <row r="29" spans="1:16" hidden="1" x14ac:dyDescent="0.25">
      <c r="A29" t="s">
        <v>2804</v>
      </c>
      <c r="B29" t="s">
        <v>3299</v>
      </c>
      <c r="C29" t="s">
        <v>3300</v>
      </c>
      <c r="D29" t="s">
        <v>26</v>
      </c>
      <c r="E29" t="s">
        <v>42</v>
      </c>
      <c r="F29">
        <v>1</v>
      </c>
      <c r="G29" t="s">
        <v>4</v>
      </c>
      <c r="H29" t="s">
        <v>15</v>
      </c>
      <c r="I29">
        <v>250000</v>
      </c>
      <c r="J29" s="2">
        <v>250000</v>
      </c>
      <c r="K29">
        <v>175.43859649122808</v>
      </c>
      <c r="N29" t="s">
        <v>3467</v>
      </c>
      <c r="P29" t="s">
        <v>3465</v>
      </c>
    </row>
    <row r="30" spans="1:16" hidden="1" x14ac:dyDescent="0.25">
      <c r="A30" t="s">
        <v>2804</v>
      </c>
      <c r="B30" t="s">
        <v>3155</v>
      </c>
      <c r="C30" t="s">
        <v>3156</v>
      </c>
      <c r="D30" t="s">
        <v>26</v>
      </c>
      <c r="E30" t="s">
        <v>42</v>
      </c>
      <c r="F30">
        <v>1</v>
      </c>
      <c r="G30" t="s">
        <v>4</v>
      </c>
      <c r="H30" t="s">
        <v>15</v>
      </c>
      <c r="I30">
        <v>250000</v>
      </c>
      <c r="J30" s="2">
        <v>250000</v>
      </c>
      <c r="K30">
        <v>175.43859649122808</v>
      </c>
      <c r="N30" t="s">
        <v>3467</v>
      </c>
      <c r="P30" t="s">
        <v>3465</v>
      </c>
    </row>
    <row r="31" spans="1:16" hidden="1" x14ac:dyDescent="0.25">
      <c r="A31" t="s">
        <v>2804</v>
      </c>
      <c r="B31" t="s">
        <v>3169</v>
      </c>
      <c r="C31" t="s">
        <v>3170</v>
      </c>
      <c r="D31" t="s">
        <v>26</v>
      </c>
      <c r="E31" t="s">
        <v>42</v>
      </c>
      <c r="F31">
        <v>1</v>
      </c>
      <c r="G31" t="s">
        <v>4</v>
      </c>
      <c r="H31" t="s">
        <v>15</v>
      </c>
      <c r="I31">
        <v>335000</v>
      </c>
      <c r="J31" s="2">
        <v>335000</v>
      </c>
      <c r="K31">
        <v>235.08771929824562</v>
      </c>
      <c r="N31" t="s">
        <v>3467</v>
      </c>
      <c r="P31" t="s">
        <v>3465</v>
      </c>
    </row>
    <row r="32" spans="1:16" hidden="1" x14ac:dyDescent="0.25">
      <c r="A32" t="s">
        <v>2804</v>
      </c>
      <c r="B32" t="s">
        <v>1026</v>
      </c>
      <c r="C32" t="s">
        <v>1029</v>
      </c>
      <c r="D32" t="s">
        <v>26</v>
      </c>
      <c r="E32" t="s">
        <v>42</v>
      </c>
      <c r="F32">
        <v>1</v>
      </c>
      <c r="G32" t="s">
        <v>4</v>
      </c>
      <c r="H32" t="s">
        <v>15</v>
      </c>
      <c r="I32">
        <v>450000</v>
      </c>
      <c r="J32" s="2">
        <v>450000</v>
      </c>
      <c r="K32">
        <v>315.78947368421052</v>
      </c>
      <c r="N32" t="s">
        <v>3467</v>
      </c>
      <c r="P32" t="s">
        <v>3465</v>
      </c>
    </row>
    <row r="33" spans="1:16" hidden="1" x14ac:dyDescent="0.25">
      <c r="A33" t="s">
        <v>2804</v>
      </c>
      <c r="B33" t="s">
        <v>2153</v>
      </c>
      <c r="C33" t="s">
        <v>3468</v>
      </c>
      <c r="D33" t="s">
        <v>26</v>
      </c>
      <c r="E33" t="s">
        <v>42</v>
      </c>
      <c r="F33">
        <v>1</v>
      </c>
      <c r="G33" t="s">
        <v>4</v>
      </c>
      <c r="H33" t="s">
        <v>15</v>
      </c>
      <c r="I33">
        <v>479981.21</v>
      </c>
      <c r="J33" s="2">
        <v>479981.21</v>
      </c>
      <c r="K33">
        <v>336.82891929824564</v>
      </c>
      <c r="N33" t="s">
        <v>3467</v>
      </c>
      <c r="P33" t="s">
        <v>3465</v>
      </c>
    </row>
    <row r="34" spans="1:16" hidden="1" x14ac:dyDescent="0.25">
      <c r="A34" t="s">
        <v>2804</v>
      </c>
      <c r="B34" t="s">
        <v>3287</v>
      </c>
      <c r="C34" t="s">
        <v>3469</v>
      </c>
      <c r="D34" t="s">
        <v>26</v>
      </c>
      <c r="E34" t="s">
        <v>42</v>
      </c>
      <c r="F34">
        <v>1</v>
      </c>
      <c r="G34" t="s">
        <v>4</v>
      </c>
      <c r="H34" t="s">
        <v>15</v>
      </c>
      <c r="I34">
        <v>1000000</v>
      </c>
      <c r="J34" s="2">
        <v>1000000</v>
      </c>
      <c r="K34">
        <v>701.75438596491233</v>
      </c>
      <c r="N34" t="s">
        <v>3467</v>
      </c>
      <c r="P34" t="s">
        <v>3465</v>
      </c>
    </row>
    <row r="35" spans="1:16" x14ac:dyDescent="0.25">
      <c r="A35" t="s">
        <v>2804</v>
      </c>
      <c r="B35" t="s">
        <v>1841</v>
      </c>
      <c r="C35" t="s">
        <v>1842</v>
      </c>
      <c r="D35" t="s">
        <v>26</v>
      </c>
      <c r="E35" t="s">
        <v>42</v>
      </c>
      <c r="F35">
        <v>2</v>
      </c>
      <c r="G35" t="s">
        <v>4</v>
      </c>
      <c r="H35" t="s">
        <v>15</v>
      </c>
      <c r="I35">
        <v>1000000</v>
      </c>
      <c r="J35" s="2">
        <v>1000000</v>
      </c>
      <c r="K35">
        <v>701.75438596491233</v>
      </c>
      <c r="N35" t="s">
        <v>3467</v>
      </c>
      <c r="P35" t="s">
        <v>3465</v>
      </c>
    </row>
    <row r="36" spans="1:16" x14ac:dyDescent="0.25">
      <c r="A36" t="s">
        <v>2804</v>
      </c>
      <c r="B36" t="s">
        <v>1580</v>
      </c>
      <c r="C36" t="s">
        <v>3206</v>
      </c>
      <c r="D36" t="s">
        <v>26</v>
      </c>
      <c r="E36" t="s">
        <v>42</v>
      </c>
      <c r="F36">
        <v>2</v>
      </c>
      <c r="G36" t="s">
        <v>4</v>
      </c>
      <c r="H36" t="s">
        <v>15</v>
      </c>
      <c r="I36">
        <v>1000000</v>
      </c>
      <c r="J36" s="2">
        <v>1000000</v>
      </c>
      <c r="K36">
        <v>701.75438596491233</v>
      </c>
      <c r="N36" t="s">
        <v>3467</v>
      </c>
      <c r="P36" t="s">
        <v>3465</v>
      </c>
    </row>
    <row r="37" spans="1:16" x14ac:dyDescent="0.25">
      <c r="A37" t="s">
        <v>2804</v>
      </c>
      <c r="B37" t="s">
        <v>3051</v>
      </c>
      <c r="C37" t="s">
        <v>3084</v>
      </c>
      <c r="D37" t="s">
        <v>26</v>
      </c>
      <c r="E37" t="s">
        <v>42</v>
      </c>
      <c r="F37">
        <v>2</v>
      </c>
      <c r="G37" t="s">
        <v>4</v>
      </c>
      <c r="H37" t="s">
        <v>15</v>
      </c>
      <c r="I37">
        <v>2000000</v>
      </c>
      <c r="J37" s="2">
        <v>2000000</v>
      </c>
      <c r="K37">
        <v>1403.5087719298247</v>
      </c>
      <c r="N37" t="s">
        <v>3467</v>
      </c>
      <c r="P37" t="s">
        <v>3465</v>
      </c>
    </row>
    <row r="38" spans="1:16" x14ac:dyDescent="0.25">
      <c r="A38" t="s">
        <v>2804</v>
      </c>
      <c r="B38" t="s">
        <v>1760</v>
      </c>
      <c r="C38" t="s">
        <v>2098</v>
      </c>
      <c r="D38" t="s">
        <v>26</v>
      </c>
      <c r="E38" t="s">
        <v>42</v>
      </c>
      <c r="F38">
        <v>2</v>
      </c>
      <c r="G38" t="s">
        <v>4</v>
      </c>
      <c r="H38" t="s">
        <v>15</v>
      </c>
      <c r="I38">
        <v>2000000</v>
      </c>
      <c r="J38" s="2">
        <v>2000000</v>
      </c>
      <c r="K38">
        <v>1403.5087719298247</v>
      </c>
      <c r="N38" t="s">
        <v>3467</v>
      </c>
      <c r="P38" t="s">
        <v>3465</v>
      </c>
    </row>
    <row r="39" spans="1:16" x14ac:dyDescent="0.25">
      <c r="A39" t="s">
        <v>2804</v>
      </c>
      <c r="B39" t="s">
        <v>1854</v>
      </c>
      <c r="C39" t="s">
        <v>118</v>
      </c>
      <c r="D39" t="s">
        <v>26</v>
      </c>
      <c r="E39" t="s">
        <v>42</v>
      </c>
      <c r="F39">
        <v>2</v>
      </c>
      <c r="G39" t="s">
        <v>4</v>
      </c>
      <c r="H39" t="s">
        <v>15</v>
      </c>
      <c r="I39">
        <v>12000000</v>
      </c>
      <c r="J39" s="2">
        <v>12000000</v>
      </c>
      <c r="K39">
        <v>8421.0526315789466</v>
      </c>
      <c r="N39" t="s">
        <v>3467</v>
      </c>
      <c r="P39" t="s">
        <v>3465</v>
      </c>
    </row>
    <row r="40" spans="1:16" x14ac:dyDescent="0.25">
      <c r="G40" s="76" t="s">
        <v>26</v>
      </c>
      <c r="J40" s="2">
        <f>SUBTOTAL(109,Tabla1820[Importe AR$])</f>
        <v>18000000</v>
      </c>
    </row>
    <row r="41" spans="1:16" ht="5.25" customHeight="1" x14ac:dyDescent="0.25"/>
    <row r="42" spans="1:16" ht="15.75" x14ac:dyDescent="0.25">
      <c r="G42" s="75" t="s">
        <v>26</v>
      </c>
      <c r="H42" s="25"/>
      <c r="I42" s="25"/>
      <c r="J42" s="77">
        <f>Tabla1820[[#Totals],[Importe AR$]]+Tabla18[[#Totals],[Importe AR$]]</f>
        <v>21656018.079999998</v>
      </c>
    </row>
    <row r="44" spans="1:16" x14ac:dyDescent="0.25">
      <c r="A44" s="25" t="s">
        <v>3470</v>
      </c>
    </row>
    <row r="45" spans="1:16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  <c r="J45" s="2" t="s">
        <v>16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  <c r="P45" t="s">
        <v>22</v>
      </c>
    </row>
    <row r="46" spans="1:16" x14ac:dyDescent="0.25">
      <c r="A46" t="s">
        <v>2773</v>
      </c>
      <c r="B46" t="s">
        <v>1571</v>
      </c>
      <c r="C46" t="s">
        <v>3466</v>
      </c>
      <c r="D46" t="s">
        <v>26</v>
      </c>
      <c r="E46" t="s">
        <v>42</v>
      </c>
      <c r="F46">
        <v>1</v>
      </c>
      <c r="G46" t="s">
        <v>4</v>
      </c>
      <c r="H46" t="s">
        <v>15</v>
      </c>
      <c r="I46">
        <v>60000</v>
      </c>
      <c r="J46" s="2">
        <v>60000</v>
      </c>
      <c r="K46">
        <v>42.402826855123678</v>
      </c>
      <c r="N46" t="s">
        <v>3471</v>
      </c>
      <c r="P46" t="s">
        <v>3470</v>
      </c>
    </row>
    <row r="47" spans="1:16" x14ac:dyDescent="0.25">
      <c r="A47" t="s">
        <v>2773</v>
      </c>
      <c r="B47" t="s">
        <v>1462</v>
      </c>
      <c r="C47" t="s">
        <v>155</v>
      </c>
      <c r="D47" t="s">
        <v>26</v>
      </c>
      <c r="E47" t="s">
        <v>42</v>
      </c>
      <c r="F47">
        <v>1</v>
      </c>
      <c r="G47" t="s">
        <v>4</v>
      </c>
      <c r="H47" t="s">
        <v>15</v>
      </c>
      <c r="I47">
        <v>80000</v>
      </c>
      <c r="J47" s="2">
        <v>80000</v>
      </c>
      <c r="K47">
        <v>56.53710247349823</v>
      </c>
      <c r="N47" t="s">
        <v>3471</v>
      </c>
      <c r="P47" t="s">
        <v>3470</v>
      </c>
    </row>
    <row r="48" spans="1:16" x14ac:dyDescent="0.25">
      <c r="A48" t="s">
        <v>2773</v>
      </c>
      <c r="B48" t="s">
        <v>3048</v>
      </c>
      <c r="C48" t="s">
        <v>155</v>
      </c>
      <c r="D48" t="s">
        <v>26</v>
      </c>
      <c r="E48" t="s">
        <v>42</v>
      </c>
      <c r="F48">
        <v>1</v>
      </c>
      <c r="G48" t="s">
        <v>4</v>
      </c>
      <c r="H48" t="s">
        <v>15</v>
      </c>
      <c r="I48">
        <v>90000</v>
      </c>
      <c r="J48" s="2">
        <v>90000</v>
      </c>
      <c r="K48">
        <v>63.60424028268551</v>
      </c>
      <c r="N48" t="s">
        <v>3471</v>
      </c>
      <c r="P48" t="s">
        <v>3470</v>
      </c>
    </row>
    <row r="49" spans="1:16" x14ac:dyDescent="0.25">
      <c r="A49" t="s">
        <v>2773</v>
      </c>
      <c r="B49" t="s">
        <v>1742</v>
      </c>
      <c r="C49" t="s">
        <v>1748</v>
      </c>
      <c r="D49" t="s">
        <v>26</v>
      </c>
      <c r="E49" t="s">
        <v>42</v>
      </c>
      <c r="F49">
        <v>1</v>
      </c>
      <c r="G49" t="s">
        <v>4</v>
      </c>
      <c r="H49" t="s">
        <v>15</v>
      </c>
      <c r="I49">
        <v>150000</v>
      </c>
      <c r="J49" s="2">
        <v>150000</v>
      </c>
      <c r="K49">
        <v>106.00706713780919</v>
      </c>
      <c r="N49" t="s">
        <v>3471</v>
      </c>
      <c r="P49" t="s">
        <v>3470</v>
      </c>
    </row>
    <row r="50" spans="1:16" x14ac:dyDescent="0.25">
      <c r="A50" s="78" t="s">
        <v>2773</v>
      </c>
      <c r="B50" s="78" t="s">
        <v>2587</v>
      </c>
      <c r="C50" s="78" t="s">
        <v>1948</v>
      </c>
      <c r="D50" t="s">
        <v>26</v>
      </c>
      <c r="E50" t="s">
        <v>42</v>
      </c>
      <c r="F50" s="78">
        <v>1</v>
      </c>
      <c r="G50" s="78" t="s">
        <v>4</v>
      </c>
      <c r="H50" t="s">
        <v>15</v>
      </c>
      <c r="I50">
        <v>167550</v>
      </c>
      <c r="J50" s="79">
        <v>167550</v>
      </c>
      <c r="K50">
        <v>118.40989399293287</v>
      </c>
      <c r="N50" t="s">
        <v>3471</v>
      </c>
      <c r="P50" t="s">
        <v>3470</v>
      </c>
    </row>
    <row r="51" spans="1:16" x14ac:dyDescent="0.25">
      <c r="A51" s="78" t="s">
        <v>2773</v>
      </c>
      <c r="B51" s="78" t="s">
        <v>1571</v>
      </c>
      <c r="C51" s="78" t="s">
        <v>155</v>
      </c>
      <c r="D51" t="s">
        <v>26</v>
      </c>
      <c r="E51" t="s">
        <v>42</v>
      </c>
      <c r="F51" s="78">
        <v>1</v>
      </c>
      <c r="G51" s="78" t="s">
        <v>4</v>
      </c>
      <c r="H51" t="s">
        <v>15</v>
      </c>
      <c r="I51">
        <v>176030.88</v>
      </c>
      <c r="J51" s="79">
        <v>176030.88</v>
      </c>
      <c r="K51">
        <v>124.40344876325089</v>
      </c>
      <c r="N51" t="s">
        <v>3471</v>
      </c>
      <c r="P51" t="s">
        <v>3470</v>
      </c>
    </row>
    <row r="52" spans="1:16" x14ac:dyDescent="0.25">
      <c r="A52" t="s">
        <v>2773</v>
      </c>
      <c r="B52" t="s">
        <v>483</v>
      </c>
      <c r="C52" t="s">
        <v>155</v>
      </c>
      <c r="D52" t="s">
        <v>26</v>
      </c>
      <c r="E52" t="s">
        <v>42</v>
      </c>
      <c r="F52">
        <v>1</v>
      </c>
      <c r="G52" t="s">
        <v>4</v>
      </c>
      <c r="H52" t="s">
        <v>15</v>
      </c>
      <c r="I52">
        <v>180000</v>
      </c>
      <c r="J52" s="2">
        <v>180000</v>
      </c>
      <c r="K52">
        <v>127.20848056537102</v>
      </c>
      <c r="N52" t="s">
        <v>3471</v>
      </c>
      <c r="P52" t="s">
        <v>3470</v>
      </c>
    </row>
    <row r="53" spans="1:16" x14ac:dyDescent="0.25">
      <c r="A53" s="78" t="s">
        <v>2773</v>
      </c>
      <c r="B53" s="78" t="s">
        <v>1580</v>
      </c>
      <c r="C53" s="78" t="s">
        <v>155</v>
      </c>
      <c r="D53" t="s">
        <v>26</v>
      </c>
      <c r="E53" t="s">
        <v>42</v>
      </c>
      <c r="F53" s="78">
        <v>1</v>
      </c>
      <c r="G53" s="78" t="s">
        <v>4</v>
      </c>
      <c r="H53" t="s">
        <v>15</v>
      </c>
      <c r="I53">
        <v>180005.99</v>
      </c>
      <c r="J53" s="79">
        <v>180005.99</v>
      </c>
      <c r="K53">
        <v>127.21271378091872</v>
      </c>
      <c r="N53" t="s">
        <v>3471</v>
      </c>
      <c r="P53" t="s">
        <v>3470</v>
      </c>
    </row>
    <row r="54" spans="1:16" x14ac:dyDescent="0.25">
      <c r="A54" s="78" t="s">
        <v>2773</v>
      </c>
      <c r="B54" s="78" t="s">
        <v>1571</v>
      </c>
      <c r="C54" s="78" t="s">
        <v>155</v>
      </c>
      <c r="D54" t="s">
        <v>26</v>
      </c>
      <c r="E54" t="s">
        <v>42</v>
      </c>
      <c r="F54" s="78">
        <v>1</v>
      </c>
      <c r="G54" s="78" t="s">
        <v>4</v>
      </c>
      <c r="H54" t="s">
        <v>15</v>
      </c>
      <c r="I54">
        <v>190006.02</v>
      </c>
      <c r="J54" s="79">
        <v>190006.02</v>
      </c>
      <c r="K54">
        <v>134.27987279151944</v>
      </c>
      <c r="N54" t="s">
        <v>3471</v>
      </c>
      <c r="P54" t="s">
        <v>3470</v>
      </c>
    </row>
    <row r="55" spans="1:16" x14ac:dyDescent="0.25">
      <c r="A55" t="s">
        <v>2773</v>
      </c>
      <c r="B55" t="s">
        <v>2153</v>
      </c>
      <c r="C55" t="s">
        <v>155</v>
      </c>
      <c r="D55" t="s">
        <v>26</v>
      </c>
      <c r="E55" t="s">
        <v>42</v>
      </c>
      <c r="F55">
        <v>1</v>
      </c>
      <c r="G55" t="s">
        <v>4</v>
      </c>
      <c r="H55" t="s">
        <v>15</v>
      </c>
      <c r="I55">
        <v>195000</v>
      </c>
      <c r="J55" s="2">
        <v>195000</v>
      </c>
      <c r="K55">
        <v>137.80918727915196</v>
      </c>
      <c r="N55" t="s">
        <v>3471</v>
      </c>
      <c r="P55" t="s">
        <v>3470</v>
      </c>
    </row>
    <row r="56" spans="1:16" x14ac:dyDescent="0.25">
      <c r="A56" t="s">
        <v>2773</v>
      </c>
      <c r="B56" t="s">
        <v>483</v>
      </c>
      <c r="C56" t="s">
        <v>155</v>
      </c>
      <c r="D56" t="s">
        <v>26</v>
      </c>
      <c r="E56" t="s">
        <v>42</v>
      </c>
      <c r="F56">
        <v>1</v>
      </c>
      <c r="G56" t="s">
        <v>4</v>
      </c>
      <c r="H56" t="s">
        <v>15</v>
      </c>
      <c r="I56">
        <v>200000</v>
      </c>
      <c r="J56" s="2">
        <v>200000</v>
      </c>
      <c r="K56">
        <v>141.34275618374559</v>
      </c>
      <c r="L56" t="s">
        <v>3177</v>
      </c>
      <c r="N56" t="s">
        <v>3471</v>
      </c>
      <c r="P56" t="s">
        <v>3470</v>
      </c>
    </row>
    <row r="57" spans="1:16" hidden="1" x14ac:dyDescent="0.25">
      <c r="A57" t="s">
        <v>2773</v>
      </c>
      <c r="B57" t="s">
        <v>2652</v>
      </c>
      <c r="D57" t="s">
        <v>26</v>
      </c>
      <c r="E57" t="s">
        <v>42</v>
      </c>
      <c r="F57">
        <v>2</v>
      </c>
      <c r="G57" t="s">
        <v>4</v>
      </c>
      <c r="H57" t="s">
        <v>15</v>
      </c>
      <c r="I57">
        <v>200000</v>
      </c>
      <c r="J57" s="2">
        <v>200000</v>
      </c>
      <c r="K57">
        <v>141.34275618374559</v>
      </c>
      <c r="N57" t="s">
        <v>3471</v>
      </c>
      <c r="P57" t="s">
        <v>3470</v>
      </c>
    </row>
    <row r="58" spans="1:16" x14ac:dyDescent="0.25">
      <c r="A58" t="s">
        <v>2773</v>
      </c>
      <c r="B58" t="s">
        <v>3299</v>
      </c>
      <c r="C58" t="s">
        <v>3300</v>
      </c>
      <c r="D58" t="s">
        <v>26</v>
      </c>
      <c r="E58" t="s">
        <v>42</v>
      </c>
      <c r="F58">
        <v>1</v>
      </c>
      <c r="G58" t="s">
        <v>4</v>
      </c>
      <c r="H58" t="s">
        <v>15</v>
      </c>
      <c r="I58">
        <v>250000</v>
      </c>
      <c r="J58" s="2">
        <v>250000</v>
      </c>
      <c r="K58">
        <v>176.67844522968198</v>
      </c>
      <c r="N58" t="s">
        <v>3471</v>
      </c>
      <c r="P58" t="s">
        <v>3470</v>
      </c>
    </row>
    <row r="59" spans="1:16" x14ac:dyDescent="0.25">
      <c r="A59" t="s">
        <v>2773</v>
      </c>
      <c r="B59" t="s">
        <v>3155</v>
      </c>
      <c r="C59" t="s">
        <v>3156</v>
      </c>
      <c r="D59" t="s">
        <v>26</v>
      </c>
      <c r="E59" t="s">
        <v>42</v>
      </c>
      <c r="F59">
        <v>1</v>
      </c>
      <c r="G59" t="s">
        <v>4</v>
      </c>
      <c r="H59" t="s">
        <v>15</v>
      </c>
      <c r="I59">
        <v>250000</v>
      </c>
      <c r="J59" s="2">
        <v>250000</v>
      </c>
      <c r="K59">
        <v>176.67844522968198</v>
      </c>
      <c r="N59" t="s">
        <v>3471</v>
      </c>
      <c r="P59" t="s">
        <v>3470</v>
      </c>
    </row>
    <row r="60" spans="1:16" x14ac:dyDescent="0.25">
      <c r="A60" t="s">
        <v>2773</v>
      </c>
      <c r="B60" t="s">
        <v>3169</v>
      </c>
      <c r="C60" t="s">
        <v>3170</v>
      </c>
      <c r="D60" t="s">
        <v>26</v>
      </c>
      <c r="E60" t="s">
        <v>42</v>
      </c>
      <c r="F60">
        <v>1</v>
      </c>
      <c r="G60" t="s">
        <v>4</v>
      </c>
      <c r="H60" t="s">
        <v>15</v>
      </c>
      <c r="I60">
        <v>335000</v>
      </c>
      <c r="J60" s="2">
        <v>335000</v>
      </c>
      <c r="K60">
        <v>236.74911660777386</v>
      </c>
      <c r="N60" t="s">
        <v>3471</v>
      </c>
      <c r="P60" t="s">
        <v>3470</v>
      </c>
    </row>
    <row r="61" spans="1:16" x14ac:dyDescent="0.25">
      <c r="A61" t="s">
        <v>2773</v>
      </c>
      <c r="B61" t="s">
        <v>1026</v>
      </c>
      <c r="C61" t="s">
        <v>1029</v>
      </c>
      <c r="D61" t="s">
        <v>26</v>
      </c>
      <c r="E61" t="s">
        <v>42</v>
      </c>
      <c r="F61">
        <v>1</v>
      </c>
      <c r="G61" t="s">
        <v>4</v>
      </c>
      <c r="H61" t="s">
        <v>15</v>
      </c>
      <c r="I61">
        <v>450000</v>
      </c>
      <c r="J61" s="2">
        <v>450000</v>
      </c>
      <c r="K61">
        <v>318.02120141342755</v>
      </c>
      <c r="N61" t="s">
        <v>3471</v>
      </c>
      <c r="P61" t="s">
        <v>3470</v>
      </c>
    </row>
    <row r="62" spans="1:16" x14ac:dyDescent="0.25">
      <c r="A62" t="s">
        <v>2773</v>
      </c>
      <c r="B62" t="s">
        <v>2153</v>
      </c>
      <c r="C62" t="s">
        <v>3468</v>
      </c>
      <c r="D62" t="s">
        <v>26</v>
      </c>
      <c r="E62" t="s">
        <v>42</v>
      </c>
      <c r="F62">
        <v>1</v>
      </c>
      <c r="G62" t="s">
        <v>4</v>
      </c>
      <c r="H62" t="s">
        <v>15</v>
      </c>
      <c r="I62">
        <v>479981.21</v>
      </c>
      <c r="J62" s="2">
        <v>479981.21</v>
      </c>
      <c r="K62">
        <v>339.20933568904593</v>
      </c>
      <c r="N62" t="s">
        <v>3471</v>
      </c>
      <c r="P62" t="s">
        <v>3470</v>
      </c>
    </row>
    <row r="63" spans="1:16" hidden="1" x14ac:dyDescent="0.25">
      <c r="A63" t="s">
        <v>2773</v>
      </c>
      <c r="B63" t="s">
        <v>1580</v>
      </c>
      <c r="C63" t="s">
        <v>3206</v>
      </c>
      <c r="D63" t="s">
        <v>26</v>
      </c>
      <c r="E63" t="s">
        <v>42</v>
      </c>
      <c r="F63">
        <v>2</v>
      </c>
      <c r="G63" t="s">
        <v>4</v>
      </c>
      <c r="H63" t="s">
        <v>15</v>
      </c>
      <c r="I63">
        <v>500000</v>
      </c>
      <c r="J63" s="2">
        <v>500000</v>
      </c>
      <c r="K63">
        <v>353.35689045936397</v>
      </c>
      <c r="N63" t="s">
        <v>3471</v>
      </c>
      <c r="P63" t="s">
        <v>3470</v>
      </c>
    </row>
    <row r="64" spans="1:16" hidden="1" x14ac:dyDescent="0.25">
      <c r="A64" t="s">
        <v>2773</v>
      </c>
      <c r="B64" t="s">
        <v>1760</v>
      </c>
      <c r="C64" t="s">
        <v>2098</v>
      </c>
      <c r="D64" t="s">
        <v>26</v>
      </c>
      <c r="E64" t="s">
        <v>42</v>
      </c>
      <c r="F64">
        <v>2</v>
      </c>
      <c r="G64" t="s">
        <v>4</v>
      </c>
      <c r="H64" t="s">
        <v>15</v>
      </c>
      <c r="I64">
        <v>700000</v>
      </c>
      <c r="J64" s="2">
        <v>700000</v>
      </c>
      <c r="K64">
        <v>494.69964664310953</v>
      </c>
      <c r="N64" t="s">
        <v>3471</v>
      </c>
      <c r="P64" t="s">
        <v>3470</v>
      </c>
    </row>
    <row r="65" spans="1:16" x14ac:dyDescent="0.25">
      <c r="A65" t="s">
        <v>2773</v>
      </c>
      <c r="B65" t="s">
        <v>3287</v>
      </c>
      <c r="C65" t="s">
        <v>3469</v>
      </c>
      <c r="D65" t="s">
        <v>26</v>
      </c>
      <c r="E65" t="s">
        <v>42</v>
      </c>
      <c r="F65">
        <v>1</v>
      </c>
      <c r="G65" t="s">
        <v>4</v>
      </c>
      <c r="H65" t="s">
        <v>15</v>
      </c>
      <c r="I65">
        <v>1000000</v>
      </c>
      <c r="J65" s="2">
        <v>1000000</v>
      </c>
      <c r="K65">
        <v>706.71378091872793</v>
      </c>
      <c r="N65" t="s">
        <v>3471</v>
      </c>
      <c r="P65" t="s">
        <v>3470</v>
      </c>
    </row>
    <row r="66" spans="1:16" hidden="1" x14ac:dyDescent="0.25">
      <c r="A66" t="s">
        <v>2773</v>
      </c>
      <c r="B66" t="s">
        <v>1841</v>
      </c>
      <c r="C66" t="s">
        <v>1842</v>
      </c>
      <c r="D66" t="s">
        <v>26</v>
      </c>
      <c r="E66" t="s">
        <v>42</v>
      </c>
      <c r="F66">
        <v>2</v>
      </c>
      <c r="G66" t="s">
        <v>4</v>
      </c>
      <c r="H66" t="s">
        <v>15</v>
      </c>
      <c r="I66">
        <v>1000000</v>
      </c>
      <c r="J66" s="2">
        <v>1000000</v>
      </c>
      <c r="K66">
        <v>706.71378091872793</v>
      </c>
      <c r="N66" t="s">
        <v>3471</v>
      </c>
      <c r="P66" t="s">
        <v>3470</v>
      </c>
    </row>
    <row r="67" spans="1:16" hidden="1" x14ac:dyDescent="0.25">
      <c r="A67" t="s">
        <v>2773</v>
      </c>
      <c r="B67" t="s">
        <v>1854</v>
      </c>
      <c r="C67" t="s">
        <v>118</v>
      </c>
      <c r="D67" t="s">
        <v>26</v>
      </c>
      <c r="E67" t="s">
        <v>42</v>
      </c>
      <c r="F67">
        <v>2</v>
      </c>
      <c r="G67" t="s">
        <v>4</v>
      </c>
      <c r="H67" t="s">
        <v>15</v>
      </c>
      <c r="I67">
        <v>5000000</v>
      </c>
      <c r="J67" s="2">
        <v>5000000</v>
      </c>
      <c r="K67">
        <v>3533.5689045936397</v>
      </c>
      <c r="N67" t="s">
        <v>3471</v>
      </c>
      <c r="P67" t="s">
        <v>3470</v>
      </c>
    </row>
    <row r="68" spans="1:16" x14ac:dyDescent="0.25">
      <c r="G68" s="76" t="s">
        <v>26</v>
      </c>
      <c r="J68" s="2">
        <f>SUBTOTAL(109,Tabla1522[Importe AR$])</f>
        <v>4433574.0999999996</v>
      </c>
    </row>
    <row r="69" spans="1:16" ht="4.5" customHeight="1" x14ac:dyDescent="0.25"/>
    <row r="70" spans="1:16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15</v>
      </c>
      <c r="J70" s="2" t="s">
        <v>16</v>
      </c>
      <c r="K70" t="s">
        <v>17</v>
      </c>
      <c r="L70" t="s">
        <v>18</v>
      </c>
      <c r="M70" t="s">
        <v>19</v>
      </c>
      <c r="N70" t="s">
        <v>20</v>
      </c>
      <c r="O70" t="s">
        <v>21</v>
      </c>
      <c r="P70" t="s">
        <v>22</v>
      </c>
    </row>
    <row r="71" spans="1:16" hidden="1" x14ac:dyDescent="0.25">
      <c r="A71" t="s">
        <v>2773</v>
      </c>
      <c r="B71" t="s">
        <v>1571</v>
      </c>
      <c r="C71" t="s">
        <v>3466</v>
      </c>
      <c r="D71" t="s">
        <v>26</v>
      </c>
      <c r="E71" t="s">
        <v>42</v>
      </c>
      <c r="F71">
        <v>1</v>
      </c>
      <c r="G71" t="s">
        <v>4</v>
      </c>
      <c r="H71" t="s">
        <v>15</v>
      </c>
      <c r="I71">
        <v>60000</v>
      </c>
      <c r="J71" s="2">
        <v>60000</v>
      </c>
      <c r="K71">
        <v>42.402826855123678</v>
      </c>
      <c r="N71" t="s">
        <v>3471</v>
      </c>
      <c r="P71" t="s">
        <v>3470</v>
      </c>
    </row>
    <row r="72" spans="1:16" hidden="1" x14ac:dyDescent="0.25">
      <c r="A72" t="s">
        <v>2773</v>
      </c>
      <c r="B72" t="s">
        <v>1462</v>
      </c>
      <c r="C72" t="s">
        <v>155</v>
      </c>
      <c r="D72" t="s">
        <v>26</v>
      </c>
      <c r="E72" t="s">
        <v>42</v>
      </c>
      <c r="F72">
        <v>1</v>
      </c>
      <c r="G72" t="s">
        <v>4</v>
      </c>
      <c r="H72" t="s">
        <v>15</v>
      </c>
      <c r="I72">
        <v>80000</v>
      </c>
      <c r="J72" s="2">
        <v>80000</v>
      </c>
      <c r="K72">
        <v>56.53710247349823</v>
      </c>
      <c r="N72" t="s">
        <v>3471</v>
      </c>
      <c r="P72" t="s">
        <v>3470</v>
      </c>
    </row>
    <row r="73" spans="1:16" hidden="1" x14ac:dyDescent="0.25">
      <c r="A73" t="s">
        <v>2773</v>
      </c>
      <c r="B73" t="s">
        <v>3048</v>
      </c>
      <c r="C73" t="s">
        <v>155</v>
      </c>
      <c r="D73" t="s">
        <v>26</v>
      </c>
      <c r="E73" t="s">
        <v>42</v>
      </c>
      <c r="F73">
        <v>1</v>
      </c>
      <c r="G73" t="s">
        <v>4</v>
      </c>
      <c r="H73" t="s">
        <v>15</v>
      </c>
      <c r="I73">
        <v>90000</v>
      </c>
      <c r="J73" s="2">
        <v>90000</v>
      </c>
      <c r="K73">
        <v>63.60424028268551</v>
      </c>
      <c r="N73" t="s">
        <v>3471</v>
      </c>
      <c r="P73" t="s">
        <v>3470</v>
      </c>
    </row>
    <row r="74" spans="1:16" hidden="1" x14ac:dyDescent="0.25">
      <c r="A74" t="s">
        <v>2773</v>
      </c>
      <c r="B74" t="s">
        <v>1742</v>
      </c>
      <c r="C74" t="s">
        <v>1748</v>
      </c>
      <c r="D74" t="s">
        <v>26</v>
      </c>
      <c r="E74" t="s">
        <v>42</v>
      </c>
      <c r="F74">
        <v>1</v>
      </c>
      <c r="G74" t="s">
        <v>4</v>
      </c>
      <c r="H74" t="s">
        <v>15</v>
      </c>
      <c r="I74">
        <v>150000</v>
      </c>
      <c r="J74" s="2">
        <v>150000</v>
      </c>
      <c r="K74">
        <v>106.00706713780919</v>
      </c>
      <c r="N74" t="s">
        <v>3471</v>
      </c>
      <c r="P74" t="s">
        <v>3470</v>
      </c>
    </row>
    <row r="75" spans="1:16" hidden="1" x14ac:dyDescent="0.25">
      <c r="A75" t="s">
        <v>2773</v>
      </c>
      <c r="B75" t="s">
        <v>2587</v>
      </c>
      <c r="C75" t="s">
        <v>1948</v>
      </c>
      <c r="D75" t="s">
        <v>26</v>
      </c>
      <c r="E75" t="s">
        <v>42</v>
      </c>
      <c r="F75">
        <v>1</v>
      </c>
      <c r="G75" t="s">
        <v>4</v>
      </c>
      <c r="H75" t="s">
        <v>15</v>
      </c>
      <c r="I75">
        <v>167550</v>
      </c>
      <c r="J75" s="2">
        <v>167550</v>
      </c>
      <c r="K75">
        <v>118.40989399293287</v>
      </c>
      <c r="N75" t="s">
        <v>3471</v>
      </c>
      <c r="P75" t="s">
        <v>3470</v>
      </c>
    </row>
    <row r="76" spans="1:16" hidden="1" x14ac:dyDescent="0.25">
      <c r="A76" t="s">
        <v>2773</v>
      </c>
      <c r="B76" t="s">
        <v>1571</v>
      </c>
      <c r="C76" t="s">
        <v>155</v>
      </c>
      <c r="D76" t="s">
        <v>26</v>
      </c>
      <c r="E76" t="s">
        <v>42</v>
      </c>
      <c r="F76">
        <v>1</v>
      </c>
      <c r="G76" t="s">
        <v>4</v>
      </c>
      <c r="H76" t="s">
        <v>15</v>
      </c>
      <c r="I76">
        <v>176030.88</v>
      </c>
      <c r="J76" s="2">
        <v>176030.88</v>
      </c>
      <c r="K76">
        <v>124.40344876325089</v>
      </c>
      <c r="N76" t="s">
        <v>3471</v>
      </c>
      <c r="P76" t="s">
        <v>3470</v>
      </c>
    </row>
    <row r="77" spans="1:16" hidden="1" x14ac:dyDescent="0.25">
      <c r="A77" t="s">
        <v>2773</v>
      </c>
      <c r="B77" t="s">
        <v>483</v>
      </c>
      <c r="C77" t="s">
        <v>155</v>
      </c>
      <c r="D77" t="s">
        <v>26</v>
      </c>
      <c r="E77" t="s">
        <v>42</v>
      </c>
      <c r="F77">
        <v>1</v>
      </c>
      <c r="G77" t="s">
        <v>4</v>
      </c>
      <c r="H77" t="s">
        <v>15</v>
      </c>
      <c r="I77">
        <v>180000</v>
      </c>
      <c r="J77" s="2">
        <v>180000</v>
      </c>
      <c r="K77">
        <v>127.20848056537102</v>
      </c>
      <c r="N77" t="s">
        <v>3471</v>
      </c>
      <c r="P77" t="s">
        <v>3470</v>
      </c>
    </row>
    <row r="78" spans="1:16" hidden="1" x14ac:dyDescent="0.25">
      <c r="A78" t="s">
        <v>2773</v>
      </c>
      <c r="B78" t="s">
        <v>1580</v>
      </c>
      <c r="C78" t="s">
        <v>155</v>
      </c>
      <c r="D78" t="s">
        <v>26</v>
      </c>
      <c r="E78" t="s">
        <v>42</v>
      </c>
      <c r="F78">
        <v>1</v>
      </c>
      <c r="G78" t="s">
        <v>4</v>
      </c>
      <c r="H78" t="s">
        <v>15</v>
      </c>
      <c r="I78">
        <v>180005.99</v>
      </c>
      <c r="J78" s="2">
        <v>180005.99</v>
      </c>
      <c r="K78">
        <v>127.21271378091872</v>
      </c>
      <c r="N78" t="s">
        <v>3471</v>
      </c>
      <c r="P78" t="s">
        <v>3470</v>
      </c>
    </row>
    <row r="79" spans="1:16" hidden="1" x14ac:dyDescent="0.25">
      <c r="A79" t="s">
        <v>2773</v>
      </c>
      <c r="B79" t="s">
        <v>1571</v>
      </c>
      <c r="C79" t="s">
        <v>155</v>
      </c>
      <c r="D79" t="s">
        <v>26</v>
      </c>
      <c r="E79" t="s">
        <v>42</v>
      </c>
      <c r="F79">
        <v>1</v>
      </c>
      <c r="G79" t="s">
        <v>4</v>
      </c>
      <c r="H79" t="s">
        <v>15</v>
      </c>
      <c r="I79">
        <v>190006.02</v>
      </c>
      <c r="J79" s="2">
        <v>190006.02</v>
      </c>
      <c r="K79">
        <v>134.27987279151944</v>
      </c>
      <c r="N79" t="s">
        <v>3471</v>
      </c>
      <c r="P79" t="s">
        <v>3470</v>
      </c>
    </row>
    <row r="80" spans="1:16" hidden="1" x14ac:dyDescent="0.25">
      <c r="A80" t="s">
        <v>2773</v>
      </c>
      <c r="B80" t="s">
        <v>2153</v>
      </c>
      <c r="C80" t="s">
        <v>155</v>
      </c>
      <c r="D80" t="s">
        <v>26</v>
      </c>
      <c r="E80" t="s">
        <v>42</v>
      </c>
      <c r="F80">
        <v>1</v>
      </c>
      <c r="G80" t="s">
        <v>4</v>
      </c>
      <c r="H80" t="s">
        <v>15</v>
      </c>
      <c r="I80">
        <v>195000</v>
      </c>
      <c r="J80" s="2">
        <v>195000</v>
      </c>
      <c r="K80">
        <v>137.80918727915196</v>
      </c>
      <c r="N80" t="s">
        <v>3471</v>
      </c>
      <c r="P80" t="s">
        <v>3470</v>
      </c>
    </row>
    <row r="81" spans="1:16" hidden="1" x14ac:dyDescent="0.25">
      <c r="A81" t="s">
        <v>2773</v>
      </c>
      <c r="B81" t="s">
        <v>483</v>
      </c>
      <c r="C81" t="s">
        <v>155</v>
      </c>
      <c r="D81" t="s">
        <v>26</v>
      </c>
      <c r="E81" t="s">
        <v>42</v>
      </c>
      <c r="F81">
        <v>1</v>
      </c>
      <c r="G81" t="s">
        <v>4</v>
      </c>
      <c r="H81" t="s">
        <v>15</v>
      </c>
      <c r="I81">
        <v>200000</v>
      </c>
      <c r="J81" s="2">
        <v>200000</v>
      </c>
      <c r="K81">
        <v>141.34275618374559</v>
      </c>
      <c r="L81" t="s">
        <v>3177</v>
      </c>
      <c r="N81" t="s">
        <v>3471</v>
      </c>
      <c r="P81" t="s">
        <v>3470</v>
      </c>
    </row>
    <row r="82" spans="1:16" x14ac:dyDescent="0.25">
      <c r="A82" t="s">
        <v>2773</v>
      </c>
      <c r="B82" t="s">
        <v>2652</v>
      </c>
      <c r="D82" t="s">
        <v>26</v>
      </c>
      <c r="E82" t="s">
        <v>42</v>
      </c>
      <c r="F82">
        <v>2</v>
      </c>
      <c r="G82" t="s">
        <v>4</v>
      </c>
      <c r="H82" t="s">
        <v>15</v>
      </c>
      <c r="I82">
        <v>200000</v>
      </c>
      <c r="J82" s="2">
        <v>200000</v>
      </c>
      <c r="K82">
        <v>141.34275618374559</v>
      </c>
      <c r="N82" t="s">
        <v>3471</v>
      </c>
      <c r="P82" t="s">
        <v>3470</v>
      </c>
    </row>
    <row r="83" spans="1:16" hidden="1" x14ac:dyDescent="0.25">
      <c r="A83" t="s">
        <v>2773</v>
      </c>
      <c r="B83" t="s">
        <v>3299</v>
      </c>
      <c r="C83" t="s">
        <v>3300</v>
      </c>
      <c r="D83" t="s">
        <v>26</v>
      </c>
      <c r="E83" t="s">
        <v>42</v>
      </c>
      <c r="F83">
        <v>1</v>
      </c>
      <c r="G83" t="s">
        <v>4</v>
      </c>
      <c r="H83" t="s">
        <v>15</v>
      </c>
      <c r="I83">
        <v>250000</v>
      </c>
      <c r="J83" s="2">
        <v>250000</v>
      </c>
      <c r="K83">
        <v>176.67844522968198</v>
      </c>
      <c r="N83" t="s">
        <v>3471</v>
      </c>
      <c r="P83" t="s">
        <v>3470</v>
      </c>
    </row>
    <row r="84" spans="1:16" hidden="1" x14ac:dyDescent="0.25">
      <c r="A84" t="s">
        <v>2773</v>
      </c>
      <c r="B84" t="s">
        <v>3155</v>
      </c>
      <c r="C84" t="s">
        <v>3156</v>
      </c>
      <c r="D84" t="s">
        <v>26</v>
      </c>
      <c r="E84" t="s">
        <v>42</v>
      </c>
      <c r="F84">
        <v>1</v>
      </c>
      <c r="G84" t="s">
        <v>4</v>
      </c>
      <c r="H84" t="s">
        <v>15</v>
      </c>
      <c r="I84">
        <v>250000</v>
      </c>
      <c r="J84" s="2">
        <v>250000</v>
      </c>
      <c r="K84">
        <v>176.67844522968198</v>
      </c>
      <c r="N84" t="s">
        <v>3471</v>
      </c>
      <c r="P84" t="s">
        <v>3470</v>
      </c>
    </row>
    <row r="85" spans="1:16" hidden="1" x14ac:dyDescent="0.25">
      <c r="A85" t="s">
        <v>2773</v>
      </c>
      <c r="B85" t="s">
        <v>3169</v>
      </c>
      <c r="C85" t="s">
        <v>3170</v>
      </c>
      <c r="D85" t="s">
        <v>26</v>
      </c>
      <c r="E85" t="s">
        <v>42</v>
      </c>
      <c r="F85">
        <v>1</v>
      </c>
      <c r="G85" t="s">
        <v>4</v>
      </c>
      <c r="H85" t="s">
        <v>15</v>
      </c>
      <c r="I85">
        <v>335000</v>
      </c>
      <c r="J85" s="2">
        <v>335000</v>
      </c>
      <c r="K85">
        <v>236.74911660777386</v>
      </c>
      <c r="N85" t="s">
        <v>3471</v>
      </c>
      <c r="P85" t="s">
        <v>3470</v>
      </c>
    </row>
    <row r="86" spans="1:16" hidden="1" x14ac:dyDescent="0.25">
      <c r="A86" t="s">
        <v>2773</v>
      </c>
      <c r="B86" t="s">
        <v>1026</v>
      </c>
      <c r="C86" t="s">
        <v>1029</v>
      </c>
      <c r="D86" t="s">
        <v>26</v>
      </c>
      <c r="E86" t="s">
        <v>42</v>
      </c>
      <c r="F86">
        <v>1</v>
      </c>
      <c r="G86" t="s">
        <v>4</v>
      </c>
      <c r="H86" t="s">
        <v>15</v>
      </c>
      <c r="I86">
        <v>450000</v>
      </c>
      <c r="J86" s="2">
        <v>450000</v>
      </c>
      <c r="K86">
        <v>318.02120141342755</v>
      </c>
      <c r="N86" t="s">
        <v>3471</v>
      </c>
      <c r="P86" t="s">
        <v>3470</v>
      </c>
    </row>
    <row r="87" spans="1:16" hidden="1" x14ac:dyDescent="0.25">
      <c r="A87" t="s">
        <v>2773</v>
      </c>
      <c r="B87" t="s">
        <v>2153</v>
      </c>
      <c r="C87" t="s">
        <v>3468</v>
      </c>
      <c r="D87" t="s">
        <v>26</v>
      </c>
      <c r="E87" t="s">
        <v>42</v>
      </c>
      <c r="F87">
        <v>1</v>
      </c>
      <c r="G87" t="s">
        <v>4</v>
      </c>
      <c r="H87" t="s">
        <v>15</v>
      </c>
      <c r="I87">
        <v>479981.21</v>
      </c>
      <c r="J87" s="2">
        <v>479981.21</v>
      </c>
      <c r="K87">
        <v>339.20933568904593</v>
      </c>
      <c r="N87" t="s">
        <v>3471</v>
      </c>
      <c r="P87" t="s">
        <v>3470</v>
      </c>
    </row>
    <row r="88" spans="1:16" x14ac:dyDescent="0.25">
      <c r="A88" t="s">
        <v>2773</v>
      </c>
      <c r="B88" t="s">
        <v>1580</v>
      </c>
      <c r="C88" t="s">
        <v>3206</v>
      </c>
      <c r="D88" t="s">
        <v>26</v>
      </c>
      <c r="E88" t="s">
        <v>42</v>
      </c>
      <c r="F88">
        <v>2</v>
      </c>
      <c r="G88" t="s">
        <v>4</v>
      </c>
      <c r="H88" t="s">
        <v>15</v>
      </c>
      <c r="I88">
        <v>500000</v>
      </c>
      <c r="J88" s="2">
        <v>500000</v>
      </c>
      <c r="K88">
        <v>353.35689045936397</v>
      </c>
      <c r="N88" t="s">
        <v>3471</v>
      </c>
      <c r="P88" t="s">
        <v>3470</v>
      </c>
    </row>
    <row r="89" spans="1:16" x14ac:dyDescent="0.25">
      <c r="A89" t="s">
        <v>2773</v>
      </c>
      <c r="B89" t="s">
        <v>1760</v>
      </c>
      <c r="C89" t="s">
        <v>2098</v>
      </c>
      <c r="D89" t="s">
        <v>26</v>
      </c>
      <c r="E89" t="s">
        <v>42</v>
      </c>
      <c r="F89">
        <v>2</v>
      </c>
      <c r="G89" t="s">
        <v>4</v>
      </c>
      <c r="H89" t="s">
        <v>15</v>
      </c>
      <c r="I89">
        <v>700000</v>
      </c>
      <c r="J89" s="2">
        <v>700000</v>
      </c>
      <c r="K89">
        <v>494.69964664310953</v>
      </c>
      <c r="N89" t="s">
        <v>3471</v>
      </c>
      <c r="P89" t="s">
        <v>3470</v>
      </c>
    </row>
    <row r="90" spans="1:16" hidden="1" x14ac:dyDescent="0.25">
      <c r="A90" t="s">
        <v>2773</v>
      </c>
      <c r="B90" t="s">
        <v>3287</v>
      </c>
      <c r="C90" t="s">
        <v>3469</v>
      </c>
      <c r="D90" t="s">
        <v>26</v>
      </c>
      <c r="E90" t="s">
        <v>42</v>
      </c>
      <c r="F90">
        <v>1</v>
      </c>
      <c r="G90" t="s">
        <v>4</v>
      </c>
      <c r="H90" t="s">
        <v>15</v>
      </c>
      <c r="I90">
        <v>1000000</v>
      </c>
      <c r="J90" s="2">
        <v>1000000</v>
      </c>
      <c r="K90">
        <v>706.71378091872793</v>
      </c>
      <c r="N90" t="s">
        <v>3471</v>
      </c>
      <c r="P90" t="s">
        <v>3470</v>
      </c>
    </row>
    <row r="91" spans="1:16" x14ac:dyDescent="0.25">
      <c r="A91" t="s">
        <v>2773</v>
      </c>
      <c r="B91" t="s">
        <v>1841</v>
      </c>
      <c r="C91" t="s">
        <v>1842</v>
      </c>
      <c r="D91" t="s">
        <v>26</v>
      </c>
      <c r="E91" t="s">
        <v>42</v>
      </c>
      <c r="F91">
        <v>2</v>
      </c>
      <c r="G91" t="s">
        <v>4</v>
      </c>
      <c r="H91" t="s">
        <v>15</v>
      </c>
      <c r="I91">
        <v>1000000</v>
      </c>
      <c r="J91" s="2">
        <v>1000000</v>
      </c>
      <c r="K91">
        <v>706.71378091872793</v>
      </c>
      <c r="N91" t="s">
        <v>3471</v>
      </c>
      <c r="P91" t="s">
        <v>3470</v>
      </c>
    </row>
    <row r="92" spans="1:16" x14ac:dyDescent="0.25">
      <c r="A92" t="s">
        <v>2773</v>
      </c>
      <c r="B92" t="s">
        <v>1854</v>
      </c>
      <c r="C92" t="s">
        <v>118</v>
      </c>
      <c r="D92" t="s">
        <v>26</v>
      </c>
      <c r="E92" t="s">
        <v>42</v>
      </c>
      <c r="F92">
        <v>2</v>
      </c>
      <c r="G92" t="s">
        <v>4</v>
      </c>
      <c r="H92" t="s">
        <v>15</v>
      </c>
      <c r="I92">
        <v>5000000</v>
      </c>
      <c r="J92" s="2">
        <v>5000000</v>
      </c>
      <c r="K92">
        <v>3533.5689045936397</v>
      </c>
      <c r="N92" t="s">
        <v>3471</v>
      </c>
      <c r="P92" t="s">
        <v>3470</v>
      </c>
    </row>
    <row r="93" spans="1:16" x14ac:dyDescent="0.25">
      <c r="G93" s="76" t="s">
        <v>26</v>
      </c>
      <c r="J93" s="2">
        <f>SUBTOTAL(109,Tabla1523[Importe AR$])</f>
        <v>7400000</v>
      </c>
    </row>
    <row r="94" spans="1:16" ht="3.75" customHeight="1" x14ac:dyDescent="0.25"/>
    <row r="95" spans="1:16" x14ac:dyDescent="0.25">
      <c r="G95" s="75" t="s">
        <v>3472</v>
      </c>
      <c r="H95" s="25"/>
      <c r="I95" s="25"/>
      <c r="J95" s="4">
        <f>Tabla1523[[#Totals],[Importe AR$]]+Tabla1522[[#Totals],[Importe AR$]]</f>
        <v>11833574.1</v>
      </c>
    </row>
    <row r="98" spans="1:16" x14ac:dyDescent="0.25">
      <c r="A98" s="25" t="s">
        <v>3473</v>
      </c>
    </row>
    <row r="99" spans="1:16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  <c r="J99" s="2" t="s">
        <v>16</v>
      </c>
      <c r="K99" t="s">
        <v>17</v>
      </c>
      <c r="L99" t="s">
        <v>18</v>
      </c>
      <c r="M99" t="s">
        <v>19</v>
      </c>
      <c r="N99" t="s">
        <v>20</v>
      </c>
      <c r="O99" t="s">
        <v>21</v>
      </c>
      <c r="P99" t="s">
        <v>22</v>
      </c>
    </row>
    <row r="100" spans="1:16" x14ac:dyDescent="0.25">
      <c r="A100" t="s">
        <v>2841</v>
      </c>
      <c r="B100" t="s">
        <v>1979</v>
      </c>
      <c r="C100" t="s">
        <v>155</v>
      </c>
      <c r="D100" t="s">
        <v>26</v>
      </c>
      <c r="E100" t="s">
        <v>42</v>
      </c>
      <c r="F100">
        <v>1</v>
      </c>
      <c r="G100" t="s">
        <v>4</v>
      </c>
      <c r="H100" t="s">
        <v>15</v>
      </c>
      <c r="I100">
        <v>80000</v>
      </c>
      <c r="J100" s="2">
        <v>80000</v>
      </c>
      <c r="K100">
        <v>56.338028169014088</v>
      </c>
      <c r="N100" t="s">
        <v>3474</v>
      </c>
      <c r="P100" t="s">
        <v>3473</v>
      </c>
    </row>
    <row r="101" spans="1:16" x14ac:dyDescent="0.25">
      <c r="A101" t="s">
        <v>2841</v>
      </c>
      <c r="B101" t="s">
        <v>1979</v>
      </c>
      <c r="C101" t="s">
        <v>155</v>
      </c>
      <c r="D101" t="s">
        <v>26</v>
      </c>
      <c r="E101" t="s">
        <v>42</v>
      </c>
      <c r="F101">
        <v>1</v>
      </c>
      <c r="G101" t="s">
        <v>4</v>
      </c>
      <c r="H101" t="s">
        <v>15</v>
      </c>
      <c r="I101">
        <v>80000</v>
      </c>
      <c r="J101" s="2">
        <v>80000</v>
      </c>
      <c r="K101">
        <v>56.338028169014088</v>
      </c>
      <c r="N101" t="s">
        <v>3474</v>
      </c>
      <c r="P101" t="s">
        <v>3473</v>
      </c>
    </row>
    <row r="102" spans="1:16" x14ac:dyDescent="0.25">
      <c r="A102" t="s">
        <v>2841</v>
      </c>
      <c r="B102" t="s">
        <v>1462</v>
      </c>
      <c r="C102" t="s">
        <v>155</v>
      </c>
      <c r="D102" t="s">
        <v>26</v>
      </c>
      <c r="E102" t="s">
        <v>42</v>
      </c>
      <c r="F102">
        <v>1</v>
      </c>
      <c r="G102" t="s">
        <v>4</v>
      </c>
      <c r="H102" t="s">
        <v>15</v>
      </c>
      <c r="I102">
        <v>80000</v>
      </c>
      <c r="J102" s="2">
        <v>80000</v>
      </c>
      <c r="K102">
        <v>56.338028169014088</v>
      </c>
      <c r="N102" t="s">
        <v>3474</v>
      </c>
      <c r="P102" t="s">
        <v>3473</v>
      </c>
    </row>
    <row r="103" spans="1:16" x14ac:dyDescent="0.25">
      <c r="A103" t="s">
        <v>2841</v>
      </c>
      <c r="B103" t="s">
        <v>1462</v>
      </c>
      <c r="C103" t="s">
        <v>155</v>
      </c>
      <c r="D103" t="s">
        <v>26</v>
      </c>
      <c r="E103" t="s">
        <v>42</v>
      </c>
      <c r="F103">
        <v>1</v>
      </c>
      <c r="G103" t="s">
        <v>4</v>
      </c>
      <c r="H103" t="s">
        <v>15</v>
      </c>
      <c r="I103">
        <v>98000</v>
      </c>
      <c r="J103" s="2">
        <v>98000</v>
      </c>
      <c r="K103">
        <v>69.014084507042256</v>
      </c>
      <c r="N103" t="s">
        <v>3474</v>
      </c>
      <c r="P103" t="s">
        <v>3473</v>
      </c>
    </row>
    <row r="104" spans="1:16" x14ac:dyDescent="0.25">
      <c r="A104" t="s">
        <v>2841</v>
      </c>
      <c r="B104" t="s">
        <v>3367</v>
      </c>
      <c r="C104" t="s">
        <v>3368</v>
      </c>
      <c r="D104" t="s">
        <v>26</v>
      </c>
      <c r="E104" t="s">
        <v>42</v>
      </c>
      <c r="F104">
        <v>1</v>
      </c>
      <c r="G104" t="s">
        <v>4</v>
      </c>
      <c r="H104" t="s">
        <v>15</v>
      </c>
      <c r="I104">
        <v>100000</v>
      </c>
      <c r="J104" s="2">
        <v>100000</v>
      </c>
      <c r="K104">
        <v>70.422535211267601</v>
      </c>
      <c r="N104" t="s">
        <v>3474</v>
      </c>
      <c r="P104" t="s">
        <v>3473</v>
      </c>
    </row>
    <row r="105" spans="1:16" x14ac:dyDescent="0.25">
      <c r="A105" t="s">
        <v>2841</v>
      </c>
      <c r="B105" t="s">
        <v>2153</v>
      </c>
      <c r="C105" t="s">
        <v>155</v>
      </c>
      <c r="D105" t="s">
        <v>26</v>
      </c>
      <c r="E105" t="s">
        <v>42</v>
      </c>
      <c r="F105">
        <v>1</v>
      </c>
      <c r="G105" t="s">
        <v>4</v>
      </c>
      <c r="H105" t="s">
        <v>15</v>
      </c>
      <c r="I105">
        <v>160000</v>
      </c>
      <c r="J105" s="2">
        <v>160000</v>
      </c>
      <c r="K105">
        <v>112.67605633802818</v>
      </c>
      <c r="N105" t="s">
        <v>3474</v>
      </c>
      <c r="P105" t="s">
        <v>3473</v>
      </c>
    </row>
    <row r="106" spans="1:16" x14ac:dyDescent="0.25">
      <c r="A106" t="s">
        <v>2841</v>
      </c>
      <c r="B106" t="s">
        <v>1571</v>
      </c>
      <c r="C106" t="s">
        <v>3468</v>
      </c>
      <c r="D106" t="s">
        <v>26</v>
      </c>
      <c r="E106" t="s">
        <v>42</v>
      </c>
      <c r="F106">
        <v>1</v>
      </c>
      <c r="G106" t="s">
        <v>4</v>
      </c>
      <c r="H106" t="s">
        <v>15</v>
      </c>
      <c r="I106">
        <v>190000</v>
      </c>
      <c r="J106" s="2">
        <v>190000</v>
      </c>
      <c r="K106">
        <v>133.80281690140845</v>
      </c>
      <c r="N106" t="s">
        <v>3474</v>
      </c>
      <c r="P106" t="s">
        <v>3473</v>
      </c>
    </row>
    <row r="107" spans="1:16" x14ac:dyDescent="0.25">
      <c r="A107" t="s">
        <v>2841</v>
      </c>
      <c r="B107" t="s">
        <v>483</v>
      </c>
      <c r="C107" t="s">
        <v>155</v>
      </c>
      <c r="D107" t="s">
        <v>26</v>
      </c>
      <c r="E107" t="s">
        <v>42</v>
      </c>
      <c r="F107">
        <v>1</v>
      </c>
      <c r="G107" t="s">
        <v>4</v>
      </c>
      <c r="H107" t="s">
        <v>15</v>
      </c>
      <c r="I107">
        <v>200000</v>
      </c>
      <c r="J107" s="2">
        <v>200000</v>
      </c>
      <c r="K107">
        <v>140.8450704225352</v>
      </c>
      <c r="N107" t="s">
        <v>3474</v>
      </c>
      <c r="P107" t="s">
        <v>3473</v>
      </c>
    </row>
    <row r="108" spans="1:16" x14ac:dyDescent="0.25">
      <c r="A108" t="s">
        <v>2841</v>
      </c>
      <c r="B108" t="s">
        <v>3299</v>
      </c>
      <c r="C108" t="s">
        <v>3300</v>
      </c>
      <c r="D108" t="s">
        <v>26</v>
      </c>
      <c r="E108" t="s">
        <v>42</v>
      </c>
      <c r="F108">
        <v>1</v>
      </c>
      <c r="G108" t="s">
        <v>4</v>
      </c>
      <c r="H108" t="s">
        <v>15</v>
      </c>
      <c r="I108">
        <v>250000</v>
      </c>
      <c r="J108" s="2">
        <v>250000</v>
      </c>
      <c r="K108">
        <v>176.05633802816902</v>
      </c>
      <c r="N108" t="s">
        <v>3474</v>
      </c>
      <c r="P108" t="s">
        <v>3473</v>
      </c>
    </row>
    <row r="109" spans="1:16" x14ac:dyDescent="0.25">
      <c r="A109" t="s">
        <v>2841</v>
      </c>
      <c r="B109" t="s">
        <v>3155</v>
      </c>
      <c r="C109" t="s">
        <v>3156</v>
      </c>
      <c r="D109" t="s">
        <v>26</v>
      </c>
      <c r="E109" t="s">
        <v>42</v>
      </c>
      <c r="F109">
        <v>1</v>
      </c>
      <c r="G109" t="s">
        <v>4</v>
      </c>
      <c r="H109" t="s">
        <v>15</v>
      </c>
      <c r="I109">
        <v>250000</v>
      </c>
      <c r="J109" s="2">
        <v>250000</v>
      </c>
      <c r="K109">
        <v>176.05633802816902</v>
      </c>
      <c r="N109" t="s">
        <v>3474</v>
      </c>
      <c r="P109" t="s">
        <v>3473</v>
      </c>
    </row>
    <row r="110" spans="1:16" x14ac:dyDescent="0.25">
      <c r="A110" t="s">
        <v>2841</v>
      </c>
      <c r="B110" t="s">
        <v>2153</v>
      </c>
      <c r="C110" t="s">
        <v>3468</v>
      </c>
      <c r="D110" t="s">
        <v>26</v>
      </c>
      <c r="E110" t="s">
        <v>42</v>
      </c>
      <c r="F110">
        <v>1</v>
      </c>
      <c r="G110" t="s">
        <v>4</v>
      </c>
      <c r="H110" t="s">
        <v>15</v>
      </c>
      <c r="I110">
        <v>379982</v>
      </c>
      <c r="J110" s="2">
        <v>379982</v>
      </c>
      <c r="K110">
        <v>267.59295774647887</v>
      </c>
      <c r="N110" t="s">
        <v>3474</v>
      </c>
      <c r="P110" t="s">
        <v>3473</v>
      </c>
    </row>
    <row r="111" spans="1:16" x14ac:dyDescent="0.25">
      <c r="A111" t="s">
        <v>2841</v>
      </c>
      <c r="B111" t="s">
        <v>1026</v>
      </c>
      <c r="C111" t="s">
        <v>1029</v>
      </c>
      <c r="D111" t="s">
        <v>26</v>
      </c>
      <c r="E111" t="s">
        <v>42</v>
      </c>
      <c r="F111">
        <v>1</v>
      </c>
      <c r="G111" t="s">
        <v>4</v>
      </c>
      <c r="H111" t="s">
        <v>15</v>
      </c>
      <c r="I111">
        <v>450000</v>
      </c>
      <c r="J111" s="2">
        <v>450000</v>
      </c>
      <c r="K111">
        <v>316.90140845070425</v>
      </c>
      <c r="N111" t="s">
        <v>3474</v>
      </c>
      <c r="P111" t="s">
        <v>3473</v>
      </c>
    </row>
    <row r="112" spans="1:16" hidden="1" x14ac:dyDescent="0.25">
      <c r="A112" t="s">
        <v>2841</v>
      </c>
      <c r="B112" t="s">
        <v>1841</v>
      </c>
      <c r="C112" t="s">
        <v>1842</v>
      </c>
      <c r="D112" t="s">
        <v>26</v>
      </c>
      <c r="E112" t="s">
        <v>42</v>
      </c>
      <c r="F112">
        <v>2</v>
      </c>
      <c r="G112" t="s">
        <v>4</v>
      </c>
      <c r="H112" t="s">
        <v>15</v>
      </c>
      <c r="I112">
        <v>500000</v>
      </c>
      <c r="J112" s="2">
        <v>500000</v>
      </c>
      <c r="K112">
        <v>352.11267605633805</v>
      </c>
      <c r="N112" t="s">
        <v>3474</v>
      </c>
      <c r="P112" t="s">
        <v>3473</v>
      </c>
    </row>
    <row r="113" spans="1:16" x14ac:dyDescent="0.25">
      <c r="A113" t="s">
        <v>2841</v>
      </c>
      <c r="B113" t="s">
        <v>3256</v>
      </c>
      <c r="C113" t="s">
        <v>3421</v>
      </c>
      <c r="D113" t="s">
        <v>26</v>
      </c>
      <c r="E113" t="s">
        <v>42</v>
      </c>
      <c r="F113">
        <v>1</v>
      </c>
      <c r="G113" t="s">
        <v>4</v>
      </c>
      <c r="H113" t="s">
        <v>15</v>
      </c>
      <c r="I113">
        <v>1000000</v>
      </c>
      <c r="J113" s="2">
        <v>1000000</v>
      </c>
      <c r="K113">
        <v>704.22535211267609</v>
      </c>
      <c r="N113" t="s">
        <v>3474</v>
      </c>
      <c r="P113" t="s">
        <v>3473</v>
      </c>
    </row>
    <row r="114" spans="1:16" hidden="1" x14ac:dyDescent="0.25">
      <c r="A114" t="s">
        <v>2841</v>
      </c>
      <c r="B114" t="s">
        <v>1854</v>
      </c>
      <c r="C114" t="s">
        <v>118</v>
      </c>
      <c r="D114" t="s">
        <v>26</v>
      </c>
      <c r="E114" t="s">
        <v>42</v>
      </c>
      <c r="F114">
        <v>2</v>
      </c>
      <c r="G114" t="s">
        <v>4</v>
      </c>
      <c r="H114" t="s">
        <v>15</v>
      </c>
      <c r="I114">
        <v>1000000</v>
      </c>
      <c r="J114" s="2">
        <v>1000000</v>
      </c>
      <c r="K114">
        <v>704.22535211267609</v>
      </c>
      <c r="N114" t="s">
        <v>3474</v>
      </c>
      <c r="P114" t="s">
        <v>3473</v>
      </c>
    </row>
    <row r="115" spans="1:16" x14ac:dyDescent="0.25">
      <c r="J115" s="2">
        <f>SUBTOTAL(109,Tabla911[Importe AR$])</f>
        <v>3317982</v>
      </c>
    </row>
    <row r="117" spans="1:16" x14ac:dyDescent="0.25">
      <c r="A117" s="80" t="s">
        <v>7</v>
      </c>
      <c r="B117" s="80" t="s">
        <v>8</v>
      </c>
      <c r="C117" s="80" t="s">
        <v>9</v>
      </c>
      <c r="D117" s="80" t="s">
        <v>10</v>
      </c>
      <c r="E117" s="80" t="s">
        <v>11</v>
      </c>
      <c r="F117" s="80" t="s">
        <v>12</v>
      </c>
      <c r="G117" s="80" t="s">
        <v>13</v>
      </c>
      <c r="H117" s="80" t="s">
        <v>14</v>
      </c>
      <c r="I117" s="80" t="s">
        <v>15</v>
      </c>
      <c r="J117" s="84" t="s">
        <v>16</v>
      </c>
    </row>
    <row r="118" spans="1:16" hidden="1" x14ac:dyDescent="0.25">
      <c r="A118" s="29" t="s">
        <v>2841</v>
      </c>
      <c r="B118" s="29" t="s">
        <v>1979</v>
      </c>
      <c r="C118" s="29" t="s">
        <v>155</v>
      </c>
      <c r="D118" s="29" t="s">
        <v>26</v>
      </c>
      <c r="E118" s="29" t="s">
        <v>42</v>
      </c>
      <c r="F118" s="29">
        <v>1</v>
      </c>
      <c r="G118" s="29" t="s">
        <v>4</v>
      </c>
      <c r="H118" s="29" t="s">
        <v>15</v>
      </c>
      <c r="I118" s="29">
        <v>80000</v>
      </c>
      <c r="J118" s="85">
        <v>80000</v>
      </c>
    </row>
    <row r="119" spans="1:16" hidden="1" x14ac:dyDescent="0.25">
      <c r="A119" s="28" t="s">
        <v>2841</v>
      </c>
      <c r="B119" s="28" t="s">
        <v>1979</v>
      </c>
      <c r="C119" s="28" t="s">
        <v>155</v>
      </c>
      <c r="D119" s="28" t="s">
        <v>26</v>
      </c>
      <c r="E119" s="28" t="s">
        <v>42</v>
      </c>
      <c r="F119" s="28">
        <v>1</v>
      </c>
      <c r="G119" s="28" t="s">
        <v>4</v>
      </c>
      <c r="H119" s="28" t="s">
        <v>15</v>
      </c>
      <c r="I119" s="28">
        <v>80000</v>
      </c>
      <c r="J119" s="86">
        <v>80000</v>
      </c>
    </row>
    <row r="120" spans="1:16" hidden="1" x14ac:dyDescent="0.25">
      <c r="A120" s="29" t="s">
        <v>2841</v>
      </c>
      <c r="B120" s="29" t="s">
        <v>1462</v>
      </c>
      <c r="C120" s="29" t="s">
        <v>155</v>
      </c>
      <c r="D120" s="29" t="s">
        <v>26</v>
      </c>
      <c r="E120" s="29" t="s">
        <v>42</v>
      </c>
      <c r="F120" s="29">
        <v>1</v>
      </c>
      <c r="G120" s="29" t="s">
        <v>4</v>
      </c>
      <c r="H120" s="29" t="s">
        <v>15</v>
      </c>
      <c r="I120" s="29">
        <v>80000</v>
      </c>
      <c r="J120" s="30">
        <v>80000</v>
      </c>
    </row>
    <row r="121" spans="1:16" hidden="1" x14ac:dyDescent="0.25">
      <c r="A121" s="28" t="s">
        <v>2841</v>
      </c>
      <c r="B121" s="28" t="s">
        <v>1462</v>
      </c>
      <c r="C121" s="28" t="s">
        <v>155</v>
      </c>
      <c r="D121" s="28" t="s">
        <v>26</v>
      </c>
      <c r="E121" s="28" t="s">
        <v>42</v>
      </c>
      <c r="F121" s="28">
        <v>1</v>
      </c>
      <c r="G121" s="28" t="s">
        <v>4</v>
      </c>
      <c r="H121" s="28" t="s">
        <v>15</v>
      </c>
      <c r="I121" s="28">
        <v>98000</v>
      </c>
      <c r="J121" s="32">
        <v>98000</v>
      </c>
    </row>
    <row r="122" spans="1:16" hidden="1" x14ac:dyDescent="0.25">
      <c r="A122" s="29" t="s">
        <v>2841</v>
      </c>
      <c r="B122" s="29" t="s">
        <v>3367</v>
      </c>
      <c r="C122" s="29" t="s">
        <v>3368</v>
      </c>
      <c r="D122" s="29" t="s">
        <v>26</v>
      </c>
      <c r="E122" s="29" t="s">
        <v>42</v>
      </c>
      <c r="F122" s="29">
        <v>1</v>
      </c>
      <c r="G122" s="29" t="s">
        <v>4</v>
      </c>
      <c r="H122" s="29" t="s">
        <v>15</v>
      </c>
      <c r="I122" s="29">
        <v>100000</v>
      </c>
      <c r="J122" s="30">
        <v>100000</v>
      </c>
    </row>
    <row r="123" spans="1:16" hidden="1" x14ac:dyDescent="0.25">
      <c r="A123" s="28" t="s">
        <v>2841</v>
      </c>
      <c r="B123" s="28" t="s">
        <v>2153</v>
      </c>
      <c r="C123" s="28" t="s">
        <v>155</v>
      </c>
      <c r="D123" s="28" t="s">
        <v>26</v>
      </c>
      <c r="E123" s="28" t="s">
        <v>42</v>
      </c>
      <c r="F123" s="28">
        <v>1</v>
      </c>
      <c r="G123" s="28" t="s">
        <v>4</v>
      </c>
      <c r="H123" s="28" t="s">
        <v>15</v>
      </c>
      <c r="I123" s="28">
        <v>160000</v>
      </c>
      <c r="J123" s="32">
        <v>160000</v>
      </c>
    </row>
    <row r="124" spans="1:16" hidden="1" x14ac:dyDescent="0.25">
      <c r="A124" s="29" t="s">
        <v>2841</v>
      </c>
      <c r="B124" s="29" t="s">
        <v>1571</v>
      </c>
      <c r="C124" s="29" t="s">
        <v>3468</v>
      </c>
      <c r="D124" s="29" t="s">
        <v>26</v>
      </c>
      <c r="E124" s="29" t="s">
        <v>42</v>
      </c>
      <c r="F124" s="29">
        <v>1</v>
      </c>
      <c r="G124" s="29" t="s">
        <v>4</v>
      </c>
      <c r="H124" s="29" t="s">
        <v>15</v>
      </c>
      <c r="I124" s="29">
        <v>190000</v>
      </c>
      <c r="J124" s="30">
        <v>190000</v>
      </c>
    </row>
    <row r="125" spans="1:16" hidden="1" x14ac:dyDescent="0.25">
      <c r="A125" s="28" t="s">
        <v>2841</v>
      </c>
      <c r="B125" s="28" t="s">
        <v>483</v>
      </c>
      <c r="C125" s="28" t="s">
        <v>155</v>
      </c>
      <c r="D125" s="28" t="s">
        <v>26</v>
      </c>
      <c r="E125" s="28" t="s">
        <v>42</v>
      </c>
      <c r="F125" s="28">
        <v>1</v>
      </c>
      <c r="G125" s="28" t="s">
        <v>4</v>
      </c>
      <c r="H125" s="28" t="s">
        <v>15</v>
      </c>
      <c r="I125" s="28">
        <v>200000</v>
      </c>
      <c r="J125" s="32">
        <v>200000</v>
      </c>
    </row>
    <row r="126" spans="1:16" hidden="1" x14ac:dyDescent="0.25">
      <c r="A126" s="29" t="s">
        <v>2841</v>
      </c>
      <c r="B126" s="29" t="s">
        <v>3299</v>
      </c>
      <c r="C126" s="29" t="s">
        <v>3300</v>
      </c>
      <c r="D126" s="29" t="s">
        <v>26</v>
      </c>
      <c r="E126" s="29" t="s">
        <v>42</v>
      </c>
      <c r="F126" s="29">
        <v>1</v>
      </c>
      <c r="G126" s="29" t="s">
        <v>4</v>
      </c>
      <c r="H126" s="29" t="s">
        <v>15</v>
      </c>
      <c r="I126" s="29">
        <v>250000</v>
      </c>
      <c r="J126" s="30">
        <v>250000</v>
      </c>
    </row>
    <row r="127" spans="1:16" hidden="1" x14ac:dyDescent="0.25">
      <c r="A127" s="28" t="s">
        <v>2841</v>
      </c>
      <c r="B127" s="28" t="s">
        <v>3155</v>
      </c>
      <c r="C127" s="28" t="s">
        <v>3156</v>
      </c>
      <c r="D127" s="28" t="s">
        <v>26</v>
      </c>
      <c r="E127" s="28" t="s">
        <v>42</v>
      </c>
      <c r="F127" s="28">
        <v>1</v>
      </c>
      <c r="G127" s="28" t="s">
        <v>4</v>
      </c>
      <c r="H127" s="28" t="s">
        <v>15</v>
      </c>
      <c r="I127" s="28">
        <v>250000</v>
      </c>
      <c r="J127" s="32">
        <v>250000</v>
      </c>
    </row>
    <row r="128" spans="1:16" hidden="1" x14ac:dyDescent="0.25">
      <c r="A128" s="29" t="s">
        <v>2841</v>
      </c>
      <c r="B128" s="29" t="s">
        <v>2153</v>
      </c>
      <c r="C128" s="29" t="s">
        <v>3468</v>
      </c>
      <c r="D128" s="29" t="s">
        <v>26</v>
      </c>
      <c r="E128" s="29" t="s">
        <v>42</v>
      </c>
      <c r="F128" s="29">
        <v>1</v>
      </c>
      <c r="G128" s="29" t="s">
        <v>4</v>
      </c>
      <c r="H128" s="29" t="s">
        <v>15</v>
      </c>
      <c r="I128" s="29">
        <v>379982</v>
      </c>
      <c r="J128" s="30">
        <v>379982</v>
      </c>
    </row>
    <row r="129" spans="1:16" hidden="1" x14ac:dyDescent="0.25">
      <c r="A129" s="28" t="s">
        <v>2841</v>
      </c>
      <c r="B129" s="28" t="s">
        <v>1026</v>
      </c>
      <c r="C129" s="28" t="s">
        <v>1029</v>
      </c>
      <c r="D129" s="28" t="s">
        <v>26</v>
      </c>
      <c r="E129" s="28" t="s">
        <v>42</v>
      </c>
      <c r="F129" s="28">
        <v>1</v>
      </c>
      <c r="G129" s="28" t="s">
        <v>4</v>
      </c>
      <c r="H129" s="28" t="s">
        <v>15</v>
      </c>
      <c r="I129" s="28">
        <v>450000</v>
      </c>
      <c r="J129" s="32">
        <v>450000</v>
      </c>
    </row>
    <row r="130" spans="1:16" x14ac:dyDescent="0.25">
      <c r="A130" s="29" t="s">
        <v>2841</v>
      </c>
      <c r="B130" s="29" t="s">
        <v>1841</v>
      </c>
      <c r="C130" s="29" t="s">
        <v>1842</v>
      </c>
      <c r="D130" s="29" t="s">
        <v>26</v>
      </c>
      <c r="E130" s="29" t="s">
        <v>42</v>
      </c>
      <c r="F130" s="29">
        <v>2</v>
      </c>
      <c r="G130" s="29" t="s">
        <v>4</v>
      </c>
      <c r="H130" s="29" t="s">
        <v>15</v>
      </c>
      <c r="I130" s="29">
        <v>500000</v>
      </c>
      <c r="J130" s="30">
        <v>500000</v>
      </c>
    </row>
    <row r="131" spans="1:16" hidden="1" x14ac:dyDescent="0.25">
      <c r="A131" s="28" t="s">
        <v>2841</v>
      </c>
      <c r="B131" s="28" t="s">
        <v>3256</v>
      </c>
      <c r="C131" s="28" t="s">
        <v>3421</v>
      </c>
      <c r="D131" s="28" t="s">
        <v>26</v>
      </c>
      <c r="E131" s="28" t="s">
        <v>42</v>
      </c>
      <c r="F131" s="28">
        <v>1</v>
      </c>
      <c r="G131" s="28" t="s">
        <v>4</v>
      </c>
      <c r="H131" s="28" t="s">
        <v>15</v>
      </c>
      <c r="I131" s="28">
        <v>1000000</v>
      </c>
      <c r="J131" s="32">
        <v>1000000</v>
      </c>
    </row>
    <row r="132" spans="1:16" x14ac:dyDescent="0.25">
      <c r="A132" s="81" t="s">
        <v>2841</v>
      </c>
      <c r="B132" s="81" t="s">
        <v>1854</v>
      </c>
      <c r="C132" s="81" t="s">
        <v>118</v>
      </c>
      <c r="D132" s="81" t="s">
        <v>26</v>
      </c>
      <c r="E132" s="81" t="s">
        <v>42</v>
      </c>
      <c r="F132" s="81">
        <v>2</v>
      </c>
      <c r="G132" s="81" t="s">
        <v>4</v>
      </c>
      <c r="H132" s="81" t="s">
        <v>15</v>
      </c>
      <c r="I132" s="81">
        <v>1000000</v>
      </c>
      <c r="J132" s="82">
        <v>1000000</v>
      </c>
    </row>
    <row r="133" spans="1:16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2">
        <f>SUBTOTAL(109,Tabla11[Importe AR$])</f>
        <v>1500000</v>
      </c>
    </row>
    <row r="134" spans="1:16" x14ac:dyDescent="0.25">
      <c r="J134" s="2">
        <f>Tabla911[[#Totals],[Importe AR$]]+Tabla11[[#Totals],[Importe AR$]]</f>
        <v>4817982</v>
      </c>
    </row>
    <row r="137" spans="1:16" x14ac:dyDescent="0.25">
      <c r="A137" s="25" t="s">
        <v>3475</v>
      </c>
    </row>
    <row r="138" spans="1:16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  <c r="I138" t="s">
        <v>15</v>
      </c>
      <c r="J138" s="2" t="s">
        <v>16</v>
      </c>
      <c r="K138" t="s">
        <v>17</v>
      </c>
      <c r="L138" t="s">
        <v>18</v>
      </c>
      <c r="M138" t="s">
        <v>19</v>
      </c>
      <c r="N138" t="s">
        <v>20</v>
      </c>
      <c r="O138" t="s">
        <v>21</v>
      </c>
      <c r="P138" t="s">
        <v>22</v>
      </c>
    </row>
    <row r="139" spans="1:16" hidden="1" x14ac:dyDescent="0.25">
      <c r="A139" t="s">
        <v>2763</v>
      </c>
      <c r="B139" t="s">
        <v>1979</v>
      </c>
      <c r="C139" t="s">
        <v>155</v>
      </c>
      <c r="D139" t="s">
        <v>26</v>
      </c>
      <c r="E139" t="s">
        <v>42</v>
      </c>
      <c r="F139">
        <v>1</v>
      </c>
      <c r="G139" t="s">
        <v>4</v>
      </c>
      <c r="H139" t="s">
        <v>15</v>
      </c>
      <c r="I139">
        <v>80000</v>
      </c>
      <c r="J139" s="2">
        <v>80000</v>
      </c>
      <c r="K139">
        <v>55.944055944055947</v>
      </c>
      <c r="N139" t="s">
        <v>3476</v>
      </c>
      <c r="P139" t="s">
        <v>3477</v>
      </c>
    </row>
    <row r="140" spans="1:16" hidden="1" x14ac:dyDescent="0.25">
      <c r="A140" t="s">
        <v>2763</v>
      </c>
      <c r="B140" t="s">
        <v>1979</v>
      </c>
      <c r="C140" t="s">
        <v>155</v>
      </c>
      <c r="D140" t="s">
        <v>26</v>
      </c>
      <c r="E140" t="s">
        <v>42</v>
      </c>
      <c r="F140">
        <v>1</v>
      </c>
      <c r="G140" t="s">
        <v>4</v>
      </c>
      <c r="H140" t="s">
        <v>15</v>
      </c>
      <c r="I140">
        <v>80000</v>
      </c>
      <c r="J140" s="2">
        <v>80000</v>
      </c>
      <c r="K140">
        <v>55.944055944055947</v>
      </c>
      <c r="N140" t="s">
        <v>3476</v>
      </c>
      <c r="P140" t="s">
        <v>3477</v>
      </c>
    </row>
    <row r="141" spans="1:16" hidden="1" x14ac:dyDescent="0.25">
      <c r="A141" t="s">
        <v>2763</v>
      </c>
      <c r="B141" t="s">
        <v>1462</v>
      </c>
      <c r="C141" t="s">
        <v>155</v>
      </c>
      <c r="D141" t="s">
        <v>26</v>
      </c>
      <c r="E141" t="s">
        <v>42</v>
      </c>
      <c r="F141">
        <v>1</v>
      </c>
      <c r="G141" t="s">
        <v>4</v>
      </c>
      <c r="H141" t="s">
        <v>15</v>
      </c>
      <c r="I141">
        <v>80000</v>
      </c>
      <c r="J141" s="2">
        <v>80000</v>
      </c>
      <c r="K141">
        <v>55.944055944055947</v>
      </c>
      <c r="N141" t="s">
        <v>3476</v>
      </c>
      <c r="P141" t="s">
        <v>3477</v>
      </c>
    </row>
    <row r="142" spans="1:16" hidden="1" x14ac:dyDescent="0.25">
      <c r="A142" t="s">
        <v>2763</v>
      </c>
      <c r="B142" t="s">
        <v>3048</v>
      </c>
      <c r="C142" t="s">
        <v>155</v>
      </c>
      <c r="D142" t="s">
        <v>26</v>
      </c>
      <c r="E142" t="s">
        <v>42</v>
      </c>
      <c r="F142">
        <v>1</v>
      </c>
      <c r="G142" t="s">
        <v>4</v>
      </c>
      <c r="H142" t="s">
        <v>15</v>
      </c>
      <c r="I142">
        <v>80000</v>
      </c>
      <c r="J142" s="2">
        <v>80000</v>
      </c>
      <c r="K142">
        <v>55.944055944055947</v>
      </c>
      <c r="N142" t="s">
        <v>3476</v>
      </c>
      <c r="P142" t="s">
        <v>3477</v>
      </c>
    </row>
    <row r="143" spans="1:16" hidden="1" x14ac:dyDescent="0.25">
      <c r="A143" t="s">
        <v>2763</v>
      </c>
      <c r="B143" t="s">
        <v>1462</v>
      </c>
      <c r="C143" t="s">
        <v>155</v>
      </c>
      <c r="D143" t="s">
        <v>26</v>
      </c>
      <c r="E143" t="s">
        <v>42</v>
      </c>
      <c r="F143">
        <v>1</v>
      </c>
      <c r="G143" t="s">
        <v>4</v>
      </c>
      <c r="H143" t="s">
        <v>15</v>
      </c>
      <c r="I143">
        <v>98000</v>
      </c>
      <c r="J143" s="2">
        <v>98000</v>
      </c>
      <c r="K143">
        <v>68.531468531468533</v>
      </c>
      <c r="N143" t="s">
        <v>3476</v>
      </c>
      <c r="P143" t="s">
        <v>3477</v>
      </c>
    </row>
    <row r="144" spans="1:16" hidden="1" x14ac:dyDescent="0.25">
      <c r="A144" t="s">
        <v>2763</v>
      </c>
      <c r="B144" t="s">
        <v>3367</v>
      </c>
      <c r="C144" t="s">
        <v>3368</v>
      </c>
      <c r="D144" t="s">
        <v>26</v>
      </c>
      <c r="E144" t="s">
        <v>42</v>
      </c>
      <c r="F144">
        <v>1</v>
      </c>
      <c r="G144" t="s">
        <v>4</v>
      </c>
      <c r="H144" t="s">
        <v>15</v>
      </c>
      <c r="I144">
        <v>100000</v>
      </c>
      <c r="J144" s="2">
        <v>100000</v>
      </c>
      <c r="K144">
        <v>69.930069930069934</v>
      </c>
      <c r="N144" t="s">
        <v>3476</v>
      </c>
      <c r="P144" t="s">
        <v>3477</v>
      </c>
    </row>
    <row r="145" spans="1:16" hidden="1" x14ac:dyDescent="0.25">
      <c r="A145" t="s">
        <v>2763</v>
      </c>
      <c r="B145" t="s">
        <v>2153</v>
      </c>
      <c r="C145" t="s">
        <v>155</v>
      </c>
      <c r="D145" t="s">
        <v>26</v>
      </c>
      <c r="E145" t="s">
        <v>42</v>
      </c>
      <c r="F145">
        <v>1</v>
      </c>
      <c r="G145" t="s">
        <v>4</v>
      </c>
      <c r="H145" t="s">
        <v>15</v>
      </c>
      <c r="I145">
        <v>160000</v>
      </c>
      <c r="J145" s="2">
        <v>160000</v>
      </c>
      <c r="K145">
        <v>111.88811188811189</v>
      </c>
      <c r="N145" t="s">
        <v>3476</v>
      </c>
      <c r="P145" t="s">
        <v>3477</v>
      </c>
    </row>
    <row r="146" spans="1:16" hidden="1" x14ac:dyDescent="0.25">
      <c r="A146" t="s">
        <v>2763</v>
      </c>
      <c r="B146" t="s">
        <v>1571</v>
      </c>
      <c r="C146" t="s">
        <v>155</v>
      </c>
      <c r="D146" t="s">
        <v>26</v>
      </c>
      <c r="E146" t="s">
        <v>42</v>
      </c>
      <c r="F146">
        <v>1</v>
      </c>
      <c r="G146" t="s">
        <v>4</v>
      </c>
      <c r="H146" t="s">
        <v>15</v>
      </c>
      <c r="I146">
        <v>190000</v>
      </c>
      <c r="J146" s="2">
        <v>190000</v>
      </c>
      <c r="K146">
        <v>132.86713286713288</v>
      </c>
      <c r="N146" t="s">
        <v>3476</v>
      </c>
      <c r="P146" t="s">
        <v>3477</v>
      </c>
    </row>
    <row r="147" spans="1:16" hidden="1" x14ac:dyDescent="0.25">
      <c r="A147" t="s">
        <v>2763</v>
      </c>
      <c r="B147" t="s">
        <v>483</v>
      </c>
      <c r="C147" t="s">
        <v>155</v>
      </c>
      <c r="D147" t="s">
        <v>26</v>
      </c>
      <c r="E147" t="s">
        <v>42</v>
      </c>
      <c r="F147">
        <v>1</v>
      </c>
      <c r="G147" t="s">
        <v>4</v>
      </c>
      <c r="H147" t="s">
        <v>15</v>
      </c>
      <c r="I147">
        <v>200000</v>
      </c>
      <c r="J147" s="2">
        <v>200000</v>
      </c>
      <c r="K147">
        <v>139.86013986013987</v>
      </c>
      <c r="N147" t="s">
        <v>3476</v>
      </c>
      <c r="P147" t="s">
        <v>3477</v>
      </c>
    </row>
    <row r="148" spans="1:16" hidden="1" x14ac:dyDescent="0.25">
      <c r="A148" t="s">
        <v>2763</v>
      </c>
      <c r="B148" t="s">
        <v>3299</v>
      </c>
      <c r="C148" t="s">
        <v>3300</v>
      </c>
      <c r="D148" t="s">
        <v>26</v>
      </c>
      <c r="E148" t="s">
        <v>42</v>
      </c>
      <c r="F148">
        <v>1</v>
      </c>
      <c r="G148" t="s">
        <v>4</v>
      </c>
      <c r="H148" t="s">
        <v>15</v>
      </c>
      <c r="I148">
        <v>250000</v>
      </c>
      <c r="J148" s="2">
        <v>250000</v>
      </c>
      <c r="K148">
        <v>174.82517482517483</v>
      </c>
      <c r="N148" t="s">
        <v>3476</v>
      </c>
      <c r="P148" t="s">
        <v>3477</v>
      </c>
    </row>
    <row r="149" spans="1:16" hidden="1" x14ac:dyDescent="0.25">
      <c r="A149" t="s">
        <v>2763</v>
      </c>
      <c r="B149" t="s">
        <v>3155</v>
      </c>
      <c r="C149" t="s">
        <v>3156</v>
      </c>
      <c r="D149" t="s">
        <v>26</v>
      </c>
      <c r="E149" t="s">
        <v>42</v>
      </c>
      <c r="F149">
        <v>1</v>
      </c>
      <c r="G149" t="s">
        <v>4</v>
      </c>
      <c r="H149" t="s">
        <v>15</v>
      </c>
      <c r="I149">
        <v>250000</v>
      </c>
      <c r="J149" s="2">
        <v>250000</v>
      </c>
      <c r="K149">
        <v>174.82517482517483</v>
      </c>
      <c r="N149" t="s">
        <v>3476</v>
      </c>
      <c r="P149" t="s">
        <v>3477</v>
      </c>
    </row>
    <row r="150" spans="1:16" x14ac:dyDescent="0.25">
      <c r="A150" t="s">
        <v>2763</v>
      </c>
      <c r="B150" t="s">
        <v>2226</v>
      </c>
      <c r="C150" t="s">
        <v>3401</v>
      </c>
      <c r="D150" t="s">
        <v>26</v>
      </c>
      <c r="E150" t="s">
        <v>42</v>
      </c>
      <c r="F150">
        <v>2</v>
      </c>
      <c r="G150" t="s">
        <v>4</v>
      </c>
      <c r="H150" t="s">
        <v>15</v>
      </c>
      <c r="I150">
        <v>285000</v>
      </c>
      <c r="J150" s="2">
        <v>285000</v>
      </c>
      <c r="K150">
        <v>199.30069930069931</v>
      </c>
      <c r="N150" t="s">
        <v>3476</v>
      </c>
      <c r="P150" t="s">
        <v>3477</v>
      </c>
    </row>
    <row r="151" spans="1:16" hidden="1" x14ac:dyDescent="0.25">
      <c r="A151" t="s">
        <v>2763</v>
      </c>
      <c r="B151" t="s">
        <v>2153</v>
      </c>
      <c r="C151" t="s">
        <v>3468</v>
      </c>
      <c r="D151" t="s">
        <v>26</v>
      </c>
      <c r="E151" t="s">
        <v>42</v>
      </c>
      <c r="F151">
        <v>1</v>
      </c>
      <c r="G151" t="s">
        <v>4</v>
      </c>
      <c r="H151" t="s">
        <v>15</v>
      </c>
      <c r="I151">
        <v>379982</v>
      </c>
      <c r="J151" s="2">
        <v>379982</v>
      </c>
      <c r="K151">
        <v>265.72167832167833</v>
      </c>
      <c r="N151" t="s">
        <v>3476</v>
      </c>
      <c r="P151" t="s">
        <v>3477</v>
      </c>
    </row>
    <row r="152" spans="1:16" hidden="1" x14ac:dyDescent="0.25">
      <c r="A152" t="s">
        <v>2763</v>
      </c>
      <c r="B152" t="s">
        <v>344</v>
      </c>
      <c r="C152" t="s">
        <v>3126</v>
      </c>
      <c r="D152" t="s">
        <v>26</v>
      </c>
      <c r="E152" t="s">
        <v>42</v>
      </c>
      <c r="F152">
        <v>1</v>
      </c>
      <c r="G152" t="s">
        <v>4</v>
      </c>
      <c r="H152" t="s">
        <v>15</v>
      </c>
      <c r="I152">
        <v>400000</v>
      </c>
      <c r="J152" s="2">
        <v>400000</v>
      </c>
      <c r="K152">
        <v>279.72027972027973</v>
      </c>
      <c r="N152" t="s">
        <v>3476</v>
      </c>
      <c r="P152" t="s">
        <v>3477</v>
      </c>
    </row>
    <row r="153" spans="1:16" hidden="1" x14ac:dyDescent="0.25">
      <c r="A153" t="s">
        <v>2763</v>
      </c>
      <c r="B153" t="s">
        <v>1026</v>
      </c>
      <c r="C153" t="s">
        <v>1029</v>
      </c>
      <c r="D153" t="s">
        <v>26</v>
      </c>
      <c r="E153" t="s">
        <v>42</v>
      </c>
      <c r="F153">
        <v>1</v>
      </c>
      <c r="G153" t="s">
        <v>4</v>
      </c>
      <c r="H153" t="s">
        <v>15</v>
      </c>
      <c r="I153">
        <v>450000</v>
      </c>
      <c r="J153" s="2">
        <v>450000</v>
      </c>
      <c r="K153">
        <v>314.68531468531467</v>
      </c>
      <c r="N153" t="s">
        <v>3476</v>
      </c>
      <c r="P153" t="s">
        <v>3477</v>
      </c>
    </row>
    <row r="154" spans="1:16" x14ac:dyDescent="0.25">
      <c r="A154" t="s">
        <v>2763</v>
      </c>
      <c r="B154" t="s">
        <v>1841</v>
      </c>
      <c r="C154" t="s">
        <v>1842</v>
      </c>
      <c r="D154" t="s">
        <v>26</v>
      </c>
      <c r="E154" t="s">
        <v>42</v>
      </c>
      <c r="F154">
        <v>2</v>
      </c>
      <c r="G154" t="s">
        <v>4</v>
      </c>
      <c r="H154" t="s">
        <v>15</v>
      </c>
      <c r="I154">
        <v>500000</v>
      </c>
      <c r="J154" s="2">
        <v>500000</v>
      </c>
      <c r="K154">
        <v>349.65034965034965</v>
      </c>
      <c r="N154" t="s">
        <v>3476</v>
      </c>
      <c r="P154" t="s">
        <v>3477</v>
      </c>
    </row>
    <row r="155" spans="1:16" x14ac:dyDescent="0.25">
      <c r="A155" t="s">
        <v>2763</v>
      </c>
      <c r="B155" t="s">
        <v>1854</v>
      </c>
      <c r="C155" t="s">
        <v>118</v>
      </c>
      <c r="D155" t="s">
        <v>26</v>
      </c>
      <c r="E155" t="s">
        <v>42</v>
      </c>
      <c r="F155">
        <v>2</v>
      </c>
      <c r="G155" t="s">
        <v>4</v>
      </c>
      <c r="H155" t="s">
        <v>15</v>
      </c>
      <c r="I155">
        <v>1000000</v>
      </c>
      <c r="J155" s="2">
        <v>1000000</v>
      </c>
      <c r="K155">
        <v>699.30069930069931</v>
      </c>
      <c r="N155" t="s">
        <v>3476</v>
      </c>
      <c r="P155" t="s">
        <v>3477</v>
      </c>
    </row>
    <row r="156" spans="1:16" x14ac:dyDescent="0.25">
      <c r="A156" t="s">
        <v>2763</v>
      </c>
      <c r="B156" t="s">
        <v>3287</v>
      </c>
      <c r="C156" t="s">
        <v>3469</v>
      </c>
      <c r="D156" t="s">
        <v>26</v>
      </c>
      <c r="E156" t="s">
        <v>42</v>
      </c>
      <c r="F156">
        <v>2</v>
      </c>
      <c r="G156" t="s">
        <v>4</v>
      </c>
      <c r="H156" t="s">
        <v>15</v>
      </c>
      <c r="I156">
        <v>2000000</v>
      </c>
      <c r="J156" s="2">
        <v>2000000</v>
      </c>
      <c r="K156">
        <v>1398.6013986013986</v>
      </c>
      <c r="N156" t="s">
        <v>3476</v>
      </c>
      <c r="P156" t="s">
        <v>3477</v>
      </c>
    </row>
    <row r="157" spans="1:16" x14ac:dyDescent="0.25">
      <c r="J157" s="2">
        <f>SUBTOTAL(109,Tabla79[Importe AR$])</f>
        <v>3785000</v>
      </c>
    </row>
    <row r="158" spans="1:16" ht="3.75" customHeight="1" x14ac:dyDescent="0.25"/>
    <row r="159" spans="1:16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 t="s">
        <v>15</v>
      </c>
      <c r="J159" s="2" t="s">
        <v>16</v>
      </c>
      <c r="K159" t="s">
        <v>17</v>
      </c>
      <c r="L159" t="s">
        <v>18</v>
      </c>
      <c r="M159" t="s">
        <v>19</v>
      </c>
      <c r="N159" t="s">
        <v>20</v>
      </c>
      <c r="O159" t="s">
        <v>21</v>
      </c>
      <c r="P159" t="s">
        <v>22</v>
      </c>
    </row>
    <row r="160" spans="1:16" x14ac:dyDescent="0.25">
      <c r="A160" t="s">
        <v>2763</v>
      </c>
      <c r="B160" t="s">
        <v>1979</v>
      </c>
      <c r="C160" t="s">
        <v>155</v>
      </c>
      <c r="D160" t="s">
        <v>26</v>
      </c>
      <c r="E160" t="s">
        <v>42</v>
      </c>
      <c r="F160">
        <v>1</v>
      </c>
      <c r="G160" t="s">
        <v>4</v>
      </c>
      <c r="H160" t="s">
        <v>15</v>
      </c>
      <c r="I160">
        <v>80000</v>
      </c>
      <c r="J160" s="2">
        <v>80000</v>
      </c>
      <c r="K160">
        <v>55.944055944055947</v>
      </c>
      <c r="N160" t="s">
        <v>3476</v>
      </c>
      <c r="P160" t="s">
        <v>3477</v>
      </c>
    </row>
    <row r="161" spans="1:16" x14ac:dyDescent="0.25">
      <c r="A161" t="s">
        <v>2763</v>
      </c>
      <c r="B161" t="s">
        <v>1979</v>
      </c>
      <c r="C161" t="s">
        <v>155</v>
      </c>
      <c r="D161" t="s">
        <v>26</v>
      </c>
      <c r="E161" t="s">
        <v>42</v>
      </c>
      <c r="F161">
        <v>1</v>
      </c>
      <c r="G161" t="s">
        <v>4</v>
      </c>
      <c r="H161" t="s">
        <v>15</v>
      </c>
      <c r="I161">
        <v>80000</v>
      </c>
      <c r="J161" s="2">
        <v>80000</v>
      </c>
      <c r="K161">
        <v>55.944055944055947</v>
      </c>
      <c r="N161" t="s">
        <v>3476</v>
      </c>
      <c r="P161" t="s">
        <v>3477</v>
      </c>
    </row>
    <row r="162" spans="1:16" x14ac:dyDescent="0.25">
      <c r="A162" t="s">
        <v>2763</v>
      </c>
      <c r="B162" t="s">
        <v>1462</v>
      </c>
      <c r="C162" t="s">
        <v>155</v>
      </c>
      <c r="D162" t="s">
        <v>26</v>
      </c>
      <c r="E162" t="s">
        <v>42</v>
      </c>
      <c r="F162">
        <v>1</v>
      </c>
      <c r="G162" t="s">
        <v>4</v>
      </c>
      <c r="H162" t="s">
        <v>15</v>
      </c>
      <c r="I162">
        <v>80000</v>
      </c>
      <c r="J162" s="2">
        <v>80000</v>
      </c>
      <c r="K162">
        <v>55.944055944055947</v>
      </c>
      <c r="N162" t="s">
        <v>3476</v>
      </c>
      <c r="P162" t="s">
        <v>3477</v>
      </c>
    </row>
    <row r="163" spans="1:16" x14ac:dyDescent="0.25">
      <c r="A163" s="78" t="s">
        <v>2763</v>
      </c>
      <c r="B163" s="78" t="s">
        <v>3048</v>
      </c>
      <c r="C163" s="78" t="s">
        <v>155</v>
      </c>
      <c r="D163" t="s">
        <v>26</v>
      </c>
      <c r="E163" t="s">
        <v>42</v>
      </c>
      <c r="F163" s="78">
        <v>1</v>
      </c>
      <c r="G163" s="78" t="s">
        <v>4</v>
      </c>
      <c r="H163" t="s">
        <v>15</v>
      </c>
      <c r="I163">
        <v>80000</v>
      </c>
      <c r="J163" s="79">
        <v>80000</v>
      </c>
      <c r="K163">
        <v>55.944055944055947</v>
      </c>
      <c r="N163" t="s">
        <v>3476</v>
      </c>
      <c r="P163" t="s">
        <v>3477</v>
      </c>
    </row>
    <row r="164" spans="1:16" x14ac:dyDescent="0.25">
      <c r="A164" t="s">
        <v>2763</v>
      </c>
      <c r="B164" t="s">
        <v>1462</v>
      </c>
      <c r="C164" t="s">
        <v>155</v>
      </c>
      <c r="D164" t="s">
        <v>26</v>
      </c>
      <c r="E164" t="s">
        <v>42</v>
      </c>
      <c r="F164">
        <v>1</v>
      </c>
      <c r="G164" t="s">
        <v>4</v>
      </c>
      <c r="H164" t="s">
        <v>15</v>
      </c>
      <c r="I164">
        <v>98000</v>
      </c>
      <c r="J164" s="2">
        <v>98000</v>
      </c>
      <c r="K164">
        <v>68.531468531468533</v>
      </c>
      <c r="N164" t="s">
        <v>3476</v>
      </c>
      <c r="P164" t="s">
        <v>3477</v>
      </c>
    </row>
    <row r="165" spans="1:16" x14ac:dyDescent="0.25">
      <c r="A165" t="s">
        <v>2763</v>
      </c>
      <c r="B165" t="s">
        <v>3367</v>
      </c>
      <c r="C165" t="s">
        <v>3368</v>
      </c>
      <c r="D165" t="s">
        <v>26</v>
      </c>
      <c r="E165" t="s">
        <v>42</v>
      </c>
      <c r="F165">
        <v>1</v>
      </c>
      <c r="G165" t="s">
        <v>4</v>
      </c>
      <c r="H165" t="s">
        <v>15</v>
      </c>
      <c r="I165">
        <v>100000</v>
      </c>
      <c r="J165" s="2">
        <v>100000</v>
      </c>
      <c r="K165">
        <v>69.930069930069934</v>
      </c>
      <c r="N165" t="s">
        <v>3476</v>
      </c>
      <c r="P165" t="s">
        <v>3477</v>
      </c>
    </row>
    <row r="166" spans="1:16" x14ac:dyDescent="0.25">
      <c r="A166" s="78" t="s">
        <v>2763</v>
      </c>
      <c r="B166" s="78" t="s">
        <v>2153</v>
      </c>
      <c r="C166" s="78" t="s">
        <v>155</v>
      </c>
      <c r="D166" t="s">
        <v>26</v>
      </c>
      <c r="E166" t="s">
        <v>42</v>
      </c>
      <c r="F166" s="78">
        <v>1</v>
      </c>
      <c r="G166" s="78" t="s">
        <v>4</v>
      </c>
      <c r="H166" t="s">
        <v>15</v>
      </c>
      <c r="I166">
        <v>160000</v>
      </c>
      <c r="J166" s="79">
        <v>190000</v>
      </c>
      <c r="K166">
        <v>111.88811188811189</v>
      </c>
      <c r="N166" t="s">
        <v>3476</v>
      </c>
      <c r="P166" t="s">
        <v>3477</v>
      </c>
    </row>
    <row r="167" spans="1:16" x14ac:dyDescent="0.25">
      <c r="A167" s="78" t="s">
        <v>2763</v>
      </c>
      <c r="B167" s="78" t="s">
        <v>1571</v>
      </c>
      <c r="C167" s="78" t="s">
        <v>155</v>
      </c>
      <c r="D167" t="s">
        <v>26</v>
      </c>
      <c r="E167" t="s">
        <v>42</v>
      </c>
      <c r="F167" s="78">
        <v>1</v>
      </c>
      <c r="G167" s="78" t="s">
        <v>4</v>
      </c>
      <c r="H167" t="s">
        <v>15</v>
      </c>
      <c r="I167">
        <v>190000</v>
      </c>
      <c r="J167" s="79">
        <v>190000</v>
      </c>
      <c r="K167">
        <v>132.86713286713288</v>
      </c>
      <c r="N167" t="s">
        <v>3476</v>
      </c>
      <c r="P167" t="s">
        <v>3477</v>
      </c>
    </row>
    <row r="168" spans="1:16" x14ac:dyDescent="0.25">
      <c r="A168" t="s">
        <v>2763</v>
      </c>
      <c r="B168" t="s">
        <v>483</v>
      </c>
      <c r="C168" t="s">
        <v>155</v>
      </c>
      <c r="D168" t="s">
        <v>26</v>
      </c>
      <c r="E168" t="s">
        <v>42</v>
      </c>
      <c r="F168">
        <v>1</v>
      </c>
      <c r="G168" t="s">
        <v>4</v>
      </c>
      <c r="H168" t="s">
        <v>15</v>
      </c>
      <c r="I168">
        <v>200000</v>
      </c>
      <c r="J168" s="2">
        <v>200000</v>
      </c>
      <c r="K168">
        <v>139.86013986013987</v>
      </c>
      <c r="N168" t="s">
        <v>3476</v>
      </c>
      <c r="P168" t="s">
        <v>3477</v>
      </c>
    </row>
    <row r="169" spans="1:16" x14ac:dyDescent="0.25">
      <c r="A169" t="s">
        <v>2763</v>
      </c>
      <c r="B169" t="s">
        <v>3299</v>
      </c>
      <c r="C169" t="s">
        <v>3300</v>
      </c>
      <c r="D169" t="s">
        <v>26</v>
      </c>
      <c r="E169" t="s">
        <v>42</v>
      </c>
      <c r="F169">
        <v>1</v>
      </c>
      <c r="G169" t="s">
        <v>4</v>
      </c>
      <c r="H169" t="s">
        <v>15</v>
      </c>
      <c r="I169">
        <v>250000</v>
      </c>
      <c r="J169" s="2">
        <v>250000</v>
      </c>
      <c r="K169">
        <v>174.82517482517483</v>
      </c>
      <c r="N169" t="s">
        <v>3476</v>
      </c>
      <c r="P169" t="s">
        <v>3477</v>
      </c>
    </row>
    <row r="170" spans="1:16" x14ac:dyDescent="0.25">
      <c r="A170" s="78" t="s">
        <v>2763</v>
      </c>
      <c r="B170" s="78" t="s">
        <v>3155</v>
      </c>
      <c r="C170" s="78" t="s">
        <v>3156</v>
      </c>
      <c r="D170" t="s">
        <v>26</v>
      </c>
      <c r="E170" t="s">
        <v>42</v>
      </c>
      <c r="F170" s="78">
        <v>1</v>
      </c>
      <c r="G170" s="78" t="s">
        <v>4</v>
      </c>
      <c r="H170" t="s">
        <v>15</v>
      </c>
      <c r="I170">
        <v>250000</v>
      </c>
      <c r="J170" s="79">
        <v>250000</v>
      </c>
      <c r="K170">
        <v>174.82517482517483</v>
      </c>
      <c r="N170" t="s">
        <v>3476</v>
      </c>
      <c r="P170" t="s">
        <v>3477</v>
      </c>
    </row>
    <row r="171" spans="1:16" hidden="1" x14ac:dyDescent="0.25">
      <c r="A171" t="s">
        <v>2763</v>
      </c>
      <c r="B171" t="s">
        <v>2226</v>
      </c>
      <c r="C171" t="s">
        <v>3401</v>
      </c>
      <c r="D171" t="s">
        <v>26</v>
      </c>
      <c r="E171" t="s">
        <v>42</v>
      </c>
      <c r="F171">
        <v>2</v>
      </c>
      <c r="G171" t="s">
        <v>4</v>
      </c>
      <c r="H171" t="s">
        <v>15</v>
      </c>
      <c r="I171">
        <v>285000</v>
      </c>
      <c r="J171" s="2">
        <v>285000</v>
      </c>
      <c r="K171">
        <v>199.30069930069931</v>
      </c>
      <c r="N171" t="s">
        <v>3476</v>
      </c>
      <c r="P171" t="s">
        <v>3477</v>
      </c>
    </row>
    <row r="172" spans="1:16" x14ac:dyDescent="0.25">
      <c r="A172" s="78" t="s">
        <v>2763</v>
      </c>
      <c r="B172" s="78" t="s">
        <v>2153</v>
      </c>
      <c r="C172" s="78" t="s">
        <v>3468</v>
      </c>
      <c r="D172" t="s">
        <v>26</v>
      </c>
      <c r="E172" t="s">
        <v>42</v>
      </c>
      <c r="F172" s="78">
        <v>1</v>
      </c>
      <c r="G172" s="78" t="s">
        <v>4</v>
      </c>
      <c r="H172" t="s">
        <v>15</v>
      </c>
      <c r="I172">
        <v>379982</v>
      </c>
      <c r="J172" s="79">
        <v>379982</v>
      </c>
      <c r="K172">
        <v>265.72167832167833</v>
      </c>
      <c r="N172" t="s">
        <v>3476</v>
      </c>
      <c r="P172" t="s">
        <v>3477</v>
      </c>
    </row>
    <row r="173" spans="1:16" x14ac:dyDescent="0.25">
      <c r="A173" t="s">
        <v>2763</v>
      </c>
      <c r="B173" t="s">
        <v>344</v>
      </c>
      <c r="C173" t="s">
        <v>3126</v>
      </c>
      <c r="D173" t="s">
        <v>26</v>
      </c>
      <c r="E173" t="s">
        <v>42</v>
      </c>
      <c r="F173">
        <v>1</v>
      </c>
      <c r="G173" t="s">
        <v>4</v>
      </c>
      <c r="H173" t="s">
        <v>15</v>
      </c>
      <c r="I173">
        <v>400000</v>
      </c>
      <c r="J173" s="2">
        <v>400000</v>
      </c>
      <c r="K173">
        <v>279.72027972027973</v>
      </c>
      <c r="N173" t="s">
        <v>3476</v>
      </c>
      <c r="P173" t="s">
        <v>3477</v>
      </c>
    </row>
    <row r="174" spans="1:16" x14ac:dyDescent="0.25">
      <c r="A174" t="s">
        <v>2763</v>
      </c>
      <c r="B174" t="s">
        <v>1026</v>
      </c>
      <c r="C174" t="s">
        <v>1029</v>
      </c>
      <c r="D174" t="s">
        <v>26</v>
      </c>
      <c r="E174" t="s">
        <v>42</v>
      </c>
      <c r="F174">
        <v>1</v>
      </c>
      <c r="G174" t="s">
        <v>4</v>
      </c>
      <c r="H174" t="s">
        <v>15</v>
      </c>
      <c r="I174">
        <v>450000</v>
      </c>
      <c r="J174" s="2">
        <v>450000</v>
      </c>
      <c r="K174">
        <v>314.68531468531467</v>
      </c>
      <c r="N174" t="s">
        <v>3476</v>
      </c>
      <c r="P174" t="s">
        <v>3477</v>
      </c>
    </row>
    <row r="175" spans="1:16" hidden="1" x14ac:dyDescent="0.25">
      <c r="A175" t="s">
        <v>2763</v>
      </c>
      <c r="B175" t="s">
        <v>1841</v>
      </c>
      <c r="C175" t="s">
        <v>1842</v>
      </c>
      <c r="D175" t="s">
        <v>26</v>
      </c>
      <c r="E175" t="s">
        <v>42</v>
      </c>
      <c r="F175">
        <v>2</v>
      </c>
      <c r="G175" t="s">
        <v>4</v>
      </c>
      <c r="H175" t="s">
        <v>15</v>
      </c>
      <c r="I175">
        <v>500000</v>
      </c>
      <c r="J175" s="2">
        <v>500000</v>
      </c>
      <c r="K175">
        <v>349.65034965034965</v>
      </c>
      <c r="N175" t="s">
        <v>3476</v>
      </c>
      <c r="P175" t="s">
        <v>3477</v>
      </c>
    </row>
    <row r="176" spans="1:16" hidden="1" x14ac:dyDescent="0.25">
      <c r="A176" t="s">
        <v>2763</v>
      </c>
      <c r="B176" t="s">
        <v>1854</v>
      </c>
      <c r="C176" t="s">
        <v>118</v>
      </c>
      <c r="D176" t="s">
        <v>26</v>
      </c>
      <c r="E176" t="s">
        <v>42</v>
      </c>
      <c r="F176">
        <v>2</v>
      </c>
      <c r="G176" t="s">
        <v>4</v>
      </c>
      <c r="H176" t="s">
        <v>15</v>
      </c>
      <c r="I176">
        <v>1000000</v>
      </c>
      <c r="J176" s="2">
        <v>1000000</v>
      </c>
      <c r="K176">
        <v>699.30069930069931</v>
      </c>
      <c r="N176" t="s">
        <v>3476</v>
      </c>
      <c r="P176" t="s">
        <v>3477</v>
      </c>
    </row>
    <row r="177" spans="1:16" hidden="1" x14ac:dyDescent="0.25">
      <c r="A177" t="s">
        <v>2763</v>
      </c>
      <c r="B177" t="s">
        <v>3287</v>
      </c>
      <c r="C177" t="s">
        <v>3469</v>
      </c>
      <c r="D177" t="s">
        <v>26</v>
      </c>
      <c r="E177" t="s">
        <v>42</v>
      </c>
      <c r="F177">
        <v>2</v>
      </c>
      <c r="G177" t="s">
        <v>4</v>
      </c>
      <c r="H177" t="s">
        <v>15</v>
      </c>
      <c r="I177">
        <v>2000000</v>
      </c>
      <c r="J177" s="2">
        <v>2000000</v>
      </c>
      <c r="K177">
        <v>1398.6013986013986</v>
      </c>
      <c r="N177" t="s">
        <v>3476</v>
      </c>
      <c r="P177" t="s">
        <v>3477</v>
      </c>
    </row>
    <row r="178" spans="1:16" x14ac:dyDescent="0.25">
      <c r="J178" s="2">
        <f>SUBTOTAL(109,Tabla710[Importe AR$])</f>
        <v>2827982</v>
      </c>
    </row>
    <row r="179" spans="1:16" ht="5.25" customHeight="1" x14ac:dyDescent="0.25"/>
    <row r="180" spans="1:16" x14ac:dyDescent="0.25">
      <c r="J180" s="4">
        <f>Tabla79[[#Totals],[Importe AR$]]+Tabla710[[#Totals],[Importe AR$]]</f>
        <v>6612982</v>
      </c>
    </row>
    <row r="183" spans="1:16" x14ac:dyDescent="0.25">
      <c r="A183" s="25" t="s">
        <v>2921</v>
      </c>
    </row>
    <row r="184" spans="1:16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13</v>
      </c>
      <c r="H184" t="s">
        <v>14</v>
      </c>
      <c r="I184" t="s">
        <v>15</v>
      </c>
      <c r="J184" s="2" t="s">
        <v>16</v>
      </c>
      <c r="K184" t="s">
        <v>17</v>
      </c>
      <c r="L184" t="s">
        <v>18</v>
      </c>
      <c r="M184" t="s">
        <v>19</v>
      </c>
      <c r="N184" t="s">
        <v>20</v>
      </c>
      <c r="O184" t="s">
        <v>21</v>
      </c>
      <c r="P184" t="s">
        <v>22</v>
      </c>
    </row>
    <row r="185" spans="1:16" x14ac:dyDescent="0.25">
      <c r="A185" t="s">
        <v>2726</v>
      </c>
      <c r="B185" t="s">
        <v>1979</v>
      </c>
      <c r="C185" t="s">
        <v>155</v>
      </c>
      <c r="D185" t="s">
        <v>26</v>
      </c>
      <c r="E185" t="s">
        <v>42</v>
      </c>
      <c r="F185">
        <v>1</v>
      </c>
      <c r="G185" t="s">
        <v>4</v>
      </c>
      <c r="H185" t="s">
        <v>15</v>
      </c>
      <c r="I185">
        <v>80000</v>
      </c>
      <c r="J185" s="2">
        <v>80000</v>
      </c>
      <c r="K185">
        <v>54.607508532423211</v>
      </c>
      <c r="N185" t="s">
        <v>3478</v>
      </c>
      <c r="P185" t="s">
        <v>2921</v>
      </c>
    </row>
    <row r="186" spans="1:16" x14ac:dyDescent="0.25">
      <c r="A186" t="s">
        <v>2726</v>
      </c>
      <c r="B186" t="s">
        <v>1979</v>
      </c>
      <c r="C186" t="s">
        <v>155</v>
      </c>
      <c r="D186" t="s">
        <v>26</v>
      </c>
      <c r="E186" t="s">
        <v>42</v>
      </c>
      <c r="F186">
        <v>1</v>
      </c>
      <c r="G186" t="s">
        <v>4</v>
      </c>
      <c r="H186" t="s">
        <v>15</v>
      </c>
      <c r="I186">
        <v>80000</v>
      </c>
      <c r="J186" s="2">
        <v>80000</v>
      </c>
      <c r="K186">
        <v>54.607508532423211</v>
      </c>
      <c r="N186" t="s">
        <v>3478</v>
      </c>
      <c r="P186" t="s">
        <v>2921</v>
      </c>
    </row>
    <row r="187" spans="1:16" x14ac:dyDescent="0.25">
      <c r="A187" t="s">
        <v>2726</v>
      </c>
      <c r="B187" t="s">
        <v>1979</v>
      </c>
      <c r="C187" t="s">
        <v>155</v>
      </c>
      <c r="D187" t="s">
        <v>26</v>
      </c>
      <c r="E187" t="s">
        <v>42</v>
      </c>
      <c r="F187">
        <v>1</v>
      </c>
      <c r="G187" t="s">
        <v>4</v>
      </c>
      <c r="H187" t="s">
        <v>15</v>
      </c>
      <c r="I187">
        <v>80000</v>
      </c>
      <c r="J187" s="2">
        <v>80000</v>
      </c>
      <c r="K187">
        <v>54.607508532423211</v>
      </c>
      <c r="N187" t="s">
        <v>3478</v>
      </c>
      <c r="P187" t="s">
        <v>2921</v>
      </c>
    </row>
    <row r="188" spans="1:16" x14ac:dyDescent="0.25">
      <c r="A188" t="s">
        <v>2726</v>
      </c>
      <c r="B188" t="s">
        <v>1462</v>
      </c>
      <c r="C188" t="s">
        <v>155</v>
      </c>
      <c r="D188" t="s">
        <v>26</v>
      </c>
      <c r="E188" t="s">
        <v>42</v>
      </c>
      <c r="F188">
        <v>1</v>
      </c>
      <c r="G188" t="s">
        <v>4</v>
      </c>
      <c r="H188" t="s">
        <v>15</v>
      </c>
      <c r="I188">
        <v>97800</v>
      </c>
      <c r="J188" s="2">
        <v>97800</v>
      </c>
      <c r="K188">
        <v>66.757679180887365</v>
      </c>
      <c r="N188" t="s">
        <v>3478</v>
      </c>
      <c r="P188" t="s">
        <v>2921</v>
      </c>
    </row>
    <row r="189" spans="1:16" x14ac:dyDescent="0.25">
      <c r="A189" t="s">
        <v>2726</v>
      </c>
      <c r="B189" t="s">
        <v>1462</v>
      </c>
      <c r="C189" t="s">
        <v>155</v>
      </c>
      <c r="D189" t="s">
        <v>26</v>
      </c>
      <c r="E189" t="s">
        <v>42</v>
      </c>
      <c r="F189">
        <v>1</v>
      </c>
      <c r="G189" t="s">
        <v>4</v>
      </c>
      <c r="H189" t="s">
        <v>15</v>
      </c>
      <c r="I189">
        <v>97960.01</v>
      </c>
      <c r="J189" s="2">
        <v>97960.01</v>
      </c>
      <c r="K189">
        <v>66.866901023890776</v>
      </c>
      <c r="N189" t="s">
        <v>3478</v>
      </c>
      <c r="P189" t="s">
        <v>2921</v>
      </c>
    </row>
    <row r="190" spans="1:16" x14ac:dyDescent="0.25">
      <c r="A190" t="s">
        <v>2726</v>
      </c>
      <c r="B190" t="s">
        <v>1580</v>
      </c>
      <c r="C190" t="s">
        <v>155</v>
      </c>
      <c r="D190" t="s">
        <v>26</v>
      </c>
      <c r="E190" t="s">
        <v>42</v>
      </c>
      <c r="F190">
        <v>1</v>
      </c>
      <c r="G190" t="s">
        <v>4</v>
      </c>
      <c r="H190" t="s">
        <v>15</v>
      </c>
      <c r="I190">
        <v>190001.08</v>
      </c>
      <c r="J190" s="2">
        <v>190001.08</v>
      </c>
      <c r="K190">
        <v>129.6935699658703</v>
      </c>
      <c r="N190" t="s">
        <v>3478</v>
      </c>
      <c r="P190" t="s">
        <v>2921</v>
      </c>
    </row>
    <row r="191" spans="1:16" x14ac:dyDescent="0.25">
      <c r="A191" t="s">
        <v>2726</v>
      </c>
      <c r="B191" t="s">
        <v>483</v>
      </c>
      <c r="C191" t="s">
        <v>155</v>
      </c>
      <c r="D191" t="s">
        <v>26</v>
      </c>
      <c r="E191" t="s">
        <v>42</v>
      </c>
      <c r="F191">
        <v>1</v>
      </c>
      <c r="G191" t="s">
        <v>4</v>
      </c>
      <c r="H191" t="s">
        <v>15</v>
      </c>
      <c r="I191">
        <v>200000</v>
      </c>
      <c r="J191" s="2">
        <v>200000</v>
      </c>
      <c r="K191">
        <v>136.51877133105802</v>
      </c>
      <c r="N191" t="s">
        <v>3478</v>
      </c>
      <c r="P191" t="s">
        <v>2921</v>
      </c>
    </row>
    <row r="192" spans="1:16" hidden="1" x14ac:dyDescent="0.25">
      <c r="A192" t="s">
        <v>2726</v>
      </c>
      <c r="B192" t="s">
        <v>1841</v>
      </c>
      <c r="C192" t="s">
        <v>3437</v>
      </c>
      <c r="D192" t="s">
        <v>26</v>
      </c>
      <c r="E192" t="s">
        <v>42</v>
      </c>
      <c r="F192">
        <v>2</v>
      </c>
      <c r="G192" t="s">
        <v>4</v>
      </c>
      <c r="H192" t="s">
        <v>15</v>
      </c>
      <c r="I192">
        <v>200000</v>
      </c>
      <c r="J192" s="2">
        <v>200000</v>
      </c>
      <c r="K192">
        <v>136.51877133105802</v>
      </c>
      <c r="N192" t="s">
        <v>3478</v>
      </c>
      <c r="P192" t="s">
        <v>2921</v>
      </c>
    </row>
    <row r="193" spans="1:16" x14ac:dyDescent="0.25">
      <c r="A193" t="s">
        <v>2726</v>
      </c>
      <c r="B193" t="s">
        <v>3299</v>
      </c>
      <c r="C193" t="s">
        <v>3300</v>
      </c>
      <c r="D193" t="s">
        <v>26</v>
      </c>
      <c r="E193" t="s">
        <v>42</v>
      </c>
      <c r="F193">
        <v>1</v>
      </c>
      <c r="G193" t="s">
        <v>4</v>
      </c>
      <c r="H193" t="s">
        <v>15</v>
      </c>
      <c r="I193">
        <v>250000</v>
      </c>
      <c r="J193" s="2">
        <v>250000</v>
      </c>
      <c r="K193">
        <v>170.64846416382252</v>
      </c>
      <c r="N193" t="s">
        <v>3478</v>
      </c>
      <c r="P193" t="s">
        <v>2921</v>
      </c>
    </row>
    <row r="194" spans="1:16" x14ac:dyDescent="0.25">
      <c r="A194" t="s">
        <v>2726</v>
      </c>
      <c r="B194" t="s">
        <v>3155</v>
      </c>
      <c r="C194" t="s">
        <v>3156</v>
      </c>
      <c r="D194" t="s">
        <v>26</v>
      </c>
      <c r="E194" t="s">
        <v>42</v>
      </c>
      <c r="F194">
        <v>1</v>
      </c>
      <c r="G194" t="s">
        <v>4</v>
      </c>
      <c r="H194" t="s">
        <v>15</v>
      </c>
      <c r="I194">
        <v>250000</v>
      </c>
      <c r="J194" s="2">
        <v>250000</v>
      </c>
      <c r="K194">
        <v>170.64846416382252</v>
      </c>
      <c r="N194" t="s">
        <v>3478</v>
      </c>
      <c r="P194" t="s">
        <v>2921</v>
      </c>
    </row>
    <row r="195" spans="1:16" hidden="1" x14ac:dyDescent="0.25">
      <c r="A195" t="s">
        <v>2726</v>
      </c>
      <c r="B195" t="s">
        <v>40</v>
      </c>
      <c r="C195" t="s">
        <v>2667</v>
      </c>
      <c r="D195" t="s">
        <v>61</v>
      </c>
      <c r="E195" t="s">
        <v>42</v>
      </c>
      <c r="F195">
        <v>2</v>
      </c>
      <c r="G195" t="s">
        <v>4</v>
      </c>
      <c r="H195" t="s">
        <v>15</v>
      </c>
      <c r="I195">
        <v>500000</v>
      </c>
      <c r="J195" s="2">
        <v>500000</v>
      </c>
      <c r="K195">
        <v>341.29692832764505</v>
      </c>
      <c r="N195" t="s">
        <v>3478</v>
      </c>
      <c r="P195" t="s">
        <v>2921</v>
      </c>
    </row>
    <row r="196" spans="1:16" hidden="1" x14ac:dyDescent="0.25">
      <c r="A196" t="s">
        <v>2726</v>
      </c>
      <c r="B196" t="s">
        <v>3051</v>
      </c>
      <c r="C196" t="s">
        <v>2667</v>
      </c>
      <c r="D196" t="s">
        <v>26</v>
      </c>
      <c r="E196" t="s">
        <v>42</v>
      </c>
      <c r="F196">
        <v>2</v>
      </c>
      <c r="G196" t="s">
        <v>4</v>
      </c>
      <c r="H196" t="s">
        <v>15</v>
      </c>
      <c r="I196">
        <v>1000000</v>
      </c>
      <c r="J196" s="2">
        <v>1000000</v>
      </c>
      <c r="K196">
        <v>682.5938566552901</v>
      </c>
      <c r="N196" t="s">
        <v>3478</v>
      </c>
      <c r="P196" t="s">
        <v>2921</v>
      </c>
    </row>
    <row r="197" spans="1:16" hidden="1" x14ac:dyDescent="0.25">
      <c r="A197" t="s">
        <v>2726</v>
      </c>
      <c r="B197" t="s">
        <v>1854</v>
      </c>
      <c r="C197" t="s">
        <v>2667</v>
      </c>
      <c r="D197" t="s">
        <v>26</v>
      </c>
      <c r="E197" t="s">
        <v>42</v>
      </c>
      <c r="F197">
        <v>2</v>
      </c>
      <c r="G197" t="s">
        <v>4</v>
      </c>
      <c r="H197" t="s">
        <v>15</v>
      </c>
      <c r="I197">
        <v>1000000</v>
      </c>
      <c r="J197" s="2">
        <v>1000000</v>
      </c>
      <c r="K197">
        <v>682.5938566552901</v>
      </c>
      <c r="N197" t="s">
        <v>3478</v>
      </c>
      <c r="P197" t="s">
        <v>2921</v>
      </c>
    </row>
    <row r="198" spans="1:16" hidden="1" x14ac:dyDescent="0.25">
      <c r="A198" t="s">
        <v>2726</v>
      </c>
      <c r="B198" t="s">
        <v>1580</v>
      </c>
      <c r="C198" t="s">
        <v>2640</v>
      </c>
      <c r="D198" t="s">
        <v>26</v>
      </c>
      <c r="E198" t="s">
        <v>42</v>
      </c>
      <c r="F198">
        <v>2</v>
      </c>
      <c r="G198" t="s">
        <v>4</v>
      </c>
      <c r="H198" t="s">
        <v>15</v>
      </c>
      <c r="I198">
        <v>1000000</v>
      </c>
      <c r="J198" s="2">
        <v>1000000</v>
      </c>
      <c r="K198">
        <v>682.5938566552901</v>
      </c>
      <c r="N198" t="s">
        <v>3478</v>
      </c>
      <c r="P198" t="s">
        <v>2921</v>
      </c>
    </row>
    <row r="199" spans="1:16" hidden="1" x14ac:dyDescent="0.25">
      <c r="A199" t="s">
        <v>2726</v>
      </c>
      <c r="B199" t="s">
        <v>2922</v>
      </c>
      <c r="C199" t="s">
        <v>2923</v>
      </c>
      <c r="D199" t="s">
        <v>61</v>
      </c>
      <c r="E199" t="s">
        <v>42</v>
      </c>
      <c r="F199">
        <v>2</v>
      </c>
      <c r="G199" t="s">
        <v>4</v>
      </c>
      <c r="H199" t="s">
        <v>15</v>
      </c>
      <c r="I199">
        <v>1000000</v>
      </c>
      <c r="J199" s="2">
        <v>1000000</v>
      </c>
      <c r="K199">
        <v>682.5938566552901</v>
      </c>
      <c r="N199" t="s">
        <v>3478</v>
      </c>
      <c r="P199" t="s">
        <v>2921</v>
      </c>
    </row>
    <row r="200" spans="1:16" hidden="1" x14ac:dyDescent="0.25">
      <c r="A200" t="s">
        <v>2726</v>
      </c>
      <c r="B200" t="s">
        <v>3287</v>
      </c>
      <c r="C200" t="s">
        <v>574</v>
      </c>
      <c r="D200" t="s">
        <v>26</v>
      </c>
      <c r="E200" t="s">
        <v>42</v>
      </c>
      <c r="F200">
        <v>2</v>
      </c>
      <c r="G200" t="s">
        <v>4</v>
      </c>
      <c r="H200" t="s">
        <v>15</v>
      </c>
      <c r="I200">
        <v>1600000</v>
      </c>
      <c r="J200" s="2">
        <v>1600000</v>
      </c>
      <c r="K200">
        <v>1092.1501706484642</v>
      </c>
      <c r="N200" t="s">
        <v>3478</v>
      </c>
      <c r="P200" t="s">
        <v>2921</v>
      </c>
    </row>
    <row r="201" spans="1:16" hidden="1" x14ac:dyDescent="0.25">
      <c r="A201" t="s">
        <v>2726</v>
      </c>
      <c r="B201" t="s">
        <v>3287</v>
      </c>
      <c r="C201" t="s">
        <v>3469</v>
      </c>
      <c r="D201" t="s">
        <v>26</v>
      </c>
      <c r="E201" t="s">
        <v>42</v>
      </c>
      <c r="F201">
        <v>2</v>
      </c>
      <c r="G201" t="s">
        <v>4</v>
      </c>
      <c r="H201" t="s">
        <v>15</v>
      </c>
      <c r="I201">
        <v>2000000</v>
      </c>
      <c r="J201" s="2">
        <v>2000000</v>
      </c>
      <c r="K201">
        <v>1365.1877133105802</v>
      </c>
      <c r="N201" t="s">
        <v>3478</v>
      </c>
      <c r="P201" t="s">
        <v>2921</v>
      </c>
    </row>
    <row r="202" spans="1:16" x14ac:dyDescent="0.25">
      <c r="J202" s="2">
        <f>SUBTOTAL(109,Tabla37[Importe AR$])</f>
        <v>1325761.0899999999</v>
      </c>
    </row>
    <row r="203" spans="1:16" ht="4.5" customHeight="1" x14ac:dyDescent="0.25"/>
    <row r="204" spans="1:16" x14ac:dyDescent="0.25">
      <c r="A204" s="80" t="s">
        <v>7</v>
      </c>
      <c r="B204" s="80" t="s">
        <v>8</v>
      </c>
      <c r="C204" s="80" t="s">
        <v>9</v>
      </c>
      <c r="D204" s="80" t="s">
        <v>10</v>
      </c>
      <c r="E204" s="80" t="s">
        <v>11</v>
      </c>
      <c r="F204" s="80" t="s">
        <v>12</v>
      </c>
      <c r="G204" s="80" t="s">
        <v>13</v>
      </c>
      <c r="H204" s="80" t="s">
        <v>14</v>
      </c>
      <c r="I204" s="80" t="s">
        <v>15</v>
      </c>
      <c r="J204" s="84" t="s">
        <v>16</v>
      </c>
    </row>
    <row r="205" spans="1:16" hidden="1" x14ac:dyDescent="0.25">
      <c r="A205" s="29" t="s">
        <v>2726</v>
      </c>
      <c r="B205" s="29" t="s">
        <v>1979</v>
      </c>
      <c r="C205" s="29" t="s">
        <v>155</v>
      </c>
      <c r="D205" s="29" t="s">
        <v>26</v>
      </c>
      <c r="E205" s="29" t="s">
        <v>42</v>
      </c>
      <c r="F205" s="29">
        <v>1</v>
      </c>
      <c r="G205" s="29" t="s">
        <v>4</v>
      </c>
      <c r="H205" s="29" t="s">
        <v>15</v>
      </c>
      <c r="I205" s="29">
        <v>80000</v>
      </c>
      <c r="J205" s="85">
        <v>80000</v>
      </c>
    </row>
    <row r="206" spans="1:16" hidden="1" x14ac:dyDescent="0.25">
      <c r="A206" s="28" t="s">
        <v>2726</v>
      </c>
      <c r="B206" s="28" t="s">
        <v>1979</v>
      </c>
      <c r="C206" s="28" t="s">
        <v>155</v>
      </c>
      <c r="D206" s="28" t="s">
        <v>26</v>
      </c>
      <c r="E206" s="28" t="s">
        <v>42</v>
      </c>
      <c r="F206" s="28">
        <v>1</v>
      </c>
      <c r="G206" s="28" t="s">
        <v>4</v>
      </c>
      <c r="H206" s="28" t="s">
        <v>15</v>
      </c>
      <c r="I206" s="28">
        <v>80000</v>
      </c>
      <c r="J206" s="86">
        <v>80000</v>
      </c>
    </row>
    <row r="207" spans="1:16" hidden="1" x14ac:dyDescent="0.25">
      <c r="A207" s="29" t="s">
        <v>2726</v>
      </c>
      <c r="B207" s="29" t="s">
        <v>1979</v>
      </c>
      <c r="C207" s="29" t="s">
        <v>155</v>
      </c>
      <c r="D207" s="29" t="s">
        <v>26</v>
      </c>
      <c r="E207" s="29" t="s">
        <v>42</v>
      </c>
      <c r="F207" s="29">
        <v>1</v>
      </c>
      <c r="G207" s="29" t="s">
        <v>4</v>
      </c>
      <c r="H207" s="29" t="s">
        <v>15</v>
      </c>
      <c r="I207" s="29">
        <v>80000</v>
      </c>
      <c r="J207" s="30">
        <v>80000</v>
      </c>
    </row>
    <row r="208" spans="1:16" hidden="1" x14ac:dyDescent="0.25">
      <c r="A208" s="28" t="s">
        <v>2726</v>
      </c>
      <c r="B208" s="28" t="s">
        <v>1462</v>
      </c>
      <c r="C208" s="28" t="s">
        <v>155</v>
      </c>
      <c r="D208" s="28" t="s">
        <v>26</v>
      </c>
      <c r="E208" s="28" t="s">
        <v>42</v>
      </c>
      <c r="F208" s="28">
        <v>1</v>
      </c>
      <c r="G208" s="28" t="s">
        <v>4</v>
      </c>
      <c r="H208" s="28" t="s">
        <v>15</v>
      </c>
      <c r="I208" s="28">
        <v>97800</v>
      </c>
      <c r="J208" s="32">
        <v>97800</v>
      </c>
    </row>
    <row r="209" spans="1:10" hidden="1" x14ac:dyDescent="0.25">
      <c r="A209" s="29" t="s">
        <v>2726</v>
      </c>
      <c r="B209" s="29" t="s">
        <v>1462</v>
      </c>
      <c r="C209" s="29" t="s">
        <v>155</v>
      </c>
      <c r="D209" s="29" t="s">
        <v>26</v>
      </c>
      <c r="E209" s="29" t="s">
        <v>42</v>
      </c>
      <c r="F209" s="29">
        <v>1</v>
      </c>
      <c r="G209" s="29" t="s">
        <v>4</v>
      </c>
      <c r="H209" s="29" t="s">
        <v>15</v>
      </c>
      <c r="I209" s="29">
        <v>97960.01</v>
      </c>
      <c r="J209" s="30">
        <v>97960.01</v>
      </c>
    </row>
    <row r="210" spans="1:10" hidden="1" x14ac:dyDescent="0.25">
      <c r="A210" s="28" t="s">
        <v>2726</v>
      </c>
      <c r="B210" s="28" t="s">
        <v>1580</v>
      </c>
      <c r="C210" s="28" t="s">
        <v>155</v>
      </c>
      <c r="D210" s="28" t="s">
        <v>26</v>
      </c>
      <c r="E210" s="28" t="s">
        <v>42</v>
      </c>
      <c r="F210" s="28">
        <v>1</v>
      </c>
      <c r="G210" s="28" t="s">
        <v>4</v>
      </c>
      <c r="H210" s="28" t="s">
        <v>15</v>
      </c>
      <c r="I210" s="28">
        <v>190001.08</v>
      </c>
      <c r="J210" s="32">
        <v>190001.08</v>
      </c>
    </row>
    <row r="211" spans="1:10" hidden="1" x14ac:dyDescent="0.25">
      <c r="A211" s="29" t="s">
        <v>2726</v>
      </c>
      <c r="B211" s="29" t="s">
        <v>483</v>
      </c>
      <c r="C211" s="29" t="s">
        <v>155</v>
      </c>
      <c r="D211" s="29" t="s">
        <v>26</v>
      </c>
      <c r="E211" s="29" t="s">
        <v>42</v>
      </c>
      <c r="F211" s="29">
        <v>1</v>
      </c>
      <c r="G211" s="29" t="s">
        <v>4</v>
      </c>
      <c r="H211" s="29" t="s">
        <v>15</v>
      </c>
      <c r="I211" s="29">
        <v>200000</v>
      </c>
      <c r="J211" s="30">
        <v>200000</v>
      </c>
    </row>
    <row r="212" spans="1:10" x14ac:dyDescent="0.25">
      <c r="A212" s="28" t="s">
        <v>2726</v>
      </c>
      <c r="B212" s="28" t="s">
        <v>1841</v>
      </c>
      <c r="C212" s="28" t="s">
        <v>3437</v>
      </c>
      <c r="D212" s="28" t="s">
        <v>26</v>
      </c>
      <c r="E212" s="28" t="s">
        <v>42</v>
      </c>
      <c r="F212" s="28">
        <v>2</v>
      </c>
      <c r="G212" s="28" t="s">
        <v>4</v>
      </c>
      <c r="H212" s="28" t="s">
        <v>15</v>
      </c>
      <c r="I212" s="28">
        <v>200000</v>
      </c>
      <c r="J212" s="32">
        <v>200000</v>
      </c>
    </row>
    <row r="213" spans="1:10" hidden="1" x14ac:dyDescent="0.25">
      <c r="A213" s="29" t="s">
        <v>2726</v>
      </c>
      <c r="B213" s="29" t="s">
        <v>3299</v>
      </c>
      <c r="C213" s="29" t="s">
        <v>3300</v>
      </c>
      <c r="D213" s="29" t="s">
        <v>26</v>
      </c>
      <c r="E213" s="29" t="s">
        <v>42</v>
      </c>
      <c r="F213" s="29">
        <v>1</v>
      </c>
      <c r="G213" s="29" t="s">
        <v>4</v>
      </c>
      <c r="H213" s="29" t="s">
        <v>15</v>
      </c>
      <c r="I213" s="29">
        <v>250000</v>
      </c>
      <c r="J213" s="30">
        <v>250000</v>
      </c>
    </row>
    <row r="214" spans="1:10" hidden="1" x14ac:dyDescent="0.25">
      <c r="A214" s="28" t="s">
        <v>2726</v>
      </c>
      <c r="B214" s="28" t="s">
        <v>3155</v>
      </c>
      <c r="C214" s="28" t="s">
        <v>3156</v>
      </c>
      <c r="D214" s="28" t="s">
        <v>26</v>
      </c>
      <c r="E214" s="28" t="s">
        <v>42</v>
      </c>
      <c r="F214" s="28">
        <v>1</v>
      </c>
      <c r="G214" s="28" t="s">
        <v>4</v>
      </c>
      <c r="H214" s="28" t="s">
        <v>15</v>
      </c>
      <c r="I214" s="28">
        <v>250000</v>
      </c>
      <c r="J214" s="32">
        <v>250000</v>
      </c>
    </row>
    <row r="215" spans="1:10" x14ac:dyDescent="0.25">
      <c r="A215" s="29" t="s">
        <v>2726</v>
      </c>
      <c r="B215" s="29" t="s">
        <v>40</v>
      </c>
      <c r="C215" s="29" t="s">
        <v>2667</v>
      </c>
      <c r="D215" s="29" t="s">
        <v>61</v>
      </c>
      <c r="E215" s="29" t="s">
        <v>42</v>
      </c>
      <c r="F215" s="29">
        <v>2</v>
      </c>
      <c r="G215" s="29" t="s">
        <v>4</v>
      </c>
      <c r="H215" s="29" t="s">
        <v>15</v>
      </c>
      <c r="I215" s="29">
        <v>500000</v>
      </c>
      <c r="J215" s="30">
        <v>500000</v>
      </c>
    </row>
    <row r="216" spans="1:10" x14ac:dyDescent="0.25">
      <c r="A216" s="28" t="s">
        <v>2726</v>
      </c>
      <c r="B216" s="28" t="s">
        <v>3051</v>
      </c>
      <c r="C216" s="28" t="s">
        <v>2667</v>
      </c>
      <c r="D216" s="28" t="s">
        <v>26</v>
      </c>
      <c r="E216" s="28" t="s">
        <v>42</v>
      </c>
      <c r="F216" s="28">
        <v>2</v>
      </c>
      <c r="G216" s="28" t="s">
        <v>4</v>
      </c>
      <c r="H216" s="28" t="s">
        <v>15</v>
      </c>
      <c r="I216" s="28">
        <v>1000000</v>
      </c>
      <c r="J216" s="32">
        <v>1000000</v>
      </c>
    </row>
    <row r="217" spans="1:10" x14ac:dyDescent="0.25">
      <c r="A217" s="29" t="s">
        <v>2726</v>
      </c>
      <c r="B217" s="29" t="s">
        <v>1854</v>
      </c>
      <c r="C217" s="29" t="s">
        <v>2667</v>
      </c>
      <c r="D217" s="29" t="s">
        <v>26</v>
      </c>
      <c r="E217" s="29" t="s">
        <v>42</v>
      </c>
      <c r="F217" s="29">
        <v>2</v>
      </c>
      <c r="G217" s="29" t="s">
        <v>4</v>
      </c>
      <c r="H217" s="29" t="s">
        <v>15</v>
      </c>
      <c r="I217" s="29">
        <v>1000000</v>
      </c>
      <c r="J217" s="30">
        <v>1000000</v>
      </c>
    </row>
    <row r="218" spans="1:10" x14ac:dyDescent="0.25">
      <c r="A218" s="28" t="s">
        <v>2726</v>
      </c>
      <c r="B218" s="28" t="s">
        <v>1580</v>
      </c>
      <c r="C218" s="28" t="s">
        <v>2640</v>
      </c>
      <c r="D218" s="28" t="s">
        <v>26</v>
      </c>
      <c r="E218" s="28" t="s">
        <v>42</v>
      </c>
      <c r="F218" s="28">
        <v>2</v>
      </c>
      <c r="G218" s="28" t="s">
        <v>4</v>
      </c>
      <c r="H218" s="28" t="s">
        <v>15</v>
      </c>
      <c r="I218" s="28">
        <v>1000000</v>
      </c>
      <c r="J218" s="32">
        <v>1000000</v>
      </c>
    </row>
    <row r="219" spans="1:10" x14ac:dyDescent="0.25">
      <c r="A219" s="29" t="s">
        <v>2726</v>
      </c>
      <c r="B219" s="29" t="s">
        <v>2922</v>
      </c>
      <c r="C219" s="29" t="s">
        <v>2923</v>
      </c>
      <c r="D219" s="29" t="s">
        <v>61</v>
      </c>
      <c r="E219" s="29" t="s">
        <v>42</v>
      </c>
      <c r="F219" s="29">
        <v>2</v>
      </c>
      <c r="G219" s="29" t="s">
        <v>4</v>
      </c>
      <c r="H219" s="29" t="s">
        <v>15</v>
      </c>
      <c r="I219" s="29">
        <v>1000000</v>
      </c>
      <c r="J219" s="30">
        <v>1000000</v>
      </c>
    </row>
    <row r="220" spans="1:10" x14ac:dyDescent="0.25">
      <c r="A220" s="28" t="s">
        <v>2726</v>
      </c>
      <c r="B220" s="28" t="s">
        <v>3287</v>
      </c>
      <c r="C220" s="28" t="s">
        <v>574</v>
      </c>
      <c r="D220" s="28" t="s">
        <v>26</v>
      </c>
      <c r="E220" s="28" t="s">
        <v>42</v>
      </c>
      <c r="F220" s="28">
        <v>2</v>
      </c>
      <c r="G220" s="28" t="s">
        <v>4</v>
      </c>
      <c r="H220" s="28" t="s">
        <v>15</v>
      </c>
      <c r="I220" s="28">
        <v>1600000</v>
      </c>
      <c r="J220" s="32">
        <v>1600000</v>
      </c>
    </row>
    <row r="221" spans="1:10" x14ac:dyDescent="0.25">
      <c r="A221" s="81" t="s">
        <v>2726</v>
      </c>
      <c r="B221" s="81" t="s">
        <v>3287</v>
      </c>
      <c r="C221" s="81" t="s">
        <v>3469</v>
      </c>
      <c r="D221" s="81" t="s">
        <v>26</v>
      </c>
      <c r="E221" s="81" t="s">
        <v>42</v>
      </c>
      <c r="F221" s="81">
        <v>2</v>
      </c>
      <c r="G221" s="81" t="s">
        <v>4</v>
      </c>
      <c r="H221" s="81" t="s">
        <v>15</v>
      </c>
      <c r="I221" s="81">
        <v>2000000</v>
      </c>
      <c r="J221" s="82">
        <v>2000000</v>
      </c>
    </row>
    <row r="222" spans="1:10" x14ac:dyDescent="0.25">
      <c r="A222" s="81"/>
      <c r="B222" s="81"/>
      <c r="C222" s="81"/>
      <c r="D222" s="81"/>
      <c r="E222" s="81"/>
      <c r="F222" s="81"/>
      <c r="G222" s="81"/>
      <c r="H222" s="81"/>
      <c r="I222" s="81"/>
      <c r="J222" s="82">
        <f>SUBTOTAL(109,Tabla7[Importe AR$])</f>
        <v>8300000</v>
      </c>
    </row>
    <row r="223" spans="1:10" ht="6" customHeight="1" x14ac:dyDescent="0.25"/>
    <row r="224" spans="1:10" x14ac:dyDescent="0.25">
      <c r="G224" s="25" t="s">
        <v>26</v>
      </c>
      <c r="H224" s="25"/>
      <c r="I224" s="25"/>
      <c r="J224" s="4">
        <f>Tabla7[[#Totals],[Importe AR$]]+Tabla37[[#Totals],[Importe AR$]]</f>
        <v>9625761.0899999999</v>
      </c>
    </row>
    <row r="228" spans="1:16" x14ac:dyDescent="0.25">
      <c r="A228" s="25" t="s">
        <v>3507</v>
      </c>
    </row>
    <row r="229" spans="1:16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13</v>
      </c>
      <c r="H229" t="s">
        <v>14</v>
      </c>
      <c r="I229" t="s">
        <v>15</v>
      </c>
      <c r="J229" s="2" t="s">
        <v>16</v>
      </c>
      <c r="K229" t="s">
        <v>17</v>
      </c>
      <c r="L229" t="s">
        <v>18</v>
      </c>
      <c r="M229" t="s">
        <v>19</v>
      </c>
      <c r="N229" t="s">
        <v>20</v>
      </c>
      <c r="O229" t="s">
        <v>21</v>
      </c>
      <c r="P229" t="s">
        <v>22</v>
      </c>
    </row>
    <row r="230" spans="1:16" x14ac:dyDescent="0.25">
      <c r="A230" t="s">
        <v>3439</v>
      </c>
      <c r="B230" t="s">
        <v>2153</v>
      </c>
      <c r="C230" t="s">
        <v>155</v>
      </c>
      <c r="D230" t="s">
        <v>26</v>
      </c>
      <c r="E230" t="s">
        <v>42</v>
      </c>
      <c r="F230">
        <v>1</v>
      </c>
      <c r="G230" t="s">
        <v>4</v>
      </c>
      <c r="H230" t="s">
        <v>15</v>
      </c>
      <c r="I230">
        <v>50000</v>
      </c>
      <c r="J230" s="2">
        <v>50000</v>
      </c>
      <c r="K230">
        <v>34.482758620689658</v>
      </c>
      <c r="N230" t="s">
        <v>3508</v>
      </c>
      <c r="P230" t="s">
        <v>3507</v>
      </c>
    </row>
    <row r="231" spans="1:16" x14ac:dyDescent="0.25">
      <c r="A231" t="s">
        <v>3439</v>
      </c>
      <c r="B231" t="s">
        <v>1979</v>
      </c>
      <c r="C231" t="s">
        <v>155</v>
      </c>
      <c r="D231" t="s">
        <v>26</v>
      </c>
      <c r="E231" t="s">
        <v>42</v>
      </c>
      <c r="F231">
        <v>1</v>
      </c>
      <c r="G231" t="s">
        <v>4</v>
      </c>
      <c r="H231" t="s">
        <v>15</v>
      </c>
      <c r="I231">
        <v>90077.85</v>
      </c>
      <c r="J231" s="2">
        <v>90077.85</v>
      </c>
      <c r="K231">
        <v>62.122655172413801</v>
      </c>
      <c r="N231" t="s">
        <v>3508</v>
      </c>
      <c r="P231" t="s">
        <v>3507</v>
      </c>
    </row>
    <row r="232" spans="1:16" x14ac:dyDescent="0.25">
      <c r="A232" t="s">
        <v>3439</v>
      </c>
      <c r="B232" t="s">
        <v>1979</v>
      </c>
      <c r="C232" t="s">
        <v>155</v>
      </c>
      <c r="D232" t="s">
        <v>26</v>
      </c>
      <c r="E232" t="s">
        <v>42</v>
      </c>
      <c r="F232">
        <v>1</v>
      </c>
      <c r="G232" t="s">
        <v>4</v>
      </c>
      <c r="H232" t="s">
        <v>15</v>
      </c>
      <c r="I232">
        <v>94999.93</v>
      </c>
      <c r="J232" s="2">
        <v>94999.93</v>
      </c>
      <c r="K232">
        <v>65.517193103448264</v>
      </c>
      <c r="N232" t="s">
        <v>3508</v>
      </c>
      <c r="P232" t="s">
        <v>3507</v>
      </c>
    </row>
    <row r="233" spans="1:16" x14ac:dyDescent="0.25">
      <c r="A233" t="s">
        <v>3439</v>
      </c>
      <c r="B233" t="s">
        <v>1462</v>
      </c>
      <c r="C233" t="s">
        <v>155</v>
      </c>
      <c r="D233" t="s">
        <v>26</v>
      </c>
      <c r="E233" t="s">
        <v>42</v>
      </c>
      <c r="F233">
        <v>1</v>
      </c>
      <c r="G233" t="s">
        <v>4</v>
      </c>
      <c r="H233" t="s">
        <v>15</v>
      </c>
      <c r="I233">
        <v>97800</v>
      </c>
      <c r="J233" s="2">
        <v>97800</v>
      </c>
      <c r="K233">
        <v>67.448275862068968</v>
      </c>
      <c r="N233" t="s">
        <v>3508</v>
      </c>
      <c r="P233" t="s">
        <v>3507</v>
      </c>
    </row>
    <row r="234" spans="1:16" x14ac:dyDescent="0.25">
      <c r="A234" t="s">
        <v>3439</v>
      </c>
      <c r="B234" t="s">
        <v>1462</v>
      </c>
      <c r="C234" t="s">
        <v>155</v>
      </c>
      <c r="D234" t="s">
        <v>26</v>
      </c>
      <c r="E234" t="s">
        <v>42</v>
      </c>
      <c r="F234">
        <v>1</v>
      </c>
      <c r="G234" t="s">
        <v>4</v>
      </c>
      <c r="H234" t="s">
        <v>15</v>
      </c>
      <c r="I234">
        <v>97960.01</v>
      </c>
      <c r="J234" s="2">
        <v>97960.01</v>
      </c>
      <c r="K234">
        <v>67.558627586206896</v>
      </c>
      <c r="N234" t="s">
        <v>3508</v>
      </c>
      <c r="P234" t="s">
        <v>3507</v>
      </c>
    </row>
    <row r="235" spans="1:16" x14ac:dyDescent="0.25">
      <c r="A235" t="s">
        <v>3439</v>
      </c>
      <c r="B235" t="s">
        <v>1580</v>
      </c>
      <c r="C235" t="s">
        <v>155</v>
      </c>
      <c r="D235" t="s">
        <v>26</v>
      </c>
      <c r="E235" t="s">
        <v>42</v>
      </c>
      <c r="F235">
        <v>1</v>
      </c>
      <c r="G235" t="s">
        <v>4</v>
      </c>
      <c r="H235" t="s">
        <v>15</v>
      </c>
      <c r="I235">
        <v>190001.08</v>
      </c>
      <c r="J235" s="2">
        <v>190001.08</v>
      </c>
      <c r="K235">
        <v>131.0352275862069</v>
      </c>
      <c r="N235" t="s">
        <v>3508</v>
      </c>
      <c r="P235" t="s">
        <v>3507</v>
      </c>
    </row>
    <row r="236" spans="1:16" x14ac:dyDescent="0.25">
      <c r="A236" t="s">
        <v>3439</v>
      </c>
      <c r="B236" t="s">
        <v>483</v>
      </c>
      <c r="C236" t="s">
        <v>155</v>
      </c>
      <c r="D236" t="s">
        <v>26</v>
      </c>
      <c r="E236" t="s">
        <v>42</v>
      </c>
      <c r="F236">
        <v>1</v>
      </c>
      <c r="G236" t="s">
        <v>4</v>
      </c>
      <c r="H236" t="s">
        <v>15</v>
      </c>
      <c r="I236">
        <v>200000</v>
      </c>
      <c r="J236" s="2">
        <v>200000</v>
      </c>
      <c r="K236">
        <v>137.93103448275863</v>
      </c>
      <c r="N236" t="s">
        <v>3508</v>
      </c>
      <c r="P236" t="s">
        <v>3507</v>
      </c>
    </row>
    <row r="237" spans="1:16" x14ac:dyDescent="0.25">
      <c r="A237" t="s">
        <v>3439</v>
      </c>
      <c r="B237" t="s">
        <v>3299</v>
      </c>
      <c r="C237" t="s">
        <v>3300</v>
      </c>
      <c r="D237" t="s">
        <v>26</v>
      </c>
      <c r="E237" t="s">
        <v>42</v>
      </c>
      <c r="F237">
        <v>1</v>
      </c>
      <c r="G237" t="s">
        <v>4</v>
      </c>
      <c r="H237" t="s">
        <v>15</v>
      </c>
      <c r="I237">
        <v>250000</v>
      </c>
      <c r="J237" s="2">
        <v>250000</v>
      </c>
      <c r="K237">
        <v>172.41379310344828</v>
      </c>
      <c r="N237" t="s">
        <v>3508</v>
      </c>
      <c r="P237" t="s">
        <v>3507</v>
      </c>
    </row>
    <row r="238" spans="1:16" x14ac:dyDescent="0.25">
      <c r="A238" t="s">
        <v>3439</v>
      </c>
      <c r="B238" t="s">
        <v>3155</v>
      </c>
      <c r="C238" t="s">
        <v>3156</v>
      </c>
      <c r="D238" t="s">
        <v>26</v>
      </c>
      <c r="E238" t="s">
        <v>42</v>
      </c>
      <c r="F238">
        <v>1</v>
      </c>
      <c r="G238" t="s">
        <v>4</v>
      </c>
      <c r="H238" t="s">
        <v>15</v>
      </c>
      <c r="I238">
        <v>250000</v>
      </c>
      <c r="J238" s="2">
        <v>250000</v>
      </c>
      <c r="K238">
        <v>172.41379310344828</v>
      </c>
      <c r="N238" t="s">
        <v>3508</v>
      </c>
      <c r="P238" t="s">
        <v>3507</v>
      </c>
    </row>
    <row r="239" spans="1:16" hidden="1" x14ac:dyDescent="0.25">
      <c r="A239" t="s">
        <v>3439</v>
      </c>
      <c r="B239" t="s">
        <v>3051</v>
      </c>
      <c r="C239" t="s">
        <v>2667</v>
      </c>
      <c r="D239" t="s">
        <v>26</v>
      </c>
      <c r="E239" t="s">
        <v>42</v>
      </c>
      <c r="F239">
        <v>2</v>
      </c>
      <c r="G239" t="s">
        <v>4</v>
      </c>
      <c r="H239" t="s">
        <v>15</v>
      </c>
      <c r="I239">
        <v>500000</v>
      </c>
      <c r="J239" s="2">
        <v>500000</v>
      </c>
      <c r="K239">
        <v>344.82758620689657</v>
      </c>
      <c r="N239" t="s">
        <v>3508</v>
      </c>
      <c r="P239" t="s">
        <v>3507</v>
      </c>
    </row>
    <row r="240" spans="1:16" hidden="1" x14ac:dyDescent="0.25">
      <c r="A240" t="s">
        <v>3439</v>
      </c>
      <c r="B240" t="s">
        <v>483</v>
      </c>
      <c r="C240" t="s">
        <v>3442</v>
      </c>
      <c r="D240" t="s">
        <v>26</v>
      </c>
      <c r="E240" t="s">
        <v>42</v>
      </c>
      <c r="F240">
        <v>2</v>
      </c>
      <c r="G240" t="s">
        <v>4</v>
      </c>
      <c r="H240" t="s">
        <v>15</v>
      </c>
      <c r="I240">
        <v>1000000</v>
      </c>
      <c r="J240" s="2">
        <v>1000000</v>
      </c>
      <c r="K240">
        <v>689.65517241379314</v>
      </c>
      <c r="N240" t="s">
        <v>3508</v>
      </c>
      <c r="P240" t="s">
        <v>3507</v>
      </c>
    </row>
    <row r="241" spans="1:16" hidden="1" x14ac:dyDescent="0.25">
      <c r="A241" t="s">
        <v>3439</v>
      </c>
      <c r="B241" t="s">
        <v>40</v>
      </c>
      <c r="C241" t="s">
        <v>3506</v>
      </c>
      <c r="D241" t="s">
        <v>61</v>
      </c>
      <c r="E241" t="s">
        <v>42</v>
      </c>
      <c r="F241">
        <v>2</v>
      </c>
      <c r="G241" t="s">
        <v>4</v>
      </c>
      <c r="H241" t="s">
        <v>15</v>
      </c>
      <c r="I241">
        <v>1000000</v>
      </c>
      <c r="J241" s="2">
        <v>1000000</v>
      </c>
      <c r="K241">
        <v>689.65517241379314</v>
      </c>
      <c r="N241" t="s">
        <v>3508</v>
      </c>
      <c r="P241" t="s">
        <v>3507</v>
      </c>
    </row>
    <row r="242" spans="1:16" hidden="1" x14ac:dyDescent="0.25">
      <c r="A242" t="s">
        <v>3439</v>
      </c>
      <c r="B242" t="s">
        <v>40</v>
      </c>
      <c r="C242" t="s">
        <v>2667</v>
      </c>
      <c r="D242" t="s">
        <v>61</v>
      </c>
      <c r="E242" t="s">
        <v>42</v>
      </c>
      <c r="F242">
        <v>2</v>
      </c>
      <c r="G242" t="s">
        <v>4</v>
      </c>
      <c r="H242" t="s">
        <v>15</v>
      </c>
      <c r="I242">
        <v>1000000</v>
      </c>
      <c r="J242" s="2">
        <v>1000000</v>
      </c>
      <c r="K242">
        <v>689.65517241379314</v>
      </c>
      <c r="N242" t="s">
        <v>3508</v>
      </c>
      <c r="P242" t="s">
        <v>3507</v>
      </c>
    </row>
    <row r="243" spans="1:16" hidden="1" x14ac:dyDescent="0.25">
      <c r="A243" t="s">
        <v>3439</v>
      </c>
      <c r="B243" t="s">
        <v>3287</v>
      </c>
      <c r="C243" t="s">
        <v>3288</v>
      </c>
      <c r="D243" t="s">
        <v>26</v>
      </c>
      <c r="E243" t="s">
        <v>42</v>
      </c>
      <c r="F243">
        <v>2</v>
      </c>
      <c r="G243" t="s">
        <v>4</v>
      </c>
      <c r="H243" t="s">
        <v>15</v>
      </c>
      <c r="I243">
        <v>1600000</v>
      </c>
      <c r="J243" s="2">
        <v>1600000</v>
      </c>
      <c r="K243">
        <v>1103.4482758620691</v>
      </c>
      <c r="N243" t="s">
        <v>3508</v>
      </c>
      <c r="P243" t="s">
        <v>3507</v>
      </c>
    </row>
    <row r="244" spans="1:16" x14ac:dyDescent="0.25">
      <c r="G244" t="s">
        <v>26</v>
      </c>
      <c r="J244" s="2">
        <f>SUBTOTAL(109,Tabla1215[Importe AR$])</f>
        <v>1320838.8700000001</v>
      </c>
    </row>
    <row r="245" spans="1:16" ht="4.5" customHeight="1" x14ac:dyDescent="0.25"/>
    <row r="246" spans="1:16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13</v>
      </c>
      <c r="H246" t="s">
        <v>14</v>
      </c>
      <c r="I246" t="s">
        <v>15</v>
      </c>
      <c r="J246" s="2" t="s">
        <v>16</v>
      </c>
      <c r="K246" t="s">
        <v>17</v>
      </c>
      <c r="L246" t="s">
        <v>18</v>
      </c>
      <c r="M246" t="s">
        <v>19</v>
      </c>
      <c r="N246" t="s">
        <v>20</v>
      </c>
      <c r="O246" t="s">
        <v>21</v>
      </c>
      <c r="P246" t="s">
        <v>22</v>
      </c>
    </row>
    <row r="247" spans="1:16" hidden="1" x14ac:dyDescent="0.25">
      <c r="A247" t="s">
        <v>3439</v>
      </c>
      <c r="B247" t="s">
        <v>2153</v>
      </c>
      <c r="C247" t="s">
        <v>155</v>
      </c>
      <c r="D247" t="s">
        <v>26</v>
      </c>
      <c r="E247" t="s">
        <v>42</v>
      </c>
      <c r="F247">
        <v>1</v>
      </c>
      <c r="G247" t="s">
        <v>4</v>
      </c>
      <c r="H247" t="s">
        <v>15</v>
      </c>
      <c r="I247">
        <v>50000</v>
      </c>
      <c r="J247" s="2">
        <v>50000</v>
      </c>
      <c r="K247">
        <v>34.482758620689658</v>
      </c>
      <c r="N247" t="s">
        <v>3508</v>
      </c>
      <c r="P247" t="s">
        <v>3507</v>
      </c>
    </row>
    <row r="248" spans="1:16" hidden="1" x14ac:dyDescent="0.25">
      <c r="A248" t="s">
        <v>3439</v>
      </c>
      <c r="B248" t="s">
        <v>1979</v>
      </c>
      <c r="C248" t="s">
        <v>155</v>
      </c>
      <c r="D248" t="s">
        <v>26</v>
      </c>
      <c r="E248" t="s">
        <v>42</v>
      </c>
      <c r="F248">
        <v>1</v>
      </c>
      <c r="G248" t="s">
        <v>4</v>
      </c>
      <c r="H248" t="s">
        <v>15</v>
      </c>
      <c r="I248">
        <v>90077.85</v>
      </c>
      <c r="J248" s="2">
        <v>90077.85</v>
      </c>
      <c r="K248">
        <v>62.122655172413801</v>
      </c>
      <c r="N248" t="s">
        <v>3508</v>
      </c>
      <c r="P248" t="s">
        <v>3507</v>
      </c>
    </row>
    <row r="249" spans="1:16" hidden="1" x14ac:dyDescent="0.25">
      <c r="A249" t="s">
        <v>3439</v>
      </c>
      <c r="B249" t="s">
        <v>1979</v>
      </c>
      <c r="C249" t="s">
        <v>155</v>
      </c>
      <c r="D249" t="s">
        <v>26</v>
      </c>
      <c r="E249" t="s">
        <v>42</v>
      </c>
      <c r="F249">
        <v>1</v>
      </c>
      <c r="G249" t="s">
        <v>4</v>
      </c>
      <c r="H249" t="s">
        <v>15</v>
      </c>
      <c r="I249">
        <v>94999.93</v>
      </c>
      <c r="J249" s="2">
        <v>94999.93</v>
      </c>
      <c r="K249">
        <v>65.517193103448264</v>
      </c>
      <c r="N249" t="s">
        <v>3508</v>
      </c>
      <c r="P249" t="s">
        <v>3507</v>
      </c>
    </row>
    <row r="250" spans="1:16" hidden="1" x14ac:dyDescent="0.25">
      <c r="A250" t="s">
        <v>3439</v>
      </c>
      <c r="B250" t="s">
        <v>1462</v>
      </c>
      <c r="C250" t="s">
        <v>155</v>
      </c>
      <c r="D250" t="s">
        <v>26</v>
      </c>
      <c r="E250" t="s">
        <v>42</v>
      </c>
      <c r="F250">
        <v>1</v>
      </c>
      <c r="G250" t="s">
        <v>4</v>
      </c>
      <c r="H250" t="s">
        <v>15</v>
      </c>
      <c r="I250">
        <v>97800</v>
      </c>
      <c r="J250" s="2">
        <v>97800</v>
      </c>
      <c r="K250">
        <v>67.448275862068968</v>
      </c>
      <c r="N250" t="s">
        <v>3508</v>
      </c>
      <c r="P250" t="s">
        <v>3507</v>
      </c>
    </row>
    <row r="251" spans="1:16" hidden="1" x14ac:dyDescent="0.25">
      <c r="A251" t="s">
        <v>3439</v>
      </c>
      <c r="B251" t="s">
        <v>1462</v>
      </c>
      <c r="C251" t="s">
        <v>155</v>
      </c>
      <c r="D251" t="s">
        <v>26</v>
      </c>
      <c r="E251" t="s">
        <v>42</v>
      </c>
      <c r="F251">
        <v>1</v>
      </c>
      <c r="G251" t="s">
        <v>4</v>
      </c>
      <c r="H251" t="s">
        <v>15</v>
      </c>
      <c r="I251">
        <v>97960.01</v>
      </c>
      <c r="J251" s="2">
        <v>97960.01</v>
      </c>
      <c r="K251">
        <v>67.558627586206896</v>
      </c>
      <c r="N251" t="s">
        <v>3508</v>
      </c>
      <c r="P251" t="s">
        <v>3507</v>
      </c>
    </row>
    <row r="252" spans="1:16" hidden="1" x14ac:dyDescent="0.25">
      <c r="A252" t="s">
        <v>3439</v>
      </c>
      <c r="B252" t="s">
        <v>1580</v>
      </c>
      <c r="C252" t="s">
        <v>155</v>
      </c>
      <c r="D252" t="s">
        <v>26</v>
      </c>
      <c r="E252" t="s">
        <v>42</v>
      </c>
      <c r="F252">
        <v>1</v>
      </c>
      <c r="G252" t="s">
        <v>4</v>
      </c>
      <c r="H252" t="s">
        <v>15</v>
      </c>
      <c r="I252">
        <v>190001.08</v>
      </c>
      <c r="J252" s="2">
        <v>190001.08</v>
      </c>
      <c r="K252">
        <v>131.0352275862069</v>
      </c>
      <c r="N252" t="s">
        <v>3508</v>
      </c>
      <c r="P252" t="s">
        <v>3507</v>
      </c>
    </row>
    <row r="253" spans="1:16" hidden="1" x14ac:dyDescent="0.25">
      <c r="A253" t="s">
        <v>3439</v>
      </c>
      <c r="B253" t="s">
        <v>483</v>
      </c>
      <c r="C253" t="s">
        <v>155</v>
      </c>
      <c r="D253" t="s">
        <v>26</v>
      </c>
      <c r="E253" t="s">
        <v>42</v>
      </c>
      <c r="F253">
        <v>1</v>
      </c>
      <c r="G253" t="s">
        <v>4</v>
      </c>
      <c r="H253" t="s">
        <v>15</v>
      </c>
      <c r="I253">
        <v>200000</v>
      </c>
      <c r="J253" s="2">
        <v>200000</v>
      </c>
      <c r="K253">
        <v>137.93103448275863</v>
      </c>
      <c r="N253" t="s">
        <v>3508</v>
      </c>
      <c r="P253" t="s">
        <v>3507</v>
      </c>
    </row>
    <row r="254" spans="1:16" hidden="1" x14ac:dyDescent="0.25">
      <c r="A254" t="s">
        <v>3439</v>
      </c>
      <c r="B254" t="s">
        <v>3299</v>
      </c>
      <c r="C254" t="s">
        <v>3300</v>
      </c>
      <c r="D254" t="s">
        <v>26</v>
      </c>
      <c r="E254" t="s">
        <v>42</v>
      </c>
      <c r="F254">
        <v>1</v>
      </c>
      <c r="G254" t="s">
        <v>4</v>
      </c>
      <c r="H254" t="s">
        <v>15</v>
      </c>
      <c r="I254">
        <v>250000</v>
      </c>
      <c r="J254" s="2">
        <v>250000</v>
      </c>
      <c r="K254">
        <v>172.41379310344828</v>
      </c>
      <c r="N254" t="s">
        <v>3508</v>
      </c>
      <c r="P254" t="s">
        <v>3507</v>
      </c>
    </row>
    <row r="255" spans="1:16" hidden="1" x14ac:dyDescent="0.25">
      <c r="A255" t="s">
        <v>3439</v>
      </c>
      <c r="B255" t="s">
        <v>3155</v>
      </c>
      <c r="C255" t="s">
        <v>3156</v>
      </c>
      <c r="D255" t="s">
        <v>26</v>
      </c>
      <c r="E255" t="s">
        <v>42</v>
      </c>
      <c r="F255">
        <v>1</v>
      </c>
      <c r="G255" t="s">
        <v>4</v>
      </c>
      <c r="H255" t="s">
        <v>15</v>
      </c>
      <c r="I255">
        <v>250000</v>
      </c>
      <c r="J255" s="2">
        <v>250000</v>
      </c>
      <c r="K255">
        <v>172.41379310344828</v>
      </c>
      <c r="N255" t="s">
        <v>3508</v>
      </c>
      <c r="P255" t="s">
        <v>3507</v>
      </c>
    </row>
    <row r="256" spans="1:16" x14ac:dyDescent="0.25">
      <c r="A256" t="s">
        <v>3439</v>
      </c>
      <c r="B256" t="s">
        <v>3051</v>
      </c>
      <c r="C256" t="s">
        <v>2667</v>
      </c>
      <c r="D256" t="s">
        <v>26</v>
      </c>
      <c r="E256" t="s">
        <v>42</v>
      </c>
      <c r="F256">
        <v>2</v>
      </c>
      <c r="G256" t="s">
        <v>4</v>
      </c>
      <c r="H256" t="s">
        <v>15</v>
      </c>
      <c r="I256">
        <v>500000</v>
      </c>
      <c r="J256" s="2">
        <v>500000</v>
      </c>
      <c r="K256">
        <v>344.82758620689657</v>
      </c>
      <c r="N256" t="s">
        <v>3508</v>
      </c>
      <c r="P256" t="s">
        <v>3507</v>
      </c>
    </row>
    <row r="257" spans="1:16" x14ac:dyDescent="0.25">
      <c r="A257" t="s">
        <v>3439</v>
      </c>
      <c r="B257" t="s">
        <v>483</v>
      </c>
      <c r="C257" t="s">
        <v>3442</v>
      </c>
      <c r="D257" t="s">
        <v>26</v>
      </c>
      <c r="E257" t="s">
        <v>42</v>
      </c>
      <c r="F257">
        <v>2</v>
      </c>
      <c r="G257" t="s">
        <v>4</v>
      </c>
      <c r="H257" t="s">
        <v>15</v>
      </c>
      <c r="I257">
        <v>1000000</v>
      </c>
      <c r="J257" s="2">
        <v>1000000</v>
      </c>
      <c r="K257">
        <v>689.65517241379314</v>
      </c>
      <c r="N257" t="s">
        <v>3508</v>
      </c>
      <c r="P257" t="s">
        <v>3507</v>
      </c>
    </row>
    <row r="258" spans="1:16" x14ac:dyDescent="0.25">
      <c r="A258" t="s">
        <v>3439</v>
      </c>
      <c r="B258" t="s">
        <v>2922</v>
      </c>
      <c r="C258" t="s">
        <v>3506</v>
      </c>
      <c r="D258" t="s">
        <v>61</v>
      </c>
      <c r="E258" t="s">
        <v>42</v>
      </c>
      <c r="F258">
        <v>2</v>
      </c>
      <c r="G258" t="s">
        <v>4</v>
      </c>
      <c r="H258" t="s">
        <v>15</v>
      </c>
      <c r="I258">
        <v>1000000</v>
      </c>
      <c r="J258" s="2">
        <v>1000000</v>
      </c>
      <c r="K258">
        <v>689.65517241379314</v>
      </c>
      <c r="N258" t="s">
        <v>3508</v>
      </c>
      <c r="P258" t="s">
        <v>3507</v>
      </c>
    </row>
    <row r="259" spans="1:16" x14ac:dyDescent="0.25">
      <c r="A259" t="s">
        <v>3439</v>
      </c>
      <c r="B259" t="s">
        <v>40</v>
      </c>
      <c r="C259" t="s">
        <v>2667</v>
      </c>
      <c r="D259" t="s">
        <v>61</v>
      </c>
      <c r="E259" t="s">
        <v>42</v>
      </c>
      <c r="F259">
        <v>2</v>
      </c>
      <c r="G259" t="s">
        <v>4</v>
      </c>
      <c r="H259" t="s">
        <v>15</v>
      </c>
      <c r="I259">
        <v>1000000</v>
      </c>
      <c r="J259" s="2">
        <v>1000000</v>
      </c>
      <c r="K259">
        <v>689.65517241379314</v>
      </c>
      <c r="N259" t="s">
        <v>3508</v>
      </c>
      <c r="P259" t="s">
        <v>3507</v>
      </c>
    </row>
    <row r="260" spans="1:16" x14ac:dyDescent="0.25">
      <c r="A260" t="s">
        <v>3439</v>
      </c>
      <c r="B260" t="s">
        <v>3287</v>
      </c>
      <c r="C260" t="s">
        <v>3288</v>
      </c>
      <c r="D260" t="s">
        <v>26</v>
      </c>
      <c r="E260" t="s">
        <v>42</v>
      </c>
      <c r="F260">
        <v>2</v>
      </c>
      <c r="G260" t="s">
        <v>4</v>
      </c>
      <c r="H260" t="s">
        <v>15</v>
      </c>
      <c r="I260">
        <v>1600000</v>
      </c>
      <c r="J260" s="2">
        <v>1600000</v>
      </c>
      <c r="K260">
        <v>1103.4482758620691</v>
      </c>
      <c r="N260" t="s">
        <v>3508</v>
      </c>
      <c r="P260" t="s">
        <v>3507</v>
      </c>
    </row>
    <row r="261" spans="1:16" x14ac:dyDescent="0.25">
      <c r="G261" t="s">
        <v>26</v>
      </c>
      <c r="J261" s="2">
        <f>SUBTOTAL(109,Tabla1216[Importe AR$])</f>
        <v>5100000</v>
      </c>
    </row>
    <row r="262" spans="1:16" ht="6" customHeight="1" x14ac:dyDescent="0.25"/>
    <row r="263" spans="1:16" x14ac:dyDescent="0.25">
      <c r="G263" s="25" t="s">
        <v>3472</v>
      </c>
      <c r="H263" s="25"/>
      <c r="I263" s="25"/>
      <c r="J263" s="4">
        <f>Tabla1216[[#Totals],[Importe AR$]]+Tabla1215[[#Totals],[Importe AR$]]</f>
        <v>6420838.8700000001</v>
      </c>
    </row>
    <row r="266" spans="1:16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13</v>
      </c>
      <c r="H266" t="s">
        <v>14</v>
      </c>
      <c r="I266" t="s">
        <v>15</v>
      </c>
      <c r="J266" s="2" t="s">
        <v>16</v>
      </c>
      <c r="K266" t="s">
        <v>17</v>
      </c>
      <c r="L266" t="s">
        <v>18</v>
      </c>
      <c r="M266" t="s">
        <v>19</v>
      </c>
      <c r="N266" t="s">
        <v>20</v>
      </c>
      <c r="O266" t="s">
        <v>21</v>
      </c>
      <c r="P266" t="s">
        <v>22</v>
      </c>
    </row>
    <row r="267" spans="1:16" x14ac:dyDescent="0.25">
      <c r="A267" s="87" t="s">
        <v>3567</v>
      </c>
      <c r="B267" s="87" t="s">
        <v>2153</v>
      </c>
      <c r="C267" s="87" t="s">
        <v>155</v>
      </c>
      <c r="D267" t="s">
        <v>26</v>
      </c>
      <c r="E267" t="s">
        <v>42</v>
      </c>
      <c r="F267" s="87">
        <v>1</v>
      </c>
      <c r="G267" s="87" t="s">
        <v>4</v>
      </c>
      <c r="H267" t="s">
        <v>15</v>
      </c>
      <c r="I267">
        <v>50000</v>
      </c>
      <c r="J267" s="88">
        <v>50000</v>
      </c>
      <c r="K267">
        <v>33.783783783783782</v>
      </c>
      <c r="N267" t="s">
        <v>3586</v>
      </c>
      <c r="P267" t="s">
        <v>3568</v>
      </c>
    </row>
    <row r="268" spans="1:16" x14ac:dyDescent="0.25">
      <c r="A268" s="87" t="s">
        <v>3567</v>
      </c>
      <c r="B268" s="87" t="s">
        <v>1979</v>
      </c>
      <c r="C268" s="87" t="s">
        <v>155</v>
      </c>
      <c r="D268" t="s">
        <v>26</v>
      </c>
      <c r="E268" t="s">
        <v>42</v>
      </c>
      <c r="F268" s="87">
        <v>1</v>
      </c>
      <c r="G268" s="87" t="s">
        <v>4</v>
      </c>
      <c r="H268" t="s">
        <v>15</v>
      </c>
      <c r="I268">
        <v>94999.93</v>
      </c>
      <c r="J268" s="88">
        <v>94999.93</v>
      </c>
      <c r="K268">
        <v>64.189141891891893</v>
      </c>
      <c r="N268" t="s">
        <v>3586</v>
      </c>
      <c r="P268" t="s">
        <v>3568</v>
      </c>
    </row>
    <row r="269" spans="1:16" x14ac:dyDescent="0.25">
      <c r="A269" s="87" t="s">
        <v>3567</v>
      </c>
      <c r="B269" s="87" t="s">
        <v>1462</v>
      </c>
      <c r="C269" s="87" t="s">
        <v>155</v>
      </c>
      <c r="D269" t="s">
        <v>26</v>
      </c>
      <c r="E269" t="s">
        <v>42</v>
      </c>
      <c r="F269" s="87">
        <v>1</v>
      </c>
      <c r="G269" s="87" t="s">
        <v>4</v>
      </c>
      <c r="H269" t="s">
        <v>15</v>
      </c>
      <c r="I269">
        <v>97800</v>
      </c>
      <c r="J269" s="88">
        <v>97800</v>
      </c>
      <c r="K269">
        <v>66.081081081081081</v>
      </c>
      <c r="N269" t="s">
        <v>3586</v>
      </c>
      <c r="P269" t="s">
        <v>3568</v>
      </c>
    </row>
    <row r="270" spans="1:16" x14ac:dyDescent="0.25">
      <c r="A270" s="87" t="s">
        <v>3567</v>
      </c>
      <c r="B270" s="87" t="s">
        <v>1462</v>
      </c>
      <c r="C270" s="87" t="s">
        <v>155</v>
      </c>
      <c r="D270" t="s">
        <v>26</v>
      </c>
      <c r="E270" t="s">
        <v>42</v>
      </c>
      <c r="F270" s="87">
        <v>1</v>
      </c>
      <c r="G270" s="87" t="s">
        <v>4</v>
      </c>
      <c r="H270" t="s">
        <v>15</v>
      </c>
      <c r="I270">
        <v>97960.01</v>
      </c>
      <c r="J270" s="88">
        <v>97960.01</v>
      </c>
      <c r="K270">
        <v>66.18919594594594</v>
      </c>
      <c r="N270" t="s">
        <v>3586</v>
      </c>
      <c r="P270" t="s">
        <v>3568</v>
      </c>
    </row>
    <row r="271" spans="1:16" x14ac:dyDescent="0.25">
      <c r="A271" s="87" t="s">
        <v>3567</v>
      </c>
      <c r="B271" s="87" t="s">
        <v>1462</v>
      </c>
      <c r="C271" s="87" t="s">
        <v>155</v>
      </c>
      <c r="D271" t="s">
        <v>26</v>
      </c>
      <c r="E271" t="s">
        <v>42</v>
      </c>
      <c r="F271" s="87">
        <v>1</v>
      </c>
      <c r="G271" s="87" t="s">
        <v>4</v>
      </c>
      <c r="H271" t="s">
        <v>15</v>
      </c>
      <c r="I271">
        <v>149509.01999999999</v>
      </c>
      <c r="J271" s="88">
        <v>98000</v>
      </c>
      <c r="K271">
        <v>101.0196081081081</v>
      </c>
      <c r="N271" t="s">
        <v>3586</v>
      </c>
      <c r="P271" t="s">
        <v>3568</v>
      </c>
    </row>
    <row r="272" spans="1:16" x14ac:dyDescent="0.25">
      <c r="A272" s="87" t="s">
        <v>3567</v>
      </c>
      <c r="B272" s="87" t="s">
        <v>1571</v>
      </c>
      <c r="C272" s="87" t="s">
        <v>155</v>
      </c>
      <c r="D272" t="s">
        <v>26</v>
      </c>
      <c r="E272" t="s">
        <v>42</v>
      </c>
      <c r="F272" s="87">
        <v>1</v>
      </c>
      <c r="G272" s="87" t="s">
        <v>4</v>
      </c>
      <c r="H272" t="s">
        <v>15</v>
      </c>
      <c r="I272">
        <v>190000</v>
      </c>
      <c r="J272" s="88">
        <v>190000</v>
      </c>
      <c r="K272">
        <v>128.37837837837839</v>
      </c>
      <c r="N272" t="s">
        <v>3586</v>
      </c>
      <c r="P272" t="s">
        <v>3568</v>
      </c>
    </row>
    <row r="273" spans="1:16" x14ac:dyDescent="0.25">
      <c r="A273" s="87" t="s">
        <v>3567</v>
      </c>
      <c r="B273" s="87" t="s">
        <v>1580</v>
      </c>
      <c r="C273" s="87" t="s">
        <v>155</v>
      </c>
      <c r="D273" t="s">
        <v>26</v>
      </c>
      <c r="E273" t="s">
        <v>42</v>
      </c>
      <c r="F273" s="87">
        <v>1</v>
      </c>
      <c r="G273" s="87" t="s">
        <v>4</v>
      </c>
      <c r="H273" t="s">
        <v>15</v>
      </c>
      <c r="I273">
        <v>190001.08</v>
      </c>
      <c r="J273" s="88">
        <v>190001.08</v>
      </c>
      <c r="K273">
        <v>128.37910810810811</v>
      </c>
      <c r="N273" t="s">
        <v>3586</v>
      </c>
      <c r="P273" t="s">
        <v>3568</v>
      </c>
    </row>
    <row r="274" spans="1:16" x14ac:dyDescent="0.25">
      <c r="A274" s="87" t="s">
        <v>3567</v>
      </c>
      <c r="B274" s="87" t="s">
        <v>483</v>
      </c>
      <c r="C274" s="87" t="s">
        <v>155</v>
      </c>
      <c r="D274" t="s">
        <v>26</v>
      </c>
      <c r="E274" t="s">
        <v>42</v>
      </c>
      <c r="F274" s="87">
        <v>1</v>
      </c>
      <c r="G274" s="87" t="s">
        <v>4</v>
      </c>
      <c r="H274" t="s">
        <v>15</v>
      </c>
      <c r="I274">
        <v>200000</v>
      </c>
      <c r="J274" s="88">
        <v>100000</v>
      </c>
      <c r="K274">
        <v>135.13513513513513</v>
      </c>
      <c r="N274" t="s">
        <v>3586</v>
      </c>
      <c r="P274" t="s">
        <v>3568</v>
      </c>
    </row>
    <row r="275" spans="1:16" x14ac:dyDescent="0.25">
      <c r="A275" t="s">
        <v>3567</v>
      </c>
      <c r="B275" t="s">
        <v>3299</v>
      </c>
      <c r="C275" t="s">
        <v>3300</v>
      </c>
      <c r="D275" t="s">
        <v>26</v>
      </c>
      <c r="E275" t="s">
        <v>42</v>
      </c>
      <c r="F275">
        <v>1</v>
      </c>
      <c r="G275" t="s">
        <v>4</v>
      </c>
      <c r="H275" t="s">
        <v>15</v>
      </c>
      <c r="I275">
        <v>250000</v>
      </c>
      <c r="J275" s="2">
        <v>250000</v>
      </c>
      <c r="K275">
        <v>168.91891891891891</v>
      </c>
      <c r="N275" t="s">
        <v>3586</v>
      </c>
      <c r="P275" t="s">
        <v>3568</v>
      </c>
    </row>
    <row r="276" spans="1:16" x14ac:dyDescent="0.25">
      <c r="A276" t="s">
        <v>3567</v>
      </c>
      <c r="B276" t="s">
        <v>3155</v>
      </c>
      <c r="C276" t="s">
        <v>3156</v>
      </c>
      <c r="D276" t="s">
        <v>26</v>
      </c>
      <c r="E276" t="s">
        <v>42</v>
      </c>
      <c r="F276">
        <v>1</v>
      </c>
      <c r="G276" t="s">
        <v>4</v>
      </c>
      <c r="H276" t="s">
        <v>15</v>
      </c>
      <c r="I276">
        <v>250000</v>
      </c>
      <c r="J276" s="2">
        <v>250000</v>
      </c>
      <c r="K276">
        <v>168.91891891891891</v>
      </c>
      <c r="N276" t="s">
        <v>3586</v>
      </c>
      <c r="P276" t="s">
        <v>3568</v>
      </c>
    </row>
    <row r="277" spans="1:16" hidden="1" x14ac:dyDescent="0.25">
      <c r="A277" t="s">
        <v>3567</v>
      </c>
      <c r="B277" t="s">
        <v>483</v>
      </c>
      <c r="C277" t="s">
        <v>3442</v>
      </c>
      <c r="D277" t="s">
        <v>26</v>
      </c>
      <c r="E277" t="s">
        <v>42</v>
      </c>
      <c r="F277">
        <v>2</v>
      </c>
      <c r="G277" t="s">
        <v>4</v>
      </c>
      <c r="H277" t="s">
        <v>15</v>
      </c>
      <c r="I277">
        <v>1000000</v>
      </c>
      <c r="J277" s="2">
        <v>1000000</v>
      </c>
      <c r="K277">
        <v>675.67567567567562</v>
      </c>
      <c r="N277" t="s">
        <v>3586</v>
      </c>
      <c r="P277" t="s">
        <v>3568</v>
      </c>
    </row>
    <row r="278" spans="1:16" hidden="1" x14ac:dyDescent="0.25">
      <c r="A278" t="s">
        <v>3567</v>
      </c>
      <c r="B278" t="s">
        <v>2922</v>
      </c>
      <c r="C278" t="s">
        <v>3506</v>
      </c>
      <c r="D278" t="s">
        <v>61</v>
      </c>
      <c r="E278" t="s">
        <v>42</v>
      </c>
      <c r="F278">
        <v>2</v>
      </c>
      <c r="G278" t="s">
        <v>4</v>
      </c>
      <c r="H278" t="s">
        <v>15</v>
      </c>
      <c r="I278">
        <v>1000000</v>
      </c>
      <c r="J278" s="2">
        <v>1000000</v>
      </c>
      <c r="K278">
        <v>675.67567567567562</v>
      </c>
      <c r="N278" t="s">
        <v>3586</v>
      </c>
      <c r="P278" t="s">
        <v>3568</v>
      </c>
    </row>
    <row r="279" spans="1:16" hidden="1" x14ac:dyDescent="0.25">
      <c r="A279" t="s">
        <v>3567</v>
      </c>
      <c r="B279" t="s">
        <v>40</v>
      </c>
      <c r="C279" t="s">
        <v>2667</v>
      </c>
      <c r="D279" t="s">
        <v>61</v>
      </c>
      <c r="E279" t="s">
        <v>42</v>
      </c>
      <c r="F279">
        <v>2</v>
      </c>
      <c r="G279" t="s">
        <v>4</v>
      </c>
      <c r="H279" t="s">
        <v>15</v>
      </c>
      <c r="I279">
        <v>1000000</v>
      </c>
      <c r="J279" s="2">
        <v>1000000</v>
      </c>
      <c r="K279">
        <v>675.67567567567562</v>
      </c>
      <c r="N279" t="s">
        <v>3586</v>
      </c>
      <c r="P279" t="s">
        <v>3568</v>
      </c>
    </row>
    <row r="280" spans="1:16" hidden="1" x14ac:dyDescent="0.25">
      <c r="A280" t="s">
        <v>3567</v>
      </c>
      <c r="B280" t="s">
        <v>3573</v>
      </c>
      <c r="C280" t="s">
        <v>3288</v>
      </c>
      <c r="D280" t="s">
        <v>26</v>
      </c>
      <c r="E280" t="s">
        <v>42</v>
      </c>
      <c r="F280">
        <v>2</v>
      </c>
      <c r="G280" t="s">
        <v>4</v>
      </c>
      <c r="H280" t="s">
        <v>15</v>
      </c>
      <c r="I280">
        <v>1600000</v>
      </c>
      <c r="J280" s="2">
        <v>1600000</v>
      </c>
      <c r="K280">
        <v>1081.081081081081</v>
      </c>
      <c r="N280" t="s">
        <v>3586</v>
      </c>
      <c r="P280" t="s">
        <v>3568</v>
      </c>
    </row>
    <row r="281" spans="1:16" ht="7.5" customHeight="1" x14ac:dyDescent="0.25"/>
    <row r="282" spans="1:16" x14ac:dyDescent="0.25">
      <c r="J282" s="4">
        <f>SUM(J267:J276)</f>
        <v>1418761.02</v>
      </c>
    </row>
    <row r="283" spans="1:16" ht="6.75" customHeight="1" x14ac:dyDescent="0.25"/>
    <row r="284" spans="1:16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13</v>
      </c>
      <c r="H284" t="s">
        <v>14</v>
      </c>
      <c r="I284" t="s">
        <v>15</v>
      </c>
      <c r="J284" s="2" t="s">
        <v>16</v>
      </c>
      <c r="K284" t="s">
        <v>17</v>
      </c>
      <c r="L284" t="s">
        <v>18</v>
      </c>
      <c r="M284" t="s">
        <v>19</v>
      </c>
      <c r="N284" t="s">
        <v>20</v>
      </c>
      <c r="O284" t="s">
        <v>21</v>
      </c>
      <c r="P284" t="s">
        <v>22</v>
      </c>
    </row>
    <row r="285" spans="1:16" hidden="1" x14ac:dyDescent="0.25">
      <c r="A285" t="s">
        <v>3567</v>
      </c>
      <c r="B285" t="s">
        <v>2153</v>
      </c>
      <c r="C285" t="s">
        <v>155</v>
      </c>
      <c r="D285" t="s">
        <v>26</v>
      </c>
      <c r="E285" t="s">
        <v>42</v>
      </c>
      <c r="F285">
        <v>1</v>
      </c>
      <c r="G285" t="s">
        <v>4</v>
      </c>
      <c r="H285" t="s">
        <v>15</v>
      </c>
      <c r="I285">
        <v>50000</v>
      </c>
      <c r="J285" s="2">
        <v>50000</v>
      </c>
      <c r="K285">
        <v>33.783783783783782</v>
      </c>
      <c r="N285" t="s">
        <v>3586</v>
      </c>
      <c r="P285" t="s">
        <v>3568</v>
      </c>
    </row>
    <row r="286" spans="1:16" hidden="1" x14ac:dyDescent="0.25">
      <c r="A286" t="s">
        <v>3567</v>
      </c>
      <c r="B286" t="s">
        <v>1979</v>
      </c>
      <c r="C286" t="s">
        <v>155</v>
      </c>
      <c r="D286" t="s">
        <v>26</v>
      </c>
      <c r="E286" t="s">
        <v>42</v>
      </c>
      <c r="F286">
        <v>1</v>
      </c>
      <c r="G286" t="s">
        <v>4</v>
      </c>
      <c r="H286" t="s">
        <v>15</v>
      </c>
      <c r="I286">
        <v>94999.93</v>
      </c>
      <c r="J286" s="2">
        <v>94999.93</v>
      </c>
      <c r="K286">
        <v>64.189141891891893</v>
      </c>
      <c r="N286" t="s">
        <v>3586</v>
      </c>
      <c r="P286" t="s">
        <v>3568</v>
      </c>
    </row>
    <row r="287" spans="1:16" hidden="1" x14ac:dyDescent="0.25">
      <c r="A287" t="s">
        <v>3567</v>
      </c>
      <c r="B287" t="s">
        <v>1462</v>
      </c>
      <c r="C287" t="s">
        <v>155</v>
      </c>
      <c r="D287" t="s">
        <v>26</v>
      </c>
      <c r="E287" t="s">
        <v>42</v>
      </c>
      <c r="F287">
        <v>1</v>
      </c>
      <c r="G287" t="s">
        <v>4</v>
      </c>
      <c r="H287" t="s">
        <v>15</v>
      </c>
      <c r="I287">
        <v>97800</v>
      </c>
      <c r="J287" s="2">
        <v>97800</v>
      </c>
      <c r="K287">
        <v>66.081081081081081</v>
      </c>
      <c r="N287" t="s">
        <v>3586</v>
      </c>
      <c r="P287" t="s">
        <v>3568</v>
      </c>
    </row>
    <row r="288" spans="1:16" hidden="1" x14ac:dyDescent="0.25">
      <c r="A288" t="s">
        <v>3567</v>
      </c>
      <c r="B288" t="s">
        <v>1462</v>
      </c>
      <c r="C288" t="s">
        <v>155</v>
      </c>
      <c r="D288" t="s">
        <v>26</v>
      </c>
      <c r="E288" t="s">
        <v>42</v>
      </c>
      <c r="F288">
        <v>1</v>
      </c>
      <c r="G288" t="s">
        <v>4</v>
      </c>
      <c r="H288" t="s">
        <v>15</v>
      </c>
      <c r="I288">
        <v>97960.01</v>
      </c>
      <c r="J288" s="2">
        <v>97960.01</v>
      </c>
      <c r="K288">
        <v>66.18919594594594</v>
      </c>
      <c r="N288" t="s">
        <v>3586</v>
      </c>
      <c r="P288" t="s">
        <v>3568</v>
      </c>
    </row>
    <row r="289" spans="1:16" hidden="1" x14ac:dyDescent="0.25">
      <c r="A289" t="s">
        <v>3567</v>
      </c>
      <c r="B289" t="s">
        <v>1462</v>
      </c>
      <c r="C289" t="s">
        <v>155</v>
      </c>
      <c r="D289" t="s">
        <v>26</v>
      </c>
      <c r="E289" t="s">
        <v>42</v>
      </c>
      <c r="F289">
        <v>1</v>
      </c>
      <c r="G289" t="s">
        <v>4</v>
      </c>
      <c r="H289" t="s">
        <v>15</v>
      </c>
      <c r="I289">
        <v>149509.01999999999</v>
      </c>
      <c r="J289" s="2">
        <v>149509.01999999999</v>
      </c>
      <c r="K289">
        <v>101.0196081081081</v>
      </c>
      <c r="N289" t="s">
        <v>3586</v>
      </c>
      <c r="P289" t="s">
        <v>3568</v>
      </c>
    </row>
    <row r="290" spans="1:16" hidden="1" x14ac:dyDescent="0.25">
      <c r="A290" t="s">
        <v>3567</v>
      </c>
      <c r="B290" t="s">
        <v>1571</v>
      </c>
      <c r="C290" t="s">
        <v>155</v>
      </c>
      <c r="D290" t="s">
        <v>26</v>
      </c>
      <c r="E290" t="s">
        <v>42</v>
      </c>
      <c r="F290">
        <v>1</v>
      </c>
      <c r="G290" t="s">
        <v>4</v>
      </c>
      <c r="H290" t="s">
        <v>15</v>
      </c>
      <c r="I290">
        <v>190000</v>
      </c>
      <c r="J290" s="2">
        <v>190000</v>
      </c>
      <c r="K290">
        <v>128.37837837837839</v>
      </c>
      <c r="N290" t="s">
        <v>3586</v>
      </c>
      <c r="P290" t="s">
        <v>3568</v>
      </c>
    </row>
    <row r="291" spans="1:16" hidden="1" x14ac:dyDescent="0.25">
      <c r="A291" t="s">
        <v>3567</v>
      </c>
      <c r="B291" t="s">
        <v>1580</v>
      </c>
      <c r="C291" t="s">
        <v>155</v>
      </c>
      <c r="D291" t="s">
        <v>26</v>
      </c>
      <c r="E291" t="s">
        <v>42</v>
      </c>
      <c r="F291">
        <v>1</v>
      </c>
      <c r="G291" t="s">
        <v>4</v>
      </c>
      <c r="H291" t="s">
        <v>15</v>
      </c>
      <c r="I291">
        <v>190001.08</v>
      </c>
      <c r="J291" s="2">
        <v>190001.08</v>
      </c>
      <c r="K291">
        <v>128.37910810810811</v>
      </c>
      <c r="N291" t="s">
        <v>3586</v>
      </c>
      <c r="P291" t="s">
        <v>3568</v>
      </c>
    </row>
    <row r="292" spans="1:16" hidden="1" x14ac:dyDescent="0.25">
      <c r="A292" t="s">
        <v>3567</v>
      </c>
      <c r="B292" t="s">
        <v>483</v>
      </c>
      <c r="C292" t="s">
        <v>155</v>
      </c>
      <c r="D292" t="s">
        <v>26</v>
      </c>
      <c r="E292" t="s">
        <v>42</v>
      </c>
      <c r="F292">
        <v>1</v>
      </c>
      <c r="G292" t="s">
        <v>4</v>
      </c>
      <c r="H292" t="s">
        <v>15</v>
      </c>
      <c r="I292">
        <v>200000</v>
      </c>
      <c r="J292" s="2">
        <v>200000</v>
      </c>
      <c r="K292">
        <v>135.13513513513513</v>
      </c>
      <c r="N292" t="s">
        <v>3586</v>
      </c>
      <c r="P292" t="s">
        <v>3568</v>
      </c>
    </row>
    <row r="293" spans="1:16" hidden="1" x14ac:dyDescent="0.25">
      <c r="A293" t="s">
        <v>3567</v>
      </c>
      <c r="B293" t="s">
        <v>3299</v>
      </c>
      <c r="C293" t="s">
        <v>3300</v>
      </c>
      <c r="D293" t="s">
        <v>26</v>
      </c>
      <c r="E293" t="s">
        <v>42</v>
      </c>
      <c r="F293">
        <v>1</v>
      </c>
      <c r="G293" t="s">
        <v>4</v>
      </c>
      <c r="H293" t="s">
        <v>15</v>
      </c>
      <c r="I293">
        <v>250000</v>
      </c>
      <c r="J293" s="2">
        <v>250000</v>
      </c>
      <c r="K293">
        <v>168.91891891891891</v>
      </c>
      <c r="N293" t="s">
        <v>3586</v>
      </c>
      <c r="P293" t="s">
        <v>3568</v>
      </c>
    </row>
    <row r="294" spans="1:16" hidden="1" x14ac:dyDescent="0.25">
      <c r="A294" t="s">
        <v>3567</v>
      </c>
      <c r="B294" t="s">
        <v>3155</v>
      </c>
      <c r="C294" t="s">
        <v>3156</v>
      </c>
      <c r="D294" t="s">
        <v>26</v>
      </c>
      <c r="E294" t="s">
        <v>42</v>
      </c>
      <c r="F294">
        <v>1</v>
      </c>
      <c r="G294" t="s">
        <v>4</v>
      </c>
      <c r="H294" t="s">
        <v>15</v>
      </c>
      <c r="I294">
        <v>250000</v>
      </c>
      <c r="J294" s="2">
        <v>250000</v>
      </c>
      <c r="K294">
        <v>168.91891891891891</v>
      </c>
      <c r="N294" t="s">
        <v>3586</v>
      </c>
      <c r="P294" t="s">
        <v>3568</v>
      </c>
    </row>
    <row r="295" spans="1:16" x14ac:dyDescent="0.25">
      <c r="A295" s="87" t="s">
        <v>3567</v>
      </c>
      <c r="B295" s="87" t="s">
        <v>483</v>
      </c>
      <c r="C295" s="87" t="s">
        <v>3442</v>
      </c>
      <c r="D295" t="s">
        <v>26</v>
      </c>
      <c r="E295" t="s">
        <v>42</v>
      </c>
      <c r="F295" s="87">
        <v>2</v>
      </c>
      <c r="G295" s="87" t="s">
        <v>4</v>
      </c>
      <c r="H295" t="s">
        <v>15</v>
      </c>
      <c r="I295">
        <v>1000000</v>
      </c>
      <c r="J295" s="88">
        <v>1000000</v>
      </c>
      <c r="K295">
        <v>675.67567567567562</v>
      </c>
      <c r="N295" t="s">
        <v>3586</v>
      </c>
      <c r="P295" t="s">
        <v>3568</v>
      </c>
    </row>
    <row r="296" spans="1:16" x14ac:dyDescent="0.25">
      <c r="A296" s="87" t="s">
        <v>3567</v>
      </c>
      <c r="B296" s="87" t="s">
        <v>2922</v>
      </c>
      <c r="C296" s="87" t="s">
        <v>3506</v>
      </c>
      <c r="D296" t="s">
        <v>61</v>
      </c>
      <c r="E296" t="s">
        <v>42</v>
      </c>
      <c r="F296" s="87">
        <v>2</v>
      </c>
      <c r="G296" s="87" t="s">
        <v>4</v>
      </c>
      <c r="H296" t="s">
        <v>15</v>
      </c>
      <c r="I296">
        <v>1000000</v>
      </c>
      <c r="J296" s="88">
        <v>1000000</v>
      </c>
      <c r="K296">
        <v>675.67567567567562</v>
      </c>
      <c r="N296" t="s">
        <v>3586</v>
      </c>
      <c r="P296" t="s">
        <v>3568</v>
      </c>
    </row>
    <row r="297" spans="1:16" x14ac:dyDescent="0.25">
      <c r="A297" t="s">
        <v>3567</v>
      </c>
      <c r="B297" t="s">
        <v>40</v>
      </c>
      <c r="C297" t="s">
        <v>2667</v>
      </c>
      <c r="D297" t="s">
        <v>61</v>
      </c>
      <c r="E297" t="s">
        <v>42</v>
      </c>
      <c r="F297">
        <v>2</v>
      </c>
      <c r="G297" t="s">
        <v>4</v>
      </c>
      <c r="H297" t="s">
        <v>15</v>
      </c>
      <c r="I297">
        <v>1000000</v>
      </c>
      <c r="J297" s="2">
        <v>1000000</v>
      </c>
      <c r="K297">
        <v>675.67567567567562</v>
      </c>
      <c r="N297" t="s">
        <v>3586</v>
      </c>
      <c r="P297" t="s">
        <v>3568</v>
      </c>
    </row>
    <row r="298" spans="1:16" x14ac:dyDescent="0.25">
      <c r="A298" t="s">
        <v>3567</v>
      </c>
      <c r="B298" t="s">
        <v>3573</v>
      </c>
      <c r="C298" t="s">
        <v>3288</v>
      </c>
      <c r="D298" t="s">
        <v>26</v>
      </c>
      <c r="E298" t="s">
        <v>42</v>
      </c>
      <c r="F298">
        <v>2</v>
      </c>
      <c r="G298" t="s">
        <v>4</v>
      </c>
      <c r="H298" t="s">
        <v>15</v>
      </c>
      <c r="I298">
        <v>1600000</v>
      </c>
      <c r="J298" s="2">
        <v>1600000</v>
      </c>
      <c r="K298">
        <v>1081.081081081081</v>
      </c>
      <c r="N298" t="s">
        <v>3586</v>
      </c>
      <c r="P298" t="s">
        <v>3568</v>
      </c>
    </row>
    <row r="299" spans="1:16" ht="6.75" customHeight="1" x14ac:dyDescent="0.25"/>
    <row r="300" spans="1:16" x14ac:dyDescent="0.25">
      <c r="J300" s="4">
        <f>SUM(J295:J298)</f>
        <v>4600000</v>
      </c>
    </row>
    <row r="301" spans="1:16" ht="6.75" customHeight="1" x14ac:dyDescent="0.25"/>
    <row r="302" spans="1:16" x14ac:dyDescent="0.25">
      <c r="G302" s="75" t="s">
        <v>26</v>
      </c>
      <c r="J302" s="4">
        <f>J300+J282</f>
        <v>6018761.0199999996</v>
      </c>
    </row>
    <row r="304" spans="1:16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13</v>
      </c>
      <c r="H304" t="s">
        <v>14</v>
      </c>
      <c r="I304" t="s">
        <v>15</v>
      </c>
      <c r="J304" s="2" t="s">
        <v>16</v>
      </c>
      <c r="K304" t="s">
        <v>17</v>
      </c>
      <c r="L304" t="s">
        <v>18</v>
      </c>
      <c r="M304" t="s">
        <v>19</v>
      </c>
      <c r="N304" t="s">
        <v>20</v>
      </c>
      <c r="O304" t="s">
        <v>21</v>
      </c>
      <c r="P304" t="s">
        <v>22</v>
      </c>
    </row>
    <row r="305" spans="1:16" x14ac:dyDescent="0.25">
      <c r="A305" s="89" t="s">
        <v>3617</v>
      </c>
      <c r="B305" s="89" t="s">
        <v>3048</v>
      </c>
      <c r="C305" s="89" t="s">
        <v>155</v>
      </c>
      <c r="D305" t="s">
        <v>26</v>
      </c>
      <c r="E305" t="s">
        <v>42</v>
      </c>
      <c r="F305" s="89">
        <v>1</v>
      </c>
      <c r="G305" s="89" t="s">
        <v>4</v>
      </c>
      <c r="H305" t="s">
        <v>15</v>
      </c>
      <c r="I305">
        <v>80000</v>
      </c>
      <c r="J305" s="49">
        <v>70000</v>
      </c>
      <c r="K305">
        <v>4.72972972972973E-2</v>
      </c>
      <c r="N305" t="s">
        <v>3640</v>
      </c>
      <c r="P305" t="s">
        <v>3616</v>
      </c>
    </row>
    <row r="306" spans="1:16" x14ac:dyDescent="0.25">
      <c r="A306" s="89" t="s">
        <v>3617</v>
      </c>
      <c r="B306" s="89" t="s">
        <v>2153</v>
      </c>
      <c r="C306" s="89" t="s">
        <v>155</v>
      </c>
      <c r="D306" t="s">
        <v>26</v>
      </c>
      <c r="E306" t="s">
        <v>42</v>
      </c>
      <c r="F306" s="89">
        <v>1</v>
      </c>
      <c r="G306" s="89" t="s">
        <v>4</v>
      </c>
      <c r="H306" t="s">
        <v>15</v>
      </c>
      <c r="I306">
        <v>50000</v>
      </c>
      <c r="J306" s="49">
        <v>50000</v>
      </c>
      <c r="K306">
        <v>33.783783783783782</v>
      </c>
      <c r="N306" t="s">
        <v>3640</v>
      </c>
      <c r="P306" t="s">
        <v>3616</v>
      </c>
    </row>
    <row r="307" spans="1:16" x14ac:dyDescent="0.25">
      <c r="A307" t="s">
        <v>3617</v>
      </c>
      <c r="B307" t="s">
        <v>1979</v>
      </c>
      <c r="C307" t="s">
        <v>155</v>
      </c>
      <c r="D307" t="s">
        <v>26</v>
      </c>
      <c r="E307" t="s">
        <v>42</v>
      </c>
      <c r="F307">
        <v>1</v>
      </c>
      <c r="G307" t="s">
        <v>4</v>
      </c>
      <c r="H307" t="s">
        <v>15</v>
      </c>
      <c r="I307">
        <v>80000</v>
      </c>
      <c r="J307" s="2">
        <v>80000</v>
      </c>
      <c r="K307">
        <v>54.054054054054056</v>
      </c>
      <c r="N307" t="s">
        <v>3640</v>
      </c>
      <c r="P307" t="s">
        <v>3616</v>
      </c>
    </row>
    <row r="308" spans="1:16" x14ac:dyDescent="0.25">
      <c r="A308" s="89" t="s">
        <v>3617</v>
      </c>
      <c r="B308" s="89" t="s">
        <v>1462</v>
      </c>
      <c r="C308" s="89" t="s">
        <v>155</v>
      </c>
      <c r="D308" t="s">
        <v>26</v>
      </c>
      <c r="E308" t="s">
        <v>42</v>
      </c>
      <c r="F308" s="89">
        <v>1</v>
      </c>
      <c r="G308" s="89" t="s">
        <v>4</v>
      </c>
      <c r="H308" t="s">
        <v>15</v>
      </c>
      <c r="I308">
        <v>97800</v>
      </c>
      <c r="J308" s="49">
        <v>97800</v>
      </c>
      <c r="K308">
        <v>66.081081081081081</v>
      </c>
      <c r="N308" t="s">
        <v>3640</v>
      </c>
      <c r="P308" t="s">
        <v>3616</v>
      </c>
    </row>
    <row r="309" spans="1:16" x14ac:dyDescent="0.25">
      <c r="A309" s="89" t="s">
        <v>3617</v>
      </c>
      <c r="B309" s="89" t="s">
        <v>1462</v>
      </c>
      <c r="C309" s="89" t="s">
        <v>155</v>
      </c>
      <c r="D309" t="s">
        <v>26</v>
      </c>
      <c r="E309" t="s">
        <v>42</v>
      </c>
      <c r="F309" s="89">
        <v>1</v>
      </c>
      <c r="G309" s="89" t="s">
        <v>4</v>
      </c>
      <c r="H309" t="s">
        <v>15</v>
      </c>
      <c r="I309">
        <v>97960.01</v>
      </c>
      <c r="J309" s="49">
        <v>97960.01</v>
      </c>
      <c r="K309">
        <v>66.18919594594594</v>
      </c>
      <c r="N309" t="s">
        <v>3640</v>
      </c>
      <c r="P309" t="s">
        <v>3616</v>
      </c>
    </row>
    <row r="310" spans="1:16" x14ac:dyDescent="0.25">
      <c r="A310" s="89" t="s">
        <v>3617</v>
      </c>
      <c r="B310" s="89" t="s">
        <v>1462</v>
      </c>
      <c r="C310" s="89" t="s">
        <v>155</v>
      </c>
      <c r="D310" t="s">
        <v>26</v>
      </c>
      <c r="E310" t="s">
        <v>42</v>
      </c>
      <c r="F310" s="89">
        <v>1</v>
      </c>
      <c r="G310" s="89" t="s">
        <v>4</v>
      </c>
      <c r="H310" t="s">
        <v>15</v>
      </c>
      <c r="I310">
        <v>149509.01999999999</v>
      </c>
      <c r="J310" s="49">
        <v>149509.01999999999</v>
      </c>
      <c r="K310">
        <v>101.0196081081081</v>
      </c>
      <c r="N310" t="s">
        <v>3640</v>
      </c>
      <c r="P310" t="s">
        <v>3616</v>
      </c>
    </row>
    <row r="311" spans="1:16" x14ac:dyDescent="0.25">
      <c r="A311" s="89" t="s">
        <v>3617</v>
      </c>
      <c r="B311" s="89" t="s">
        <v>483</v>
      </c>
      <c r="C311" s="89" t="s">
        <v>155</v>
      </c>
      <c r="D311" t="s">
        <v>26</v>
      </c>
      <c r="E311" t="s">
        <v>42</v>
      </c>
      <c r="F311" s="89">
        <v>1</v>
      </c>
      <c r="G311" s="89" t="s">
        <v>4</v>
      </c>
      <c r="H311" t="s">
        <v>15</v>
      </c>
      <c r="I311">
        <v>200000</v>
      </c>
      <c r="J311" s="49">
        <v>200000</v>
      </c>
      <c r="K311">
        <v>135.13513513513513</v>
      </c>
      <c r="N311" t="s">
        <v>3640</v>
      </c>
      <c r="P311" t="s">
        <v>3616</v>
      </c>
    </row>
    <row r="312" spans="1:16" hidden="1" x14ac:dyDescent="0.25">
      <c r="A312" t="s">
        <v>3617</v>
      </c>
      <c r="B312" t="s">
        <v>1215</v>
      </c>
      <c r="D312" t="s">
        <v>26</v>
      </c>
      <c r="E312" t="s">
        <v>42</v>
      </c>
      <c r="F312">
        <v>2</v>
      </c>
      <c r="G312" t="s">
        <v>4</v>
      </c>
      <c r="H312" t="s">
        <v>15</v>
      </c>
      <c r="I312">
        <v>200000</v>
      </c>
      <c r="J312" s="2">
        <v>200000</v>
      </c>
      <c r="K312">
        <v>135.13513513513513</v>
      </c>
      <c r="N312" t="s">
        <v>3640</v>
      </c>
      <c r="P312" t="s">
        <v>3616</v>
      </c>
    </row>
    <row r="313" spans="1:16" x14ac:dyDescent="0.25">
      <c r="A313" t="s">
        <v>3617</v>
      </c>
      <c r="B313" t="s">
        <v>1571</v>
      </c>
      <c r="C313" t="s">
        <v>155</v>
      </c>
      <c r="D313" t="s">
        <v>26</v>
      </c>
      <c r="E313" t="s">
        <v>42</v>
      </c>
      <c r="F313">
        <v>1</v>
      </c>
      <c r="G313" t="s">
        <v>4</v>
      </c>
      <c r="H313" t="s">
        <v>15</v>
      </c>
      <c r="I313">
        <v>200000.53</v>
      </c>
      <c r="J313" s="2">
        <v>200000.53</v>
      </c>
      <c r="K313">
        <v>135.13549324324325</v>
      </c>
      <c r="N313" t="s">
        <v>3640</v>
      </c>
      <c r="P313" t="s">
        <v>3616</v>
      </c>
    </row>
    <row r="314" spans="1:16" x14ac:dyDescent="0.25">
      <c r="A314" t="s">
        <v>3617</v>
      </c>
      <c r="B314" t="s">
        <v>3299</v>
      </c>
      <c r="C314" t="s">
        <v>3300</v>
      </c>
      <c r="D314" t="s">
        <v>26</v>
      </c>
      <c r="E314" t="s">
        <v>42</v>
      </c>
      <c r="F314">
        <v>1</v>
      </c>
      <c r="G314" t="s">
        <v>4</v>
      </c>
      <c r="H314" t="s">
        <v>15</v>
      </c>
      <c r="I314">
        <v>250000</v>
      </c>
      <c r="J314" s="2">
        <v>250000</v>
      </c>
      <c r="K314">
        <v>168.91891891891891</v>
      </c>
      <c r="N314" t="s">
        <v>3640</v>
      </c>
      <c r="P314" t="s">
        <v>3616</v>
      </c>
    </row>
    <row r="315" spans="1:16" x14ac:dyDescent="0.25">
      <c r="A315" t="s">
        <v>3617</v>
      </c>
      <c r="B315" t="s">
        <v>3155</v>
      </c>
      <c r="C315" t="s">
        <v>3156</v>
      </c>
      <c r="D315" t="s">
        <v>26</v>
      </c>
      <c r="E315" t="s">
        <v>42</v>
      </c>
      <c r="F315">
        <v>1</v>
      </c>
      <c r="G315" t="s">
        <v>4</v>
      </c>
      <c r="H315" t="s">
        <v>15</v>
      </c>
      <c r="I315">
        <v>250000</v>
      </c>
      <c r="J315" s="2">
        <v>250000</v>
      </c>
      <c r="K315">
        <v>168.91891891891891</v>
      </c>
      <c r="N315" t="s">
        <v>3640</v>
      </c>
      <c r="P315" t="s">
        <v>3616</v>
      </c>
    </row>
    <row r="316" spans="1:16" hidden="1" x14ac:dyDescent="0.25">
      <c r="A316" t="s">
        <v>3617</v>
      </c>
      <c r="B316" t="s">
        <v>1580</v>
      </c>
      <c r="C316" t="s">
        <v>2477</v>
      </c>
      <c r="D316" t="s">
        <v>26</v>
      </c>
      <c r="E316" t="s">
        <v>42</v>
      </c>
      <c r="F316">
        <v>2</v>
      </c>
      <c r="G316" t="s">
        <v>4</v>
      </c>
      <c r="H316" t="s">
        <v>15</v>
      </c>
      <c r="I316">
        <v>500000</v>
      </c>
      <c r="J316" s="2">
        <v>500000</v>
      </c>
      <c r="K316">
        <v>337.83783783783781</v>
      </c>
      <c r="N316" t="s">
        <v>3640</v>
      </c>
      <c r="P316" t="s">
        <v>3616</v>
      </c>
    </row>
    <row r="317" spans="1:16" hidden="1" x14ac:dyDescent="0.25">
      <c r="A317" t="s">
        <v>3617</v>
      </c>
      <c r="B317" t="s">
        <v>1854</v>
      </c>
      <c r="C317" t="s">
        <v>2667</v>
      </c>
      <c r="D317" t="s">
        <v>26</v>
      </c>
      <c r="E317" t="s">
        <v>132</v>
      </c>
      <c r="F317">
        <v>2</v>
      </c>
      <c r="G317" t="s">
        <v>4</v>
      </c>
      <c r="H317" t="s">
        <v>15</v>
      </c>
      <c r="I317">
        <v>1000000</v>
      </c>
      <c r="J317" s="2">
        <v>1000000</v>
      </c>
      <c r="K317">
        <v>675.67567567567562</v>
      </c>
      <c r="N317" t="s">
        <v>3640</v>
      </c>
      <c r="P317" t="s">
        <v>3616</v>
      </c>
    </row>
    <row r="318" spans="1:16" hidden="1" x14ac:dyDescent="0.25">
      <c r="A318" t="s">
        <v>3617</v>
      </c>
      <c r="B318" t="s">
        <v>3573</v>
      </c>
      <c r="C318" t="s">
        <v>3288</v>
      </c>
      <c r="D318" t="s">
        <v>26</v>
      </c>
      <c r="E318" t="s">
        <v>42</v>
      </c>
      <c r="F318">
        <v>2</v>
      </c>
      <c r="G318" t="s">
        <v>4</v>
      </c>
      <c r="H318" t="s">
        <v>15</v>
      </c>
      <c r="I318">
        <v>1000000</v>
      </c>
      <c r="J318" s="2">
        <v>1000000</v>
      </c>
      <c r="K318">
        <v>675.67567567567562</v>
      </c>
      <c r="N318" t="s">
        <v>3640</v>
      </c>
      <c r="P318" t="s">
        <v>3616</v>
      </c>
    </row>
    <row r="319" spans="1:16" hidden="1" x14ac:dyDescent="0.25">
      <c r="A319" t="s">
        <v>3617</v>
      </c>
      <c r="B319" t="s">
        <v>483</v>
      </c>
      <c r="C319" t="s">
        <v>3442</v>
      </c>
      <c r="D319" t="s">
        <v>26</v>
      </c>
      <c r="E319" t="s">
        <v>42</v>
      </c>
      <c r="F319">
        <v>2</v>
      </c>
      <c r="G319" t="s">
        <v>4</v>
      </c>
      <c r="H319" t="s">
        <v>15</v>
      </c>
      <c r="I319">
        <v>1000000</v>
      </c>
      <c r="J319" s="2">
        <v>1000000</v>
      </c>
      <c r="K319">
        <v>675.67567567567562</v>
      </c>
      <c r="N319" t="s">
        <v>3640</v>
      </c>
      <c r="P319" t="s">
        <v>3616</v>
      </c>
    </row>
    <row r="320" spans="1:16" hidden="1" x14ac:dyDescent="0.25">
      <c r="A320" t="s">
        <v>3617</v>
      </c>
      <c r="B320" t="s">
        <v>2922</v>
      </c>
      <c r="C320" t="s">
        <v>3442</v>
      </c>
      <c r="D320" t="s">
        <v>61</v>
      </c>
      <c r="E320" t="s">
        <v>42</v>
      </c>
      <c r="F320">
        <v>2</v>
      </c>
      <c r="G320" t="s">
        <v>4</v>
      </c>
      <c r="H320" t="s">
        <v>15</v>
      </c>
      <c r="I320">
        <v>1000000</v>
      </c>
      <c r="J320" s="2">
        <v>1000000</v>
      </c>
      <c r="K320">
        <v>675.67567567567562</v>
      </c>
      <c r="N320" t="s">
        <v>3640</v>
      </c>
      <c r="P320" t="s">
        <v>3616</v>
      </c>
    </row>
    <row r="321" spans="1:16" x14ac:dyDescent="0.25">
      <c r="J321" s="2">
        <f>SUBTOTAL(109,Tabla1721[Importe AR$])</f>
        <v>1445269.56</v>
      </c>
    </row>
    <row r="324" spans="1:16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13</v>
      </c>
      <c r="H324" t="s">
        <v>14</v>
      </c>
      <c r="I324" t="s">
        <v>15</v>
      </c>
      <c r="J324" s="2" t="s">
        <v>16</v>
      </c>
      <c r="K324" t="s">
        <v>17</v>
      </c>
      <c r="L324" t="s">
        <v>18</v>
      </c>
      <c r="M324" t="s">
        <v>19</v>
      </c>
      <c r="N324" t="s">
        <v>20</v>
      </c>
      <c r="O324" t="s">
        <v>21</v>
      </c>
      <c r="P324" t="s">
        <v>22</v>
      </c>
    </row>
    <row r="325" spans="1:16" hidden="1" x14ac:dyDescent="0.25">
      <c r="A325" t="s">
        <v>3617</v>
      </c>
      <c r="B325" t="s">
        <v>3048</v>
      </c>
      <c r="C325" t="s">
        <v>155</v>
      </c>
      <c r="D325" t="s">
        <v>26</v>
      </c>
      <c r="E325" t="s">
        <v>42</v>
      </c>
      <c r="F325">
        <v>1</v>
      </c>
      <c r="G325" t="s">
        <v>4</v>
      </c>
      <c r="H325" t="s">
        <v>15</v>
      </c>
      <c r="I325">
        <v>80000</v>
      </c>
      <c r="J325" s="2">
        <v>70</v>
      </c>
      <c r="K325">
        <v>4.72972972972973E-2</v>
      </c>
      <c r="N325" t="s">
        <v>3640</v>
      </c>
      <c r="P325" t="s">
        <v>3616</v>
      </c>
    </row>
    <row r="326" spans="1:16" hidden="1" x14ac:dyDescent="0.25">
      <c r="A326" t="s">
        <v>3617</v>
      </c>
      <c r="B326" t="s">
        <v>2153</v>
      </c>
      <c r="C326" t="s">
        <v>155</v>
      </c>
      <c r="D326" t="s">
        <v>26</v>
      </c>
      <c r="E326" t="s">
        <v>42</v>
      </c>
      <c r="F326">
        <v>1</v>
      </c>
      <c r="G326" t="s">
        <v>4</v>
      </c>
      <c r="H326" t="s">
        <v>15</v>
      </c>
      <c r="I326">
        <v>50000</v>
      </c>
      <c r="J326" s="2">
        <v>50000</v>
      </c>
      <c r="K326">
        <v>33.783783783783782</v>
      </c>
      <c r="N326" t="s">
        <v>3640</v>
      </c>
      <c r="P326" t="s">
        <v>3616</v>
      </c>
    </row>
    <row r="327" spans="1:16" hidden="1" x14ac:dyDescent="0.25">
      <c r="A327" t="s">
        <v>3617</v>
      </c>
      <c r="B327" t="s">
        <v>1979</v>
      </c>
      <c r="C327" t="s">
        <v>155</v>
      </c>
      <c r="D327" t="s">
        <v>26</v>
      </c>
      <c r="E327" t="s">
        <v>42</v>
      </c>
      <c r="F327">
        <v>1</v>
      </c>
      <c r="G327" t="s">
        <v>4</v>
      </c>
      <c r="H327" t="s">
        <v>15</v>
      </c>
      <c r="I327">
        <v>80000</v>
      </c>
      <c r="J327" s="2">
        <v>80000</v>
      </c>
      <c r="K327">
        <v>54.054054054054056</v>
      </c>
      <c r="N327" t="s">
        <v>3640</v>
      </c>
      <c r="P327" t="s">
        <v>3616</v>
      </c>
    </row>
    <row r="328" spans="1:16" hidden="1" x14ac:dyDescent="0.25">
      <c r="A328" t="s">
        <v>3617</v>
      </c>
      <c r="B328" t="s">
        <v>1462</v>
      </c>
      <c r="C328" t="s">
        <v>155</v>
      </c>
      <c r="D328" t="s">
        <v>26</v>
      </c>
      <c r="E328" t="s">
        <v>42</v>
      </c>
      <c r="F328">
        <v>1</v>
      </c>
      <c r="G328" t="s">
        <v>4</v>
      </c>
      <c r="H328" t="s">
        <v>15</v>
      </c>
      <c r="I328">
        <v>97800</v>
      </c>
      <c r="J328" s="2">
        <v>97800</v>
      </c>
      <c r="K328">
        <v>66.081081081081081</v>
      </c>
      <c r="N328" t="s">
        <v>3640</v>
      </c>
      <c r="P328" t="s">
        <v>3616</v>
      </c>
    </row>
    <row r="329" spans="1:16" hidden="1" x14ac:dyDescent="0.25">
      <c r="A329" t="s">
        <v>3617</v>
      </c>
      <c r="B329" t="s">
        <v>1462</v>
      </c>
      <c r="C329" t="s">
        <v>155</v>
      </c>
      <c r="D329" t="s">
        <v>26</v>
      </c>
      <c r="E329" t="s">
        <v>42</v>
      </c>
      <c r="F329">
        <v>1</v>
      </c>
      <c r="G329" t="s">
        <v>4</v>
      </c>
      <c r="H329" t="s">
        <v>15</v>
      </c>
      <c r="I329">
        <v>97960.01</v>
      </c>
      <c r="J329" s="2">
        <v>97960.01</v>
      </c>
      <c r="K329">
        <v>66.18919594594594</v>
      </c>
      <c r="N329" t="s">
        <v>3640</v>
      </c>
      <c r="P329" t="s">
        <v>3616</v>
      </c>
    </row>
    <row r="330" spans="1:16" hidden="1" x14ac:dyDescent="0.25">
      <c r="A330" t="s">
        <v>3617</v>
      </c>
      <c r="B330" t="s">
        <v>1462</v>
      </c>
      <c r="C330" t="s">
        <v>155</v>
      </c>
      <c r="D330" t="s">
        <v>26</v>
      </c>
      <c r="E330" t="s">
        <v>42</v>
      </c>
      <c r="F330">
        <v>1</v>
      </c>
      <c r="G330" t="s">
        <v>4</v>
      </c>
      <c r="H330" t="s">
        <v>15</v>
      </c>
      <c r="I330">
        <v>149509.01999999999</v>
      </c>
      <c r="J330" s="2">
        <v>149509.01999999999</v>
      </c>
      <c r="K330">
        <v>101.0196081081081</v>
      </c>
      <c r="N330" t="s">
        <v>3640</v>
      </c>
      <c r="P330" t="s">
        <v>3616</v>
      </c>
    </row>
    <row r="331" spans="1:16" hidden="1" x14ac:dyDescent="0.25">
      <c r="A331" t="s">
        <v>3617</v>
      </c>
      <c r="B331" t="s">
        <v>483</v>
      </c>
      <c r="C331" t="s">
        <v>155</v>
      </c>
      <c r="D331" t="s">
        <v>26</v>
      </c>
      <c r="E331" t="s">
        <v>42</v>
      </c>
      <c r="F331">
        <v>1</v>
      </c>
      <c r="G331" t="s">
        <v>4</v>
      </c>
      <c r="H331" t="s">
        <v>15</v>
      </c>
      <c r="I331">
        <v>200000</v>
      </c>
      <c r="J331" s="2">
        <v>200000</v>
      </c>
      <c r="K331">
        <v>135.13513513513513</v>
      </c>
      <c r="N331" t="s">
        <v>3640</v>
      </c>
      <c r="P331" t="s">
        <v>3616</v>
      </c>
    </row>
    <row r="332" spans="1:16" x14ac:dyDescent="0.25">
      <c r="A332" t="s">
        <v>3617</v>
      </c>
      <c r="B332" t="s">
        <v>1215</v>
      </c>
      <c r="D332" t="s">
        <v>26</v>
      </c>
      <c r="E332" t="s">
        <v>42</v>
      </c>
      <c r="F332">
        <v>2</v>
      </c>
      <c r="G332" t="s">
        <v>4</v>
      </c>
      <c r="H332" t="s">
        <v>15</v>
      </c>
      <c r="I332">
        <v>200000</v>
      </c>
      <c r="J332" s="2">
        <v>200000</v>
      </c>
      <c r="K332">
        <v>135.13513513513513</v>
      </c>
      <c r="N332" t="s">
        <v>3640</v>
      </c>
      <c r="P332" t="s">
        <v>3616</v>
      </c>
    </row>
    <row r="333" spans="1:16" hidden="1" x14ac:dyDescent="0.25">
      <c r="A333" t="s">
        <v>3617</v>
      </c>
      <c r="B333" t="s">
        <v>1571</v>
      </c>
      <c r="C333" t="s">
        <v>155</v>
      </c>
      <c r="D333" t="s">
        <v>26</v>
      </c>
      <c r="E333" t="s">
        <v>42</v>
      </c>
      <c r="F333">
        <v>1</v>
      </c>
      <c r="G333" t="s">
        <v>4</v>
      </c>
      <c r="H333" t="s">
        <v>15</v>
      </c>
      <c r="I333">
        <v>200000.53</v>
      </c>
      <c r="J333" s="2">
        <v>200000.53</v>
      </c>
      <c r="K333">
        <v>135.13549324324325</v>
      </c>
      <c r="N333" t="s">
        <v>3640</v>
      </c>
      <c r="P333" t="s">
        <v>3616</v>
      </c>
    </row>
    <row r="334" spans="1:16" hidden="1" x14ac:dyDescent="0.25">
      <c r="A334" t="s">
        <v>3617</v>
      </c>
      <c r="B334" t="s">
        <v>3299</v>
      </c>
      <c r="C334" t="s">
        <v>3300</v>
      </c>
      <c r="D334" t="s">
        <v>26</v>
      </c>
      <c r="E334" t="s">
        <v>42</v>
      </c>
      <c r="F334">
        <v>1</v>
      </c>
      <c r="G334" t="s">
        <v>4</v>
      </c>
      <c r="H334" t="s">
        <v>15</v>
      </c>
      <c r="I334">
        <v>250000</v>
      </c>
      <c r="J334" s="2">
        <v>250000</v>
      </c>
      <c r="K334">
        <v>168.91891891891891</v>
      </c>
      <c r="N334" t="s">
        <v>3640</v>
      </c>
      <c r="P334" t="s">
        <v>3616</v>
      </c>
    </row>
    <row r="335" spans="1:16" hidden="1" x14ac:dyDescent="0.25">
      <c r="A335" t="s">
        <v>3617</v>
      </c>
      <c r="B335" t="s">
        <v>3155</v>
      </c>
      <c r="C335" t="s">
        <v>3156</v>
      </c>
      <c r="D335" t="s">
        <v>26</v>
      </c>
      <c r="E335" t="s">
        <v>42</v>
      </c>
      <c r="F335">
        <v>1</v>
      </c>
      <c r="G335" t="s">
        <v>4</v>
      </c>
      <c r="H335" t="s">
        <v>15</v>
      </c>
      <c r="I335">
        <v>250000</v>
      </c>
      <c r="J335" s="2">
        <v>250000</v>
      </c>
      <c r="K335">
        <v>168.91891891891891</v>
      </c>
      <c r="N335" t="s">
        <v>3640</v>
      </c>
      <c r="P335" t="s">
        <v>3616</v>
      </c>
    </row>
    <row r="336" spans="1:16" x14ac:dyDescent="0.25">
      <c r="A336" s="89" t="s">
        <v>3617</v>
      </c>
      <c r="B336" s="89" t="s">
        <v>1580</v>
      </c>
      <c r="C336" s="89" t="s">
        <v>2477</v>
      </c>
      <c r="D336" t="s">
        <v>26</v>
      </c>
      <c r="E336" t="s">
        <v>42</v>
      </c>
      <c r="F336" s="89">
        <v>2</v>
      </c>
      <c r="G336" s="89" t="s">
        <v>4</v>
      </c>
      <c r="H336" t="s">
        <v>15</v>
      </c>
      <c r="I336">
        <v>500000</v>
      </c>
      <c r="J336" s="49">
        <v>500000</v>
      </c>
      <c r="K336">
        <v>337.83783783783781</v>
      </c>
      <c r="N336" t="s">
        <v>3640</v>
      </c>
      <c r="P336" t="s">
        <v>3616</v>
      </c>
    </row>
    <row r="337" spans="1:27" x14ac:dyDescent="0.25">
      <c r="A337" s="89" t="s">
        <v>3617</v>
      </c>
      <c r="B337" s="89" t="s">
        <v>1854</v>
      </c>
      <c r="C337" s="89" t="s">
        <v>2667</v>
      </c>
      <c r="D337" t="s">
        <v>26</v>
      </c>
      <c r="E337" t="s">
        <v>132</v>
      </c>
      <c r="F337" s="89">
        <v>2</v>
      </c>
      <c r="G337" s="89" t="s">
        <v>4</v>
      </c>
      <c r="H337" t="s">
        <v>15</v>
      </c>
      <c r="I337">
        <v>1000000</v>
      </c>
      <c r="J337" s="49">
        <v>1000000</v>
      </c>
      <c r="K337">
        <v>675.67567567567562</v>
      </c>
      <c r="N337" t="s">
        <v>3640</v>
      </c>
      <c r="P337" t="s">
        <v>3616</v>
      </c>
    </row>
    <row r="338" spans="1:27" x14ac:dyDescent="0.25">
      <c r="A338" t="s">
        <v>3617</v>
      </c>
      <c r="B338" t="s">
        <v>3573</v>
      </c>
      <c r="C338" t="s">
        <v>3288</v>
      </c>
      <c r="D338" t="s">
        <v>26</v>
      </c>
      <c r="E338" t="s">
        <v>42</v>
      </c>
      <c r="F338">
        <v>2</v>
      </c>
      <c r="G338" t="s">
        <v>4</v>
      </c>
      <c r="H338" t="s">
        <v>15</v>
      </c>
      <c r="I338">
        <v>1000000</v>
      </c>
      <c r="J338" s="2">
        <v>1000000</v>
      </c>
      <c r="K338">
        <v>675.67567567567562</v>
      </c>
      <c r="N338" t="s">
        <v>3640</v>
      </c>
      <c r="P338" t="s">
        <v>3616</v>
      </c>
      <c r="AA338">
        <f>429000+265000</f>
        <v>694000</v>
      </c>
    </row>
    <row r="339" spans="1:27" x14ac:dyDescent="0.25">
      <c r="A339" s="89" t="s">
        <v>3617</v>
      </c>
      <c r="B339" s="89" t="s">
        <v>483</v>
      </c>
      <c r="C339" s="89" t="s">
        <v>3442</v>
      </c>
      <c r="D339" t="s">
        <v>26</v>
      </c>
      <c r="E339" t="s">
        <v>42</v>
      </c>
      <c r="F339" s="89">
        <v>2</v>
      </c>
      <c r="G339" s="89" t="s">
        <v>4</v>
      </c>
      <c r="H339" t="s">
        <v>15</v>
      </c>
      <c r="I339">
        <v>1000000</v>
      </c>
      <c r="J339" s="49">
        <v>1000000</v>
      </c>
      <c r="K339">
        <v>675.67567567567562</v>
      </c>
      <c r="N339" t="s">
        <v>3640</v>
      </c>
      <c r="P339" t="s">
        <v>3616</v>
      </c>
    </row>
    <row r="340" spans="1:27" x14ac:dyDescent="0.25">
      <c r="A340" t="s">
        <v>3617</v>
      </c>
      <c r="B340" t="s">
        <v>2922</v>
      </c>
      <c r="C340" t="s">
        <v>3442</v>
      </c>
      <c r="D340" t="s">
        <v>61</v>
      </c>
      <c r="E340" t="s">
        <v>42</v>
      </c>
      <c r="F340">
        <v>2</v>
      </c>
      <c r="G340" t="s">
        <v>4</v>
      </c>
      <c r="H340" t="s">
        <v>15</v>
      </c>
      <c r="I340">
        <v>1000000</v>
      </c>
      <c r="J340" s="2">
        <v>1000000</v>
      </c>
      <c r="K340">
        <v>675.67567567567562</v>
      </c>
      <c r="N340" t="s">
        <v>3640</v>
      </c>
      <c r="P340" t="s">
        <v>3616</v>
      </c>
    </row>
    <row r="341" spans="1:27" x14ac:dyDescent="0.25">
      <c r="J341" s="2">
        <f>SUBTOTAL(109,Tabla1724[Importe AR$])</f>
        <v>4700000</v>
      </c>
    </row>
    <row r="343" spans="1:27" x14ac:dyDescent="0.25">
      <c r="J343" s="4">
        <f>Tabla1724[[#Totals],[Importe AR$]]+Tabla1721[[#Totals],[Importe AR$]]</f>
        <v>6145269.5600000005</v>
      </c>
    </row>
    <row r="346" spans="1:27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13</v>
      </c>
      <c r="H346" t="s">
        <v>14</v>
      </c>
      <c r="I346" t="s">
        <v>15</v>
      </c>
      <c r="J346" s="2" t="s">
        <v>16</v>
      </c>
      <c r="K346" t="s">
        <v>17</v>
      </c>
      <c r="L346" t="s">
        <v>18</v>
      </c>
      <c r="M346" t="s">
        <v>19</v>
      </c>
      <c r="N346" t="s">
        <v>20</v>
      </c>
      <c r="O346" t="s">
        <v>21</v>
      </c>
      <c r="P346" t="s">
        <v>22</v>
      </c>
    </row>
    <row r="347" spans="1:27" x14ac:dyDescent="0.25">
      <c r="A347" t="s">
        <v>3693</v>
      </c>
      <c r="B347" t="s">
        <v>1979</v>
      </c>
      <c r="C347" t="s">
        <v>155</v>
      </c>
      <c r="D347" t="s">
        <v>26</v>
      </c>
      <c r="E347" t="s">
        <v>42</v>
      </c>
      <c r="F347">
        <v>1</v>
      </c>
      <c r="G347" t="s">
        <v>4</v>
      </c>
      <c r="H347" t="s">
        <v>15</v>
      </c>
      <c r="I347">
        <v>80000</v>
      </c>
      <c r="J347" s="2">
        <v>80000</v>
      </c>
      <c r="K347">
        <v>52.980132450331126</v>
      </c>
      <c r="N347" t="s">
        <v>613</v>
      </c>
      <c r="P347" t="s">
        <v>3694</v>
      </c>
    </row>
    <row r="348" spans="1:27" x14ac:dyDescent="0.25">
      <c r="A348" s="89" t="s">
        <v>3693</v>
      </c>
      <c r="B348" s="89" t="s">
        <v>3048</v>
      </c>
      <c r="C348" s="89" t="s">
        <v>155</v>
      </c>
      <c r="D348" t="s">
        <v>26</v>
      </c>
      <c r="E348" t="s">
        <v>42</v>
      </c>
      <c r="F348" s="89">
        <v>1</v>
      </c>
      <c r="G348" s="89" t="s">
        <v>4</v>
      </c>
      <c r="H348" t="s">
        <v>15</v>
      </c>
      <c r="I348">
        <v>80000</v>
      </c>
      <c r="J348" s="49">
        <v>80000</v>
      </c>
      <c r="K348">
        <v>52.980132450331126</v>
      </c>
      <c r="N348" t="s">
        <v>613</v>
      </c>
      <c r="P348" t="s">
        <v>3694</v>
      </c>
    </row>
    <row r="349" spans="1:27" x14ac:dyDescent="0.25">
      <c r="A349" t="s">
        <v>3693</v>
      </c>
      <c r="B349" t="s">
        <v>1571</v>
      </c>
      <c r="C349" t="s">
        <v>155</v>
      </c>
      <c r="D349" t="s">
        <v>26</v>
      </c>
      <c r="E349" t="s">
        <v>42</v>
      </c>
      <c r="F349">
        <v>1</v>
      </c>
      <c r="G349" t="s">
        <v>4</v>
      </c>
      <c r="H349" t="s">
        <v>15</v>
      </c>
      <c r="I349">
        <v>190000</v>
      </c>
      <c r="J349" s="2">
        <v>190000</v>
      </c>
      <c r="K349">
        <v>125.82781456953643</v>
      </c>
      <c r="N349" t="s">
        <v>613</v>
      </c>
      <c r="P349" t="s">
        <v>3694</v>
      </c>
    </row>
    <row r="350" spans="1:27" x14ac:dyDescent="0.25">
      <c r="A350" t="s">
        <v>3693</v>
      </c>
      <c r="B350" t="s">
        <v>483</v>
      </c>
      <c r="C350" t="s">
        <v>155</v>
      </c>
      <c r="D350" t="s">
        <v>26</v>
      </c>
      <c r="E350" t="s">
        <v>42</v>
      </c>
      <c r="F350">
        <v>1</v>
      </c>
      <c r="G350" t="s">
        <v>4</v>
      </c>
      <c r="H350" t="s">
        <v>15</v>
      </c>
      <c r="I350">
        <v>200000</v>
      </c>
      <c r="J350" s="2">
        <v>200000</v>
      </c>
      <c r="K350">
        <v>132.4503311258278</v>
      </c>
      <c r="N350" t="s">
        <v>613</v>
      </c>
      <c r="P350" t="s">
        <v>3694</v>
      </c>
    </row>
    <row r="351" spans="1:27" x14ac:dyDescent="0.25">
      <c r="A351" t="s">
        <v>3693</v>
      </c>
      <c r="B351" t="s">
        <v>1571</v>
      </c>
      <c r="C351" t="s">
        <v>155</v>
      </c>
      <c r="D351" t="s">
        <v>26</v>
      </c>
      <c r="E351" t="s">
        <v>42</v>
      </c>
      <c r="F351">
        <v>1</v>
      </c>
      <c r="G351" t="s">
        <v>4</v>
      </c>
      <c r="H351" t="s">
        <v>15</v>
      </c>
      <c r="I351">
        <v>200000.53</v>
      </c>
      <c r="J351" s="2">
        <v>200000.53</v>
      </c>
      <c r="K351">
        <v>132.45068211920531</v>
      </c>
      <c r="N351" t="s">
        <v>613</v>
      </c>
      <c r="P351" t="s">
        <v>3694</v>
      </c>
    </row>
    <row r="352" spans="1:27" x14ac:dyDescent="0.25">
      <c r="A352" t="s">
        <v>3693</v>
      </c>
      <c r="B352" t="s">
        <v>3299</v>
      </c>
      <c r="C352" t="s">
        <v>3300</v>
      </c>
      <c r="D352" t="s">
        <v>26</v>
      </c>
      <c r="E352" t="s">
        <v>42</v>
      </c>
      <c r="F352">
        <v>1</v>
      </c>
      <c r="G352" t="s">
        <v>4</v>
      </c>
      <c r="H352" t="s">
        <v>15</v>
      </c>
      <c r="I352">
        <v>250000</v>
      </c>
      <c r="J352" s="2">
        <v>250000</v>
      </c>
      <c r="K352">
        <v>165.56291390728478</v>
      </c>
      <c r="N352" t="s">
        <v>613</v>
      </c>
      <c r="P352" t="s">
        <v>3694</v>
      </c>
    </row>
    <row r="353" spans="1:16" x14ac:dyDescent="0.25">
      <c r="A353" t="s">
        <v>3693</v>
      </c>
      <c r="B353" t="s">
        <v>3155</v>
      </c>
      <c r="C353" t="s">
        <v>3156</v>
      </c>
      <c r="D353" t="s">
        <v>26</v>
      </c>
      <c r="E353" t="s">
        <v>42</v>
      </c>
      <c r="F353">
        <v>1</v>
      </c>
      <c r="G353" t="s">
        <v>4</v>
      </c>
      <c r="H353" t="s">
        <v>15</v>
      </c>
      <c r="I353">
        <v>250000</v>
      </c>
      <c r="J353" s="2">
        <v>250000</v>
      </c>
      <c r="K353">
        <v>165.56291390728478</v>
      </c>
      <c r="N353" t="s">
        <v>613</v>
      </c>
      <c r="P353" t="s">
        <v>3694</v>
      </c>
    </row>
    <row r="354" spans="1:16" x14ac:dyDescent="0.25">
      <c r="A354" s="89" t="s">
        <v>3693</v>
      </c>
      <c r="B354" s="89" t="s">
        <v>334</v>
      </c>
      <c r="C354" s="89" t="s">
        <v>2836</v>
      </c>
      <c r="D354" t="s">
        <v>26</v>
      </c>
      <c r="E354" t="s">
        <v>42</v>
      </c>
      <c r="F354" s="89">
        <v>1</v>
      </c>
      <c r="G354" s="89" t="s">
        <v>4</v>
      </c>
      <c r="H354" t="s">
        <v>15</v>
      </c>
      <c r="I354">
        <v>429000</v>
      </c>
      <c r="J354" s="49">
        <v>429000</v>
      </c>
      <c r="K354">
        <v>284.10596026490066</v>
      </c>
      <c r="N354" t="s">
        <v>613</v>
      </c>
      <c r="P354" t="s">
        <v>3694</v>
      </c>
    </row>
    <row r="355" spans="1:16" hidden="1" x14ac:dyDescent="0.25">
      <c r="A355" t="s">
        <v>3693</v>
      </c>
      <c r="B355" t="s">
        <v>2940</v>
      </c>
      <c r="C355" t="s">
        <v>91</v>
      </c>
      <c r="D355" t="s">
        <v>26</v>
      </c>
      <c r="E355" t="s">
        <v>42</v>
      </c>
      <c r="F355">
        <v>2</v>
      </c>
      <c r="G355" t="s">
        <v>4</v>
      </c>
      <c r="H355" t="s">
        <v>15</v>
      </c>
      <c r="I355">
        <v>560000</v>
      </c>
      <c r="J355" s="2">
        <v>560000</v>
      </c>
      <c r="K355">
        <v>370.86092715231786</v>
      </c>
      <c r="N355" t="s">
        <v>613</v>
      </c>
      <c r="P355" t="s">
        <v>3694</v>
      </c>
    </row>
    <row r="356" spans="1:16" hidden="1" x14ac:dyDescent="0.25">
      <c r="A356" t="s">
        <v>3693</v>
      </c>
      <c r="B356" t="s">
        <v>2922</v>
      </c>
      <c r="C356" t="s">
        <v>3442</v>
      </c>
      <c r="D356" t="s">
        <v>61</v>
      </c>
      <c r="E356" t="s">
        <v>42</v>
      </c>
      <c r="F356">
        <v>2</v>
      </c>
      <c r="G356" t="s">
        <v>4</v>
      </c>
      <c r="H356" t="s">
        <v>15</v>
      </c>
      <c r="I356">
        <v>729000</v>
      </c>
      <c r="J356" s="2">
        <v>729000</v>
      </c>
      <c r="K356">
        <v>482.78145695364236</v>
      </c>
      <c r="N356" t="s">
        <v>613</v>
      </c>
      <c r="P356" t="s">
        <v>3694</v>
      </c>
    </row>
    <row r="357" spans="1:16" hidden="1" x14ac:dyDescent="0.25">
      <c r="A357" t="s">
        <v>3693</v>
      </c>
      <c r="B357" t="s">
        <v>3573</v>
      </c>
      <c r="C357" t="s">
        <v>3288</v>
      </c>
      <c r="D357" t="s">
        <v>26</v>
      </c>
      <c r="E357" t="s">
        <v>42</v>
      </c>
      <c r="F357">
        <v>2</v>
      </c>
      <c r="G357" t="s">
        <v>4</v>
      </c>
      <c r="H357" t="s">
        <v>15</v>
      </c>
      <c r="I357">
        <v>1000000</v>
      </c>
      <c r="J357" s="2">
        <v>1000000</v>
      </c>
      <c r="K357">
        <v>662.25165562913912</v>
      </c>
      <c r="N357" t="s">
        <v>613</v>
      </c>
      <c r="P357" t="s">
        <v>3694</v>
      </c>
    </row>
    <row r="358" spans="1:16" hidden="1" x14ac:dyDescent="0.25">
      <c r="A358" t="s">
        <v>3693</v>
      </c>
      <c r="B358" t="s">
        <v>483</v>
      </c>
      <c r="C358" t="s">
        <v>3442</v>
      </c>
      <c r="D358" t="s">
        <v>26</v>
      </c>
      <c r="E358" t="s">
        <v>42</v>
      </c>
      <c r="F358">
        <v>2</v>
      </c>
      <c r="G358" t="s">
        <v>4</v>
      </c>
      <c r="H358" t="s">
        <v>15</v>
      </c>
      <c r="I358">
        <v>1000000</v>
      </c>
      <c r="J358" s="2">
        <v>1000000</v>
      </c>
      <c r="K358">
        <v>662.25165562913912</v>
      </c>
      <c r="N358" t="s">
        <v>613</v>
      </c>
      <c r="P358" t="s">
        <v>3694</v>
      </c>
    </row>
    <row r="359" spans="1:16" x14ac:dyDescent="0.25">
      <c r="J359" s="2">
        <f>SUBTOTAL(109,Tabla2426[Importe AR$])</f>
        <v>1679000.53</v>
      </c>
    </row>
    <row r="361" spans="1:16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13</v>
      </c>
      <c r="H361" t="s">
        <v>14</v>
      </c>
      <c r="I361" t="s">
        <v>15</v>
      </c>
      <c r="J361" s="2" t="s">
        <v>16</v>
      </c>
      <c r="K361" t="s">
        <v>17</v>
      </c>
      <c r="L361" t="s">
        <v>18</v>
      </c>
      <c r="M361" t="s">
        <v>19</v>
      </c>
      <c r="N361" t="s">
        <v>20</v>
      </c>
      <c r="O361" t="s">
        <v>21</v>
      </c>
      <c r="P361" t="s">
        <v>22</v>
      </c>
    </row>
    <row r="362" spans="1:16" hidden="1" x14ac:dyDescent="0.25">
      <c r="A362" t="s">
        <v>3693</v>
      </c>
      <c r="B362" t="s">
        <v>1979</v>
      </c>
      <c r="C362" t="s">
        <v>155</v>
      </c>
      <c r="D362" t="s">
        <v>26</v>
      </c>
      <c r="E362" t="s">
        <v>42</v>
      </c>
      <c r="F362">
        <v>1</v>
      </c>
      <c r="G362" t="s">
        <v>4</v>
      </c>
      <c r="H362" t="s">
        <v>15</v>
      </c>
      <c r="I362">
        <v>80000</v>
      </c>
      <c r="J362" s="2">
        <v>80000</v>
      </c>
      <c r="K362">
        <v>52.980132450331126</v>
      </c>
      <c r="N362" t="s">
        <v>613</v>
      </c>
      <c r="P362" t="s">
        <v>3694</v>
      </c>
    </row>
    <row r="363" spans="1:16" hidden="1" x14ac:dyDescent="0.25">
      <c r="A363" t="s">
        <v>3693</v>
      </c>
      <c r="B363" t="s">
        <v>3048</v>
      </c>
      <c r="C363" t="s">
        <v>155</v>
      </c>
      <c r="D363" t="s">
        <v>26</v>
      </c>
      <c r="E363" t="s">
        <v>42</v>
      </c>
      <c r="F363">
        <v>1</v>
      </c>
      <c r="G363" t="s">
        <v>4</v>
      </c>
      <c r="H363" t="s">
        <v>15</v>
      </c>
      <c r="I363">
        <v>80000</v>
      </c>
      <c r="J363" s="2">
        <v>80000</v>
      </c>
      <c r="K363">
        <v>52.980132450331126</v>
      </c>
      <c r="N363" t="s">
        <v>613</v>
      </c>
      <c r="P363" t="s">
        <v>3694</v>
      </c>
    </row>
    <row r="364" spans="1:16" hidden="1" x14ac:dyDescent="0.25">
      <c r="A364" t="s">
        <v>3693</v>
      </c>
      <c r="B364" t="s">
        <v>1571</v>
      </c>
      <c r="C364" t="s">
        <v>155</v>
      </c>
      <c r="D364" t="s">
        <v>26</v>
      </c>
      <c r="E364" t="s">
        <v>42</v>
      </c>
      <c r="F364">
        <v>1</v>
      </c>
      <c r="G364" t="s">
        <v>4</v>
      </c>
      <c r="H364" t="s">
        <v>15</v>
      </c>
      <c r="I364">
        <v>190000</v>
      </c>
      <c r="J364" s="2">
        <v>190000</v>
      </c>
      <c r="K364">
        <v>125.82781456953643</v>
      </c>
      <c r="N364" t="s">
        <v>613</v>
      </c>
      <c r="P364" t="s">
        <v>3694</v>
      </c>
    </row>
    <row r="365" spans="1:16" hidden="1" x14ac:dyDescent="0.25">
      <c r="A365" t="s">
        <v>3693</v>
      </c>
      <c r="B365" t="s">
        <v>483</v>
      </c>
      <c r="C365" t="s">
        <v>155</v>
      </c>
      <c r="D365" t="s">
        <v>26</v>
      </c>
      <c r="E365" t="s">
        <v>42</v>
      </c>
      <c r="F365">
        <v>1</v>
      </c>
      <c r="G365" t="s">
        <v>4</v>
      </c>
      <c r="H365" t="s">
        <v>15</v>
      </c>
      <c r="I365">
        <v>200000</v>
      </c>
      <c r="J365" s="2">
        <v>200000</v>
      </c>
      <c r="K365">
        <v>132.4503311258278</v>
      </c>
      <c r="N365" t="s">
        <v>613</v>
      </c>
      <c r="P365" t="s">
        <v>3694</v>
      </c>
    </row>
    <row r="366" spans="1:16" hidden="1" x14ac:dyDescent="0.25">
      <c r="A366" t="s">
        <v>3693</v>
      </c>
      <c r="B366" t="s">
        <v>1571</v>
      </c>
      <c r="C366" t="s">
        <v>155</v>
      </c>
      <c r="D366" t="s">
        <v>26</v>
      </c>
      <c r="E366" t="s">
        <v>42</v>
      </c>
      <c r="F366">
        <v>1</v>
      </c>
      <c r="G366" t="s">
        <v>4</v>
      </c>
      <c r="H366" t="s">
        <v>15</v>
      </c>
      <c r="I366">
        <v>200000.53</v>
      </c>
      <c r="J366" s="2">
        <v>200000.53</v>
      </c>
      <c r="K366">
        <v>132.45068211920531</v>
      </c>
      <c r="N366" t="s">
        <v>613</v>
      </c>
      <c r="P366" t="s">
        <v>3694</v>
      </c>
    </row>
    <row r="367" spans="1:16" hidden="1" x14ac:dyDescent="0.25">
      <c r="A367" t="s">
        <v>3693</v>
      </c>
      <c r="B367" t="s">
        <v>3299</v>
      </c>
      <c r="C367" t="s">
        <v>3300</v>
      </c>
      <c r="D367" t="s">
        <v>26</v>
      </c>
      <c r="E367" t="s">
        <v>42</v>
      </c>
      <c r="F367">
        <v>1</v>
      </c>
      <c r="G367" t="s">
        <v>4</v>
      </c>
      <c r="H367" t="s">
        <v>15</v>
      </c>
      <c r="I367">
        <v>250000</v>
      </c>
      <c r="J367" s="2">
        <v>250000</v>
      </c>
      <c r="K367">
        <v>165.56291390728478</v>
      </c>
      <c r="N367" t="s">
        <v>613</v>
      </c>
      <c r="P367" t="s">
        <v>3694</v>
      </c>
    </row>
    <row r="368" spans="1:16" hidden="1" x14ac:dyDescent="0.25">
      <c r="A368" t="s">
        <v>3693</v>
      </c>
      <c r="B368" t="s">
        <v>3155</v>
      </c>
      <c r="C368" t="s">
        <v>3156</v>
      </c>
      <c r="D368" t="s">
        <v>26</v>
      </c>
      <c r="E368" t="s">
        <v>42</v>
      </c>
      <c r="F368">
        <v>1</v>
      </c>
      <c r="G368" t="s">
        <v>4</v>
      </c>
      <c r="H368" t="s">
        <v>15</v>
      </c>
      <c r="I368">
        <v>250000</v>
      </c>
      <c r="J368" s="2">
        <v>250000</v>
      </c>
      <c r="K368">
        <v>165.56291390728478</v>
      </c>
      <c r="N368" t="s">
        <v>613</v>
      </c>
      <c r="P368" t="s">
        <v>3694</v>
      </c>
    </row>
    <row r="369" spans="1:16" hidden="1" x14ac:dyDescent="0.25">
      <c r="A369" t="s">
        <v>3693</v>
      </c>
      <c r="B369" t="s">
        <v>334</v>
      </c>
      <c r="C369" t="s">
        <v>2836</v>
      </c>
      <c r="D369" t="s">
        <v>26</v>
      </c>
      <c r="E369" t="s">
        <v>42</v>
      </c>
      <c r="F369">
        <v>1</v>
      </c>
      <c r="G369" t="s">
        <v>4</v>
      </c>
      <c r="H369" t="s">
        <v>15</v>
      </c>
      <c r="I369">
        <v>429000</v>
      </c>
      <c r="J369" s="2">
        <v>429000</v>
      </c>
      <c r="K369">
        <v>284.10596026490066</v>
      </c>
      <c r="N369" t="s">
        <v>613</v>
      </c>
      <c r="P369" t="s">
        <v>3694</v>
      </c>
    </row>
    <row r="370" spans="1:16" x14ac:dyDescent="0.25">
      <c r="A370" s="89" t="s">
        <v>3693</v>
      </c>
      <c r="B370" s="89" t="s">
        <v>2940</v>
      </c>
      <c r="C370" s="89" t="s">
        <v>91</v>
      </c>
      <c r="D370" t="s">
        <v>26</v>
      </c>
      <c r="E370" t="s">
        <v>42</v>
      </c>
      <c r="F370" s="89">
        <v>2</v>
      </c>
      <c r="G370" s="89" t="s">
        <v>4</v>
      </c>
      <c r="H370" t="s">
        <v>15</v>
      </c>
      <c r="I370">
        <v>560000</v>
      </c>
      <c r="J370" s="49">
        <v>560000</v>
      </c>
      <c r="K370">
        <v>370.86092715231786</v>
      </c>
      <c r="N370" t="s">
        <v>613</v>
      </c>
      <c r="P370" t="s">
        <v>3694</v>
      </c>
    </row>
    <row r="371" spans="1:16" x14ac:dyDescent="0.25">
      <c r="A371" s="89" t="s">
        <v>3693</v>
      </c>
      <c r="B371" s="89" t="s">
        <v>2922</v>
      </c>
      <c r="C371" s="89" t="s">
        <v>3442</v>
      </c>
      <c r="D371" t="s">
        <v>61</v>
      </c>
      <c r="E371" t="s">
        <v>42</v>
      </c>
      <c r="F371" s="89">
        <v>2</v>
      </c>
      <c r="G371" s="89" t="s">
        <v>4</v>
      </c>
      <c r="H371" t="s">
        <v>15</v>
      </c>
      <c r="I371">
        <v>729000</v>
      </c>
      <c r="J371" s="49">
        <v>729000</v>
      </c>
      <c r="K371">
        <v>482.78145695364236</v>
      </c>
      <c r="N371" t="s">
        <v>613</v>
      </c>
      <c r="P371" t="s">
        <v>3694</v>
      </c>
    </row>
    <row r="372" spans="1:16" x14ac:dyDescent="0.25">
      <c r="A372" t="s">
        <v>3693</v>
      </c>
      <c r="B372" t="s">
        <v>3573</v>
      </c>
      <c r="C372" t="s">
        <v>3288</v>
      </c>
      <c r="D372" t="s">
        <v>26</v>
      </c>
      <c r="E372" t="s">
        <v>42</v>
      </c>
      <c r="F372">
        <v>2</v>
      </c>
      <c r="G372" t="s">
        <v>4</v>
      </c>
      <c r="H372" t="s">
        <v>15</v>
      </c>
      <c r="I372">
        <v>1000000</v>
      </c>
      <c r="J372" s="2">
        <v>1000000</v>
      </c>
      <c r="K372">
        <v>662.25165562913912</v>
      </c>
      <c r="N372" t="s">
        <v>613</v>
      </c>
      <c r="P372" t="s">
        <v>3694</v>
      </c>
    </row>
    <row r="373" spans="1:16" x14ac:dyDescent="0.25">
      <c r="A373" s="89" t="s">
        <v>3693</v>
      </c>
      <c r="B373" s="89" t="s">
        <v>483</v>
      </c>
      <c r="C373" s="89" t="s">
        <v>3442</v>
      </c>
      <c r="D373" t="s">
        <v>26</v>
      </c>
      <c r="E373" t="s">
        <v>42</v>
      </c>
      <c r="F373" s="89">
        <v>2</v>
      </c>
      <c r="G373" s="89" t="s">
        <v>4</v>
      </c>
      <c r="H373" t="s">
        <v>15</v>
      </c>
      <c r="I373">
        <v>1000000</v>
      </c>
      <c r="J373" s="49">
        <v>1000000</v>
      </c>
      <c r="K373">
        <v>662.25165562913912</v>
      </c>
      <c r="N373" t="s">
        <v>613</v>
      </c>
      <c r="P373" t="s">
        <v>3694</v>
      </c>
    </row>
    <row r="374" spans="1:16" x14ac:dyDescent="0.25">
      <c r="J374" s="2">
        <f>SUBTOTAL(109,Tabla2427[Importe AR$])</f>
        <v>3289000</v>
      </c>
    </row>
    <row r="376" spans="1:16" x14ac:dyDescent="0.25">
      <c r="G376" t="s">
        <v>26</v>
      </c>
      <c r="J376" s="4">
        <f>Tabla2427[[#Totals],[Importe AR$]]+Tabla2426[[#Totals],[Importe AR$]]</f>
        <v>4968000.53</v>
      </c>
    </row>
    <row r="378" spans="1:16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13</v>
      </c>
      <c r="H378" t="s">
        <v>14</v>
      </c>
      <c r="I378" t="s">
        <v>15</v>
      </c>
      <c r="J378" s="2" t="s">
        <v>16</v>
      </c>
      <c r="K378" t="s">
        <v>17</v>
      </c>
      <c r="L378" t="s">
        <v>18</v>
      </c>
      <c r="M378" t="s">
        <v>19</v>
      </c>
      <c r="N378" t="s">
        <v>20</v>
      </c>
      <c r="O378" t="s">
        <v>21</v>
      </c>
      <c r="P378" t="s">
        <v>22</v>
      </c>
    </row>
    <row r="379" spans="1:16" x14ac:dyDescent="0.25">
      <c r="A379" t="s">
        <v>3754</v>
      </c>
      <c r="B379" t="s">
        <v>1571</v>
      </c>
      <c r="C379" t="s">
        <v>155</v>
      </c>
      <c r="D379" t="s">
        <v>26</v>
      </c>
      <c r="E379" t="s">
        <v>42</v>
      </c>
      <c r="F379">
        <v>1</v>
      </c>
      <c r="G379" t="s">
        <v>4</v>
      </c>
      <c r="H379" t="s">
        <v>15</v>
      </c>
      <c r="I379">
        <v>0</v>
      </c>
      <c r="J379" s="2">
        <v>0</v>
      </c>
      <c r="K379">
        <v>0</v>
      </c>
      <c r="N379" t="s">
        <v>744</v>
      </c>
      <c r="P379" t="s">
        <v>3755</v>
      </c>
    </row>
    <row r="380" spans="1:16" x14ac:dyDescent="0.25">
      <c r="A380" t="s">
        <v>3754</v>
      </c>
      <c r="B380" t="s">
        <v>3048</v>
      </c>
      <c r="C380" t="s">
        <v>155</v>
      </c>
      <c r="D380" t="s">
        <v>26</v>
      </c>
      <c r="E380" t="s">
        <v>42</v>
      </c>
      <c r="F380">
        <v>1</v>
      </c>
      <c r="G380" t="s">
        <v>4</v>
      </c>
      <c r="H380" t="s">
        <v>15</v>
      </c>
      <c r="I380">
        <v>0</v>
      </c>
      <c r="J380" s="2">
        <v>0</v>
      </c>
      <c r="K380">
        <v>0</v>
      </c>
      <c r="N380" t="s">
        <v>744</v>
      </c>
      <c r="P380" t="s">
        <v>3755</v>
      </c>
    </row>
    <row r="381" spans="1:16" x14ac:dyDescent="0.25">
      <c r="A381" t="s">
        <v>3754</v>
      </c>
      <c r="B381" t="s">
        <v>3763</v>
      </c>
      <c r="C381" t="s">
        <v>3764</v>
      </c>
      <c r="D381" t="s">
        <v>26</v>
      </c>
      <c r="E381" t="s">
        <v>42</v>
      </c>
      <c r="F381">
        <v>1</v>
      </c>
      <c r="G381" t="s">
        <v>4</v>
      </c>
      <c r="H381" t="s">
        <v>15</v>
      </c>
      <c r="I381">
        <v>100700</v>
      </c>
      <c r="J381" s="2">
        <v>100700</v>
      </c>
      <c r="K381">
        <v>66.910299003322265</v>
      </c>
      <c r="N381" t="s">
        <v>744</v>
      </c>
      <c r="P381" t="s">
        <v>3755</v>
      </c>
    </row>
    <row r="382" spans="1:16" x14ac:dyDescent="0.25">
      <c r="A382" t="s">
        <v>3754</v>
      </c>
      <c r="B382" t="s">
        <v>483</v>
      </c>
      <c r="C382" t="s">
        <v>155</v>
      </c>
      <c r="D382" t="s">
        <v>26</v>
      </c>
      <c r="E382" t="s">
        <v>42</v>
      </c>
      <c r="F382">
        <v>1</v>
      </c>
      <c r="G382" t="s">
        <v>4</v>
      </c>
      <c r="H382" t="s">
        <v>15</v>
      </c>
      <c r="I382">
        <v>200000</v>
      </c>
      <c r="J382" s="2">
        <v>200000</v>
      </c>
      <c r="K382">
        <v>132.89036544850498</v>
      </c>
      <c r="N382" t="s">
        <v>744</v>
      </c>
      <c r="P382" t="s">
        <v>3755</v>
      </c>
    </row>
    <row r="383" spans="1:16" x14ac:dyDescent="0.25">
      <c r="A383" t="s">
        <v>3754</v>
      </c>
      <c r="B383" t="s">
        <v>3169</v>
      </c>
      <c r="C383" t="s">
        <v>3170</v>
      </c>
      <c r="D383" t="s">
        <v>26</v>
      </c>
      <c r="E383" t="s">
        <v>42</v>
      </c>
      <c r="F383">
        <v>1</v>
      </c>
      <c r="G383" t="s">
        <v>4</v>
      </c>
      <c r="H383" t="s">
        <v>15</v>
      </c>
      <c r="I383">
        <v>235000</v>
      </c>
      <c r="J383" s="2">
        <v>235000</v>
      </c>
      <c r="K383">
        <v>156.14617940199335</v>
      </c>
      <c r="N383" t="s">
        <v>744</v>
      </c>
      <c r="P383" t="s">
        <v>3755</v>
      </c>
    </row>
    <row r="384" spans="1:16" x14ac:dyDescent="0.25">
      <c r="A384" t="s">
        <v>3754</v>
      </c>
      <c r="B384" t="s">
        <v>3299</v>
      </c>
      <c r="C384" t="s">
        <v>3300</v>
      </c>
      <c r="D384" t="s">
        <v>26</v>
      </c>
      <c r="E384" t="s">
        <v>42</v>
      </c>
      <c r="F384">
        <v>1</v>
      </c>
      <c r="G384" t="s">
        <v>4</v>
      </c>
      <c r="H384" t="s">
        <v>15</v>
      </c>
      <c r="I384">
        <v>250000</v>
      </c>
      <c r="J384" s="2">
        <v>250000</v>
      </c>
      <c r="K384">
        <v>166.11295681063123</v>
      </c>
      <c r="N384" t="s">
        <v>744</v>
      </c>
      <c r="P384" t="s">
        <v>3755</v>
      </c>
    </row>
    <row r="385" spans="1:16" x14ac:dyDescent="0.25">
      <c r="A385" t="s">
        <v>3754</v>
      </c>
      <c r="B385" t="s">
        <v>3155</v>
      </c>
      <c r="C385" t="s">
        <v>3156</v>
      </c>
      <c r="D385" t="s">
        <v>26</v>
      </c>
      <c r="E385" t="s">
        <v>42</v>
      </c>
      <c r="F385">
        <v>1</v>
      </c>
      <c r="G385" t="s">
        <v>4</v>
      </c>
      <c r="H385" t="s">
        <v>15</v>
      </c>
      <c r="I385">
        <v>250000</v>
      </c>
      <c r="J385" s="2">
        <v>250000</v>
      </c>
      <c r="K385">
        <v>166.11295681063123</v>
      </c>
      <c r="N385" t="s">
        <v>744</v>
      </c>
      <c r="P385" t="s">
        <v>3755</v>
      </c>
    </row>
    <row r="386" spans="1:16" hidden="1" x14ac:dyDescent="0.25">
      <c r="A386" t="s">
        <v>3754</v>
      </c>
      <c r="B386" t="s">
        <v>2728</v>
      </c>
      <c r="C386" t="s">
        <v>3608</v>
      </c>
      <c r="D386" t="s">
        <v>26</v>
      </c>
      <c r="E386" t="s">
        <v>42</v>
      </c>
      <c r="F386">
        <v>2</v>
      </c>
      <c r="G386" t="s">
        <v>4</v>
      </c>
      <c r="H386" t="s">
        <v>15</v>
      </c>
      <c r="I386">
        <v>500000</v>
      </c>
      <c r="J386" s="2">
        <v>500000</v>
      </c>
      <c r="K386">
        <v>332.22591362126246</v>
      </c>
      <c r="N386" t="s">
        <v>744</v>
      </c>
      <c r="P386" t="s">
        <v>3755</v>
      </c>
    </row>
    <row r="387" spans="1:16" hidden="1" x14ac:dyDescent="0.25">
      <c r="A387" t="s">
        <v>3754</v>
      </c>
      <c r="B387" t="s">
        <v>1854</v>
      </c>
      <c r="C387" t="s">
        <v>2667</v>
      </c>
      <c r="D387" t="s">
        <v>26</v>
      </c>
      <c r="E387" t="s">
        <v>42</v>
      </c>
      <c r="F387">
        <v>2</v>
      </c>
      <c r="G387" t="s">
        <v>4</v>
      </c>
      <c r="H387" t="s">
        <v>15</v>
      </c>
      <c r="I387">
        <v>1000000</v>
      </c>
      <c r="J387" s="2">
        <v>1000000</v>
      </c>
      <c r="K387">
        <v>664.45182724252493</v>
      </c>
      <c r="N387" t="s">
        <v>744</v>
      </c>
      <c r="P387" t="s">
        <v>3755</v>
      </c>
    </row>
    <row r="388" spans="1:16" hidden="1" x14ac:dyDescent="0.25">
      <c r="A388" t="s">
        <v>3754</v>
      </c>
      <c r="B388" t="s">
        <v>3573</v>
      </c>
      <c r="C388" t="s">
        <v>3288</v>
      </c>
      <c r="D388" t="s">
        <v>26</v>
      </c>
      <c r="E388" t="s">
        <v>42</v>
      </c>
      <c r="F388">
        <v>2</v>
      </c>
      <c r="G388" t="s">
        <v>4</v>
      </c>
      <c r="H388" t="s">
        <v>15</v>
      </c>
      <c r="I388">
        <v>1000000</v>
      </c>
      <c r="J388" s="2">
        <v>1000000</v>
      </c>
      <c r="K388">
        <v>664.45182724252493</v>
      </c>
      <c r="N388" t="s">
        <v>744</v>
      </c>
      <c r="P388" t="s">
        <v>3755</v>
      </c>
    </row>
    <row r="389" spans="1:16" hidden="1" x14ac:dyDescent="0.25">
      <c r="A389" t="s">
        <v>3754</v>
      </c>
      <c r="B389" t="s">
        <v>483</v>
      </c>
      <c r="C389" t="s">
        <v>3442</v>
      </c>
      <c r="D389" t="s">
        <v>26</v>
      </c>
      <c r="E389" t="s">
        <v>42</v>
      </c>
      <c r="F389">
        <v>2</v>
      </c>
      <c r="G389" t="s">
        <v>4</v>
      </c>
      <c r="H389" t="s">
        <v>15</v>
      </c>
      <c r="I389">
        <v>1000000</v>
      </c>
      <c r="J389" s="2">
        <v>1000000</v>
      </c>
      <c r="K389">
        <v>664.45182724252493</v>
      </c>
      <c r="N389" t="s">
        <v>744</v>
      </c>
      <c r="P389" t="s">
        <v>3755</v>
      </c>
    </row>
    <row r="390" spans="1:16" hidden="1" x14ac:dyDescent="0.25">
      <c r="A390" t="s">
        <v>3754</v>
      </c>
      <c r="B390" t="s">
        <v>2922</v>
      </c>
      <c r="C390" t="s">
        <v>3506</v>
      </c>
      <c r="D390" t="s">
        <v>61</v>
      </c>
      <c r="E390" t="s">
        <v>42</v>
      </c>
      <c r="F390">
        <v>2</v>
      </c>
      <c r="G390" t="s">
        <v>4</v>
      </c>
      <c r="H390" t="s">
        <v>15</v>
      </c>
      <c r="I390">
        <v>1000000</v>
      </c>
      <c r="J390" s="2">
        <v>1000000</v>
      </c>
      <c r="K390">
        <v>664.45182724252493</v>
      </c>
      <c r="N390" t="s">
        <v>744</v>
      </c>
      <c r="P390" t="s">
        <v>3755</v>
      </c>
    </row>
    <row r="394" spans="1:16" x14ac:dyDescent="0.25">
      <c r="A394" t="s">
        <v>7</v>
      </c>
      <c r="B394" t="s">
        <v>8</v>
      </c>
      <c r="C394" t="s">
        <v>9</v>
      </c>
      <c r="D394" t="s">
        <v>10</v>
      </c>
      <c r="E394" t="s">
        <v>11</v>
      </c>
      <c r="F394" t="s">
        <v>12</v>
      </c>
      <c r="G394" t="s">
        <v>13</v>
      </c>
      <c r="H394" t="s">
        <v>14</v>
      </c>
      <c r="I394" t="s">
        <v>15</v>
      </c>
      <c r="J394" s="2" t="s">
        <v>16</v>
      </c>
      <c r="K394" t="s">
        <v>17</v>
      </c>
      <c r="L394" t="s">
        <v>18</v>
      </c>
      <c r="M394" t="s">
        <v>19</v>
      </c>
      <c r="N394" t="s">
        <v>20</v>
      </c>
      <c r="O394" t="s">
        <v>21</v>
      </c>
      <c r="P394" t="s">
        <v>22</v>
      </c>
    </row>
    <row r="395" spans="1:16" hidden="1" x14ac:dyDescent="0.25">
      <c r="A395" t="s">
        <v>3754</v>
      </c>
      <c r="B395" t="s">
        <v>1571</v>
      </c>
      <c r="C395" t="s">
        <v>155</v>
      </c>
      <c r="D395" t="s">
        <v>26</v>
      </c>
      <c r="E395" t="s">
        <v>42</v>
      </c>
      <c r="F395">
        <v>1</v>
      </c>
      <c r="G395" t="s">
        <v>4</v>
      </c>
      <c r="H395" t="s">
        <v>15</v>
      </c>
      <c r="I395">
        <v>0</v>
      </c>
      <c r="J395" s="2">
        <v>0</v>
      </c>
      <c r="K395">
        <v>0</v>
      </c>
      <c r="N395" t="s">
        <v>744</v>
      </c>
      <c r="P395" t="s">
        <v>3755</v>
      </c>
    </row>
    <row r="396" spans="1:16" hidden="1" x14ac:dyDescent="0.25">
      <c r="A396" t="s">
        <v>3754</v>
      </c>
      <c r="B396" t="s">
        <v>3048</v>
      </c>
      <c r="C396" t="s">
        <v>155</v>
      </c>
      <c r="D396" t="s">
        <v>26</v>
      </c>
      <c r="E396" t="s">
        <v>42</v>
      </c>
      <c r="F396">
        <v>1</v>
      </c>
      <c r="G396" t="s">
        <v>4</v>
      </c>
      <c r="H396" t="s">
        <v>15</v>
      </c>
      <c r="I396">
        <v>0</v>
      </c>
      <c r="J396" s="2">
        <v>0</v>
      </c>
      <c r="K396">
        <v>0</v>
      </c>
      <c r="N396" t="s">
        <v>744</v>
      </c>
      <c r="P396" t="s">
        <v>3755</v>
      </c>
    </row>
    <row r="397" spans="1:16" hidden="1" x14ac:dyDescent="0.25">
      <c r="A397" t="s">
        <v>3754</v>
      </c>
      <c r="B397" t="s">
        <v>3763</v>
      </c>
      <c r="C397" t="s">
        <v>3764</v>
      </c>
      <c r="D397" t="s">
        <v>26</v>
      </c>
      <c r="E397" t="s">
        <v>42</v>
      </c>
      <c r="F397">
        <v>1</v>
      </c>
      <c r="G397" t="s">
        <v>4</v>
      </c>
      <c r="H397" t="s">
        <v>15</v>
      </c>
      <c r="I397">
        <v>100700</v>
      </c>
      <c r="J397" s="2">
        <v>100700</v>
      </c>
      <c r="K397">
        <v>66.910299003322265</v>
      </c>
      <c r="N397" t="s">
        <v>744</v>
      </c>
      <c r="P397" t="s">
        <v>3755</v>
      </c>
    </row>
    <row r="398" spans="1:16" hidden="1" x14ac:dyDescent="0.25">
      <c r="A398" t="s">
        <v>3754</v>
      </c>
      <c r="B398" t="s">
        <v>483</v>
      </c>
      <c r="C398" t="s">
        <v>155</v>
      </c>
      <c r="D398" t="s">
        <v>26</v>
      </c>
      <c r="E398" t="s">
        <v>42</v>
      </c>
      <c r="F398">
        <v>1</v>
      </c>
      <c r="G398" t="s">
        <v>4</v>
      </c>
      <c r="H398" t="s">
        <v>15</v>
      </c>
      <c r="I398">
        <v>200000</v>
      </c>
      <c r="J398" s="2">
        <v>200000</v>
      </c>
      <c r="K398">
        <v>132.89036544850498</v>
      </c>
      <c r="N398" t="s">
        <v>744</v>
      </c>
      <c r="P398" t="s">
        <v>3755</v>
      </c>
    </row>
    <row r="399" spans="1:16" hidden="1" x14ac:dyDescent="0.25">
      <c r="A399" t="s">
        <v>3754</v>
      </c>
      <c r="B399" t="s">
        <v>3169</v>
      </c>
      <c r="C399" t="s">
        <v>3170</v>
      </c>
      <c r="D399" t="s">
        <v>26</v>
      </c>
      <c r="E399" t="s">
        <v>42</v>
      </c>
      <c r="F399">
        <v>1</v>
      </c>
      <c r="G399" t="s">
        <v>4</v>
      </c>
      <c r="H399" t="s">
        <v>15</v>
      </c>
      <c r="I399">
        <v>235000</v>
      </c>
      <c r="J399" s="2">
        <v>235000</v>
      </c>
      <c r="K399">
        <v>156.14617940199335</v>
      </c>
      <c r="N399" t="s">
        <v>744</v>
      </c>
      <c r="P399" t="s">
        <v>3755</v>
      </c>
    </row>
    <row r="400" spans="1:16" hidden="1" x14ac:dyDescent="0.25">
      <c r="A400" t="s">
        <v>3754</v>
      </c>
      <c r="B400" t="s">
        <v>3299</v>
      </c>
      <c r="C400" t="s">
        <v>3300</v>
      </c>
      <c r="D400" t="s">
        <v>26</v>
      </c>
      <c r="E400" t="s">
        <v>42</v>
      </c>
      <c r="F400">
        <v>1</v>
      </c>
      <c r="G400" t="s">
        <v>4</v>
      </c>
      <c r="H400" t="s">
        <v>15</v>
      </c>
      <c r="I400">
        <v>250000</v>
      </c>
      <c r="J400" s="2">
        <v>250000</v>
      </c>
      <c r="K400">
        <v>166.11295681063123</v>
      </c>
      <c r="N400" t="s">
        <v>744</v>
      </c>
      <c r="P400" t="s">
        <v>3755</v>
      </c>
    </row>
    <row r="401" spans="1:16" hidden="1" x14ac:dyDescent="0.25">
      <c r="A401" t="s">
        <v>3754</v>
      </c>
      <c r="B401" t="s">
        <v>3155</v>
      </c>
      <c r="C401" t="s">
        <v>3156</v>
      </c>
      <c r="D401" t="s">
        <v>26</v>
      </c>
      <c r="E401" t="s">
        <v>42</v>
      </c>
      <c r="F401">
        <v>1</v>
      </c>
      <c r="G401" t="s">
        <v>4</v>
      </c>
      <c r="H401" t="s">
        <v>15</v>
      </c>
      <c r="I401">
        <v>250000</v>
      </c>
      <c r="J401" s="2">
        <v>250000</v>
      </c>
      <c r="K401">
        <v>166.11295681063123</v>
      </c>
      <c r="N401" t="s">
        <v>744</v>
      </c>
      <c r="P401" t="s">
        <v>3755</v>
      </c>
    </row>
    <row r="402" spans="1:16" x14ac:dyDescent="0.25">
      <c r="A402" t="s">
        <v>3754</v>
      </c>
      <c r="B402" t="s">
        <v>2728</v>
      </c>
      <c r="C402" t="s">
        <v>3608</v>
      </c>
      <c r="D402" t="s">
        <v>26</v>
      </c>
      <c r="E402" t="s">
        <v>42</v>
      </c>
      <c r="F402">
        <v>2</v>
      </c>
      <c r="G402" t="s">
        <v>4</v>
      </c>
      <c r="H402" t="s">
        <v>15</v>
      </c>
      <c r="I402">
        <v>500000</v>
      </c>
      <c r="J402" s="2">
        <v>500000</v>
      </c>
      <c r="K402">
        <v>332.22591362126246</v>
      </c>
      <c r="N402" t="s">
        <v>744</v>
      </c>
      <c r="P402" t="s">
        <v>3755</v>
      </c>
    </row>
    <row r="403" spans="1:16" x14ac:dyDescent="0.25">
      <c r="A403" t="s">
        <v>3754</v>
      </c>
      <c r="B403" t="s">
        <v>1854</v>
      </c>
      <c r="C403" t="s">
        <v>2667</v>
      </c>
      <c r="D403" t="s">
        <v>26</v>
      </c>
      <c r="E403" t="s">
        <v>42</v>
      </c>
      <c r="F403">
        <v>2</v>
      </c>
      <c r="G403" t="s">
        <v>4</v>
      </c>
      <c r="H403" t="s">
        <v>15</v>
      </c>
      <c r="I403">
        <v>1000000</v>
      </c>
      <c r="J403" s="2">
        <v>1000000</v>
      </c>
      <c r="K403">
        <v>664.45182724252493</v>
      </c>
      <c r="N403" t="s">
        <v>744</v>
      </c>
      <c r="P403" t="s">
        <v>3755</v>
      </c>
    </row>
    <row r="404" spans="1:16" x14ac:dyDescent="0.25">
      <c r="A404" t="s">
        <v>3754</v>
      </c>
      <c r="B404" t="s">
        <v>3573</v>
      </c>
      <c r="C404" t="s">
        <v>3288</v>
      </c>
      <c r="D404" t="s">
        <v>26</v>
      </c>
      <c r="E404" t="s">
        <v>42</v>
      </c>
      <c r="F404">
        <v>2</v>
      </c>
      <c r="G404" t="s">
        <v>4</v>
      </c>
      <c r="H404" t="s">
        <v>15</v>
      </c>
      <c r="I404">
        <v>1000000</v>
      </c>
      <c r="J404" s="2">
        <v>1000000</v>
      </c>
      <c r="K404">
        <v>664.45182724252493</v>
      </c>
      <c r="N404" t="s">
        <v>744</v>
      </c>
      <c r="P404" t="s">
        <v>3755</v>
      </c>
    </row>
    <row r="405" spans="1:16" x14ac:dyDescent="0.25">
      <c r="A405" t="s">
        <v>3754</v>
      </c>
      <c r="B405" t="s">
        <v>483</v>
      </c>
      <c r="C405" t="s">
        <v>3442</v>
      </c>
      <c r="D405" t="s">
        <v>26</v>
      </c>
      <c r="E405" t="s">
        <v>42</v>
      </c>
      <c r="F405">
        <v>2</v>
      </c>
      <c r="G405" t="s">
        <v>4</v>
      </c>
      <c r="H405" t="s">
        <v>15</v>
      </c>
      <c r="I405">
        <v>1000000</v>
      </c>
      <c r="J405" s="2">
        <v>1000000</v>
      </c>
      <c r="K405">
        <v>664.45182724252493</v>
      </c>
      <c r="N405" t="s">
        <v>744</v>
      </c>
      <c r="P405" t="s">
        <v>3755</v>
      </c>
    </row>
    <row r="406" spans="1:16" x14ac:dyDescent="0.25">
      <c r="A406" t="s">
        <v>3754</v>
      </c>
      <c r="B406" t="s">
        <v>2922</v>
      </c>
      <c r="C406" t="s">
        <v>3506</v>
      </c>
      <c r="D406" t="s">
        <v>61</v>
      </c>
      <c r="E406" t="s">
        <v>42</v>
      </c>
      <c r="F406">
        <v>2</v>
      </c>
      <c r="G406" t="s">
        <v>4</v>
      </c>
      <c r="H406" t="s">
        <v>15</v>
      </c>
      <c r="I406">
        <v>1000000</v>
      </c>
      <c r="J406" s="2">
        <v>1000000</v>
      </c>
      <c r="K406">
        <v>664.45182724252493</v>
      </c>
      <c r="N406" t="s">
        <v>744</v>
      </c>
      <c r="P406" t="s">
        <v>3755</v>
      </c>
    </row>
    <row r="409" spans="1:16" x14ac:dyDescent="0.25">
      <c r="J409" s="2">
        <f>Tabla1225[[#Totals],[Importe AR$]]+Tabla1218[[#Totals],[Importe AR$]]</f>
        <v>0</v>
      </c>
    </row>
    <row r="413" spans="1:16" x14ac:dyDescent="0.25">
      <c r="A413" t="s">
        <v>7</v>
      </c>
      <c r="B413" t="s">
        <v>8</v>
      </c>
      <c r="C413" t="s">
        <v>9</v>
      </c>
      <c r="D413" t="s">
        <v>10</v>
      </c>
      <c r="E413" t="s">
        <v>11</v>
      </c>
      <c r="F413" t="s">
        <v>12</v>
      </c>
      <c r="G413" t="s">
        <v>13</v>
      </c>
      <c r="H413" t="s">
        <v>14</v>
      </c>
      <c r="I413" t="s">
        <v>15</v>
      </c>
      <c r="J413" s="2" t="s">
        <v>16</v>
      </c>
      <c r="K413" t="s">
        <v>17</v>
      </c>
      <c r="L413" t="s">
        <v>18</v>
      </c>
      <c r="M413" t="s">
        <v>19</v>
      </c>
      <c r="N413" t="s">
        <v>20</v>
      </c>
      <c r="O413" t="s">
        <v>21</v>
      </c>
      <c r="P413" t="s">
        <v>22</v>
      </c>
    </row>
    <row r="414" spans="1:16" hidden="1" x14ac:dyDescent="0.25">
      <c r="A414" t="s">
        <v>3754</v>
      </c>
      <c r="B414" t="s">
        <v>1571</v>
      </c>
      <c r="C414" t="s">
        <v>155</v>
      </c>
      <c r="D414" t="s">
        <v>26</v>
      </c>
      <c r="E414" t="s">
        <v>42</v>
      </c>
      <c r="F414">
        <v>1</v>
      </c>
      <c r="G414" t="s">
        <v>4</v>
      </c>
      <c r="H414" t="s">
        <v>15</v>
      </c>
      <c r="I414">
        <v>0</v>
      </c>
      <c r="J414" s="2">
        <v>0</v>
      </c>
      <c r="K414">
        <v>0</v>
      </c>
      <c r="N414" t="s">
        <v>744</v>
      </c>
      <c r="P414" t="s">
        <v>3755</v>
      </c>
    </row>
    <row r="415" spans="1:16" hidden="1" x14ac:dyDescent="0.25">
      <c r="A415" t="s">
        <v>3754</v>
      </c>
      <c r="B415" t="s">
        <v>3048</v>
      </c>
      <c r="C415" t="s">
        <v>155</v>
      </c>
      <c r="D415" t="s">
        <v>26</v>
      </c>
      <c r="E415" t="s">
        <v>42</v>
      </c>
      <c r="F415">
        <v>1</v>
      </c>
      <c r="G415" t="s">
        <v>4</v>
      </c>
      <c r="H415" t="s">
        <v>15</v>
      </c>
      <c r="I415">
        <v>0</v>
      </c>
      <c r="J415" s="2">
        <v>0</v>
      </c>
      <c r="K415">
        <v>0</v>
      </c>
      <c r="N415" t="s">
        <v>744</v>
      </c>
      <c r="P415" t="s">
        <v>3755</v>
      </c>
    </row>
    <row r="416" spans="1:16" hidden="1" x14ac:dyDescent="0.25">
      <c r="A416" t="s">
        <v>3754</v>
      </c>
      <c r="B416" t="s">
        <v>2728</v>
      </c>
      <c r="C416" t="s">
        <v>3608</v>
      </c>
      <c r="D416" t="s">
        <v>26</v>
      </c>
      <c r="E416" t="s">
        <v>42</v>
      </c>
      <c r="F416">
        <v>2</v>
      </c>
      <c r="G416" t="s">
        <v>4</v>
      </c>
      <c r="H416" t="s">
        <v>15</v>
      </c>
      <c r="I416">
        <v>0</v>
      </c>
      <c r="J416" s="2">
        <v>0</v>
      </c>
      <c r="K416">
        <v>0</v>
      </c>
      <c r="N416" t="s">
        <v>744</v>
      </c>
      <c r="P416" t="s">
        <v>3755</v>
      </c>
    </row>
    <row r="417" spans="1:16" x14ac:dyDescent="0.25">
      <c r="A417" t="s">
        <v>3754</v>
      </c>
      <c r="B417" t="s">
        <v>3763</v>
      </c>
      <c r="C417" t="s">
        <v>3764</v>
      </c>
      <c r="D417" t="s">
        <v>26</v>
      </c>
      <c r="E417" t="s">
        <v>42</v>
      </c>
      <c r="F417">
        <v>1</v>
      </c>
      <c r="G417" t="s">
        <v>4</v>
      </c>
      <c r="H417" t="s">
        <v>15</v>
      </c>
      <c r="I417">
        <v>100700</v>
      </c>
      <c r="J417" s="2">
        <v>100700</v>
      </c>
      <c r="K417">
        <v>66.910299003322265</v>
      </c>
      <c r="N417" t="s">
        <v>744</v>
      </c>
      <c r="P417" t="s">
        <v>3755</v>
      </c>
    </row>
    <row r="418" spans="1:16" x14ac:dyDescent="0.25">
      <c r="A418" t="s">
        <v>3754</v>
      </c>
      <c r="B418" t="s">
        <v>483</v>
      </c>
      <c r="C418" t="s">
        <v>155</v>
      </c>
      <c r="D418" t="s">
        <v>26</v>
      </c>
      <c r="E418" t="s">
        <v>42</v>
      </c>
      <c r="F418">
        <v>1</v>
      </c>
      <c r="G418" t="s">
        <v>4</v>
      </c>
      <c r="H418" t="s">
        <v>15</v>
      </c>
      <c r="I418">
        <v>200000</v>
      </c>
      <c r="J418" s="2">
        <v>200000</v>
      </c>
      <c r="K418">
        <v>132.89036544850498</v>
      </c>
      <c r="N418" t="s">
        <v>744</v>
      </c>
      <c r="P418" t="s">
        <v>3755</v>
      </c>
    </row>
    <row r="419" spans="1:16" x14ac:dyDescent="0.25">
      <c r="A419" t="s">
        <v>3754</v>
      </c>
      <c r="B419" t="s">
        <v>3169</v>
      </c>
      <c r="C419" t="s">
        <v>3170</v>
      </c>
      <c r="D419" t="s">
        <v>26</v>
      </c>
      <c r="E419" t="s">
        <v>42</v>
      </c>
      <c r="F419">
        <v>1</v>
      </c>
      <c r="G419" t="s">
        <v>4</v>
      </c>
      <c r="H419" t="s">
        <v>15</v>
      </c>
      <c r="I419">
        <v>235000</v>
      </c>
      <c r="J419" s="2">
        <v>235000</v>
      </c>
      <c r="K419">
        <v>156.14617940199335</v>
      </c>
      <c r="N419" t="s">
        <v>744</v>
      </c>
      <c r="P419" t="s">
        <v>3755</v>
      </c>
    </row>
    <row r="420" spans="1:16" x14ac:dyDescent="0.25">
      <c r="A420" t="s">
        <v>3754</v>
      </c>
      <c r="B420" t="s">
        <v>3299</v>
      </c>
      <c r="C420" t="s">
        <v>3300</v>
      </c>
      <c r="D420" t="s">
        <v>26</v>
      </c>
      <c r="E420" t="s">
        <v>42</v>
      </c>
      <c r="F420">
        <v>1</v>
      </c>
      <c r="G420" t="s">
        <v>4</v>
      </c>
      <c r="H420" t="s">
        <v>15</v>
      </c>
      <c r="I420">
        <v>250000</v>
      </c>
      <c r="J420" s="2">
        <v>250000</v>
      </c>
      <c r="K420">
        <v>166.11295681063123</v>
      </c>
      <c r="N420" t="s">
        <v>744</v>
      </c>
      <c r="P420" t="s">
        <v>3755</v>
      </c>
    </row>
    <row r="421" spans="1:16" x14ac:dyDescent="0.25">
      <c r="A421" t="s">
        <v>3754</v>
      </c>
      <c r="B421" t="s">
        <v>3155</v>
      </c>
      <c r="C421" t="s">
        <v>3156</v>
      </c>
      <c r="D421" t="s">
        <v>26</v>
      </c>
      <c r="E421" t="s">
        <v>42</v>
      </c>
      <c r="F421">
        <v>1</v>
      </c>
      <c r="G421" t="s">
        <v>4</v>
      </c>
      <c r="H421" t="s">
        <v>15</v>
      </c>
      <c r="I421">
        <v>250000</v>
      </c>
      <c r="J421" s="2">
        <v>250000</v>
      </c>
      <c r="K421">
        <v>166.11295681063123</v>
      </c>
      <c r="N421" t="s">
        <v>744</v>
      </c>
      <c r="P421" t="s">
        <v>3755</v>
      </c>
    </row>
    <row r="422" spans="1:16" hidden="1" x14ac:dyDescent="0.25">
      <c r="A422" t="s">
        <v>3754</v>
      </c>
      <c r="B422" t="s">
        <v>1215</v>
      </c>
      <c r="D422" t="s">
        <v>26</v>
      </c>
      <c r="E422" t="s">
        <v>42</v>
      </c>
      <c r="F422">
        <v>2</v>
      </c>
      <c r="G422" t="s">
        <v>4</v>
      </c>
      <c r="H422" t="s">
        <v>15</v>
      </c>
      <c r="I422">
        <v>250000</v>
      </c>
      <c r="J422" s="2">
        <v>250000</v>
      </c>
      <c r="K422">
        <v>166.11295681063123</v>
      </c>
      <c r="N422" t="s">
        <v>744</v>
      </c>
      <c r="P422" t="s">
        <v>3755</v>
      </c>
    </row>
    <row r="423" spans="1:16" hidden="1" x14ac:dyDescent="0.25">
      <c r="A423" t="s">
        <v>3754</v>
      </c>
      <c r="B423" t="s">
        <v>2652</v>
      </c>
      <c r="C423" t="s">
        <v>3765</v>
      </c>
      <c r="D423" t="s">
        <v>26</v>
      </c>
      <c r="E423" t="s">
        <v>42</v>
      </c>
      <c r="F423">
        <v>2</v>
      </c>
      <c r="G423" t="s">
        <v>4</v>
      </c>
      <c r="H423" t="s">
        <v>15</v>
      </c>
      <c r="I423">
        <v>500000</v>
      </c>
      <c r="J423" s="2">
        <v>500000</v>
      </c>
      <c r="K423">
        <v>332.22591362126246</v>
      </c>
      <c r="N423" t="s">
        <v>744</v>
      </c>
      <c r="P423" t="s">
        <v>3755</v>
      </c>
    </row>
    <row r="424" spans="1:16" hidden="1" x14ac:dyDescent="0.25">
      <c r="A424" t="s">
        <v>3754</v>
      </c>
      <c r="B424" t="s">
        <v>3703</v>
      </c>
      <c r="C424" t="s">
        <v>2667</v>
      </c>
      <c r="D424" t="s">
        <v>26</v>
      </c>
      <c r="E424" t="s">
        <v>132</v>
      </c>
      <c r="F424">
        <v>2</v>
      </c>
      <c r="G424" t="s">
        <v>4</v>
      </c>
      <c r="H424" t="s">
        <v>15</v>
      </c>
      <c r="I424">
        <v>1000000</v>
      </c>
      <c r="J424" s="2">
        <v>1000000</v>
      </c>
      <c r="K424">
        <v>664.45182724252493</v>
      </c>
      <c r="N424" t="s">
        <v>744</v>
      </c>
      <c r="P424" t="s">
        <v>3755</v>
      </c>
    </row>
    <row r="425" spans="1:16" hidden="1" x14ac:dyDescent="0.25">
      <c r="A425" t="s">
        <v>3754</v>
      </c>
      <c r="B425" t="s">
        <v>483</v>
      </c>
      <c r="C425" t="s">
        <v>3442</v>
      </c>
      <c r="D425" t="s">
        <v>26</v>
      </c>
      <c r="E425" t="s">
        <v>42</v>
      </c>
      <c r="F425">
        <v>2</v>
      </c>
      <c r="G425" t="s">
        <v>4</v>
      </c>
      <c r="H425" t="s">
        <v>15</v>
      </c>
      <c r="I425">
        <v>1000000</v>
      </c>
      <c r="J425" s="2">
        <v>1000000</v>
      </c>
      <c r="K425">
        <v>664.45182724252493</v>
      </c>
      <c r="N425" t="s">
        <v>744</v>
      </c>
      <c r="P425" t="s">
        <v>3755</v>
      </c>
    </row>
    <row r="426" spans="1:16" hidden="1" x14ac:dyDescent="0.25">
      <c r="A426" t="s">
        <v>3754</v>
      </c>
      <c r="B426" t="s">
        <v>2922</v>
      </c>
      <c r="C426" t="s">
        <v>3506</v>
      </c>
      <c r="D426" t="s">
        <v>61</v>
      </c>
      <c r="E426" t="s">
        <v>42</v>
      </c>
      <c r="F426">
        <v>2</v>
      </c>
      <c r="G426" t="s">
        <v>4</v>
      </c>
      <c r="H426" t="s">
        <v>15</v>
      </c>
      <c r="I426">
        <v>1000000</v>
      </c>
      <c r="J426" s="2">
        <v>1000000</v>
      </c>
      <c r="K426">
        <v>664.45182724252493</v>
      </c>
      <c r="N426" t="s">
        <v>744</v>
      </c>
      <c r="P426" t="s">
        <v>3755</v>
      </c>
    </row>
    <row r="427" spans="1:16" hidden="1" x14ac:dyDescent="0.25">
      <c r="A427" t="s">
        <v>3754</v>
      </c>
      <c r="B427" t="s">
        <v>3051</v>
      </c>
      <c r="C427" t="s">
        <v>2667</v>
      </c>
      <c r="D427" t="s">
        <v>26</v>
      </c>
      <c r="E427" t="s">
        <v>42</v>
      </c>
      <c r="F427">
        <v>2</v>
      </c>
      <c r="G427" t="s">
        <v>4</v>
      </c>
      <c r="H427" t="s">
        <v>15</v>
      </c>
      <c r="I427">
        <v>1500000</v>
      </c>
      <c r="J427" s="2">
        <v>1500000</v>
      </c>
      <c r="K427">
        <v>996.67774086378734</v>
      </c>
      <c r="N427" t="s">
        <v>744</v>
      </c>
      <c r="P427" t="s">
        <v>3755</v>
      </c>
    </row>
    <row r="428" spans="1:16" hidden="1" x14ac:dyDescent="0.25">
      <c r="A428" t="s">
        <v>3754</v>
      </c>
      <c r="B428" t="s">
        <v>1854</v>
      </c>
      <c r="C428" t="s">
        <v>2667</v>
      </c>
      <c r="D428" t="s">
        <v>26</v>
      </c>
      <c r="E428" t="s">
        <v>42</v>
      </c>
      <c r="F428">
        <v>2</v>
      </c>
      <c r="G428" t="s">
        <v>4</v>
      </c>
      <c r="H428" t="s">
        <v>15</v>
      </c>
      <c r="I428">
        <v>1500000</v>
      </c>
      <c r="J428" s="2">
        <v>1500000</v>
      </c>
      <c r="K428">
        <v>996.67774086378734</v>
      </c>
      <c r="N428" t="s">
        <v>744</v>
      </c>
      <c r="P428" t="s">
        <v>3755</v>
      </c>
    </row>
    <row r="429" spans="1:16" hidden="1" x14ac:dyDescent="0.25">
      <c r="A429" t="s">
        <v>3754</v>
      </c>
      <c r="B429" t="s">
        <v>3573</v>
      </c>
      <c r="C429" t="s">
        <v>3288</v>
      </c>
      <c r="D429" t="s">
        <v>26</v>
      </c>
      <c r="E429" t="s">
        <v>42</v>
      </c>
      <c r="F429">
        <v>2</v>
      </c>
      <c r="G429" t="s">
        <v>4</v>
      </c>
      <c r="H429" t="s">
        <v>15</v>
      </c>
      <c r="I429">
        <v>1500000</v>
      </c>
      <c r="J429" s="2">
        <v>1500000</v>
      </c>
      <c r="K429">
        <v>996.67774086378734</v>
      </c>
      <c r="N429" t="s">
        <v>744</v>
      </c>
      <c r="P429" t="s">
        <v>3755</v>
      </c>
    </row>
    <row r="430" spans="1:16" x14ac:dyDescent="0.25">
      <c r="J430" s="2">
        <f>SUBTOTAL(109,Tabla3032[Importe AR$])</f>
        <v>1035700</v>
      </c>
    </row>
    <row r="431" spans="1:16" ht="5.25" customHeight="1" x14ac:dyDescent="0.25"/>
    <row r="432" spans="1:16" x14ac:dyDescent="0.25">
      <c r="A432" t="s">
        <v>7</v>
      </c>
      <c r="B432" t="s">
        <v>8</v>
      </c>
      <c r="C432" t="s">
        <v>9</v>
      </c>
      <c r="D432" t="s">
        <v>10</v>
      </c>
      <c r="E432" t="s">
        <v>11</v>
      </c>
      <c r="F432" t="s">
        <v>12</v>
      </c>
      <c r="G432" t="s">
        <v>13</v>
      </c>
      <c r="H432" t="s">
        <v>14</v>
      </c>
      <c r="I432" t="s">
        <v>15</v>
      </c>
      <c r="J432" s="2" t="s">
        <v>16</v>
      </c>
      <c r="K432" t="s">
        <v>17</v>
      </c>
      <c r="L432" t="s">
        <v>18</v>
      </c>
      <c r="M432" t="s">
        <v>19</v>
      </c>
      <c r="N432" t="s">
        <v>20</v>
      </c>
      <c r="O432" t="s">
        <v>21</v>
      </c>
      <c r="P432" t="s">
        <v>22</v>
      </c>
    </row>
    <row r="433" spans="1:16" hidden="1" x14ac:dyDescent="0.25">
      <c r="A433" t="s">
        <v>3754</v>
      </c>
      <c r="B433" t="s">
        <v>1571</v>
      </c>
      <c r="C433" t="s">
        <v>155</v>
      </c>
      <c r="D433" t="s">
        <v>26</v>
      </c>
      <c r="E433" t="s">
        <v>42</v>
      </c>
      <c r="F433">
        <v>1</v>
      </c>
      <c r="G433" t="s">
        <v>4</v>
      </c>
      <c r="H433" t="s">
        <v>15</v>
      </c>
      <c r="I433">
        <v>0</v>
      </c>
      <c r="J433" s="2">
        <v>0</v>
      </c>
      <c r="K433">
        <v>0</v>
      </c>
      <c r="N433" t="s">
        <v>744</v>
      </c>
      <c r="P433" t="s">
        <v>3755</v>
      </c>
    </row>
    <row r="434" spans="1:16" hidden="1" x14ac:dyDescent="0.25">
      <c r="A434" t="s">
        <v>3754</v>
      </c>
      <c r="B434" t="s">
        <v>3048</v>
      </c>
      <c r="C434" t="s">
        <v>155</v>
      </c>
      <c r="D434" t="s">
        <v>26</v>
      </c>
      <c r="E434" t="s">
        <v>42</v>
      </c>
      <c r="F434">
        <v>1</v>
      </c>
      <c r="G434" t="s">
        <v>4</v>
      </c>
      <c r="H434" t="s">
        <v>15</v>
      </c>
      <c r="I434">
        <v>0</v>
      </c>
      <c r="J434" s="2">
        <v>0</v>
      </c>
      <c r="K434">
        <v>0</v>
      </c>
      <c r="N434" t="s">
        <v>744</v>
      </c>
      <c r="P434" t="s">
        <v>3755</v>
      </c>
    </row>
    <row r="435" spans="1:16" hidden="1" x14ac:dyDescent="0.25">
      <c r="A435" t="s">
        <v>3754</v>
      </c>
      <c r="B435" t="s">
        <v>2728</v>
      </c>
      <c r="C435" t="s">
        <v>3608</v>
      </c>
      <c r="D435" t="s">
        <v>26</v>
      </c>
      <c r="E435" t="s">
        <v>42</v>
      </c>
      <c r="F435">
        <v>2</v>
      </c>
      <c r="G435" t="s">
        <v>4</v>
      </c>
      <c r="H435" t="s">
        <v>15</v>
      </c>
      <c r="I435">
        <v>0</v>
      </c>
      <c r="J435" s="2">
        <v>0</v>
      </c>
      <c r="K435">
        <v>0</v>
      </c>
      <c r="N435" t="s">
        <v>744</v>
      </c>
      <c r="P435" t="s">
        <v>3755</v>
      </c>
    </row>
    <row r="436" spans="1:16" hidden="1" x14ac:dyDescent="0.25">
      <c r="A436" t="s">
        <v>3754</v>
      </c>
      <c r="B436" t="s">
        <v>3763</v>
      </c>
      <c r="C436" t="s">
        <v>3764</v>
      </c>
      <c r="D436" t="s">
        <v>26</v>
      </c>
      <c r="E436" t="s">
        <v>42</v>
      </c>
      <c r="F436">
        <v>1</v>
      </c>
      <c r="G436" t="s">
        <v>4</v>
      </c>
      <c r="H436" t="s">
        <v>15</v>
      </c>
      <c r="I436">
        <v>100700</v>
      </c>
      <c r="J436" s="2">
        <v>100700</v>
      </c>
      <c r="K436">
        <v>66.910299003322265</v>
      </c>
      <c r="N436" t="s">
        <v>744</v>
      </c>
      <c r="P436" t="s">
        <v>3755</v>
      </c>
    </row>
    <row r="437" spans="1:16" hidden="1" x14ac:dyDescent="0.25">
      <c r="A437" t="s">
        <v>3754</v>
      </c>
      <c r="B437" t="s">
        <v>483</v>
      </c>
      <c r="C437" t="s">
        <v>155</v>
      </c>
      <c r="D437" t="s">
        <v>26</v>
      </c>
      <c r="E437" t="s">
        <v>42</v>
      </c>
      <c r="F437">
        <v>1</v>
      </c>
      <c r="G437" t="s">
        <v>4</v>
      </c>
      <c r="H437" t="s">
        <v>15</v>
      </c>
      <c r="I437">
        <v>200000</v>
      </c>
      <c r="J437" s="2">
        <v>200000</v>
      </c>
      <c r="K437">
        <v>132.89036544850498</v>
      </c>
      <c r="N437" t="s">
        <v>744</v>
      </c>
      <c r="P437" t="s">
        <v>3755</v>
      </c>
    </row>
    <row r="438" spans="1:16" hidden="1" x14ac:dyDescent="0.25">
      <c r="A438" t="s">
        <v>3754</v>
      </c>
      <c r="B438" t="s">
        <v>3169</v>
      </c>
      <c r="C438" t="s">
        <v>3170</v>
      </c>
      <c r="D438" t="s">
        <v>26</v>
      </c>
      <c r="E438" t="s">
        <v>42</v>
      </c>
      <c r="F438">
        <v>1</v>
      </c>
      <c r="G438" t="s">
        <v>4</v>
      </c>
      <c r="H438" t="s">
        <v>15</v>
      </c>
      <c r="I438">
        <v>235000</v>
      </c>
      <c r="J438" s="2">
        <v>235000</v>
      </c>
      <c r="K438">
        <v>156.14617940199335</v>
      </c>
      <c r="N438" t="s">
        <v>744</v>
      </c>
      <c r="P438" t="s">
        <v>3755</v>
      </c>
    </row>
    <row r="439" spans="1:16" hidden="1" x14ac:dyDescent="0.25">
      <c r="A439" t="s">
        <v>3754</v>
      </c>
      <c r="B439" t="s">
        <v>3299</v>
      </c>
      <c r="C439" t="s">
        <v>3300</v>
      </c>
      <c r="D439" t="s">
        <v>26</v>
      </c>
      <c r="E439" t="s">
        <v>42</v>
      </c>
      <c r="F439">
        <v>1</v>
      </c>
      <c r="G439" t="s">
        <v>4</v>
      </c>
      <c r="H439" t="s">
        <v>15</v>
      </c>
      <c r="I439">
        <v>250000</v>
      </c>
      <c r="J439" s="2">
        <v>250000</v>
      </c>
      <c r="K439">
        <v>166.11295681063123</v>
      </c>
      <c r="N439" t="s">
        <v>744</v>
      </c>
      <c r="P439" t="s">
        <v>3755</v>
      </c>
    </row>
    <row r="440" spans="1:16" hidden="1" x14ac:dyDescent="0.25">
      <c r="A440" t="s">
        <v>3754</v>
      </c>
      <c r="B440" t="s">
        <v>3155</v>
      </c>
      <c r="C440" t="s">
        <v>3156</v>
      </c>
      <c r="D440" t="s">
        <v>26</v>
      </c>
      <c r="E440" t="s">
        <v>42</v>
      </c>
      <c r="F440">
        <v>1</v>
      </c>
      <c r="G440" t="s">
        <v>4</v>
      </c>
      <c r="H440" t="s">
        <v>15</v>
      </c>
      <c r="I440">
        <v>250000</v>
      </c>
      <c r="J440" s="2">
        <v>250000</v>
      </c>
      <c r="K440">
        <v>166.11295681063123</v>
      </c>
      <c r="N440" t="s">
        <v>744</v>
      </c>
      <c r="P440" t="s">
        <v>3755</v>
      </c>
    </row>
    <row r="441" spans="1:16" x14ac:dyDescent="0.25">
      <c r="A441" s="89" t="s">
        <v>3754</v>
      </c>
      <c r="B441" s="89" t="s">
        <v>1215</v>
      </c>
      <c r="C441" s="89"/>
      <c r="D441" t="s">
        <v>26</v>
      </c>
      <c r="E441" t="s">
        <v>42</v>
      </c>
      <c r="F441" s="89">
        <v>2</v>
      </c>
      <c r="G441" s="89" t="s">
        <v>4</v>
      </c>
      <c r="H441" t="s">
        <v>15</v>
      </c>
      <c r="I441">
        <v>250000</v>
      </c>
      <c r="J441" s="49">
        <v>250000</v>
      </c>
      <c r="K441">
        <v>166.11295681063123</v>
      </c>
      <c r="N441" t="s">
        <v>744</v>
      </c>
      <c r="P441" t="s">
        <v>3755</v>
      </c>
    </row>
    <row r="442" spans="1:16" x14ac:dyDescent="0.25">
      <c r="A442" s="89" t="s">
        <v>3754</v>
      </c>
      <c r="B442" s="89" t="s">
        <v>2652</v>
      </c>
      <c r="C442" s="89" t="s">
        <v>3765</v>
      </c>
      <c r="D442" t="s">
        <v>26</v>
      </c>
      <c r="E442" t="s">
        <v>42</v>
      </c>
      <c r="F442" s="89">
        <v>2</v>
      </c>
      <c r="G442" s="89" t="s">
        <v>4</v>
      </c>
      <c r="H442" t="s">
        <v>15</v>
      </c>
      <c r="I442">
        <v>500000</v>
      </c>
      <c r="J442" s="49">
        <v>500000</v>
      </c>
      <c r="K442">
        <v>332.22591362126246</v>
      </c>
      <c r="N442" t="s">
        <v>744</v>
      </c>
      <c r="P442" t="s">
        <v>3755</v>
      </c>
    </row>
    <row r="443" spans="1:16" x14ac:dyDescent="0.25">
      <c r="A443" s="89" t="s">
        <v>3754</v>
      </c>
      <c r="B443" s="89" t="s">
        <v>3703</v>
      </c>
      <c r="C443" s="89" t="s">
        <v>2667</v>
      </c>
      <c r="D443" t="s">
        <v>26</v>
      </c>
      <c r="E443" t="s">
        <v>132</v>
      </c>
      <c r="F443" s="89">
        <v>2</v>
      </c>
      <c r="G443" s="89" t="s">
        <v>4</v>
      </c>
      <c r="H443" t="s">
        <v>15</v>
      </c>
      <c r="I443">
        <v>1000000</v>
      </c>
      <c r="J443" s="49">
        <v>1000000</v>
      </c>
      <c r="K443">
        <v>664.45182724252493</v>
      </c>
      <c r="N443" t="s">
        <v>744</v>
      </c>
      <c r="P443" t="s">
        <v>3755</v>
      </c>
    </row>
    <row r="444" spans="1:16" x14ac:dyDescent="0.25">
      <c r="A444" s="89" t="s">
        <v>3754</v>
      </c>
      <c r="B444" s="89" t="s">
        <v>483</v>
      </c>
      <c r="C444" s="89" t="s">
        <v>3442</v>
      </c>
      <c r="D444" t="s">
        <v>26</v>
      </c>
      <c r="E444" t="s">
        <v>42</v>
      </c>
      <c r="F444" s="89">
        <v>2</v>
      </c>
      <c r="G444" s="89" t="s">
        <v>4</v>
      </c>
      <c r="H444" t="s">
        <v>15</v>
      </c>
      <c r="I444">
        <v>1000000</v>
      </c>
      <c r="J444" s="49">
        <v>1000000</v>
      </c>
      <c r="K444">
        <v>664.45182724252493</v>
      </c>
      <c r="N444" t="s">
        <v>744</v>
      </c>
      <c r="P444" t="s">
        <v>3755</v>
      </c>
    </row>
    <row r="445" spans="1:16" x14ac:dyDescent="0.25">
      <c r="A445" s="89" t="s">
        <v>3754</v>
      </c>
      <c r="B445" s="89" t="s">
        <v>2922</v>
      </c>
      <c r="C445" s="89" t="s">
        <v>3506</v>
      </c>
      <c r="D445" t="s">
        <v>61</v>
      </c>
      <c r="E445" t="s">
        <v>42</v>
      </c>
      <c r="F445" s="89">
        <v>2</v>
      </c>
      <c r="G445" s="89" t="s">
        <v>4</v>
      </c>
      <c r="H445" t="s">
        <v>15</v>
      </c>
      <c r="I445">
        <v>1000000</v>
      </c>
      <c r="J445" s="49">
        <v>1000000</v>
      </c>
      <c r="K445">
        <v>664.45182724252493</v>
      </c>
      <c r="N445" t="s">
        <v>744</v>
      </c>
      <c r="P445" t="s">
        <v>3755</v>
      </c>
    </row>
    <row r="446" spans="1:16" x14ac:dyDescent="0.25">
      <c r="A446" t="s">
        <v>3754</v>
      </c>
      <c r="B446" t="s">
        <v>3051</v>
      </c>
      <c r="C446" t="s">
        <v>2667</v>
      </c>
      <c r="D446" t="s">
        <v>26</v>
      </c>
      <c r="E446" t="s">
        <v>42</v>
      </c>
      <c r="F446">
        <v>2</v>
      </c>
      <c r="G446" t="s">
        <v>4</v>
      </c>
      <c r="H446" t="s">
        <v>15</v>
      </c>
      <c r="I446">
        <v>1500000</v>
      </c>
      <c r="J446" s="2">
        <v>1500000</v>
      </c>
      <c r="K446">
        <v>996.67774086378734</v>
      </c>
      <c r="N446" t="s">
        <v>744</v>
      </c>
      <c r="P446" t="s">
        <v>3755</v>
      </c>
    </row>
    <row r="447" spans="1:16" x14ac:dyDescent="0.25">
      <c r="A447" s="89" t="s">
        <v>3754</v>
      </c>
      <c r="B447" s="89" t="s">
        <v>1854</v>
      </c>
      <c r="C447" s="89" t="s">
        <v>2667</v>
      </c>
      <c r="D447" t="s">
        <v>26</v>
      </c>
      <c r="E447" t="s">
        <v>42</v>
      </c>
      <c r="F447" s="89">
        <v>2</v>
      </c>
      <c r="G447" s="89" t="s">
        <v>4</v>
      </c>
      <c r="H447" t="s">
        <v>15</v>
      </c>
      <c r="I447">
        <v>1500000</v>
      </c>
      <c r="J447" s="49">
        <v>1500000</v>
      </c>
      <c r="K447">
        <v>996.67774086378734</v>
      </c>
      <c r="N447" t="s">
        <v>744</v>
      </c>
      <c r="P447" t="s">
        <v>3755</v>
      </c>
    </row>
    <row r="448" spans="1:16" x14ac:dyDescent="0.25">
      <c r="A448" t="s">
        <v>3754</v>
      </c>
      <c r="B448" t="s">
        <v>3573</v>
      </c>
      <c r="C448" t="s">
        <v>3288</v>
      </c>
      <c r="D448" t="s">
        <v>26</v>
      </c>
      <c r="E448" t="s">
        <v>42</v>
      </c>
      <c r="F448">
        <v>2</v>
      </c>
      <c r="G448" t="s">
        <v>4</v>
      </c>
      <c r="H448" t="s">
        <v>15</v>
      </c>
      <c r="I448">
        <v>1500000</v>
      </c>
      <c r="J448" s="2">
        <v>1500000</v>
      </c>
      <c r="K448">
        <v>996.67774086378734</v>
      </c>
      <c r="N448" t="s">
        <v>744</v>
      </c>
      <c r="P448" t="s">
        <v>3755</v>
      </c>
    </row>
    <row r="449" spans="1:16" x14ac:dyDescent="0.25">
      <c r="J449" s="2">
        <f>SUBTOTAL(109,Tabla3033[Importe AR$])</f>
        <v>8250000</v>
      </c>
    </row>
    <row r="450" spans="1:16" ht="4.5" customHeight="1" x14ac:dyDescent="0.25"/>
    <row r="451" spans="1:16" x14ac:dyDescent="0.25">
      <c r="G451" s="75" t="s">
        <v>26</v>
      </c>
      <c r="J451" s="4">
        <f>Tabla3033[[#Totals],[Importe AR$]]+Tabla3032[[#Totals],[Importe AR$]]</f>
        <v>9285700</v>
      </c>
    </row>
    <row r="455" spans="1:16" x14ac:dyDescent="0.25">
      <c r="A455" t="s">
        <v>7</v>
      </c>
      <c r="B455" t="s">
        <v>8</v>
      </c>
      <c r="C455" t="s">
        <v>9</v>
      </c>
      <c r="D455" t="s">
        <v>10</v>
      </c>
      <c r="E455" t="s">
        <v>11</v>
      </c>
      <c r="F455" t="s">
        <v>12</v>
      </c>
      <c r="G455" t="s">
        <v>13</v>
      </c>
      <c r="H455" t="s">
        <v>14</v>
      </c>
      <c r="I455" t="s">
        <v>15</v>
      </c>
      <c r="J455" s="2" t="s">
        <v>16</v>
      </c>
      <c r="K455" t="s">
        <v>17</v>
      </c>
      <c r="L455" t="s">
        <v>18</v>
      </c>
      <c r="M455" t="s">
        <v>19</v>
      </c>
      <c r="N455" t="s">
        <v>20</v>
      </c>
      <c r="O455" t="s">
        <v>21</v>
      </c>
      <c r="P455" t="s">
        <v>22</v>
      </c>
    </row>
    <row r="456" spans="1:16" hidden="1" x14ac:dyDescent="0.25">
      <c r="A456" t="s">
        <v>3817</v>
      </c>
      <c r="B456" t="s">
        <v>1571</v>
      </c>
      <c r="C456" t="s">
        <v>155</v>
      </c>
      <c r="D456" t="s">
        <v>26</v>
      </c>
      <c r="E456" t="s">
        <v>42</v>
      </c>
      <c r="F456">
        <v>1</v>
      </c>
      <c r="G456" t="s">
        <v>4</v>
      </c>
      <c r="H456" t="s">
        <v>15</v>
      </c>
      <c r="I456">
        <v>0</v>
      </c>
      <c r="J456" s="2">
        <v>0</v>
      </c>
      <c r="K456">
        <v>0</v>
      </c>
      <c r="N456" t="s">
        <v>3846</v>
      </c>
      <c r="P456" t="s">
        <v>3818</v>
      </c>
    </row>
    <row r="457" spans="1:16" hidden="1" x14ac:dyDescent="0.25">
      <c r="A457" t="s">
        <v>3817</v>
      </c>
      <c r="B457" t="s">
        <v>3048</v>
      </c>
      <c r="C457" t="s">
        <v>155</v>
      </c>
      <c r="D457" t="s">
        <v>26</v>
      </c>
      <c r="E457" t="s">
        <v>42</v>
      </c>
      <c r="F457">
        <v>1</v>
      </c>
      <c r="G457" t="s">
        <v>4</v>
      </c>
      <c r="H457" t="s">
        <v>15</v>
      </c>
      <c r="I457">
        <v>0</v>
      </c>
      <c r="J457" s="2">
        <v>0</v>
      </c>
      <c r="K457">
        <v>0</v>
      </c>
      <c r="N457" t="s">
        <v>3846</v>
      </c>
      <c r="P457" t="s">
        <v>3818</v>
      </c>
    </row>
    <row r="458" spans="1:16" x14ac:dyDescent="0.25">
      <c r="A458" s="89" t="s">
        <v>3817</v>
      </c>
      <c r="B458" s="89" t="s">
        <v>3048</v>
      </c>
      <c r="C458" s="89" t="s">
        <v>155</v>
      </c>
      <c r="D458" t="s">
        <v>26</v>
      </c>
      <c r="E458" t="s">
        <v>42</v>
      </c>
      <c r="F458" s="89">
        <v>1</v>
      </c>
      <c r="G458" s="89" t="s">
        <v>4</v>
      </c>
      <c r="H458" t="s">
        <v>15</v>
      </c>
      <c r="I458">
        <v>80000</v>
      </c>
      <c r="J458" s="49">
        <v>80000</v>
      </c>
      <c r="K458">
        <v>53.333333333333336</v>
      </c>
      <c r="N458" t="s">
        <v>3846</v>
      </c>
      <c r="P458" t="s">
        <v>3818</v>
      </c>
    </row>
    <row r="459" spans="1:16" x14ac:dyDescent="0.25">
      <c r="A459" s="89" t="s">
        <v>3817</v>
      </c>
      <c r="B459" s="89" t="s">
        <v>1462</v>
      </c>
      <c r="C459" s="89" t="s">
        <v>155</v>
      </c>
      <c r="D459" t="s">
        <v>26</v>
      </c>
      <c r="E459" t="s">
        <v>42</v>
      </c>
      <c r="F459" s="89">
        <v>1</v>
      </c>
      <c r="G459" s="89" t="s">
        <v>4</v>
      </c>
      <c r="H459" t="s">
        <v>15</v>
      </c>
      <c r="I459">
        <v>98520</v>
      </c>
      <c r="J459" s="49">
        <v>98520</v>
      </c>
      <c r="K459">
        <v>65.680000000000007</v>
      </c>
      <c r="N459" t="s">
        <v>3846</v>
      </c>
      <c r="P459" t="s">
        <v>3818</v>
      </c>
    </row>
    <row r="460" spans="1:16" x14ac:dyDescent="0.25">
      <c r="A460" s="89" t="s">
        <v>3817</v>
      </c>
      <c r="B460" s="89" t="s">
        <v>483</v>
      </c>
      <c r="C460" s="89" t="s">
        <v>155</v>
      </c>
      <c r="D460" t="s">
        <v>26</v>
      </c>
      <c r="E460" t="s">
        <v>42</v>
      </c>
      <c r="F460" s="89">
        <v>1</v>
      </c>
      <c r="G460" s="89" t="s">
        <v>4</v>
      </c>
      <c r="H460" t="s">
        <v>15</v>
      </c>
      <c r="I460">
        <v>160000</v>
      </c>
      <c r="J460" s="49">
        <v>160000</v>
      </c>
      <c r="K460">
        <v>106.66666666666667</v>
      </c>
      <c r="L460" t="s">
        <v>3177</v>
      </c>
      <c r="N460" t="s">
        <v>3846</v>
      </c>
      <c r="P460" t="s">
        <v>3818</v>
      </c>
    </row>
    <row r="461" spans="1:16" x14ac:dyDescent="0.25">
      <c r="A461" t="s">
        <v>3817</v>
      </c>
      <c r="B461" t="s">
        <v>3299</v>
      </c>
      <c r="C461" t="s">
        <v>3300</v>
      </c>
      <c r="D461" t="s">
        <v>26</v>
      </c>
      <c r="E461" t="s">
        <v>42</v>
      </c>
      <c r="F461">
        <v>1</v>
      </c>
      <c r="G461" t="s">
        <v>4</v>
      </c>
      <c r="H461" t="s">
        <v>15</v>
      </c>
      <c r="I461">
        <v>250000</v>
      </c>
      <c r="J461" s="2">
        <v>250000</v>
      </c>
      <c r="K461">
        <v>166.66666666666666</v>
      </c>
      <c r="N461" t="s">
        <v>3846</v>
      </c>
      <c r="P461" t="s">
        <v>3818</v>
      </c>
    </row>
    <row r="462" spans="1:16" x14ac:dyDescent="0.25">
      <c r="A462" t="s">
        <v>3817</v>
      </c>
      <c r="B462" t="s">
        <v>3155</v>
      </c>
      <c r="C462" t="s">
        <v>3156</v>
      </c>
      <c r="D462" t="s">
        <v>26</v>
      </c>
      <c r="E462" t="s">
        <v>42</v>
      </c>
      <c r="F462">
        <v>1</v>
      </c>
      <c r="G462" t="s">
        <v>4</v>
      </c>
      <c r="H462" t="s">
        <v>15</v>
      </c>
      <c r="I462">
        <v>250000</v>
      </c>
      <c r="J462" s="2">
        <v>250000</v>
      </c>
      <c r="K462">
        <v>166.66666666666666</v>
      </c>
      <c r="N462" t="s">
        <v>3846</v>
      </c>
      <c r="P462" t="s">
        <v>3818</v>
      </c>
    </row>
    <row r="463" spans="1:16" x14ac:dyDescent="0.25">
      <c r="A463" s="89" t="s">
        <v>3817</v>
      </c>
      <c r="B463" s="89" t="s">
        <v>3169</v>
      </c>
      <c r="C463" s="89" t="s">
        <v>3170</v>
      </c>
      <c r="D463" t="s">
        <v>26</v>
      </c>
      <c r="E463" t="s">
        <v>42</v>
      </c>
      <c r="F463" s="89">
        <v>1</v>
      </c>
      <c r="G463" s="89" t="s">
        <v>4</v>
      </c>
      <c r="H463" t="s">
        <v>15</v>
      </c>
      <c r="I463">
        <v>300000</v>
      </c>
      <c r="J463" s="49">
        <v>300000</v>
      </c>
      <c r="K463">
        <v>200</v>
      </c>
      <c r="N463" t="s">
        <v>3846</v>
      </c>
      <c r="P463" t="s">
        <v>3818</v>
      </c>
    </row>
    <row r="464" spans="1:16" hidden="1" x14ac:dyDescent="0.25">
      <c r="A464" t="s">
        <v>3817</v>
      </c>
      <c r="B464" t="s">
        <v>3051</v>
      </c>
      <c r="C464" t="s">
        <v>2667</v>
      </c>
      <c r="D464" t="s">
        <v>26</v>
      </c>
      <c r="E464" t="s">
        <v>42</v>
      </c>
      <c r="F464">
        <v>2</v>
      </c>
      <c r="G464" t="s">
        <v>4</v>
      </c>
      <c r="H464" t="s">
        <v>15</v>
      </c>
      <c r="I464">
        <v>500000</v>
      </c>
      <c r="J464" s="2">
        <v>500000</v>
      </c>
      <c r="K464">
        <v>333.33333333333331</v>
      </c>
      <c r="N464" t="s">
        <v>3846</v>
      </c>
      <c r="P464" t="s">
        <v>3818</v>
      </c>
    </row>
    <row r="465" spans="1:16" hidden="1" x14ac:dyDescent="0.25">
      <c r="A465" t="s">
        <v>3817</v>
      </c>
      <c r="B465" t="s">
        <v>2652</v>
      </c>
      <c r="C465" t="s">
        <v>3765</v>
      </c>
      <c r="D465" t="s">
        <v>26</v>
      </c>
      <c r="E465" t="s">
        <v>42</v>
      </c>
      <c r="F465">
        <v>2</v>
      </c>
      <c r="G465" t="s">
        <v>4</v>
      </c>
      <c r="H465" t="s">
        <v>15</v>
      </c>
      <c r="I465">
        <v>500000</v>
      </c>
      <c r="J465" s="2">
        <v>500000</v>
      </c>
      <c r="K465">
        <v>333.33333333333331</v>
      </c>
      <c r="N465" t="s">
        <v>3846</v>
      </c>
      <c r="P465" t="s">
        <v>3818</v>
      </c>
    </row>
    <row r="466" spans="1:16" hidden="1" x14ac:dyDescent="0.25">
      <c r="A466" t="s">
        <v>3817</v>
      </c>
      <c r="B466" t="s">
        <v>1580</v>
      </c>
      <c r="C466" t="s">
        <v>155</v>
      </c>
      <c r="D466" t="s">
        <v>26</v>
      </c>
      <c r="E466" t="s">
        <v>42</v>
      </c>
      <c r="F466">
        <v>2</v>
      </c>
      <c r="G466" t="s">
        <v>4</v>
      </c>
      <c r="H466" t="s">
        <v>15</v>
      </c>
      <c r="I466">
        <v>500000</v>
      </c>
      <c r="J466" s="2">
        <v>500000</v>
      </c>
      <c r="K466">
        <v>333.33333333333331</v>
      </c>
      <c r="N466" t="s">
        <v>3846</v>
      </c>
      <c r="P466" t="s">
        <v>3818</v>
      </c>
    </row>
    <row r="467" spans="1:16" hidden="1" x14ac:dyDescent="0.25">
      <c r="A467" t="s">
        <v>3817</v>
      </c>
      <c r="B467" t="s">
        <v>483</v>
      </c>
      <c r="C467" t="s">
        <v>3442</v>
      </c>
      <c r="D467" t="s">
        <v>26</v>
      </c>
      <c r="E467" t="s">
        <v>42</v>
      </c>
      <c r="F467">
        <v>2</v>
      </c>
      <c r="G467" t="s">
        <v>4</v>
      </c>
      <c r="H467" t="s">
        <v>15</v>
      </c>
      <c r="I467">
        <v>1000000</v>
      </c>
      <c r="J467" s="2">
        <v>1000000</v>
      </c>
      <c r="K467">
        <v>666.66666666666663</v>
      </c>
      <c r="N467" t="s">
        <v>3846</v>
      </c>
      <c r="P467" t="s">
        <v>3818</v>
      </c>
    </row>
    <row r="468" spans="1:16" hidden="1" x14ac:dyDescent="0.25">
      <c r="A468" t="s">
        <v>3817</v>
      </c>
      <c r="B468" t="s">
        <v>3573</v>
      </c>
      <c r="C468" t="s">
        <v>3288</v>
      </c>
      <c r="D468" t="s">
        <v>26</v>
      </c>
      <c r="E468" t="s">
        <v>42</v>
      </c>
      <c r="F468">
        <v>2</v>
      </c>
      <c r="G468" t="s">
        <v>4</v>
      </c>
      <c r="H468" t="s">
        <v>15</v>
      </c>
      <c r="I468">
        <v>1600000</v>
      </c>
      <c r="J468" s="2">
        <v>1600000</v>
      </c>
      <c r="K468">
        <v>1066.6666666666667</v>
      </c>
      <c r="N468" t="s">
        <v>3846</v>
      </c>
      <c r="P468" t="s">
        <v>3818</v>
      </c>
    </row>
    <row r="469" spans="1:16" hidden="1" x14ac:dyDescent="0.25">
      <c r="A469" t="s">
        <v>3817</v>
      </c>
      <c r="B469" t="s">
        <v>1854</v>
      </c>
      <c r="C469" t="s">
        <v>3845</v>
      </c>
      <c r="D469" t="s">
        <v>26</v>
      </c>
      <c r="E469" t="s">
        <v>42</v>
      </c>
      <c r="F469">
        <v>2</v>
      </c>
      <c r="G469" t="s">
        <v>4</v>
      </c>
      <c r="H469" t="s">
        <v>15</v>
      </c>
      <c r="I469">
        <v>4500000</v>
      </c>
      <c r="J469" s="2">
        <v>4500000</v>
      </c>
      <c r="K469">
        <v>3000</v>
      </c>
      <c r="N469" t="s">
        <v>3846</v>
      </c>
      <c r="P469" t="s">
        <v>3818</v>
      </c>
    </row>
    <row r="470" spans="1:16" x14ac:dyDescent="0.25">
      <c r="J470" s="2">
        <f>SUBTOTAL(109,Tabla2931[Importe AR$])</f>
        <v>1138520</v>
      </c>
    </row>
    <row r="471" spans="1:16" ht="6" customHeight="1" x14ac:dyDescent="0.25"/>
    <row r="472" spans="1:16" x14ac:dyDescent="0.25">
      <c r="A472" t="s">
        <v>7</v>
      </c>
      <c r="B472" t="s">
        <v>8</v>
      </c>
      <c r="C472" t="s">
        <v>9</v>
      </c>
      <c r="D472" t="s">
        <v>10</v>
      </c>
      <c r="E472" t="s">
        <v>11</v>
      </c>
      <c r="F472" t="s">
        <v>12</v>
      </c>
      <c r="G472" t="s">
        <v>13</v>
      </c>
      <c r="H472" t="s">
        <v>14</v>
      </c>
      <c r="I472" t="s">
        <v>15</v>
      </c>
      <c r="J472" s="2" t="s">
        <v>16</v>
      </c>
      <c r="K472" t="s">
        <v>17</v>
      </c>
      <c r="L472" t="s">
        <v>18</v>
      </c>
      <c r="M472" t="s">
        <v>19</v>
      </c>
      <c r="N472" t="s">
        <v>20</v>
      </c>
      <c r="O472" t="s">
        <v>21</v>
      </c>
      <c r="P472" t="s">
        <v>22</v>
      </c>
    </row>
    <row r="473" spans="1:16" hidden="1" x14ac:dyDescent="0.25">
      <c r="A473" t="s">
        <v>3817</v>
      </c>
      <c r="B473" t="s">
        <v>1571</v>
      </c>
      <c r="C473" t="s">
        <v>155</v>
      </c>
      <c r="D473" t="s">
        <v>26</v>
      </c>
      <c r="E473" t="s">
        <v>42</v>
      </c>
      <c r="F473">
        <v>1</v>
      </c>
      <c r="G473" t="s">
        <v>4</v>
      </c>
      <c r="H473" t="s">
        <v>15</v>
      </c>
      <c r="I473">
        <v>0</v>
      </c>
      <c r="J473" s="2">
        <v>0</v>
      </c>
      <c r="K473">
        <v>0</v>
      </c>
      <c r="N473" t="s">
        <v>3846</v>
      </c>
      <c r="P473" t="s">
        <v>3818</v>
      </c>
    </row>
    <row r="474" spans="1:16" hidden="1" x14ac:dyDescent="0.25">
      <c r="A474" t="s">
        <v>3817</v>
      </c>
      <c r="B474" t="s">
        <v>3048</v>
      </c>
      <c r="C474" t="s">
        <v>155</v>
      </c>
      <c r="D474" t="s">
        <v>26</v>
      </c>
      <c r="E474" t="s">
        <v>42</v>
      </c>
      <c r="F474">
        <v>1</v>
      </c>
      <c r="G474" t="s">
        <v>4</v>
      </c>
      <c r="H474" t="s">
        <v>15</v>
      </c>
      <c r="I474">
        <v>0</v>
      </c>
      <c r="J474" s="2">
        <v>0</v>
      </c>
      <c r="K474">
        <v>0</v>
      </c>
      <c r="N474" t="s">
        <v>3846</v>
      </c>
      <c r="P474" t="s">
        <v>3818</v>
      </c>
    </row>
    <row r="475" spans="1:16" hidden="1" x14ac:dyDescent="0.25">
      <c r="A475" t="s">
        <v>3817</v>
      </c>
      <c r="B475" t="s">
        <v>3048</v>
      </c>
      <c r="C475" t="s">
        <v>155</v>
      </c>
      <c r="D475" t="s">
        <v>26</v>
      </c>
      <c r="E475" t="s">
        <v>42</v>
      </c>
      <c r="F475">
        <v>1</v>
      </c>
      <c r="G475" t="s">
        <v>4</v>
      </c>
      <c r="H475" t="s">
        <v>15</v>
      </c>
      <c r="I475">
        <v>80000</v>
      </c>
      <c r="J475" s="2">
        <v>80000</v>
      </c>
      <c r="K475">
        <v>53.333333333333336</v>
      </c>
      <c r="N475" t="s">
        <v>3846</v>
      </c>
      <c r="P475" t="s">
        <v>3818</v>
      </c>
    </row>
    <row r="476" spans="1:16" hidden="1" x14ac:dyDescent="0.25">
      <c r="A476" t="s">
        <v>3817</v>
      </c>
      <c r="B476" t="s">
        <v>1462</v>
      </c>
      <c r="C476" t="s">
        <v>155</v>
      </c>
      <c r="D476" t="s">
        <v>26</v>
      </c>
      <c r="E476" t="s">
        <v>42</v>
      </c>
      <c r="F476">
        <v>1</v>
      </c>
      <c r="G476" t="s">
        <v>4</v>
      </c>
      <c r="H476" t="s">
        <v>15</v>
      </c>
      <c r="I476">
        <v>98520</v>
      </c>
      <c r="J476" s="2">
        <v>98520</v>
      </c>
      <c r="K476">
        <v>65.680000000000007</v>
      </c>
      <c r="N476" t="s">
        <v>3846</v>
      </c>
      <c r="P476" t="s">
        <v>3818</v>
      </c>
    </row>
    <row r="477" spans="1:16" hidden="1" x14ac:dyDescent="0.25">
      <c r="A477" t="s">
        <v>3817</v>
      </c>
      <c r="B477" t="s">
        <v>483</v>
      </c>
      <c r="C477" t="s">
        <v>155</v>
      </c>
      <c r="D477" t="s">
        <v>26</v>
      </c>
      <c r="E477" t="s">
        <v>42</v>
      </c>
      <c r="F477">
        <v>1</v>
      </c>
      <c r="G477" t="s">
        <v>4</v>
      </c>
      <c r="H477" t="s">
        <v>15</v>
      </c>
      <c r="I477">
        <v>160000</v>
      </c>
      <c r="J477" s="2">
        <v>160000</v>
      </c>
      <c r="K477">
        <v>106.66666666666667</v>
      </c>
      <c r="L477" t="s">
        <v>3177</v>
      </c>
      <c r="N477" t="s">
        <v>3846</v>
      </c>
      <c r="P477" t="s">
        <v>3818</v>
      </c>
    </row>
    <row r="478" spans="1:16" hidden="1" x14ac:dyDescent="0.25">
      <c r="A478" t="s">
        <v>3817</v>
      </c>
      <c r="B478" t="s">
        <v>3299</v>
      </c>
      <c r="C478" t="s">
        <v>3300</v>
      </c>
      <c r="D478" t="s">
        <v>26</v>
      </c>
      <c r="E478" t="s">
        <v>42</v>
      </c>
      <c r="F478">
        <v>1</v>
      </c>
      <c r="G478" t="s">
        <v>4</v>
      </c>
      <c r="H478" t="s">
        <v>15</v>
      </c>
      <c r="I478">
        <v>250000</v>
      </c>
      <c r="J478" s="2">
        <v>250000</v>
      </c>
      <c r="K478">
        <v>166.66666666666666</v>
      </c>
      <c r="N478" t="s">
        <v>3846</v>
      </c>
      <c r="P478" t="s">
        <v>3818</v>
      </c>
    </row>
    <row r="479" spans="1:16" hidden="1" x14ac:dyDescent="0.25">
      <c r="A479" t="s">
        <v>3817</v>
      </c>
      <c r="B479" t="s">
        <v>3155</v>
      </c>
      <c r="C479" t="s">
        <v>3156</v>
      </c>
      <c r="D479" t="s">
        <v>26</v>
      </c>
      <c r="E479" t="s">
        <v>42</v>
      </c>
      <c r="F479">
        <v>1</v>
      </c>
      <c r="G479" t="s">
        <v>4</v>
      </c>
      <c r="H479" t="s">
        <v>15</v>
      </c>
      <c r="I479">
        <v>250000</v>
      </c>
      <c r="J479" s="2">
        <v>250000</v>
      </c>
      <c r="K479">
        <v>166.66666666666666</v>
      </c>
      <c r="N479" t="s">
        <v>3846</v>
      </c>
      <c r="P479" t="s">
        <v>3818</v>
      </c>
    </row>
    <row r="480" spans="1:16" hidden="1" x14ac:dyDescent="0.25">
      <c r="A480" t="s">
        <v>3817</v>
      </c>
      <c r="B480" t="s">
        <v>3169</v>
      </c>
      <c r="C480" t="s">
        <v>3170</v>
      </c>
      <c r="D480" t="s">
        <v>26</v>
      </c>
      <c r="E480" t="s">
        <v>42</v>
      </c>
      <c r="F480">
        <v>1</v>
      </c>
      <c r="G480" t="s">
        <v>4</v>
      </c>
      <c r="H480" t="s">
        <v>15</v>
      </c>
      <c r="I480">
        <v>300000</v>
      </c>
      <c r="J480" s="2">
        <v>300000</v>
      </c>
      <c r="K480">
        <v>200</v>
      </c>
      <c r="N480" t="s">
        <v>3846</v>
      </c>
      <c r="P480" t="s">
        <v>3818</v>
      </c>
    </row>
    <row r="481" spans="1:16" x14ac:dyDescent="0.25">
      <c r="A481" s="89" t="s">
        <v>3817</v>
      </c>
      <c r="B481" s="89" t="s">
        <v>3051</v>
      </c>
      <c r="C481" s="89" t="s">
        <v>2667</v>
      </c>
      <c r="D481" t="s">
        <v>26</v>
      </c>
      <c r="E481" t="s">
        <v>42</v>
      </c>
      <c r="F481" s="89">
        <v>2</v>
      </c>
      <c r="G481" s="89" t="s">
        <v>4</v>
      </c>
      <c r="H481" t="s">
        <v>15</v>
      </c>
      <c r="I481">
        <v>500000</v>
      </c>
      <c r="J481" s="49">
        <v>500000</v>
      </c>
      <c r="K481">
        <v>333.33333333333331</v>
      </c>
      <c r="N481" t="s">
        <v>3846</v>
      </c>
      <c r="P481" t="s">
        <v>3818</v>
      </c>
    </row>
    <row r="482" spans="1:16" x14ac:dyDescent="0.25">
      <c r="A482" s="89" t="s">
        <v>3817</v>
      </c>
      <c r="B482" s="89" t="s">
        <v>2652</v>
      </c>
      <c r="C482" s="89" t="s">
        <v>3765</v>
      </c>
      <c r="D482" t="s">
        <v>26</v>
      </c>
      <c r="E482" t="s">
        <v>42</v>
      </c>
      <c r="F482" s="89">
        <v>2</v>
      </c>
      <c r="G482" s="89" t="s">
        <v>4</v>
      </c>
      <c r="H482" t="s">
        <v>15</v>
      </c>
      <c r="I482">
        <v>500000</v>
      </c>
      <c r="J482" s="49">
        <v>500000</v>
      </c>
      <c r="K482">
        <v>333.33333333333331</v>
      </c>
      <c r="N482" t="s">
        <v>3846</v>
      </c>
      <c r="P482" t="s">
        <v>3818</v>
      </c>
    </row>
    <row r="483" spans="1:16" x14ac:dyDescent="0.25">
      <c r="A483" s="89" t="s">
        <v>3865</v>
      </c>
      <c r="B483" s="89" t="s">
        <v>1580</v>
      </c>
      <c r="C483" s="89" t="s">
        <v>3864</v>
      </c>
      <c r="D483" t="s">
        <v>26</v>
      </c>
      <c r="E483" t="s">
        <v>42</v>
      </c>
      <c r="F483" s="89">
        <v>2</v>
      </c>
      <c r="G483" s="89" t="s">
        <v>4</v>
      </c>
      <c r="H483" t="s">
        <v>15</v>
      </c>
      <c r="I483">
        <v>500000</v>
      </c>
      <c r="J483" s="49">
        <v>500000</v>
      </c>
      <c r="K483">
        <v>333.33333333333331</v>
      </c>
      <c r="N483" t="s">
        <v>3846</v>
      </c>
      <c r="P483" t="s">
        <v>3818</v>
      </c>
    </row>
    <row r="484" spans="1:16" x14ac:dyDescent="0.25">
      <c r="A484" s="89" t="s">
        <v>3817</v>
      </c>
      <c r="B484" s="89" t="s">
        <v>483</v>
      </c>
      <c r="C484" s="89" t="s">
        <v>3442</v>
      </c>
      <c r="D484" t="s">
        <v>26</v>
      </c>
      <c r="E484" t="s">
        <v>42</v>
      </c>
      <c r="F484" s="89">
        <v>2</v>
      </c>
      <c r="G484" s="89" t="s">
        <v>4</v>
      </c>
      <c r="H484" t="s">
        <v>15</v>
      </c>
      <c r="I484">
        <v>1000000</v>
      </c>
      <c r="J484" s="49">
        <v>1000000</v>
      </c>
      <c r="K484">
        <v>666.66666666666663</v>
      </c>
      <c r="N484" t="s">
        <v>3846</v>
      </c>
      <c r="P484" t="s">
        <v>3818</v>
      </c>
    </row>
    <row r="485" spans="1:16" x14ac:dyDescent="0.25">
      <c r="A485" s="89" t="s">
        <v>3817</v>
      </c>
      <c r="B485" s="89" t="s">
        <v>3573</v>
      </c>
      <c r="C485" s="89" t="s">
        <v>3850</v>
      </c>
      <c r="D485" t="s">
        <v>26</v>
      </c>
      <c r="E485" t="s">
        <v>42</v>
      </c>
      <c r="F485" s="89">
        <v>2</v>
      </c>
      <c r="G485" s="89" t="s">
        <v>4</v>
      </c>
      <c r="H485" t="s">
        <v>15</v>
      </c>
      <c r="I485">
        <v>1600000</v>
      </c>
      <c r="J485" s="49">
        <v>1600000</v>
      </c>
      <c r="K485">
        <v>1066.6666666666667</v>
      </c>
      <c r="N485" t="s">
        <v>3846</v>
      </c>
      <c r="P485" t="s">
        <v>3818</v>
      </c>
    </row>
    <row r="486" spans="1:16" x14ac:dyDescent="0.25">
      <c r="A486" s="89" t="s">
        <v>3817</v>
      </c>
      <c r="B486" s="89" t="s">
        <v>1854</v>
      </c>
      <c r="C486" s="89" t="s">
        <v>3845</v>
      </c>
      <c r="D486" t="s">
        <v>26</v>
      </c>
      <c r="E486" t="s">
        <v>42</v>
      </c>
      <c r="F486" s="89">
        <v>2</v>
      </c>
      <c r="G486" s="89" t="s">
        <v>4</v>
      </c>
      <c r="H486" t="s">
        <v>15</v>
      </c>
      <c r="I486">
        <v>4500000</v>
      </c>
      <c r="J486" s="49">
        <v>4500000</v>
      </c>
      <c r="K486">
        <v>3000</v>
      </c>
      <c r="N486" t="s">
        <v>3846</v>
      </c>
      <c r="P486" t="s">
        <v>3818</v>
      </c>
    </row>
    <row r="487" spans="1:16" x14ac:dyDescent="0.25">
      <c r="J487" s="2">
        <f>SUBTOTAL(109,Tabla2934[Importe AR$])</f>
        <v>8600000</v>
      </c>
    </row>
    <row r="488" spans="1:16" ht="5.25" customHeight="1" x14ac:dyDescent="0.25"/>
    <row r="489" spans="1:16" x14ac:dyDescent="0.25">
      <c r="G489" s="25" t="s">
        <v>26</v>
      </c>
      <c r="H489" s="25"/>
      <c r="I489" s="25"/>
      <c r="J489" s="4">
        <f>Tabla2934[[#Totals],[Importe AR$]]+Tabla2931[[#Totals],[Importe AR$]]</f>
        <v>9738520</v>
      </c>
    </row>
    <row r="492" spans="1:16" x14ac:dyDescent="0.25">
      <c r="A492" t="s">
        <v>7</v>
      </c>
      <c r="B492" t="s">
        <v>8</v>
      </c>
      <c r="C492" t="s">
        <v>9</v>
      </c>
      <c r="D492" t="s">
        <v>10</v>
      </c>
      <c r="E492" t="s">
        <v>11</v>
      </c>
      <c r="F492" t="s">
        <v>12</v>
      </c>
      <c r="G492" t="s">
        <v>13</v>
      </c>
      <c r="H492" t="s">
        <v>14</v>
      </c>
      <c r="I492" t="s">
        <v>15</v>
      </c>
      <c r="J492" s="2" t="s">
        <v>16</v>
      </c>
      <c r="K492" t="s">
        <v>17</v>
      </c>
      <c r="L492" t="s">
        <v>18</v>
      </c>
      <c r="M492" t="s">
        <v>19</v>
      </c>
      <c r="N492" t="s">
        <v>20</v>
      </c>
      <c r="O492" t="s">
        <v>21</v>
      </c>
      <c r="P492" t="s">
        <v>22</v>
      </c>
    </row>
    <row r="493" spans="1:16" hidden="1" x14ac:dyDescent="0.25">
      <c r="A493" t="s">
        <v>3882</v>
      </c>
      <c r="B493" t="s">
        <v>3814</v>
      </c>
      <c r="C493" t="s">
        <v>3910</v>
      </c>
      <c r="D493" t="s">
        <v>26</v>
      </c>
      <c r="E493" t="s">
        <v>62</v>
      </c>
      <c r="F493">
        <v>2</v>
      </c>
      <c r="G493" t="s">
        <v>4</v>
      </c>
      <c r="H493" t="s">
        <v>15</v>
      </c>
      <c r="I493">
        <v>79900</v>
      </c>
      <c r="J493" s="2">
        <v>79900</v>
      </c>
      <c r="K493">
        <v>52.565789473684212</v>
      </c>
      <c r="N493" t="s">
        <v>3911</v>
      </c>
      <c r="P493" t="s">
        <v>3883</v>
      </c>
    </row>
    <row r="494" spans="1:16" x14ac:dyDescent="0.25">
      <c r="A494" t="s">
        <v>3882</v>
      </c>
      <c r="B494" t="s">
        <v>2153</v>
      </c>
      <c r="C494" t="s">
        <v>155</v>
      </c>
      <c r="D494" t="s">
        <v>26</v>
      </c>
      <c r="E494" t="s">
        <v>42</v>
      </c>
      <c r="F494">
        <v>1</v>
      </c>
      <c r="G494" t="s">
        <v>4</v>
      </c>
      <c r="H494" t="s">
        <v>15</v>
      </c>
      <c r="I494">
        <v>190000</v>
      </c>
      <c r="J494" s="2">
        <v>190000</v>
      </c>
      <c r="K494">
        <v>125</v>
      </c>
      <c r="N494" t="s">
        <v>3911</v>
      </c>
      <c r="P494" t="s">
        <v>3883</v>
      </c>
    </row>
    <row r="495" spans="1:16" x14ac:dyDescent="0.25">
      <c r="A495" t="s">
        <v>3882</v>
      </c>
      <c r="B495" t="s">
        <v>3299</v>
      </c>
      <c r="C495" t="s">
        <v>3300</v>
      </c>
      <c r="D495" t="s">
        <v>26</v>
      </c>
      <c r="E495" t="s">
        <v>42</v>
      </c>
      <c r="F495">
        <v>1</v>
      </c>
      <c r="G495" t="s">
        <v>4</v>
      </c>
      <c r="H495" t="s">
        <v>15</v>
      </c>
      <c r="I495">
        <v>250000</v>
      </c>
      <c r="J495" s="2">
        <v>250000</v>
      </c>
      <c r="K495">
        <v>164.47368421052633</v>
      </c>
      <c r="N495" t="s">
        <v>3911</v>
      </c>
      <c r="P495" t="s">
        <v>3883</v>
      </c>
    </row>
    <row r="496" spans="1:16" x14ac:dyDescent="0.25">
      <c r="A496" t="s">
        <v>3882</v>
      </c>
      <c r="B496" t="s">
        <v>3155</v>
      </c>
      <c r="C496" t="s">
        <v>3156</v>
      </c>
      <c r="D496" t="s">
        <v>26</v>
      </c>
      <c r="E496" t="s">
        <v>42</v>
      </c>
      <c r="F496">
        <v>1</v>
      </c>
      <c r="G496" t="s">
        <v>4</v>
      </c>
      <c r="H496" t="s">
        <v>15</v>
      </c>
      <c r="I496">
        <v>250000</v>
      </c>
      <c r="J496" s="2">
        <v>250000</v>
      </c>
      <c r="K496">
        <v>164.47368421052633</v>
      </c>
      <c r="N496" t="s">
        <v>3911</v>
      </c>
      <c r="P496" t="s">
        <v>3883</v>
      </c>
    </row>
    <row r="497" spans="1:16" hidden="1" x14ac:dyDescent="0.25">
      <c r="A497" t="s">
        <v>3882</v>
      </c>
      <c r="B497" t="s">
        <v>1580</v>
      </c>
      <c r="C497" t="s">
        <v>3206</v>
      </c>
      <c r="D497" t="s">
        <v>26</v>
      </c>
      <c r="E497" t="s">
        <v>62</v>
      </c>
      <c r="F497">
        <v>2</v>
      </c>
      <c r="G497" t="s">
        <v>4</v>
      </c>
      <c r="H497" t="s">
        <v>15</v>
      </c>
      <c r="I497">
        <v>500000</v>
      </c>
      <c r="J497" s="2">
        <v>500000</v>
      </c>
      <c r="K497">
        <v>328.94736842105266</v>
      </c>
      <c r="N497" t="s">
        <v>3911</v>
      </c>
      <c r="P497" t="s">
        <v>3883</v>
      </c>
    </row>
    <row r="498" spans="1:16" hidden="1" x14ac:dyDescent="0.25">
      <c r="A498" t="s">
        <v>3882</v>
      </c>
      <c r="B498" t="s">
        <v>3431</v>
      </c>
      <c r="C498" t="s">
        <v>3910</v>
      </c>
      <c r="D498" t="s">
        <v>26</v>
      </c>
      <c r="E498" t="s">
        <v>62</v>
      </c>
      <c r="F498">
        <v>2</v>
      </c>
      <c r="G498" t="s">
        <v>4</v>
      </c>
      <c r="H498" t="s">
        <v>15</v>
      </c>
      <c r="I498">
        <v>656200</v>
      </c>
      <c r="J498" s="2">
        <v>656200</v>
      </c>
      <c r="K498">
        <v>431.71052631578948</v>
      </c>
      <c r="N498" t="s">
        <v>3911</v>
      </c>
      <c r="P498" t="s">
        <v>3883</v>
      </c>
    </row>
    <row r="499" spans="1:16" hidden="1" x14ac:dyDescent="0.25">
      <c r="A499" t="s">
        <v>3882</v>
      </c>
      <c r="B499" t="s">
        <v>1760</v>
      </c>
      <c r="C499" t="s">
        <v>2098</v>
      </c>
      <c r="D499" t="s">
        <v>26</v>
      </c>
      <c r="E499" t="s">
        <v>62</v>
      </c>
      <c r="F499">
        <v>2</v>
      </c>
      <c r="G499" t="s">
        <v>4</v>
      </c>
      <c r="H499" t="s">
        <v>15</v>
      </c>
      <c r="I499">
        <v>1000000</v>
      </c>
      <c r="J499" s="2">
        <v>1000000</v>
      </c>
      <c r="K499">
        <v>657.89473684210532</v>
      </c>
      <c r="N499" t="s">
        <v>3911</v>
      </c>
      <c r="P499" t="s">
        <v>3883</v>
      </c>
    </row>
    <row r="500" spans="1:16" hidden="1" x14ac:dyDescent="0.25">
      <c r="A500" t="s">
        <v>3882</v>
      </c>
      <c r="B500" t="s">
        <v>2728</v>
      </c>
      <c r="C500" t="s">
        <v>3910</v>
      </c>
      <c r="D500" t="s">
        <v>26</v>
      </c>
      <c r="E500" t="s">
        <v>62</v>
      </c>
      <c r="F500">
        <v>2</v>
      </c>
      <c r="G500" t="s">
        <v>4</v>
      </c>
      <c r="H500" t="s">
        <v>15</v>
      </c>
      <c r="I500">
        <v>1011000</v>
      </c>
      <c r="J500" s="2">
        <v>1011000</v>
      </c>
      <c r="K500">
        <v>665.13157894736844</v>
      </c>
      <c r="N500" t="s">
        <v>3911</v>
      </c>
      <c r="P500" t="s">
        <v>3883</v>
      </c>
    </row>
    <row r="501" spans="1:16" hidden="1" x14ac:dyDescent="0.25">
      <c r="A501" t="s">
        <v>3882</v>
      </c>
      <c r="B501" t="s">
        <v>2652</v>
      </c>
      <c r="C501" t="s">
        <v>3765</v>
      </c>
      <c r="D501" t="s">
        <v>26</v>
      </c>
      <c r="E501" t="s">
        <v>42</v>
      </c>
      <c r="F501">
        <v>2</v>
      </c>
      <c r="G501" t="s">
        <v>4</v>
      </c>
      <c r="H501" t="s">
        <v>15</v>
      </c>
      <c r="I501">
        <v>1144000</v>
      </c>
      <c r="J501" s="2">
        <v>1144000</v>
      </c>
      <c r="K501">
        <v>752.63157894736844</v>
      </c>
      <c r="N501" t="s">
        <v>3911</v>
      </c>
      <c r="P501" t="s">
        <v>3883</v>
      </c>
    </row>
    <row r="502" spans="1:16" x14ac:dyDescent="0.25">
      <c r="A502" t="s">
        <v>3882</v>
      </c>
      <c r="B502" t="s">
        <v>3020</v>
      </c>
      <c r="C502" t="s">
        <v>3854</v>
      </c>
      <c r="D502" t="s">
        <v>26</v>
      </c>
      <c r="E502" t="s">
        <v>62</v>
      </c>
      <c r="F502">
        <v>1</v>
      </c>
      <c r="G502" t="s">
        <v>4</v>
      </c>
      <c r="H502" t="s">
        <v>15</v>
      </c>
      <c r="I502">
        <v>2148760.2000000002</v>
      </c>
      <c r="J502" s="2">
        <v>0</v>
      </c>
      <c r="K502">
        <v>1413.6580263157896</v>
      </c>
      <c r="N502" t="s">
        <v>3911</v>
      </c>
      <c r="P502" t="s">
        <v>3883</v>
      </c>
    </row>
    <row r="503" spans="1:16" x14ac:dyDescent="0.25">
      <c r="J503" s="2">
        <f>SUBTOTAL(109,Tabla1228[Importe AR$])</f>
        <v>690000</v>
      </c>
    </row>
    <row r="504" spans="1:16" ht="5.25" customHeight="1" x14ac:dyDescent="0.25"/>
    <row r="505" spans="1:16" x14ac:dyDescent="0.25">
      <c r="A505" t="s">
        <v>7</v>
      </c>
      <c r="B505" t="s">
        <v>8</v>
      </c>
      <c r="C505" t="s">
        <v>9</v>
      </c>
      <c r="D505" t="s">
        <v>10</v>
      </c>
      <c r="E505" t="s">
        <v>11</v>
      </c>
      <c r="F505" t="s">
        <v>12</v>
      </c>
      <c r="G505" t="s">
        <v>13</v>
      </c>
      <c r="H505" t="s">
        <v>14</v>
      </c>
      <c r="I505" t="s">
        <v>15</v>
      </c>
      <c r="J505" s="2" t="s">
        <v>16</v>
      </c>
      <c r="K505" t="s">
        <v>17</v>
      </c>
      <c r="L505" t="s">
        <v>18</v>
      </c>
      <c r="M505" t="s">
        <v>19</v>
      </c>
      <c r="N505" t="s">
        <v>20</v>
      </c>
      <c r="O505" t="s">
        <v>21</v>
      </c>
      <c r="P505" t="s">
        <v>22</v>
      </c>
    </row>
    <row r="506" spans="1:16" x14ac:dyDescent="0.25">
      <c r="A506" s="89" t="s">
        <v>3882</v>
      </c>
      <c r="B506" s="89" t="s">
        <v>3814</v>
      </c>
      <c r="C506" s="89" t="s">
        <v>3910</v>
      </c>
      <c r="D506" s="89" t="s">
        <v>26</v>
      </c>
      <c r="E506" s="89" t="s">
        <v>62</v>
      </c>
      <c r="F506" s="89">
        <v>2</v>
      </c>
      <c r="G506" s="89" t="s">
        <v>4</v>
      </c>
      <c r="H506" s="89" t="s">
        <v>15</v>
      </c>
      <c r="I506" s="89">
        <v>79900</v>
      </c>
      <c r="J506" s="49">
        <v>500000</v>
      </c>
      <c r="K506">
        <v>52.565789473684212</v>
      </c>
      <c r="N506" t="s">
        <v>3911</v>
      </c>
      <c r="P506" t="s">
        <v>3883</v>
      </c>
    </row>
    <row r="507" spans="1:16" x14ac:dyDescent="0.25">
      <c r="A507" s="89" t="s">
        <v>3882</v>
      </c>
      <c r="B507" s="89" t="s">
        <v>1580</v>
      </c>
      <c r="C507" s="89" t="s">
        <v>3206</v>
      </c>
      <c r="D507" s="89" t="s">
        <v>26</v>
      </c>
      <c r="E507" s="89" t="s">
        <v>62</v>
      </c>
      <c r="F507" s="89">
        <v>2</v>
      </c>
      <c r="G507" s="89" t="s">
        <v>4</v>
      </c>
      <c r="H507" s="89" t="s">
        <v>15</v>
      </c>
      <c r="I507" s="89">
        <v>500000</v>
      </c>
      <c r="J507" s="49">
        <v>500000</v>
      </c>
      <c r="K507">
        <v>328.94736842105266</v>
      </c>
      <c r="N507" t="s">
        <v>3911</v>
      </c>
      <c r="P507" t="s">
        <v>3883</v>
      </c>
    </row>
    <row r="508" spans="1:16" x14ac:dyDescent="0.25">
      <c r="A508" s="89" t="s">
        <v>3882</v>
      </c>
      <c r="B508" s="89" t="s">
        <v>3431</v>
      </c>
      <c r="C508" s="89" t="s">
        <v>3910</v>
      </c>
      <c r="D508" s="89" t="s">
        <v>26</v>
      </c>
      <c r="E508" s="89" t="s">
        <v>62</v>
      </c>
      <c r="F508" s="89">
        <v>2</v>
      </c>
      <c r="G508" s="89" t="s">
        <v>4</v>
      </c>
      <c r="H508" s="89" t="s">
        <v>15</v>
      </c>
      <c r="I508" s="89">
        <v>656200</v>
      </c>
      <c r="J508" s="49">
        <v>656200</v>
      </c>
      <c r="K508">
        <v>431.71052631578948</v>
      </c>
      <c r="N508" t="s">
        <v>3911</v>
      </c>
      <c r="P508" t="s">
        <v>3883</v>
      </c>
    </row>
    <row r="509" spans="1:16" x14ac:dyDescent="0.25">
      <c r="A509" s="89" t="s">
        <v>3882</v>
      </c>
      <c r="B509" s="89" t="s">
        <v>1760</v>
      </c>
      <c r="C509" s="89" t="s">
        <v>2098</v>
      </c>
      <c r="D509" t="s">
        <v>26</v>
      </c>
      <c r="E509" t="s">
        <v>62</v>
      </c>
      <c r="F509" s="89">
        <v>2</v>
      </c>
      <c r="G509" s="89" t="s">
        <v>4</v>
      </c>
      <c r="H509" t="s">
        <v>15</v>
      </c>
      <c r="I509">
        <v>1000000</v>
      </c>
      <c r="J509" s="49">
        <v>1000000</v>
      </c>
      <c r="K509">
        <v>657.89473684210532</v>
      </c>
      <c r="N509" t="s">
        <v>3911</v>
      </c>
      <c r="P509" t="s">
        <v>3883</v>
      </c>
    </row>
    <row r="510" spans="1:16" x14ac:dyDescent="0.25">
      <c r="A510" t="s">
        <v>3882</v>
      </c>
      <c r="B510" t="s">
        <v>3948</v>
      </c>
      <c r="F510">
        <v>2</v>
      </c>
      <c r="G510" t="s">
        <v>4</v>
      </c>
      <c r="J510" s="2">
        <v>2000000</v>
      </c>
    </row>
    <row r="511" spans="1:16" x14ac:dyDescent="0.25">
      <c r="A511" s="89" t="s">
        <v>3882</v>
      </c>
      <c r="B511" s="89" t="s">
        <v>2652</v>
      </c>
      <c r="C511" s="89" t="s">
        <v>3765</v>
      </c>
      <c r="D511" s="89" t="s">
        <v>26</v>
      </c>
      <c r="E511" s="89" t="s">
        <v>42</v>
      </c>
      <c r="F511" s="89">
        <v>2</v>
      </c>
      <c r="G511" s="89" t="s">
        <v>4</v>
      </c>
      <c r="H511" s="89" t="s">
        <v>15</v>
      </c>
      <c r="I511" s="89">
        <v>1144000</v>
      </c>
      <c r="J511" s="49">
        <v>500000</v>
      </c>
    </row>
    <row r="512" spans="1:16" x14ac:dyDescent="0.25">
      <c r="A512" s="89"/>
      <c r="B512" s="89" t="s">
        <v>3960</v>
      </c>
      <c r="C512" s="89"/>
      <c r="D512" s="89"/>
      <c r="E512" s="89"/>
      <c r="F512" s="89"/>
      <c r="G512" s="89"/>
      <c r="H512" s="89"/>
      <c r="I512" s="89"/>
      <c r="J512" s="49">
        <v>500000</v>
      </c>
    </row>
    <row r="513" spans="1:24" x14ac:dyDescent="0.25">
      <c r="A513" s="89"/>
      <c r="B513" s="89" t="s">
        <v>3961</v>
      </c>
      <c r="C513" s="89"/>
      <c r="D513" s="89"/>
      <c r="E513" s="89"/>
      <c r="F513" s="89"/>
      <c r="G513" s="89"/>
      <c r="H513" s="89"/>
      <c r="I513" s="89"/>
      <c r="J513" s="49">
        <v>500000</v>
      </c>
      <c r="W513" s="93" t="s">
        <v>4021</v>
      </c>
      <c r="X513" s="93" t="s">
        <v>15</v>
      </c>
    </row>
    <row r="514" spans="1:24" x14ac:dyDescent="0.25">
      <c r="W514" s="91" t="s">
        <v>0</v>
      </c>
      <c r="X514" s="92">
        <f>5000000-X515</f>
        <v>843800</v>
      </c>
    </row>
    <row r="515" spans="1:24" x14ac:dyDescent="0.25">
      <c r="J515" s="2">
        <f>SUBTOTAL(109,Tabla1229[Importe AR$])</f>
        <v>6156200</v>
      </c>
      <c r="W515" s="91" t="s">
        <v>1</v>
      </c>
      <c r="X515" s="92">
        <f>4156200</f>
        <v>4156200</v>
      </c>
    </row>
    <row r="516" spans="1:24" ht="6" customHeight="1" x14ac:dyDescent="0.25"/>
    <row r="517" spans="1:24" x14ac:dyDescent="0.25">
      <c r="G517" s="25" t="s">
        <v>26</v>
      </c>
      <c r="H517" s="25"/>
      <c r="I517" s="25"/>
      <c r="J517" s="4">
        <f>Tabla1229[[#Totals],[Importe AR$]]+Tabla1228[[#Totals],[Importe AR$]]</f>
        <v>6846200</v>
      </c>
    </row>
    <row r="519" spans="1:24" x14ac:dyDescent="0.25">
      <c r="A519" t="s">
        <v>7</v>
      </c>
      <c r="B519" t="s">
        <v>8</v>
      </c>
      <c r="C519" t="s">
        <v>9</v>
      </c>
      <c r="D519" t="s">
        <v>10</v>
      </c>
      <c r="E519" t="s">
        <v>11</v>
      </c>
      <c r="F519" t="s">
        <v>12</v>
      </c>
      <c r="G519" t="s">
        <v>13</v>
      </c>
      <c r="H519" t="s">
        <v>14</v>
      </c>
      <c r="I519" t="s">
        <v>15</v>
      </c>
      <c r="J519" s="2" t="s">
        <v>16</v>
      </c>
      <c r="K519" t="s">
        <v>17</v>
      </c>
      <c r="L519" t="s">
        <v>18</v>
      </c>
      <c r="M519" t="s">
        <v>19</v>
      </c>
      <c r="N519" t="s">
        <v>20</v>
      </c>
      <c r="O519" t="s">
        <v>21</v>
      </c>
      <c r="P519" t="s">
        <v>22</v>
      </c>
    </row>
    <row r="520" spans="1:24" x14ac:dyDescent="0.25">
      <c r="A520" t="s">
        <v>3963</v>
      </c>
      <c r="B520" t="s">
        <v>2153</v>
      </c>
      <c r="C520" t="s">
        <v>155</v>
      </c>
      <c r="D520" t="s">
        <v>26</v>
      </c>
      <c r="E520" t="s">
        <v>42</v>
      </c>
      <c r="F520">
        <v>1</v>
      </c>
      <c r="G520" t="s">
        <v>4</v>
      </c>
      <c r="H520" t="s">
        <v>15</v>
      </c>
      <c r="I520">
        <v>50005</v>
      </c>
      <c r="J520" s="2">
        <v>50005</v>
      </c>
      <c r="K520">
        <v>33.006600660066006</v>
      </c>
      <c r="N520" t="s">
        <v>3977</v>
      </c>
      <c r="P520" t="s">
        <v>3964</v>
      </c>
    </row>
    <row r="521" spans="1:24" x14ac:dyDescent="0.25">
      <c r="A521" t="s">
        <v>3963</v>
      </c>
      <c r="B521" t="s">
        <v>3763</v>
      </c>
      <c r="C521" t="s">
        <v>3974</v>
      </c>
      <c r="D521" t="s">
        <v>26</v>
      </c>
      <c r="E521" t="s">
        <v>42</v>
      </c>
      <c r="F521">
        <v>1</v>
      </c>
      <c r="G521" t="s">
        <v>4</v>
      </c>
      <c r="H521" t="s">
        <v>15</v>
      </c>
      <c r="I521">
        <v>67001.820000000007</v>
      </c>
      <c r="J521" s="2">
        <v>67001.820000000007</v>
      </c>
      <c r="K521">
        <v>44.225623762376244</v>
      </c>
      <c r="N521" t="s">
        <v>3977</v>
      </c>
      <c r="P521" t="s">
        <v>3964</v>
      </c>
    </row>
    <row r="522" spans="1:24" x14ac:dyDescent="0.25">
      <c r="A522" t="s">
        <v>3963</v>
      </c>
      <c r="B522" t="s">
        <v>3048</v>
      </c>
      <c r="C522" t="s">
        <v>155</v>
      </c>
      <c r="D522" t="s">
        <v>26</v>
      </c>
      <c r="E522" t="s">
        <v>42</v>
      </c>
      <c r="F522">
        <v>1</v>
      </c>
      <c r="G522" t="s">
        <v>4</v>
      </c>
      <c r="H522" t="s">
        <v>15</v>
      </c>
      <c r="I522">
        <v>80000</v>
      </c>
      <c r="J522" s="2">
        <v>80000</v>
      </c>
      <c r="K522">
        <v>52.805280528052805</v>
      </c>
      <c r="N522" t="s">
        <v>3977</v>
      </c>
      <c r="P522" t="s">
        <v>3964</v>
      </c>
    </row>
    <row r="523" spans="1:24" x14ac:dyDescent="0.25">
      <c r="A523" t="s">
        <v>3963</v>
      </c>
      <c r="B523" t="s">
        <v>1571</v>
      </c>
      <c r="C523" t="s">
        <v>155</v>
      </c>
      <c r="D523" t="s">
        <v>26</v>
      </c>
      <c r="E523" t="s">
        <v>42</v>
      </c>
      <c r="F523">
        <v>1</v>
      </c>
      <c r="G523" t="s">
        <v>4</v>
      </c>
      <c r="H523" t="s">
        <v>15</v>
      </c>
      <c r="I523">
        <v>190000</v>
      </c>
      <c r="J523" s="2">
        <v>190000</v>
      </c>
      <c r="K523">
        <v>125.41254125412541</v>
      </c>
      <c r="N523" t="s">
        <v>3977</v>
      </c>
      <c r="P523" t="s">
        <v>3964</v>
      </c>
    </row>
    <row r="524" spans="1:24" x14ac:dyDescent="0.25">
      <c r="A524" t="s">
        <v>3963</v>
      </c>
      <c r="B524" t="s">
        <v>483</v>
      </c>
      <c r="C524" t="s">
        <v>155</v>
      </c>
      <c r="D524" t="s">
        <v>26</v>
      </c>
      <c r="E524" t="s">
        <v>42</v>
      </c>
      <c r="F524">
        <v>1</v>
      </c>
      <c r="G524" t="s">
        <v>4</v>
      </c>
      <c r="H524" t="s">
        <v>15</v>
      </c>
      <c r="I524">
        <v>190000</v>
      </c>
      <c r="J524" s="2">
        <v>190000</v>
      </c>
      <c r="K524">
        <v>125.41254125412541</v>
      </c>
      <c r="N524" t="s">
        <v>3977</v>
      </c>
      <c r="P524" t="s">
        <v>3964</v>
      </c>
    </row>
    <row r="525" spans="1:24" x14ac:dyDescent="0.25">
      <c r="A525" t="s">
        <v>3963</v>
      </c>
      <c r="B525" t="s">
        <v>3299</v>
      </c>
      <c r="C525" t="s">
        <v>3300</v>
      </c>
      <c r="D525" t="s">
        <v>26</v>
      </c>
      <c r="E525" t="s">
        <v>42</v>
      </c>
      <c r="F525">
        <v>1</v>
      </c>
      <c r="G525" t="s">
        <v>4</v>
      </c>
      <c r="H525" t="s">
        <v>15</v>
      </c>
      <c r="I525">
        <v>250000</v>
      </c>
      <c r="J525" s="2">
        <v>250000</v>
      </c>
      <c r="K525">
        <v>165.01650165016503</v>
      </c>
      <c r="N525" t="s">
        <v>3977</v>
      </c>
      <c r="P525" t="s">
        <v>3964</v>
      </c>
    </row>
    <row r="526" spans="1:24" x14ac:dyDescent="0.25">
      <c r="A526" t="s">
        <v>3963</v>
      </c>
      <c r="B526" t="s">
        <v>3155</v>
      </c>
      <c r="C526" t="s">
        <v>3156</v>
      </c>
      <c r="D526" t="s">
        <v>26</v>
      </c>
      <c r="E526" t="s">
        <v>42</v>
      </c>
      <c r="F526">
        <v>1</v>
      </c>
      <c r="G526" t="s">
        <v>4</v>
      </c>
      <c r="H526" t="s">
        <v>15</v>
      </c>
      <c r="I526">
        <v>250000</v>
      </c>
      <c r="J526" s="2">
        <v>250000</v>
      </c>
      <c r="K526">
        <v>165.01650165016503</v>
      </c>
      <c r="N526" t="s">
        <v>3977</v>
      </c>
      <c r="P526" t="s">
        <v>3964</v>
      </c>
    </row>
    <row r="527" spans="1:24" hidden="1" x14ac:dyDescent="0.25">
      <c r="A527" t="s">
        <v>3963</v>
      </c>
      <c r="B527" t="s">
        <v>2652</v>
      </c>
      <c r="C527" t="s">
        <v>3765</v>
      </c>
      <c r="D527" t="s">
        <v>26</v>
      </c>
      <c r="E527" t="s">
        <v>62</v>
      </c>
      <c r="F527">
        <v>2</v>
      </c>
      <c r="G527" t="s">
        <v>4</v>
      </c>
      <c r="H527" t="s">
        <v>15</v>
      </c>
      <c r="I527">
        <v>500000</v>
      </c>
      <c r="J527" s="2">
        <v>500000</v>
      </c>
      <c r="K527">
        <v>330.03300330033005</v>
      </c>
      <c r="N527" t="s">
        <v>3977</v>
      </c>
      <c r="P527" t="s">
        <v>3964</v>
      </c>
    </row>
    <row r="528" spans="1:24" hidden="1" x14ac:dyDescent="0.25">
      <c r="A528" t="s">
        <v>3963</v>
      </c>
      <c r="B528" t="s">
        <v>3975</v>
      </c>
      <c r="C528" t="s">
        <v>3976</v>
      </c>
      <c r="D528" t="s">
        <v>26</v>
      </c>
      <c r="E528" t="s">
        <v>42</v>
      </c>
      <c r="F528">
        <v>2</v>
      </c>
      <c r="G528" t="s">
        <v>4</v>
      </c>
      <c r="H528" t="s">
        <v>15</v>
      </c>
      <c r="I528">
        <v>1000000</v>
      </c>
      <c r="J528" s="2">
        <v>1000000</v>
      </c>
      <c r="K528">
        <v>660.0660066006601</v>
      </c>
      <c r="N528" t="s">
        <v>3977</v>
      </c>
      <c r="P528" t="s">
        <v>3964</v>
      </c>
    </row>
    <row r="529" spans="1:16" hidden="1" x14ac:dyDescent="0.25">
      <c r="A529" t="s">
        <v>3963</v>
      </c>
      <c r="B529" t="s">
        <v>3051</v>
      </c>
      <c r="C529" t="s">
        <v>2667</v>
      </c>
      <c r="D529" t="s">
        <v>26</v>
      </c>
      <c r="E529" t="s">
        <v>3928</v>
      </c>
      <c r="F529">
        <v>2</v>
      </c>
      <c r="G529" t="s">
        <v>4</v>
      </c>
      <c r="H529" t="s">
        <v>15</v>
      </c>
      <c r="I529">
        <v>1000000</v>
      </c>
      <c r="J529" s="2">
        <v>1000000</v>
      </c>
      <c r="K529">
        <v>660.0660066006601</v>
      </c>
      <c r="N529" t="s">
        <v>3977</v>
      </c>
      <c r="P529" t="s">
        <v>3964</v>
      </c>
    </row>
    <row r="530" spans="1:16" hidden="1" x14ac:dyDescent="0.25">
      <c r="A530" t="s">
        <v>3963</v>
      </c>
      <c r="B530" t="s">
        <v>2922</v>
      </c>
      <c r="C530" t="s">
        <v>3506</v>
      </c>
      <c r="D530" t="s">
        <v>61</v>
      </c>
      <c r="E530" t="s">
        <v>62</v>
      </c>
      <c r="F530">
        <v>2</v>
      </c>
      <c r="G530" t="s">
        <v>4</v>
      </c>
      <c r="H530" t="s">
        <v>15</v>
      </c>
      <c r="I530">
        <v>1000000</v>
      </c>
      <c r="J530" s="2">
        <v>1000000</v>
      </c>
      <c r="K530">
        <v>660.0660066006601</v>
      </c>
      <c r="N530" t="s">
        <v>3977</v>
      </c>
      <c r="P530" t="s">
        <v>3964</v>
      </c>
    </row>
    <row r="531" spans="1:16" hidden="1" x14ac:dyDescent="0.25">
      <c r="A531" t="s">
        <v>3963</v>
      </c>
      <c r="B531" t="s">
        <v>40</v>
      </c>
      <c r="C531" t="s">
        <v>2667</v>
      </c>
      <c r="D531" t="s">
        <v>61</v>
      </c>
      <c r="E531" t="s">
        <v>3928</v>
      </c>
      <c r="F531">
        <v>2</v>
      </c>
      <c r="G531" t="s">
        <v>4</v>
      </c>
      <c r="H531" t="s">
        <v>15</v>
      </c>
      <c r="I531">
        <v>1000000</v>
      </c>
      <c r="J531" s="2">
        <v>1000000</v>
      </c>
      <c r="K531">
        <v>660.0660066006601</v>
      </c>
      <c r="N531" t="s">
        <v>3977</v>
      </c>
      <c r="P531" t="s">
        <v>3964</v>
      </c>
    </row>
    <row r="532" spans="1:16" hidden="1" x14ac:dyDescent="0.25">
      <c r="A532" t="s">
        <v>3963</v>
      </c>
      <c r="B532" t="s">
        <v>2728</v>
      </c>
      <c r="C532" t="s">
        <v>3910</v>
      </c>
      <c r="D532" t="s">
        <v>26</v>
      </c>
      <c r="E532" t="s">
        <v>62</v>
      </c>
      <c r="F532">
        <v>2</v>
      </c>
      <c r="G532" t="s">
        <v>4</v>
      </c>
      <c r="H532" t="s">
        <v>15</v>
      </c>
      <c r="I532">
        <v>1011000</v>
      </c>
      <c r="J532" s="2">
        <v>1011000</v>
      </c>
      <c r="K532">
        <v>667.32673267326732</v>
      </c>
      <c r="N532" t="s">
        <v>3977</v>
      </c>
      <c r="P532" t="s">
        <v>3964</v>
      </c>
    </row>
    <row r="533" spans="1:16" hidden="1" x14ac:dyDescent="0.25">
      <c r="A533" t="s">
        <v>3963</v>
      </c>
      <c r="B533" t="s">
        <v>1854</v>
      </c>
      <c r="C533" t="s">
        <v>2667</v>
      </c>
      <c r="D533" t="s">
        <v>26</v>
      </c>
      <c r="E533" t="s">
        <v>3928</v>
      </c>
      <c r="F533">
        <v>2</v>
      </c>
      <c r="G533" t="s">
        <v>4</v>
      </c>
      <c r="H533" t="s">
        <v>15</v>
      </c>
      <c r="I533">
        <v>3000000</v>
      </c>
      <c r="J533" s="2">
        <v>3000000</v>
      </c>
      <c r="K533">
        <v>1980.1980198019803</v>
      </c>
      <c r="N533" t="s">
        <v>3977</v>
      </c>
      <c r="P533" t="s">
        <v>3964</v>
      </c>
    </row>
    <row r="534" spans="1:16" x14ac:dyDescent="0.25">
      <c r="J534" s="2">
        <f>SUBTOTAL(109,Tabla1230[Importe AR$])</f>
        <v>1077006.82</v>
      </c>
    </row>
    <row r="536" spans="1:16" x14ac:dyDescent="0.25">
      <c r="A536" t="s">
        <v>7</v>
      </c>
      <c r="B536" t="s">
        <v>8</v>
      </c>
      <c r="C536" t="s">
        <v>9</v>
      </c>
      <c r="D536" t="s">
        <v>10</v>
      </c>
      <c r="E536" t="s">
        <v>11</v>
      </c>
      <c r="F536" t="s">
        <v>12</v>
      </c>
      <c r="G536" t="s">
        <v>13</v>
      </c>
      <c r="H536" t="s">
        <v>14</v>
      </c>
      <c r="I536" t="s">
        <v>15</v>
      </c>
      <c r="J536" s="2" t="s">
        <v>16</v>
      </c>
      <c r="K536" t="s">
        <v>17</v>
      </c>
      <c r="L536" t="s">
        <v>18</v>
      </c>
      <c r="M536" t="s">
        <v>19</v>
      </c>
      <c r="N536" t="s">
        <v>20</v>
      </c>
      <c r="O536" t="s">
        <v>21</v>
      </c>
      <c r="P536" t="s">
        <v>22</v>
      </c>
    </row>
    <row r="537" spans="1:16" hidden="1" x14ac:dyDescent="0.25">
      <c r="A537" t="s">
        <v>3963</v>
      </c>
      <c r="B537" t="s">
        <v>2153</v>
      </c>
      <c r="C537" t="s">
        <v>155</v>
      </c>
      <c r="D537" t="s">
        <v>26</v>
      </c>
      <c r="E537" t="s">
        <v>42</v>
      </c>
      <c r="F537">
        <v>1</v>
      </c>
      <c r="G537" t="s">
        <v>4</v>
      </c>
      <c r="H537" t="s">
        <v>15</v>
      </c>
      <c r="I537">
        <v>50005</v>
      </c>
      <c r="J537" s="2">
        <v>50005</v>
      </c>
      <c r="K537">
        <v>33.006600660066006</v>
      </c>
      <c r="N537" t="s">
        <v>3977</v>
      </c>
      <c r="P537" t="s">
        <v>3964</v>
      </c>
    </row>
    <row r="538" spans="1:16" hidden="1" x14ac:dyDescent="0.25">
      <c r="A538" t="s">
        <v>3963</v>
      </c>
      <c r="B538" t="s">
        <v>3763</v>
      </c>
      <c r="C538" t="s">
        <v>3974</v>
      </c>
      <c r="D538" t="s">
        <v>26</v>
      </c>
      <c r="E538" t="s">
        <v>42</v>
      </c>
      <c r="F538">
        <v>1</v>
      </c>
      <c r="G538" t="s">
        <v>4</v>
      </c>
      <c r="H538" t="s">
        <v>15</v>
      </c>
      <c r="I538">
        <v>67001.820000000007</v>
      </c>
      <c r="J538" s="2">
        <v>67001.820000000007</v>
      </c>
      <c r="K538">
        <v>44.225623762376244</v>
      </c>
      <c r="N538" t="s">
        <v>3977</v>
      </c>
      <c r="P538" t="s">
        <v>3964</v>
      </c>
    </row>
    <row r="539" spans="1:16" hidden="1" x14ac:dyDescent="0.25">
      <c r="A539" t="s">
        <v>3963</v>
      </c>
      <c r="B539" t="s">
        <v>3048</v>
      </c>
      <c r="C539" t="s">
        <v>155</v>
      </c>
      <c r="D539" t="s">
        <v>26</v>
      </c>
      <c r="E539" t="s">
        <v>42</v>
      </c>
      <c r="F539">
        <v>1</v>
      </c>
      <c r="G539" t="s">
        <v>4</v>
      </c>
      <c r="H539" t="s">
        <v>15</v>
      </c>
      <c r="I539">
        <v>80000</v>
      </c>
      <c r="J539" s="2">
        <v>80000</v>
      </c>
      <c r="K539">
        <v>52.805280528052805</v>
      </c>
      <c r="N539" t="s">
        <v>3977</v>
      </c>
      <c r="P539" t="s">
        <v>3964</v>
      </c>
    </row>
    <row r="540" spans="1:16" hidden="1" x14ac:dyDescent="0.25">
      <c r="A540" t="s">
        <v>3963</v>
      </c>
      <c r="B540" t="s">
        <v>1571</v>
      </c>
      <c r="C540" t="s">
        <v>155</v>
      </c>
      <c r="D540" t="s">
        <v>26</v>
      </c>
      <c r="E540" t="s">
        <v>42</v>
      </c>
      <c r="F540">
        <v>1</v>
      </c>
      <c r="G540" t="s">
        <v>4</v>
      </c>
      <c r="H540" t="s">
        <v>15</v>
      </c>
      <c r="I540">
        <v>190000</v>
      </c>
      <c r="J540" s="2">
        <v>190000</v>
      </c>
      <c r="K540">
        <v>125.41254125412541</v>
      </c>
      <c r="N540" t="s">
        <v>3977</v>
      </c>
      <c r="P540" t="s">
        <v>3964</v>
      </c>
    </row>
    <row r="541" spans="1:16" hidden="1" x14ac:dyDescent="0.25">
      <c r="A541" t="s">
        <v>3963</v>
      </c>
      <c r="B541" t="s">
        <v>483</v>
      </c>
      <c r="C541" t="s">
        <v>155</v>
      </c>
      <c r="D541" t="s">
        <v>26</v>
      </c>
      <c r="E541" t="s">
        <v>42</v>
      </c>
      <c r="F541">
        <v>1</v>
      </c>
      <c r="G541" t="s">
        <v>4</v>
      </c>
      <c r="H541" t="s">
        <v>15</v>
      </c>
      <c r="I541">
        <v>190000</v>
      </c>
      <c r="J541" s="2">
        <v>190000</v>
      </c>
      <c r="K541">
        <v>125.41254125412541</v>
      </c>
      <c r="N541" t="s">
        <v>3977</v>
      </c>
      <c r="P541" t="s">
        <v>3964</v>
      </c>
    </row>
    <row r="542" spans="1:16" hidden="1" x14ac:dyDescent="0.25">
      <c r="A542" t="s">
        <v>3963</v>
      </c>
      <c r="B542" t="s">
        <v>3299</v>
      </c>
      <c r="C542" t="s">
        <v>3300</v>
      </c>
      <c r="D542" t="s">
        <v>26</v>
      </c>
      <c r="E542" t="s">
        <v>42</v>
      </c>
      <c r="F542">
        <v>1</v>
      </c>
      <c r="G542" t="s">
        <v>4</v>
      </c>
      <c r="H542" t="s">
        <v>15</v>
      </c>
      <c r="I542">
        <v>250000</v>
      </c>
      <c r="J542" s="2">
        <v>250000</v>
      </c>
      <c r="K542">
        <v>165.01650165016503</v>
      </c>
      <c r="N542" t="s">
        <v>3977</v>
      </c>
      <c r="P542" t="s">
        <v>3964</v>
      </c>
    </row>
    <row r="543" spans="1:16" hidden="1" x14ac:dyDescent="0.25">
      <c r="A543" t="s">
        <v>3963</v>
      </c>
      <c r="B543" t="s">
        <v>3155</v>
      </c>
      <c r="C543" t="s">
        <v>3156</v>
      </c>
      <c r="D543" t="s">
        <v>26</v>
      </c>
      <c r="E543" t="s">
        <v>42</v>
      </c>
      <c r="F543">
        <v>1</v>
      </c>
      <c r="G543" t="s">
        <v>4</v>
      </c>
      <c r="H543" t="s">
        <v>15</v>
      </c>
      <c r="I543">
        <v>250000</v>
      </c>
      <c r="J543" s="2">
        <v>250000</v>
      </c>
      <c r="K543">
        <v>165.01650165016503</v>
      </c>
      <c r="N543" t="s">
        <v>3977</v>
      </c>
      <c r="P543" t="s">
        <v>3964</v>
      </c>
    </row>
    <row r="544" spans="1:16" x14ac:dyDescent="0.25">
      <c r="A544" t="s">
        <v>3963</v>
      </c>
      <c r="B544" t="s">
        <v>2652</v>
      </c>
      <c r="C544" t="s">
        <v>3765</v>
      </c>
      <c r="D544" t="s">
        <v>26</v>
      </c>
      <c r="E544" t="s">
        <v>62</v>
      </c>
      <c r="F544">
        <v>2</v>
      </c>
      <c r="G544" t="s">
        <v>4</v>
      </c>
      <c r="H544" t="s">
        <v>15</v>
      </c>
      <c r="I544">
        <v>500000</v>
      </c>
      <c r="J544" s="2">
        <v>500000</v>
      </c>
      <c r="K544">
        <v>330.03300330033005</v>
      </c>
      <c r="N544" t="s">
        <v>3977</v>
      </c>
      <c r="P544" t="s">
        <v>3964</v>
      </c>
    </row>
    <row r="545" spans="1:16" x14ac:dyDescent="0.25">
      <c r="A545" t="s">
        <v>3963</v>
      </c>
      <c r="B545" t="s">
        <v>3975</v>
      </c>
      <c r="C545" t="s">
        <v>3976</v>
      </c>
      <c r="D545" t="s">
        <v>26</v>
      </c>
      <c r="E545" t="s">
        <v>42</v>
      </c>
      <c r="F545">
        <v>2</v>
      </c>
      <c r="G545" t="s">
        <v>4</v>
      </c>
      <c r="H545" t="s">
        <v>15</v>
      </c>
      <c r="I545">
        <v>1000000</v>
      </c>
      <c r="J545" s="2">
        <v>1000000</v>
      </c>
      <c r="K545">
        <v>660.0660066006601</v>
      </c>
      <c r="N545" t="s">
        <v>3977</v>
      </c>
      <c r="P545" t="s">
        <v>3964</v>
      </c>
    </row>
    <row r="546" spans="1:16" x14ac:dyDescent="0.25">
      <c r="A546" t="s">
        <v>3963</v>
      </c>
      <c r="B546" t="s">
        <v>3051</v>
      </c>
      <c r="C546" t="s">
        <v>2667</v>
      </c>
      <c r="D546" t="s">
        <v>26</v>
      </c>
      <c r="E546" t="s">
        <v>3928</v>
      </c>
      <c r="F546">
        <v>2</v>
      </c>
      <c r="G546" t="s">
        <v>4</v>
      </c>
      <c r="H546" t="s">
        <v>15</v>
      </c>
      <c r="I546">
        <v>1000000</v>
      </c>
      <c r="J546" s="2">
        <v>1000000</v>
      </c>
      <c r="K546">
        <v>660.0660066006601</v>
      </c>
      <c r="N546" t="s">
        <v>3977</v>
      </c>
      <c r="P546" t="s">
        <v>3964</v>
      </c>
    </row>
    <row r="547" spans="1:16" x14ac:dyDescent="0.25">
      <c r="A547" t="s">
        <v>3963</v>
      </c>
      <c r="B547" t="s">
        <v>2922</v>
      </c>
      <c r="C547" t="s">
        <v>3506</v>
      </c>
      <c r="D547" t="s">
        <v>61</v>
      </c>
      <c r="E547" t="s">
        <v>62</v>
      </c>
      <c r="F547">
        <v>2</v>
      </c>
      <c r="G547" t="s">
        <v>4</v>
      </c>
      <c r="H547" t="s">
        <v>15</v>
      </c>
      <c r="I547">
        <v>1000000</v>
      </c>
      <c r="J547" s="2">
        <v>1000000</v>
      </c>
      <c r="K547">
        <v>660.0660066006601</v>
      </c>
      <c r="N547" t="s">
        <v>3977</v>
      </c>
      <c r="P547" t="s">
        <v>3964</v>
      </c>
    </row>
    <row r="548" spans="1:16" x14ac:dyDescent="0.25">
      <c r="A548" t="s">
        <v>3963</v>
      </c>
      <c r="B548" t="s">
        <v>40</v>
      </c>
      <c r="C548" t="s">
        <v>2667</v>
      </c>
      <c r="D548" t="s">
        <v>61</v>
      </c>
      <c r="E548" t="s">
        <v>3928</v>
      </c>
      <c r="F548">
        <v>2</v>
      </c>
      <c r="G548" t="s">
        <v>4</v>
      </c>
      <c r="H548" t="s">
        <v>15</v>
      </c>
      <c r="I548">
        <v>1000000</v>
      </c>
      <c r="J548" s="2">
        <v>1000000</v>
      </c>
      <c r="K548">
        <v>660.0660066006601</v>
      </c>
      <c r="N548" t="s">
        <v>3977</v>
      </c>
      <c r="P548" t="s">
        <v>3964</v>
      </c>
    </row>
    <row r="549" spans="1:16" x14ac:dyDescent="0.25">
      <c r="A549" t="s">
        <v>3963</v>
      </c>
      <c r="B549" t="s">
        <v>2728</v>
      </c>
      <c r="C549" t="s">
        <v>3910</v>
      </c>
      <c r="D549" t="s">
        <v>26</v>
      </c>
      <c r="E549" t="s">
        <v>62</v>
      </c>
      <c r="F549">
        <v>2</v>
      </c>
      <c r="G549" t="s">
        <v>4</v>
      </c>
      <c r="H549" t="s">
        <v>15</v>
      </c>
      <c r="I549">
        <v>1011000</v>
      </c>
      <c r="J549" s="2">
        <v>1011000</v>
      </c>
      <c r="K549">
        <v>667.32673267326732</v>
      </c>
      <c r="N549" t="s">
        <v>3977</v>
      </c>
      <c r="P549" t="s">
        <v>3964</v>
      </c>
    </row>
    <row r="550" spans="1:16" x14ac:dyDescent="0.25">
      <c r="A550" t="s">
        <v>3963</v>
      </c>
      <c r="B550" t="s">
        <v>1854</v>
      </c>
      <c r="C550" t="s">
        <v>2667</v>
      </c>
      <c r="D550" t="s">
        <v>26</v>
      </c>
      <c r="E550" t="s">
        <v>3928</v>
      </c>
      <c r="F550">
        <v>2</v>
      </c>
      <c r="G550" t="s">
        <v>4</v>
      </c>
      <c r="H550" t="s">
        <v>15</v>
      </c>
      <c r="I550">
        <v>3000000</v>
      </c>
      <c r="J550" s="2">
        <v>3000000</v>
      </c>
      <c r="K550">
        <v>1980.1980198019803</v>
      </c>
      <c r="N550" t="s">
        <v>3977</v>
      </c>
      <c r="P550" t="s">
        <v>3964</v>
      </c>
    </row>
    <row r="551" spans="1:16" x14ac:dyDescent="0.25">
      <c r="J551" s="2">
        <f>SUBTOTAL(109,Tabla1235[Importe AR$])</f>
        <v>8511000</v>
      </c>
    </row>
    <row r="553" spans="1:16" x14ac:dyDescent="0.25">
      <c r="G553" s="75" t="s">
        <v>26</v>
      </c>
      <c r="J553" s="4">
        <f>Tabla1235[[#Totals],[Importe AR$]]+Tabla1230[[#Totals],[Importe AR$]]</f>
        <v>9588006.8200000003</v>
      </c>
    </row>
    <row r="556" spans="1:16" x14ac:dyDescent="0.25">
      <c r="A556" t="s">
        <v>7</v>
      </c>
      <c r="B556" t="s">
        <v>8</v>
      </c>
      <c r="C556" t="s">
        <v>9</v>
      </c>
      <c r="D556" t="s">
        <v>10</v>
      </c>
      <c r="E556" t="s">
        <v>11</v>
      </c>
      <c r="F556" t="s">
        <v>12</v>
      </c>
      <c r="G556" t="s">
        <v>13</v>
      </c>
      <c r="H556" t="s">
        <v>14</v>
      </c>
      <c r="I556" t="s">
        <v>15</v>
      </c>
      <c r="J556" s="2" t="s">
        <v>16</v>
      </c>
      <c r="K556" t="s">
        <v>17</v>
      </c>
      <c r="L556" t="s">
        <v>18</v>
      </c>
      <c r="M556" t="s">
        <v>19</v>
      </c>
      <c r="N556" t="s">
        <v>20</v>
      </c>
      <c r="O556" t="s">
        <v>21</v>
      </c>
      <c r="P556" t="s">
        <v>22</v>
      </c>
    </row>
    <row r="557" spans="1:16" x14ac:dyDescent="0.25">
      <c r="A557" t="s">
        <v>4005</v>
      </c>
      <c r="B557" t="s">
        <v>3992</v>
      </c>
      <c r="C557" t="s">
        <v>3993</v>
      </c>
      <c r="D557" t="s">
        <v>26</v>
      </c>
      <c r="E557" t="s">
        <v>42</v>
      </c>
      <c r="F557">
        <v>1</v>
      </c>
      <c r="G557" t="s">
        <v>4</v>
      </c>
      <c r="H557" t="s">
        <v>15</v>
      </c>
      <c r="I557">
        <v>16184.729999999981</v>
      </c>
      <c r="J557" s="2">
        <v>16184.729999999981</v>
      </c>
      <c r="K557">
        <v>10.647848684210514</v>
      </c>
      <c r="N557" t="s">
        <v>4042</v>
      </c>
      <c r="P557" t="s">
        <v>4006</v>
      </c>
    </row>
    <row r="558" spans="1:16" x14ac:dyDescent="0.25">
      <c r="A558" t="s">
        <v>4005</v>
      </c>
      <c r="B558" t="s">
        <v>3048</v>
      </c>
      <c r="C558" t="s">
        <v>155</v>
      </c>
      <c r="D558" t="s">
        <v>26</v>
      </c>
      <c r="E558" t="s">
        <v>42</v>
      </c>
      <c r="F558">
        <v>1</v>
      </c>
      <c r="G558" t="s">
        <v>4</v>
      </c>
      <c r="H558" t="s">
        <v>15</v>
      </c>
      <c r="I558">
        <v>80000</v>
      </c>
      <c r="J558" s="2">
        <v>80000</v>
      </c>
      <c r="K558">
        <v>52.631578947368418</v>
      </c>
      <c r="N558" t="s">
        <v>4042</v>
      </c>
      <c r="P558" t="s">
        <v>4006</v>
      </c>
    </row>
    <row r="559" spans="1:16" hidden="1" x14ac:dyDescent="0.25">
      <c r="A559" t="s">
        <v>4005</v>
      </c>
      <c r="B559" t="s">
        <v>1846</v>
      </c>
      <c r="C559" t="s">
        <v>4036</v>
      </c>
      <c r="D559" t="s">
        <v>26</v>
      </c>
      <c r="E559" t="s">
        <v>42</v>
      </c>
      <c r="F559">
        <v>2</v>
      </c>
      <c r="G559" t="s">
        <v>4</v>
      </c>
      <c r="H559" t="s">
        <v>15</v>
      </c>
      <c r="I559">
        <v>95000</v>
      </c>
      <c r="J559" s="2">
        <v>95000</v>
      </c>
      <c r="K559">
        <v>62.5</v>
      </c>
      <c r="N559" t="s">
        <v>4042</v>
      </c>
      <c r="P559" t="s">
        <v>4006</v>
      </c>
    </row>
    <row r="560" spans="1:16" x14ac:dyDescent="0.25">
      <c r="A560" t="s">
        <v>4005</v>
      </c>
      <c r="B560" t="s">
        <v>2153</v>
      </c>
      <c r="C560" t="s">
        <v>155</v>
      </c>
      <c r="D560" t="s">
        <v>26</v>
      </c>
      <c r="E560" t="s">
        <v>42</v>
      </c>
      <c r="F560">
        <v>1</v>
      </c>
      <c r="G560" t="s">
        <v>4</v>
      </c>
      <c r="H560" t="s">
        <v>15</v>
      </c>
      <c r="I560">
        <v>190000</v>
      </c>
      <c r="J560" s="2">
        <v>190000</v>
      </c>
      <c r="K560">
        <v>125</v>
      </c>
      <c r="N560" t="s">
        <v>4042</v>
      </c>
      <c r="P560" t="s">
        <v>4006</v>
      </c>
    </row>
    <row r="561" spans="1:16" x14ac:dyDescent="0.25">
      <c r="A561" t="s">
        <v>4005</v>
      </c>
      <c r="B561" t="s">
        <v>1571</v>
      </c>
      <c r="C561" t="s">
        <v>155</v>
      </c>
      <c r="D561" t="s">
        <v>26</v>
      </c>
      <c r="E561" t="s">
        <v>42</v>
      </c>
      <c r="F561">
        <v>1</v>
      </c>
      <c r="G561" t="s">
        <v>4</v>
      </c>
      <c r="H561" t="s">
        <v>15</v>
      </c>
      <c r="I561">
        <v>190000</v>
      </c>
      <c r="J561" s="2">
        <v>190000</v>
      </c>
      <c r="K561">
        <v>125</v>
      </c>
      <c r="N561" t="s">
        <v>4042</v>
      </c>
      <c r="P561" t="s">
        <v>4006</v>
      </c>
    </row>
    <row r="562" spans="1:16" x14ac:dyDescent="0.25">
      <c r="A562" t="s">
        <v>4005</v>
      </c>
      <c r="B562" t="s">
        <v>483</v>
      </c>
      <c r="C562" t="s">
        <v>155</v>
      </c>
      <c r="D562" t="s">
        <v>26</v>
      </c>
      <c r="E562" t="s">
        <v>42</v>
      </c>
      <c r="F562">
        <v>1</v>
      </c>
      <c r="G562" t="s">
        <v>4</v>
      </c>
      <c r="H562" t="s">
        <v>15</v>
      </c>
      <c r="I562">
        <v>190000</v>
      </c>
      <c r="J562" s="2">
        <v>190000</v>
      </c>
      <c r="K562">
        <v>125</v>
      </c>
      <c r="N562" t="s">
        <v>4042</v>
      </c>
      <c r="P562" t="s">
        <v>4006</v>
      </c>
    </row>
    <row r="563" spans="1:16" x14ac:dyDescent="0.25">
      <c r="A563" t="s">
        <v>4005</v>
      </c>
      <c r="B563" t="s">
        <v>3299</v>
      </c>
      <c r="C563" t="s">
        <v>3300</v>
      </c>
      <c r="D563" t="s">
        <v>26</v>
      </c>
      <c r="E563" t="s">
        <v>42</v>
      </c>
      <c r="F563">
        <v>1</v>
      </c>
      <c r="G563" t="s">
        <v>4</v>
      </c>
      <c r="H563" t="s">
        <v>15</v>
      </c>
      <c r="I563">
        <v>250000</v>
      </c>
      <c r="J563" s="2">
        <v>250000</v>
      </c>
      <c r="K563">
        <v>164.47368421052633</v>
      </c>
      <c r="N563" t="s">
        <v>4042</v>
      </c>
      <c r="P563" t="s">
        <v>4006</v>
      </c>
    </row>
    <row r="564" spans="1:16" x14ac:dyDescent="0.25">
      <c r="A564" t="s">
        <v>4005</v>
      </c>
      <c r="B564" t="s">
        <v>3155</v>
      </c>
      <c r="C564" t="s">
        <v>3156</v>
      </c>
      <c r="D564" t="s">
        <v>26</v>
      </c>
      <c r="E564" t="s">
        <v>42</v>
      </c>
      <c r="F564">
        <v>1</v>
      </c>
      <c r="G564" t="s">
        <v>4</v>
      </c>
      <c r="H564" t="s">
        <v>15</v>
      </c>
      <c r="I564">
        <v>250000</v>
      </c>
      <c r="J564" s="2">
        <v>250000</v>
      </c>
      <c r="K564">
        <v>164.47368421052633</v>
      </c>
      <c r="N564" t="s">
        <v>4042</v>
      </c>
      <c r="P564" t="s">
        <v>4006</v>
      </c>
    </row>
    <row r="565" spans="1:16" hidden="1" x14ac:dyDescent="0.25">
      <c r="A565" t="s">
        <v>4005</v>
      </c>
      <c r="B565" t="s">
        <v>334</v>
      </c>
      <c r="C565" t="s">
        <v>4037</v>
      </c>
      <c r="D565" t="s">
        <v>26</v>
      </c>
      <c r="E565" t="s">
        <v>42</v>
      </c>
      <c r="F565">
        <v>2</v>
      </c>
      <c r="G565" t="s">
        <v>4</v>
      </c>
      <c r="H565" t="s">
        <v>15</v>
      </c>
      <c r="I565">
        <v>350000</v>
      </c>
      <c r="J565" s="2">
        <v>350000</v>
      </c>
      <c r="K565">
        <v>230.26315789473685</v>
      </c>
      <c r="N565" t="s">
        <v>4042</v>
      </c>
      <c r="P565" t="s">
        <v>4006</v>
      </c>
    </row>
    <row r="566" spans="1:16" hidden="1" x14ac:dyDescent="0.25">
      <c r="A566" t="s">
        <v>4005</v>
      </c>
      <c r="B566" t="s">
        <v>2652</v>
      </c>
      <c r="C566" t="s">
        <v>1688</v>
      </c>
      <c r="D566" t="s">
        <v>26</v>
      </c>
      <c r="E566" t="s">
        <v>42</v>
      </c>
      <c r="F566">
        <v>2</v>
      </c>
      <c r="G566" t="s">
        <v>4</v>
      </c>
      <c r="H566" t="s">
        <v>15</v>
      </c>
      <c r="I566">
        <v>500000</v>
      </c>
      <c r="J566" s="2">
        <v>500000</v>
      </c>
      <c r="K566">
        <v>328.94736842105266</v>
      </c>
      <c r="N566" t="s">
        <v>4042</v>
      </c>
      <c r="P566" t="s">
        <v>4006</v>
      </c>
    </row>
    <row r="567" spans="1:16" hidden="1" x14ac:dyDescent="0.25">
      <c r="A567" t="s">
        <v>4005</v>
      </c>
      <c r="B567" t="s">
        <v>3051</v>
      </c>
      <c r="C567" t="s">
        <v>2667</v>
      </c>
      <c r="D567" t="s">
        <v>26</v>
      </c>
      <c r="E567" t="s">
        <v>42</v>
      </c>
      <c r="F567">
        <v>2</v>
      </c>
      <c r="G567" t="s">
        <v>4</v>
      </c>
      <c r="H567" t="s">
        <v>15</v>
      </c>
      <c r="I567">
        <v>500000</v>
      </c>
      <c r="J567" s="2">
        <v>500000</v>
      </c>
      <c r="K567">
        <v>328.94736842105266</v>
      </c>
      <c r="N567" t="s">
        <v>4042</v>
      </c>
      <c r="P567" t="s">
        <v>4006</v>
      </c>
    </row>
    <row r="568" spans="1:16" hidden="1" x14ac:dyDescent="0.25">
      <c r="A568" t="s">
        <v>4005</v>
      </c>
      <c r="B568" t="s">
        <v>2652</v>
      </c>
      <c r="C568" t="s">
        <v>3765</v>
      </c>
      <c r="D568" t="s">
        <v>26</v>
      </c>
      <c r="E568" t="s">
        <v>62</v>
      </c>
      <c r="F568">
        <v>2</v>
      </c>
      <c r="G568" t="s">
        <v>4</v>
      </c>
      <c r="H568" t="s">
        <v>15</v>
      </c>
      <c r="I568">
        <v>500000</v>
      </c>
      <c r="J568" s="2">
        <v>500000</v>
      </c>
      <c r="K568">
        <v>328.94736842105266</v>
      </c>
      <c r="N568" t="s">
        <v>4042</v>
      </c>
      <c r="P568" t="s">
        <v>4006</v>
      </c>
    </row>
    <row r="569" spans="1:16" hidden="1" x14ac:dyDescent="0.25">
      <c r="A569" t="s">
        <v>4005</v>
      </c>
      <c r="B569" t="s">
        <v>2922</v>
      </c>
      <c r="C569" t="s">
        <v>3506</v>
      </c>
      <c r="D569" t="s">
        <v>61</v>
      </c>
      <c r="E569" t="s">
        <v>42</v>
      </c>
      <c r="F569">
        <v>2</v>
      </c>
      <c r="G569" t="s">
        <v>4</v>
      </c>
      <c r="H569" t="s">
        <v>15</v>
      </c>
      <c r="I569">
        <v>500000</v>
      </c>
      <c r="J569" s="2">
        <v>500000</v>
      </c>
      <c r="K569">
        <v>328.94736842105266</v>
      </c>
      <c r="N569" t="s">
        <v>4042</v>
      </c>
      <c r="P569" t="s">
        <v>4006</v>
      </c>
    </row>
    <row r="570" spans="1:16" hidden="1" x14ac:dyDescent="0.25">
      <c r="A570" t="s">
        <v>4005</v>
      </c>
      <c r="B570" t="s">
        <v>3814</v>
      </c>
      <c r="C570" t="s">
        <v>3295</v>
      </c>
      <c r="D570" t="s">
        <v>26</v>
      </c>
      <c r="E570" t="s">
        <v>42</v>
      </c>
      <c r="F570">
        <v>2</v>
      </c>
      <c r="G570" t="s">
        <v>4</v>
      </c>
      <c r="H570" t="s">
        <v>15</v>
      </c>
      <c r="I570">
        <v>600000</v>
      </c>
      <c r="J570" s="2">
        <v>600000</v>
      </c>
      <c r="K570">
        <v>394.73684210526318</v>
      </c>
      <c r="N570" t="s">
        <v>4042</v>
      </c>
      <c r="P570" t="s">
        <v>4006</v>
      </c>
    </row>
    <row r="571" spans="1:16" hidden="1" x14ac:dyDescent="0.25">
      <c r="A571" t="s">
        <v>4005</v>
      </c>
      <c r="B571" t="s">
        <v>2728</v>
      </c>
      <c r="C571" t="s">
        <v>3910</v>
      </c>
      <c r="D571" t="s">
        <v>26</v>
      </c>
      <c r="E571" t="s">
        <v>42</v>
      </c>
      <c r="F571">
        <v>2</v>
      </c>
      <c r="G571" t="s">
        <v>4</v>
      </c>
      <c r="H571" t="s">
        <v>15</v>
      </c>
      <c r="I571">
        <v>1011000</v>
      </c>
      <c r="J571" s="2">
        <v>1011000</v>
      </c>
      <c r="K571">
        <v>665.13157894736844</v>
      </c>
      <c r="N571" t="s">
        <v>4042</v>
      </c>
      <c r="P571" t="s">
        <v>4006</v>
      </c>
    </row>
    <row r="572" spans="1:16" hidden="1" x14ac:dyDescent="0.25">
      <c r="A572" t="s">
        <v>4005</v>
      </c>
      <c r="B572" t="s">
        <v>1677</v>
      </c>
      <c r="C572" t="s">
        <v>4035</v>
      </c>
      <c r="D572" t="s">
        <v>26</v>
      </c>
      <c r="E572" t="s">
        <v>42</v>
      </c>
      <c r="F572">
        <v>2</v>
      </c>
      <c r="G572" t="s">
        <v>4</v>
      </c>
      <c r="H572" t="s">
        <v>15</v>
      </c>
      <c r="I572">
        <v>1500000</v>
      </c>
      <c r="J572" s="2">
        <v>1500000</v>
      </c>
      <c r="K572">
        <v>986.84210526315792</v>
      </c>
      <c r="N572" t="s">
        <v>4042</v>
      </c>
      <c r="P572" t="s">
        <v>4006</v>
      </c>
    </row>
    <row r="573" spans="1:16" x14ac:dyDescent="0.25">
      <c r="J573" s="2">
        <f>SUBTOTAL(109,Tabla3638[Importe AR$])</f>
        <v>1166184.73</v>
      </c>
    </row>
    <row r="574" spans="1:16" ht="5.25" customHeight="1" x14ac:dyDescent="0.25"/>
    <row r="575" spans="1:16" x14ac:dyDescent="0.25">
      <c r="A575" t="s">
        <v>7</v>
      </c>
      <c r="B575" t="s">
        <v>8</v>
      </c>
      <c r="C575" t="s">
        <v>9</v>
      </c>
      <c r="D575" t="s">
        <v>10</v>
      </c>
      <c r="E575" t="s">
        <v>11</v>
      </c>
      <c r="F575" t="s">
        <v>12</v>
      </c>
      <c r="G575" t="s">
        <v>13</v>
      </c>
      <c r="H575" t="s">
        <v>14</v>
      </c>
      <c r="I575" t="s">
        <v>15</v>
      </c>
      <c r="J575" s="2" t="s">
        <v>16</v>
      </c>
      <c r="K575" t="s">
        <v>17</v>
      </c>
      <c r="L575" t="s">
        <v>18</v>
      </c>
      <c r="M575" t="s">
        <v>19</v>
      </c>
      <c r="N575" t="s">
        <v>20</v>
      </c>
      <c r="O575" t="s">
        <v>21</v>
      </c>
      <c r="P575" t="s">
        <v>22</v>
      </c>
    </row>
    <row r="576" spans="1:16" hidden="1" x14ac:dyDescent="0.25">
      <c r="A576" t="s">
        <v>4005</v>
      </c>
      <c r="B576" t="s">
        <v>3992</v>
      </c>
      <c r="C576" t="s">
        <v>3993</v>
      </c>
      <c r="D576" t="s">
        <v>26</v>
      </c>
      <c r="E576" t="s">
        <v>42</v>
      </c>
      <c r="F576">
        <v>1</v>
      </c>
      <c r="G576" t="s">
        <v>4</v>
      </c>
      <c r="H576" t="s">
        <v>15</v>
      </c>
      <c r="I576">
        <v>16184.729999999981</v>
      </c>
      <c r="J576" s="2">
        <v>16184.729999999981</v>
      </c>
      <c r="K576">
        <v>10.647848684210514</v>
      </c>
      <c r="N576" t="s">
        <v>4042</v>
      </c>
      <c r="P576" t="s">
        <v>4006</v>
      </c>
    </row>
    <row r="577" spans="1:16" hidden="1" x14ac:dyDescent="0.25">
      <c r="A577" t="s">
        <v>4005</v>
      </c>
      <c r="B577" t="s">
        <v>3048</v>
      </c>
      <c r="C577" t="s">
        <v>155</v>
      </c>
      <c r="D577" t="s">
        <v>26</v>
      </c>
      <c r="E577" t="s">
        <v>42</v>
      </c>
      <c r="F577">
        <v>1</v>
      </c>
      <c r="G577" t="s">
        <v>4</v>
      </c>
      <c r="H577" t="s">
        <v>15</v>
      </c>
      <c r="I577">
        <v>80000</v>
      </c>
      <c r="J577" s="2">
        <v>80000</v>
      </c>
      <c r="K577">
        <v>52.631578947368418</v>
      </c>
      <c r="N577" t="s">
        <v>4042</v>
      </c>
      <c r="P577" t="s">
        <v>4006</v>
      </c>
    </row>
    <row r="578" spans="1:16" x14ac:dyDescent="0.25">
      <c r="A578" t="s">
        <v>4005</v>
      </c>
      <c r="B578" t="s">
        <v>1846</v>
      </c>
      <c r="C578" t="s">
        <v>4036</v>
      </c>
      <c r="D578" t="s">
        <v>26</v>
      </c>
      <c r="E578" t="s">
        <v>42</v>
      </c>
      <c r="F578">
        <v>2</v>
      </c>
      <c r="G578" t="s">
        <v>4</v>
      </c>
      <c r="H578" t="s">
        <v>15</v>
      </c>
      <c r="I578">
        <v>95000</v>
      </c>
      <c r="J578" s="2">
        <v>95000</v>
      </c>
      <c r="K578">
        <v>62.5</v>
      </c>
      <c r="N578" t="s">
        <v>4042</v>
      </c>
      <c r="P578" t="s">
        <v>4006</v>
      </c>
    </row>
    <row r="579" spans="1:16" hidden="1" x14ac:dyDescent="0.25">
      <c r="A579" t="s">
        <v>4005</v>
      </c>
      <c r="B579" t="s">
        <v>2153</v>
      </c>
      <c r="C579" t="s">
        <v>155</v>
      </c>
      <c r="D579" t="s">
        <v>26</v>
      </c>
      <c r="E579" t="s">
        <v>42</v>
      </c>
      <c r="F579">
        <v>1</v>
      </c>
      <c r="G579" t="s">
        <v>4</v>
      </c>
      <c r="H579" t="s">
        <v>15</v>
      </c>
      <c r="I579">
        <v>190000</v>
      </c>
      <c r="J579" s="2">
        <v>190000</v>
      </c>
      <c r="K579">
        <v>125</v>
      </c>
      <c r="N579" t="s">
        <v>4042</v>
      </c>
      <c r="P579" t="s">
        <v>4006</v>
      </c>
    </row>
    <row r="580" spans="1:16" hidden="1" x14ac:dyDescent="0.25">
      <c r="A580" t="s">
        <v>4005</v>
      </c>
      <c r="B580" t="s">
        <v>1571</v>
      </c>
      <c r="C580" t="s">
        <v>155</v>
      </c>
      <c r="D580" t="s">
        <v>26</v>
      </c>
      <c r="E580" t="s">
        <v>42</v>
      </c>
      <c r="F580">
        <v>1</v>
      </c>
      <c r="G580" t="s">
        <v>4</v>
      </c>
      <c r="H580" t="s">
        <v>15</v>
      </c>
      <c r="I580">
        <v>190000</v>
      </c>
      <c r="J580" s="2">
        <v>190000</v>
      </c>
      <c r="K580">
        <v>125</v>
      </c>
      <c r="N580" t="s">
        <v>4042</v>
      </c>
      <c r="P580" t="s">
        <v>4006</v>
      </c>
    </row>
    <row r="581" spans="1:16" hidden="1" x14ac:dyDescent="0.25">
      <c r="A581" t="s">
        <v>4005</v>
      </c>
      <c r="B581" t="s">
        <v>483</v>
      </c>
      <c r="C581" t="s">
        <v>155</v>
      </c>
      <c r="D581" t="s">
        <v>26</v>
      </c>
      <c r="E581" t="s">
        <v>42</v>
      </c>
      <c r="F581">
        <v>1</v>
      </c>
      <c r="G581" t="s">
        <v>4</v>
      </c>
      <c r="H581" t="s">
        <v>15</v>
      </c>
      <c r="I581">
        <v>190000</v>
      </c>
      <c r="J581" s="2">
        <v>190000</v>
      </c>
      <c r="K581">
        <v>125</v>
      </c>
      <c r="N581" t="s">
        <v>4042</v>
      </c>
      <c r="P581" t="s">
        <v>4006</v>
      </c>
    </row>
    <row r="582" spans="1:16" hidden="1" x14ac:dyDescent="0.25">
      <c r="A582" t="s">
        <v>4005</v>
      </c>
      <c r="B582" t="s">
        <v>3299</v>
      </c>
      <c r="C582" t="s">
        <v>3300</v>
      </c>
      <c r="D582" t="s">
        <v>26</v>
      </c>
      <c r="E582" t="s">
        <v>42</v>
      </c>
      <c r="F582">
        <v>1</v>
      </c>
      <c r="G582" t="s">
        <v>4</v>
      </c>
      <c r="H582" t="s">
        <v>15</v>
      </c>
      <c r="I582">
        <v>250000</v>
      </c>
      <c r="J582" s="2">
        <v>250000</v>
      </c>
      <c r="K582">
        <v>164.47368421052633</v>
      </c>
      <c r="N582" t="s">
        <v>4042</v>
      </c>
      <c r="P582" t="s">
        <v>4006</v>
      </c>
    </row>
    <row r="583" spans="1:16" hidden="1" x14ac:dyDescent="0.25">
      <c r="A583" t="s">
        <v>4005</v>
      </c>
      <c r="B583" t="s">
        <v>3155</v>
      </c>
      <c r="C583" t="s">
        <v>3156</v>
      </c>
      <c r="D583" t="s">
        <v>26</v>
      </c>
      <c r="E583" t="s">
        <v>42</v>
      </c>
      <c r="F583">
        <v>1</v>
      </c>
      <c r="G583" t="s">
        <v>4</v>
      </c>
      <c r="H583" t="s">
        <v>15</v>
      </c>
      <c r="I583">
        <v>250000</v>
      </c>
      <c r="J583" s="2">
        <v>250000</v>
      </c>
      <c r="K583">
        <v>164.47368421052633</v>
      </c>
      <c r="N583" t="s">
        <v>4042</v>
      </c>
      <c r="P583" t="s">
        <v>4006</v>
      </c>
    </row>
    <row r="584" spans="1:16" x14ac:dyDescent="0.25">
      <c r="A584" t="s">
        <v>4005</v>
      </c>
      <c r="B584" t="s">
        <v>334</v>
      </c>
      <c r="C584" t="s">
        <v>4037</v>
      </c>
      <c r="D584" t="s">
        <v>26</v>
      </c>
      <c r="E584" t="s">
        <v>42</v>
      </c>
      <c r="F584">
        <v>2</v>
      </c>
      <c r="G584" t="s">
        <v>4</v>
      </c>
      <c r="H584" t="s">
        <v>15</v>
      </c>
      <c r="I584">
        <v>350000</v>
      </c>
      <c r="J584" s="2">
        <v>350000</v>
      </c>
      <c r="K584">
        <v>230.26315789473685</v>
      </c>
      <c r="N584" t="s">
        <v>4042</v>
      </c>
      <c r="P584" t="s">
        <v>4006</v>
      </c>
    </row>
    <row r="585" spans="1:16" x14ac:dyDescent="0.25">
      <c r="A585" t="s">
        <v>4005</v>
      </c>
      <c r="B585" t="s">
        <v>2652</v>
      </c>
      <c r="C585" t="s">
        <v>1688</v>
      </c>
      <c r="D585" t="s">
        <v>26</v>
      </c>
      <c r="E585" t="s">
        <v>42</v>
      </c>
      <c r="F585">
        <v>2</v>
      </c>
      <c r="G585" t="s">
        <v>4</v>
      </c>
      <c r="H585" t="s">
        <v>15</v>
      </c>
      <c r="I585">
        <v>500000</v>
      </c>
      <c r="J585" s="2">
        <v>500000</v>
      </c>
      <c r="K585">
        <v>328.94736842105266</v>
      </c>
      <c r="N585" t="s">
        <v>4042</v>
      </c>
      <c r="P585" t="s">
        <v>4006</v>
      </c>
    </row>
    <row r="586" spans="1:16" x14ac:dyDescent="0.25">
      <c r="A586" t="s">
        <v>4005</v>
      </c>
      <c r="B586" t="s">
        <v>3051</v>
      </c>
      <c r="C586" t="s">
        <v>2667</v>
      </c>
      <c r="D586" t="s">
        <v>26</v>
      </c>
      <c r="E586" t="s">
        <v>42</v>
      </c>
      <c r="F586">
        <v>2</v>
      </c>
      <c r="G586" t="s">
        <v>4</v>
      </c>
      <c r="H586" t="s">
        <v>15</v>
      </c>
      <c r="I586">
        <v>500000</v>
      </c>
      <c r="J586" s="2">
        <v>500000</v>
      </c>
      <c r="K586">
        <v>328.94736842105266</v>
      </c>
      <c r="N586" t="s">
        <v>4042</v>
      </c>
      <c r="P586" t="s">
        <v>4006</v>
      </c>
    </row>
    <row r="587" spans="1:16" x14ac:dyDescent="0.25">
      <c r="A587" t="s">
        <v>4005</v>
      </c>
      <c r="B587" t="s">
        <v>2652</v>
      </c>
      <c r="C587" t="s">
        <v>3765</v>
      </c>
      <c r="D587" t="s">
        <v>26</v>
      </c>
      <c r="E587" t="s">
        <v>62</v>
      </c>
      <c r="F587">
        <v>2</v>
      </c>
      <c r="G587" t="s">
        <v>4</v>
      </c>
      <c r="H587" t="s">
        <v>15</v>
      </c>
      <c r="I587">
        <v>500000</v>
      </c>
      <c r="J587" s="2">
        <v>500000</v>
      </c>
      <c r="K587">
        <v>328.94736842105266</v>
      </c>
      <c r="N587" t="s">
        <v>4042</v>
      </c>
      <c r="P587" t="s">
        <v>4006</v>
      </c>
    </row>
    <row r="588" spans="1:16" x14ac:dyDescent="0.25">
      <c r="A588" t="s">
        <v>4005</v>
      </c>
      <c r="B588" t="s">
        <v>2922</v>
      </c>
      <c r="C588" t="s">
        <v>3506</v>
      </c>
      <c r="D588" t="s">
        <v>61</v>
      </c>
      <c r="E588" t="s">
        <v>42</v>
      </c>
      <c r="F588">
        <v>2</v>
      </c>
      <c r="G588" t="s">
        <v>4</v>
      </c>
      <c r="H588" t="s">
        <v>15</v>
      </c>
      <c r="I588">
        <v>500000</v>
      </c>
      <c r="J588" s="2">
        <v>500000</v>
      </c>
      <c r="K588">
        <v>328.94736842105266</v>
      </c>
      <c r="N588" t="s">
        <v>4042</v>
      </c>
      <c r="P588" t="s">
        <v>4006</v>
      </c>
    </row>
    <row r="589" spans="1:16" x14ac:dyDescent="0.25">
      <c r="A589" t="s">
        <v>4005</v>
      </c>
      <c r="B589" t="s">
        <v>3814</v>
      </c>
      <c r="C589" t="s">
        <v>3295</v>
      </c>
      <c r="D589" t="s">
        <v>26</v>
      </c>
      <c r="E589" t="s">
        <v>42</v>
      </c>
      <c r="F589">
        <v>2</v>
      </c>
      <c r="G589" t="s">
        <v>4</v>
      </c>
      <c r="H589" t="s">
        <v>15</v>
      </c>
      <c r="I589">
        <v>600000</v>
      </c>
      <c r="J589" s="2">
        <v>600000</v>
      </c>
      <c r="K589">
        <v>394.73684210526318</v>
      </c>
      <c r="N589" t="s">
        <v>4042</v>
      </c>
      <c r="P589" t="s">
        <v>4006</v>
      </c>
    </row>
    <row r="590" spans="1:16" x14ac:dyDescent="0.25">
      <c r="A590" t="s">
        <v>4005</v>
      </c>
      <c r="B590" t="s">
        <v>2728</v>
      </c>
      <c r="C590" t="s">
        <v>3910</v>
      </c>
      <c r="D590" t="s">
        <v>26</v>
      </c>
      <c r="E590" t="s">
        <v>42</v>
      </c>
      <c r="F590">
        <v>2</v>
      </c>
      <c r="G590" t="s">
        <v>4</v>
      </c>
      <c r="H590" t="s">
        <v>15</v>
      </c>
      <c r="I590">
        <v>1011000</v>
      </c>
      <c r="J590" s="2">
        <v>1011000</v>
      </c>
      <c r="K590">
        <v>665.13157894736844</v>
      </c>
      <c r="N590" t="s">
        <v>4042</v>
      </c>
      <c r="P590" t="s">
        <v>4006</v>
      </c>
    </row>
    <row r="591" spans="1:16" x14ac:dyDescent="0.25">
      <c r="A591" t="s">
        <v>4005</v>
      </c>
      <c r="B591" t="s">
        <v>1677</v>
      </c>
      <c r="C591" t="s">
        <v>4035</v>
      </c>
      <c r="D591" t="s">
        <v>26</v>
      </c>
      <c r="E591" t="s">
        <v>42</v>
      </c>
      <c r="F591">
        <v>2</v>
      </c>
      <c r="G591" t="s">
        <v>4</v>
      </c>
      <c r="H591" t="s">
        <v>15</v>
      </c>
      <c r="I591">
        <v>1500000</v>
      </c>
      <c r="J591" s="2">
        <v>1500000</v>
      </c>
      <c r="K591">
        <v>986.84210526315792</v>
      </c>
      <c r="N591" t="s">
        <v>4042</v>
      </c>
      <c r="P591" t="s">
        <v>4006</v>
      </c>
    </row>
    <row r="592" spans="1:16" x14ac:dyDescent="0.25">
      <c r="J592" s="2">
        <f>SUBTOTAL(109,Tabla3639[Importe AR$])</f>
        <v>5556000</v>
      </c>
    </row>
    <row r="593" spans="1:16" ht="4.5" customHeight="1" x14ac:dyDescent="0.25"/>
    <row r="594" spans="1:16" x14ac:dyDescent="0.25">
      <c r="G594" s="75" t="s">
        <v>26</v>
      </c>
      <c r="H594" s="25"/>
      <c r="I594" s="25"/>
      <c r="J594" s="4">
        <f>Tabla3639[[#Totals],[Importe AR$]]+Tabla3638[[#Totals],[Importe AR$]]</f>
        <v>6722184.7300000004</v>
      </c>
    </row>
    <row r="596" spans="1:16" x14ac:dyDescent="0.25">
      <c r="A596" t="s">
        <v>7</v>
      </c>
      <c r="B596" t="s">
        <v>8</v>
      </c>
      <c r="C596" t="s">
        <v>9</v>
      </c>
      <c r="D596" t="s">
        <v>10</v>
      </c>
      <c r="E596" t="s">
        <v>11</v>
      </c>
      <c r="F596" t="s">
        <v>12</v>
      </c>
      <c r="G596" t="s">
        <v>13</v>
      </c>
      <c r="H596" t="s">
        <v>14</v>
      </c>
      <c r="I596" t="s">
        <v>15</v>
      </c>
      <c r="J596" s="2" t="s">
        <v>16</v>
      </c>
      <c r="K596" t="s">
        <v>17</v>
      </c>
      <c r="L596" t="s">
        <v>18</v>
      </c>
      <c r="M596" t="s">
        <v>19</v>
      </c>
      <c r="N596" t="s">
        <v>20</v>
      </c>
      <c r="O596" t="s">
        <v>21</v>
      </c>
      <c r="P596" t="s">
        <v>22</v>
      </c>
    </row>
    <row r="597" spans="1:16" x14ac:dyDescent="0.25">
      <c r="A597" t="s">
        <v>4074</v>
      </c>
      <c r="B597" t="s">
        <v>3992</v>
      </c>
      <c r="C597" t="s">
        <v>3993</v>
      </c>
      <c r="D597" t="s">
        <v>26</v>
      </c>
      <c r="E597" t="s">
        <v>42</v>
      </c>
      <c r="F597">
        <v>1</v>
      </c>
      <c r="G597" t="s">
        <v>4</v>
      </c>
      <c r="H597" t="s">
        <v>15</v>
      </c>
      <c r="I597">
        <v>16184.729999999981</v>
      </c>
      <c r="J597" s="2">
        <v>16184.729999999981</v>
      </c>
      <c r="K597">
        <v>10.682990099009888</v>
      </c>
      <c r="N597" t="s">
        <v>4101</v>
      </c>
      <c r="P597" t="s">
        <v>4075</v>
      </c>
    </row>
    <row r="598" spans="1:16" x14ac:dyDescent="0.25">
      <c r="A598" t="s">
        <v>4074</v>
      </c>
      <c r="B598" t="s">
        <v>2153</v>
      </c>
      <c r="C598" t="s">
        <v>155</v>
      </c>
      <c r="D598" t="s">
        <v>26</v>
      </c>
      <c r="E598" t="s">
        <v>42</v>
      </c>
      <c r="F598">
        <v>1</v>
      </c>
      <c r="G598" t="s">
        <v>4</v>
      </c>
      <c r="H598" t="s">
        <v>15</v>
      </c>
      <c r="I598">
        <v>50005</v>
      </c>
      <c r="J598" s="2">
        <v>50005</v>
      </c>
      <c r="K598">
        <v>33.006600660066006</v>
      </c>
      <c r="N598" t="s">
        <v>4101</v>
      </c>
      <c r="P598" t="s">
        <v>4075</v>
      </c>
    </row>
    <row r="599" spans="1:16" x14ac:dyDescent="0.25">
      <c r="A599" t="s">
        <v>4074</v>
      </c>
      <c r="B599" t="s">
        <v>3048</v>
      </c>
      <c r="C599" t="s">
        <v>155</v>
      </c>
      <c r="D599" t="s">
        <v>26</v>
      </c>
      <c r="E599" t="s">
        <v>42</v>
      </c>
      <c r="F599">
        <v>1</v>
      </c>
      <c r="G599" t="s">
        <v>4</v>
      </c>
      <c r="H599" t="s">
        <v>15</v>
      </c>
      <c r="I599">
        <v>80000</v>
      </c>
      <c r="J599" s="2">
        <v>80000</v>
      </c>
      <c r="K599">
        <v>52.805280528052805</v>
      </c>
      <c r="N599" t="s">
        <v>4101</v>
      </c>
      <c r="P599" t="s">
        <v>4075</v>
      </c>
    </row>
    <row r="600" spans="1:16" hidden="1" x14ac:dyDescent="0.25">
      <c r="A600" t="s">
        <v>4074</v>
      </c>
      <c r="B600" t="s">
        <v>334</v>
      </c>
      <c r="C600" t="s">
        <v>4037</v>
      </c>
      <c r="D600" t="s">
        <v>26</v>
      </c>
      <c r="E600" t="s">
        <v>42</v>
      </c>
      <c r="F600">
        <v>2</v>
      </c>
      <c r="G600" t="s">
        <v>4</v>
      </c>
      <c r="H600" t="s">
        <v>15</v>
      </c>
      <c r="I600">
        <v>110000</v>
      </c>
      <c r="J600" s="2">
        <v>110000</v>
      </c>
      <c r="K600">
        <v>72.60726072607261</v>
      </c>
      <c r="N600" t="s">
        <v>4101</v>
      </c>
      <c r="P600" t="s">
        <v>4075</v>
      </c>
    </row>
    <row r="601" spans="1:16" x14ac:dyDescent="0.25">
      <c r="A601" t="s">
        <v>4074</v>
      </c>
      <c r="B601" t="s">
        <v>1571</v>
      </c>
      <c r="C601" t="s">
        <v>155</v>
      </c>
      <c r="D601" t="s">
        <v>26</v>
      </c>
      <c r="E601" t="s">
        <v>42</v>
      </c>
      <c r="F601">
        <v>1</v>
      </c>
      <c r="G601" t="s">
        <v>4</v>
      </c>
      <c r="H601" t="s">
        <v>15</v>
      </c>
      <c r="I601">
        <v>190000</v>
      </c>
      <c r="J601" s="2">
        <v>190000</v>
      </c>
      <c r="K601">
        <v>125.41254125412541</v>
      </c>
      <c r="N601" t="s">
        <v>4101</v>
      </c>
      <c r="P601" t="s">
        <v>4075</v>
      </c>
    </row>
    <row r="602" spans="1:16" x14ac:dyDescent="0.25">
      <c r="A602" t="s">
        <v>4074</v>
      </c>
      <c r="B602" t="s">
        <v>1462</v>
      </c>
      <c r="C602" t="s">
        <v>155</v>
      </c>
      <c r="D602" t="s">
        <v>26</v>
      </c>
      <c r="E602" t="s">
        <v>42</v>
      </c>
      <c r="F602">
        <v>1</v>
      </c>
      <c r="G602" t="s">
        <v>4</v>
      </c>
      <c r="H602" t="s">
        <v>15</v>
      </c>
      <c r="I602">
        <v>200000.02</v>
      </c>
      <c r="J602" s="2">
        <v>200000.02</v>
      </c>
      <c r="K602">
        <v>132.01321452145214</v>
      </c>
      <c r="N602" t="s">
        <v>4101</v>
      </c>
      <c r="P602" t="s">
        <v>4075</v>
      </c>
    </row>
    <row r="603" spans="1:16" x14ac:dyDescent="0.25">
      <c r="A603" t="s">
        <v>4074</v>
      </c>
      <c r="B603" t="s">
        <v>3299</v>
      </c>
      <c r="C603" t="s">
        <v>3300</v>
      </c>
      <c r="D603" t="s">
        <v>26</v>
      </c>
      <c r="E603" t="s">
        <v>42</v>
      </c>
      <c r="F603">
        <v>1</v>
      </c>
      <c r="G603" t="s">
        <v>4</v>
      </c>
      <c r="H603" t="s">
        <v>15</v>
      </c>
      <c r="I603">
        <v>250000</v>
      </c>
      <c r="J603" s="2">
        <v>250000</v>
      </c>
      <c r="K603">
        <v>165.01650165016503</v>
      </c>
      <c r="N603" t="s">
        <v>4101</v>
      </c>
      <c r="P603" t="s">
        <v>4075</v>
      </c>
    </row>
    <row r="604" spans="1:16" x14ac:dyDescent="0.25">
      <c r="A604" t="s">
        <v>4074</v>
      </c>
      <c r="B604" t="s">
        <v>3155</v>
      </c>
      <c r="C604" t="s">
        <v>3156</v>
      </c>
      <c r="D604" t="s">
        <v>26</v>
      </c>
      <c r="E604" t="s">
        <v>42</v>
      </c>
      <c r="F604">
        <v>1</v>
      </c>
      <c r="G604" t="s">
        <v>4</v>
      </c>
      <c r="H604" t="s">
        <v>15</v>
      </c>
      <c r="I604">
        <v>250000</v>
      </c>
      <c r="J604" s="2">
        <v>250000</v>
      </c>
      <c r="K604">
        <v>165.01650165016503</v>
      </c>
      <c r="N604" t="s">
        <v>4101</v>
      </c>
      <c r="P604" t="s">
        <v>4075</v>
      </c>
    </row>
    <row r="605" spans="1:16" hidden="1" x14ac:dyDescent="0.25">
      <c r="A605" t="s">
        <v>4074</v>
      </c>
      <c r="B605" t="s">
        <v>2652</v>
      </c>
      <c r="C605" t="s">
        <v>1688</v>
      </c>
      <c r="D605" t="s">
        <v>26</v>
      </c>
      <c r="E605" t="s">
        <v>42</v>
      </c>
      <c r="F605">
        <v>2</v>
      </c>
      <c r="G605" t="s">
        <v>4</v>
      </c>
      <c r="H605" t="s">
        <v>15</v>
      </c>
      <c r="I605">
        <v>500000</v>
      </c>
      <c r="J605" s="2">
        <v>500000</v>
      </c>
      <c r="K605">
        <v>330.03300330033005</v>
      </c>
      <c r="N605" t="s">
        <v>4101</v>
      </c>
      <c r="P605" t="s">
        <v>4075</v>
      </c>
    </row>
    <row r="606" spans="1:16" hidden="1" x14ac:dyDescent="0.25">
      <c r="A606" t="s">
        <v>4074</v>
      </c>
      <c r="B606" t="s">
        <v>2652</v>
      </c>
      <c r="C606" t="s">
        <v>3765</v>
      </c>
      <c r="D606" t="s">
        <v>26</v>
      </c>
      <c r="E606" t="s">
        <v>62</v>
      </c>
      <c r="F606">
        <v>2</v>
      </c>
      <c r="G606" t="s">
        <v>4</v>
      </c>
      <c r="H606" t="s">
        <v>15</v>
      </c>
      <c r="I606">
        <v>500000</v>
      </c>
      <c r="J606" s="2">
        <v>500000</v>
      </c>
      <c r="K606">
        <v>330.03300330033005</v>
      </c>
      <c r="N606" t="s">
        <v>4101</v>
      </c>
      <c r="P606" t="s">
        <v>4075</v>
      </c>
    </row>
    <row r="607" spans="1:16" hidden="1" x14ac:dyDescent="0.25">
      <c r="A607" t="s">
        <v>4074</v>
      </c>
      <c r="B607" t="s">
        <v>2922</v>
      </c>
      <c r="C607" t="s">
        <v>3506</v>
      </c>
      <c r="D607" t="s">
        <v>61</v>
      </c>
      <c r="E607" t="s">
        <v>42</v>
      </c>
      <c r="F607">
        <v>2</v>
      </c>
      <c r="G607" t="s">
        <v>4</v>
      </c>
      <c r="H607" t="s">
        <v>15</v>
      </c>
      <c r="I607">
        <v>500000</v>
      </c>
      <c r="J607" s="2">
        <v>500000</v>
      </c>
      <c r="K607">
        <v>330.03300330033005</v>
      </c>
      <c r="N607" t="s">
        <v>4101</v>
      </c>
      <c r="P607" t="s">
        <v>4075</v>
      </c>
    </row>
    <row r="608" spans="1:16" x14ac:dyDescent="0.25">
      <c r="A608" t="s">
        <v>4074</v>
      </c>
      <c r="B608" t="s">
        <v>3169</v>
      </c>
      <c r="C608" t="s">
        <v>3988</v>
      </c>
      <c r="D608" t="s">
        <v>26</v>
      </c>
      <c r="E608" t="s">
        <v>62</v>
      </c>
      <c r="F608">
        <v>1</v>
      </c>
      <c r="G608" t="s">
        <v>4</v>
      </c>
      <c r="H608" t="s">
        <v>15</v>
      </c>
      <c r="I608">
        <v>560000</v>
      </c>
      <c r="J608" s="2">
        <v>560000</v>
      </c>
      <c r="K608">
        <v>369.63696369636966</v>
      </c>
      <c r="N608" t="s">
        <v>4101</v>
      </c>
      <c r="P608" t="s">
        <v>4075</v>
      </c>
    </row>
    <row r="609" spans="1:16" hidden="1" x14ac:dyDescent="0.25">
      <c r="A609" t="s">
        <v>4074</v>
      </c>
      <c r="B609" t="s">
        <v>3814</v>
      </c>
      <c r="C609" t="s">
        <v>3295</v>
      </c>
      <c r="D609" t="s">
        <v>26</v>
      </c>
      <c r="E609" t="s">
        <v>42</v>
      </c>
      <c r="F609">
        <v>2</v>
      </c>
      <c r="G609" t="s">
        <v>4</v>
      </c>
      <c r="H609" t="s">
        <v>15</v>
      </c>
      <c r="I609">
        <v>600000</v>
      </c>
      <c r="J609" s="2">
        <v>600000</v>
      </c>
      <c r="K609">
        <v>396.03960396039605</v>
      </c>
      <c r="N609" t="s">
        <v>4101</v>
      </c>
      <c r="P609" t="s">
        <v>4075</v>
      </c>
    </row>
    <row r="610" spans="1:16" x14ac:dyDescent="0.25">
      <c r="A610" t="s">
        <v>4074</v>
      </c>
      <c r="B610" t="s">
        <v>344</v>
      </c>
      <c r="C610" t="s">
        <v>4100</v>
      </c>
      <c r="D610" t="s">
        <v>26</v>
      </c>
      <c r="E610" t="s">
        <v>62</v>
      </c>
      <c r="F610">
        <v>1</v>
      </c>
      <c r="G610" t="s">
        <v>4</v>
      </c>
      <c r="H610" t="s">
        <v>15</v>
      </c>
      <c r="I610">
        <v>619300</v>
      </c>
      <c r="J610" s="2">
        <v>619300</v>
      </c>
      <c r="K610">
        <v>408.77887788778878</v>
      </c>
      <c r="N610" t="s">
        <v>4101</v>
      </c>
      <c r="P610" t="s">
        <v>4075</v>
      </c>
    </row>
    <row r="611" spans="1:16" hidden="1" x14ac:dyDescent="0.25">
      <c r="A611" t="s">
        <v>4074</v>
      </c>
      <c r="B611" t="s">
        <v>3051</v>
      </c>
      <c r="C611" t="s">
        <v>2667</v>
      </c>
      <c r="D611" t="s">
        <v>26</v>
      </c>
      <c r="E611" t="s">
        <v>42</v>
      </c>
      <c r="F611">
        <v>2</v>
      </c>
      <c r="G611" t="s">
        <v>4</v>
      </c>
      <c r="H611" t="s">
        <v>15</v>
      </c>
      <c r="I611">
        <v>1000000</v>
      </c>
      <c r="J611" s="2">
        <v>1000000</v>
      </c>
      <c r="K611">
        <v>660.0660066006601</v>
      </c>
      <c r="N611" t="s">
        <v>4101</v>
      </c>
      <c r="P611" t="s">
        <v>4075</v>
      </c>
    </row>
    <row r="612" spans="1:16" hidden="1" x14ac:dyDescent="0.25">
      <c r="A612" t="s">
        <v>4074</v>
      </c>
      <c r="B612" t="s">
        <v>1677</v>
      </c>
      <c r="C612" t="s">
        <v>4035</v>
      </c>
      <c r="D612" t="s">
        <v>26</v>
      </c>
      <c r="E612" t="s">
        <v>42</v>
      </c>
      <c r="F612">
        <v>2</v>
      </c>
      <c r="G612" t="s">
        <v>4</v>
      </c>
      <c r="H612" t="s">
        <v>15</v>
      </c>
      <c r="I612">
        <v>1000000</v>
      </c>
      <c r="J612" s="2">
        <v>1000000</v>
      </c>
      <c r="K612">
        <v>660.0660066006601</v>
      </c>
      <c r="N612" t="s">
        <v>4101</v>
      </c>
      <c r="P612" t="s">
        <v>4075</v>
      </c>
    </row>
    <row r="613" spans="1:16" hidden="1" x14ac:dyDescent="0.25">
      <c r="A613" t="s">
        <v>4074</v>
      </c>
      <c r="B613" t="s">
        <v>483</v>
      </c>
      <c r="C613" t="s">
        <v>3442</v>
      </c>
      <c r="D613" t="s">
        <v>26</v>
      </c>
      <c r="E613" t="s">
        <v>42</v>
      </c>
      <c r="F613">
        <v>2</v>
      </c>
      <c r="G613" t="s">
        <v>4</v>
      </c>
      <c r="H613" t="s">
        <v>15</v>
      </c>
      <c r="I613">
        <v>1000000</v>
      </c>
      <c r="J613" s="2">
        <v>1000000</v>
      </c>
      <c r="K613">
        <v>660.0660066006601</v>
      </c>
      <c r="N613" t="s">
        <v>4101</v>
      </c>
      <c r="P613" t="s">
        <v>4075</v>
      </c>
    </row>
    <row r="614" spans="1:16" hidden="1" x14ac:dyDescent="0.25">
      <c r="A614" t="s">
        <v>4074</v>
      </c>
      <c r="B614" t="s">
        <v>2728</v>
      </c>
      <c r="C614" t="s">
        <v>3910</v>
      </c>
      <c r="D614" t="s">
        <v>26</v>
      </c>
      <c r="E614" t="s">
        <v>42</v>
      </c>
      <c r="F614">
        <v>2</v>
      </c>
      <c r="G614" t="s">
        <v>4</v>
      </c>
      <c r="H614" t="s">
        <v>15</v>
      </c>
      <c r="I614">
        <v>1011000</v>
      </c>
      <c r="J614" s="2">
        <v>1011000</v>
      </c>
      <c r="K614">
        <v>667.32673267326732</v>
      </c>
      <c r="N614" t="s">
        <v>4101</v>
      </c>
      <c r="P614" t="s">
        <v>4075</v>
      </c>
    </row>
    <row r="615" spans="1:16" hidden="1" x14ac:dyDescent="0.25">
      <c r="A615" t="s">
        <v>4074</v>
      </c>
      <c r="B615" t="s">
        <v>1854</v>
      </c>
      <c r="C615" t="s">
        <v>2667</v>
      </c>
      <c r="D615" t="s">
        <v>26</v>
      </c>
      <c r="E615" t="s">
        <v>3928</v>
      </c>
      <c r="F615">
        <v>2</v>
      </c>
      <c r="G615" t="s">
        <v>4</v>
      </c>
      <c r="H615" t="s">
        <v>15</v>
      </c>
      <c r="I615">
        <v>2000000</v>
      </c>
      <c r="J615" s="2">
        <v>2000000</v>
      </c>
      <c r="K615">
        <v>1320.1320132013202</v>
      </c>
      <c r="N615" t="s">
        <v>4101</v>
      </c>
      <c r="P615" t="s">
        <v>4075</v>
      </c>
    </row>
    <row r="616" spans="1:16" x14ac:dyDescent="0.25">
      <c r="J616" s="2">
        <f>SUBTOTAL(109,Tabla3641[Importe AR$])</f>
        <v>2215489.75</v>
      </c>
    </row>
    <row r="617" spans="1:16" ht="4.5" customHeight="1" x14ac:dyDescent="0.25"/>
    <row r="618" spans="1:16" x14ac:dyDescent="0.25">
      <c r="A618" t="s">
        <v>7</v>
      </c>
      <c r="B618" t="s">
        <v>8</v>
      </c>
      <c r="C618" t="s">
        <v>9</v>
      </c>
      <c r="D618" t="s">
        <v>10</v>
      </c>
      <c r="E618" t="s">
        <v>11</v>
      </c>
      <c r="F618" t="s">
        <v>12</v>
      </c>
      <c r="G618" t="s">
        <v>13</v>
      </c>
      <c r="H618" t="s">
        <v>14</v>
      </c>
      <c r="I618" t="s">
        <v>15</v>
      </c>
      <c r="J618" s="2" t="s">
        <v>16</v>
      </c>
      <c r="K618" t="s">
        <v>17</v>
      </c>
      <c r="L618" t="s">
        <v>18</v>
      </c>
      <c r="M618" t="s">
        <v>19</v>
      </c>
      <c r="N618" t="s">
        <v>20</v>
      </c>
      <c r="O618" t="s">
        <v>21</v>
      </c>
      <c r="P618" t="s">
        <v>22</v>
      </c>
    </row>
    <row r="619" spans="1:16" hidden="1" x14ac:dyDescent="0.25">
      <c r="A619" t="s">
        <v>4074</v>
      </c>
      <c r="B619" t="s">
        <v>3992</v>
      </c>
      <c r="C619" t="s">
        <v>3993</v>
      </c>
      <c r="D619" t="s">
        <v>26</v>
      </c>
      <c r="E619" t="s">
        <v>42</v>
      </c>
      <c r="F619">
        <v>1</v>
      </c>
      <c r="G619" t="s">
        <v>4</v>
      </c>
      <c r="H619" t="s">
        <v>15</v>
      </c>
      <c r="I619">
        <v>16184.729999999981</v>
      </c>
      <c r="J619" s="2">
        <v>16184.729999999981</v>
      </c>
      <c r="K619">
        <v>10.682990099009888</v>
      </c>
      <c r="N619" t="s">
        <v>4101</v>
      </c>
      <c r="P619" t="s">
        <v>4075</v>
      </c>
    </row>
    <row r="620" spans="1:16" hidden="1" x14ac:dyDescent="0.25">
      <c r="A620" t="s">
        <v>4074</v>
      </c>
      <c r="B620" t="s">
        <v>2153</v>
      </c>
      <c r="C620" t="s">
        <v>155</v>
      </c>
      <c r="D620" t="s">
        <v>26</v>
      </c>
      <c r="E620" t="s">
        <v>42</v>
      </c>
      <c r="F620">
        <v>1</v>
      </c>
      <c r="G620" t="s">
        <v>4</v>
      </c>
      <c r="H620" t="s">
        <v>15</v>
      </c>
      <c r="I620">
        <v>50005</v>
      </c>
      <c r="J620" s="2">
        <v>50005</v>
      </c>
      <c r="K620">
        <v>33.006600660066006</v>
      </c>
      <c r="N620" t="s">
        <v>4101</v>
      </c>
      <c r="P620" t="s">
        <v>4075</v>
      </c>
    </row>
    <row r="621" spans="1:16" hidden="1" x14ac:dyDescent="0.25">
      <c r="A621" t="s">
        <v>4074</v>
      </c>
      <c r="B621" t="s">
        <v>3048</v>
      </c>
      <c r="C621" t="s">
        <v>155</v>
      </c>
      <c r="D621" t="s">
        <v>26</v>
      </c>
      <c r="E621" t="s">
        <v>42</v>
      </c>
      <c r="F621">
        <v>1</v>
      </c>
      <c r="G621" t="s">
        <v>4</v>
      </c>
      <c r="H621" t="s">
        <v>15</v>
      </c>
      <c r="I621">
        <v>80000</v>
      </c>
      <c r="J621" s="2">
        <v>80000</v>
      </c>
      <c r="K621">
        <v>52.805280528052805</v>
      </c>
      <c r="N621" t="s">
        <v>4101</v>
      </c>
      <c r="P621" t="s">
        <v>4075</v>
      </c>
    </row>
    <row r="622" spans="1:16" hidden="1" x14ac:dyDescent="0.25">
      <c r="A622" t="s">
        <v>4074</v>
      </c>
      <c r="B622" t="s">
        <v>1462</v>
      </c>
      <c r="C622" t="s">
        <v>155</v>
      </c>
      <c r="D622" t="s">
        <v>26</v>
      </c>
      <c r="E622" t="s">
        <v>42</v>
      </c>
      <c r="F622">
        <v>1</v>
      </c>
      <c r="G622" t="s">
        <v>4</v>
      </c>
      <c r="H622" t="s">
        <v>15</v>
      </c>
      <c r="I622">
        <v>100000.09</v>
      </c>
      <c r="J622" s="2">
        <v>100000.09</v>
      </c>
      <c r="K622">
        <v>66.006660066006603</v>
      </c>
      <c r="N622" t="s">
        <v>4101</v>
      </c>
      <c r="P622" t="s">
        <v>4075</v>
      </c>
    </row>
    <row r="623" spans="1:16" x14ac:dyDescent="0.25">
      <c r="A623" t="s">
        <v>4074</v>
      </c>
      <c r="B623" t="s">
        <v>334</v>
      </c>
      <c r="C623" t="s">
        <v>4037</v>
      </c>
      <c r="D623" t="s">
        <v>26</v>
      </c>
      <c r="E623" t="s">
        <v>42</v>
      </c>
      <c r="F623">
        <v>2</v>
      </c>
      <c r="G623" t="s">
        <v>4</v>
      </c>
      <c r="H623" t="s">
        <v>15</v>
      </c>
      <c r="I623">
        <v>110000</v>
      </c>
      <c r="J623" s="2">
        <v>110000</v>
      </c>
      <c r="K623">
        <v>72.60726072607261</v>
      </c>
      <c r="N623" t="s">
        <v>4101</v>
      </c>
      <c r="P623" t="s">
        <v>4075</v>
      </c>
    </row>
    <row r="624" spans="1:16" hidden="1" x14ac:dyDescent="0.25">
      <c r="A624" t="s">
        <v>4074</v>
      </c>
      <c r="B624" t="s">
        <v>1571</v>
      </c>
      <c r="C624" t="s">
        <v>155</v>
      </c>
      <c r="D624" t="s">
        <v>26</v>
      </c>
      <c r="E624" t="s">
        <v>42</v>
      </c>
      <c r="F624">
        <v>1</v>
      </c>
      <c r="G624" t="s">
        <v>4</v>
      </c>
      <c r="H624" t="s">
        <v>15</v>
      </c>
      <c r="I624">
        <v>190000</v>
      </c>
      <c r="J624" s="2">
        <v>190000</v>
      </c>
      <c r="K624">
        <v>125.41254125412541</v>
      </c>
      <c r="N624" t="s">
        <v>4101</v>
      </c>
      <c r="P624" t="s">
        <v>4075</v>
      </c>
    </row>
    <row r="625" spans="1:16" hidden="1" x14ac:dyDescent="0.25">
      <c r="A625" t="s">
        <v>4074</v>
      </c>
      <c r="B625" t="s">
        <v>1462</v>
      </c>
      <c r="C625" t="s">
        <v>155</v>
      </c>
      <c r="D625" t="s">
        <v>26</v>
      </c>
      <c r="E625" t="s">
        <v>42</v>
      </c>
      <c r="F625">
        <v>1</v>
      </c>
      <c r="G625" t="s">
        <v>4</v>
      </c>
      <c r="H625" t="s">
        <v>15</v>
      </c>
      <c r="I625">
        <v>200000.02</v>
      </c>
      <c r="J625" s="2">
        <v>200000.02</v>
      </c>
      <c r="K625">
        <v>132.01321452145214</v>
      </c>
      <c r="N625" t="s">
        <v>4101</v>
      </c>
      <c r="P625" t="s">
        <v>4075</v>
      </c>
    </row>
    <row r="626" spans="1:16" hidden="1" x14ac:dyDescent="0.25">
      <c r="A626" t="s">
        <v>4074</v>
      </c>
      <c r="B626" t="s">
        <v>3299</v>
      </c>
      <c r="C626" t="s">
        <v>3300</v>
      </c>
      <c r="D626" t="s">
        <v>26</v>
      </c>
      <c r="E626" t="s">
        <v>42</v>
      </c>
      <c r="F626">
        <v>1</v>
      </c>
      <c r="G626" t="s">
        <v>4</v>
      </c>
      <c r="H626" t="s">
        <v>15</v>
      </c>
      <c r="I626">
        <v>250000</v>
      </c>
      <c r="J626" s="2">
        <v>250000</v>
      </c>
      <c r="K626">
        <v>165.01650165016503</v>
      </c>
      <c r="N626" t="s">
        <v>4101</v>
      </c>
      <c r="P626" t="s">
        <v>4075</v>
      </c>
    </row>
    <row r="627" spans="1:16" hidden="1" x14ac:dyDescent="0.25">
      <c r="A627" t="s">
        <v>4074</v>
      </c>
      <c r="B627" t="s">
        <v>3155</v>
      </c>
      <c r="C627" t="s">
        <v>3156</v>
      </c>
      <c r="D627" t="s">
        <v>26</v>
      </c>
      <c r="E627" t="s">
        <v>42</v>
      </c>
      <c r="F627">
        <v>1</v>
      </c>
      <c r="G627" t="s">
        <v>4</v>
      </c>
      <c r="H627" t="s">
        <v>15</v>
      </c>
      <c r="I627">
        <v>250000</v>
      </c>
      <c r="J627" s="2">
        <v>250000</v>
      </c>
      <c r="K627">
        <v>165.01650165016503</v>
      </c>
      <c r="N627" t="s">
        <v>4101</v>
      </c>
      <c r="P627" t="s">
        <v>4075</v>
      </c>
    </row>
    <row r="628" spans="1:16" x14ac:dyDescent="0.25">
      <c r="A628" t="s">
        <v>4074</v>
      </c>
      <c r="B628" t="s">
        <v>2652</v>
      </c>
      <c r="C628" t="s">
        <v>3765</v>
      </c>
      <c r="D628" t="s">
        <v>26</v>
      </c>
      <c r="E628" t="s">
        <v>62</v>
      </c>
      <c r="F628">
        <v>2</v>
      </c>
      <c r="G628" t="s">
        <v>4</v>
      </c>
      <c r="H628" t="s">
        <v>15</v>
      </c>
      <c r="I628">
        <v>500000</v>
      </c>
      <c r="J628" s="2">
        <v>500000</v>
      </c>
      <c r="K628">
        <v>330.03300330033005</v>
      </c>
      <c r="N628" t="s">
        <v>4101</v>
      </c>
      <c r="P628" t="s">
        <v>4075</v>
      </c>
    </row>
    <row r="629" spans="1:16" x14ac:dyDescent="0.25">
      <c r="A629" t="s">
        <v>4074</v>
      </c>
      <c r="B629" t="s">
        <v>2922</v>
      </c>
      <c r="C629" t="s">
        <v>3506</v>
      </c>
      <c r="D629" t="s">
        <v>61</v>
      </c>
      <c r="E629" t="s">
        <v>42</v>
      </c>
      <c r="F629">
        <v>2</v>
      </c>
      <c r="G629" t="s">
        <v>4</v>
      </c>
      <c r="H629" t="s">
        <v>15</v>
      </c>
      <c r="I629">
        <v>500000</v>
      </c>
      <c r="J629" s="2">
        <v>500000</v>
      </c>
      <c r="K629">
        <v>330.03300330033005</v>
      </c>
      <c r="N629" t="s">
        <v>4101</v>
      </c>
      <c r="P629" t="s">
        <v>4075</v>
      </c>
    </row>
    <row r="630" spans="1:16" hidden="1" x14ac:dyDescent="0.25">
      <c r="A630" t="s">
        <v>4074</v>
      </c>
      <c r="B630" t="s">
        <v>3169</v>
      </c>
      <c r="C630" t="s">
        <v>3988</v>
      </c>
      <c r="D630" t="s">
        <v>26</v>
      </c>
      <c r="E630" t="s">
        <v>62</v>
      </c>
      <c r="F630">
        <v>1</v>
      </c>
      <c r="G630" t="s">
        <v>4</v>
      </c>
      <c r="H630" t="s">
        <v>15</v>
      </c>
      <c r="I630">
        <v>560000</v>
      </c>
      <c r="J630" s="2">
        <v>560000</v>
      </c>
      <c r="K630">
        <v>369.63696369636966</v>
      </c>
      <c r="N630" t="s">
        <v>4101</v>
      </c>
      <c r="P630" t="s">
        <v>4075</v>
      </c>
    </row>
    <row r="631" spans="1:16" x14ac:dyDescent="0.25">
      <c r="A631" t="s">
        <v>4074</v>
      </c>
      <c r="B631" t="s">
        <v>3814</v>
      </c>
      <c r="C631" t="s">
        <v>3295</v>
      </c>
      <c r="D631" t="s">
        <v>26</v>
      </c>
      <c r="E631" t="s">
        <v>42</v>
      </c>
      <c r="F631">
        <v>2</v>
      </c>
      <c r="G631" t="s">
        <v>4</v>
      </c>
      <c r="H631" t="s">
        <v>15</v>
      </c>
      <c r="I631">
        <v>600000</v>
      </c>
      <c r="J631" s="2">
        <v>600000</v>
      </c>
      <c r="K631">
        <v>396.03960396039605</v>
      </c>
      <c r="N631" t="s">
        <v>4101</v>
      </c>
      <c r="P631" t="s">
        <v>4075</v>
      </c>
    </row>
    <row r="632" spans="1:16" hidden="1" x14ac:dyDescent="0.25">
      <c r="A632" t="s">
        <v>4074</v>
      </c>
      <c r="B632" t="s">
        <v>344</v>
      </c>
      <c r="C632" t="s">
        <v>4100</v>
      </c>
      <c r="D632" t="s">
        <v>26</v>
      </c>
      <c r="E632" t="s">
        <v>62</v>
      </c>
      <c r="F632">
        <v>1</v>
      </c>
      <c r="G632" t="s">
        <v>4</v>
      </c>
      <c r="H632" t="s">
        <v>15</v>
      </c>
      <c r="I632">
        <v>619300</v>
      </c>
      <c r="J632" s="2">
        <v>619300</v>
      </c>
      <c r="K632">
        <v>408.77887788778878</v>
      </c>
      <c r="N632" t="s">
        <v>4101</v>
      </c>
      <c r="P632" t="s">
        <v>4075</v>
      </c>
    </row>
    <row r="633" spans="1:16" x14ac:dyDescent="0.25">
      <c r="A633" t="s">
        <v>4074</v>
      </c>
      <c r="B633" t="s">
        <v>3051</v>
      </c>
      <c r="C633" t="s">
        <v>2667</v>
      </c>
      <c r="D633" t="s">
        <v>26</v>
      </c>
      <c r="E633" t="s">
        <v>42</v>
      </c>
      <c r="F633">
        <v>2</v>
      </c>
      <c r="G633" t="s">
        <v>4</v>
      </c>
      <c r="H633" t="s">
        <v>15</v>
      </c>
      <c r="I633">
        <v>1000000</v>
      </c>
      <c r="J633" s="2">
        <v>1000000</v>
      </c>
      <c r="K633">
        <v>660.0660066006601</v>
      </c>
      <c r="N633" t="s">
        <v>4101</v>
      </c>
      <c r="P633" t="s">
        <v>4075</v>
      </c>
    </row>
    <row r="634" spans="1:16" x14ac:dyDescent="0.25">
      <c r="A634" t="s">
        <v>4074</v>
      </c>
      <c r="B634" t="s">
        <v>1677</v>
      </c>
      <c r="C634" t="s">
        <v>4035</v>
      </c>
      <c r="D634" t="s">
        <v>26</v>
      </c>
      <c r="E634" t="s">
        <v>42</v>
      </c>
      <c r="F634">
        <v>2</v>
      </c>
      <c r="G634" t="s">
        <v>4</v>
      </c>
      <c r="H634" t="s">
        <v>15</v>
      </c>
      <c r="I634">
        <v>1000000</v>
      </c>
      <c r="J634" s="2">
        <v>1000000</v>
      </c>
      <c r="K634">
        <v>660.0660066006601</v>
      </c>
      <c r="N634" t="s">
        <v>4101</v>
      </c>
      <c r="P634" t="s">
        <v>4075</v>
      </c>
    </row>
    <row r="635" spans="1:16" x14ac:dyDescent="0.25">
      <c r="A635" t="s">
        <v>4074</v>
      </c>
      <c r="B635" t="s">
        <v>483</v>
      </c>
      <c r="C635" t="s">
        <v>3442</v>
      </c>
      <c r="D635" t="s">
        <v>26</v>
      </c>
      <c r="E635" t="s">
        <v>42</v>
      </c>
      <c r="F635">
        <v>2</v>
      </c>
      <c r="G635" t="s">
        <v>4</v>
      </c>
      <c r="H635" t="s">
        <v>15</v>
      </c>
      <c r="I635">
        <v>1000000</v>
      </c>
      <c r="J635" s="2">
        <v>1000000</v>
      </c>
      <c r="K635">
        <v>660.0660066006601</v>
      </c>
      <c r="N635" t="s">
        <v>4101</v>
      </c>
      <c r="P635" t="s">
        <v>4075</v>
      </c>
    </row>
    <row r="636" spans="1:16" x14ac:dyDescent="0.25">
      <c r="A636" t="s">
        <v>4074</v>
      </c>
      <c r="B636" t="s">
        <v>2728</v>
      </c>
      <c r="C636" t="s">
        <v>3910</v>
      </c>
      <c r="D636" t="s">
        <v>26</v>
      </c>
      <c r="E636" t="s">
        <v>42</v>
      </c>
      <c r="F636">
        <v>2</v>
      </c>
      <c r="G636" t="s">
        <v>4</v>
      </c>
      <c r="H636" t="s">
        <v>15</v>
      </c>
      <c r="I636">
        <v>1011000</v>
      </c>
      <c r="J636" s="2">
        <v>1011000</v>
      </c>
      <c r="K636">
        <v>667.32673267326732</v>
      </c>
      <c r="N636" t="s">
        <v>4101</v>
      </c>
      <c r="P636" t="s">
        <v>4075</v>
      </c>
    </row>
    <row r="637" spans="1:16" x14ac:dyDescent="0.25">
      <c r="A637" t="s">
        <v>4074</v>
      </c>
      <c r="B637" t="s">
        <v>1854</v>
      </c>
      <c r="C637" t="s">
        <v>2667</v>
      </c>
      <c r="D637" t="s">
        <v>26</v>
      </c>
      <c r="E637" t="s">
        <v>3928</v>
      </c>
      <c r="F637">
        <v>2</v>
      </c>
      <c r="G637" t="s">
        <v>4</v>
      </c>
      <c r="H637" t="s">
        <v>15</v>
      </c>
      <c r="I637">
        <v>2000000</v>
      </c>
      <c r="J637" s="2">
        <v>2000000</v>
      </c>
      <c r="K637">
        <v>1320.1320132013202</v>
      </c>
      <c r="N637" t="s">
        <v>4101</v>
      </c>
      <c r="P637" t="s">
        <v>4075</v>
      </c>
    </row>
    <row r="638" spans="1:16" x14ac:dyDescent="0.25">
      <c r="J638" s="2">
        <f>SUBTOTAL(109,Tabla3642[Importe AR$])</f>
        <v>7721000</v>
      </c>
    </row>
    <row r="639" spans="1:16" ht="3.75" customHeight="1" x14ac:dyDescent="0.25"/>
    <row r="640" spans="1:16" x14ac:dyDescent="0.25">
      <c r="J640" s="4">
        <f>Tabla3642[[#Totals],[Importe AR$]]+Tabla3641[[#Totals],[Importe AR$]]</f>
        <v>9936489.75</v>
      </c>
    </row>
    <row r="644" spans="1:16" x14ac:dyDescent="0.25">
      <c r="A644" t="s">
        <v>7</v>
      </c>
      <c r="B644" t="s">
        <v>8</v>
      </c>
      <c r="C644" t="s">
        <v>9</v>
      </c>
      <c r="D644" t="s">
        <v>10</v>
      </c>
      <c r="E644" t="s">
        <v>11</v>
      </c>
      <c r="F644" t="s">
        <v>12</v>
      </c>
      <c r="G644" t="s">
        <v>13</v>
      </c>
      <c r="H644" t="s">
        <v>14</v>
      </c>
      <c r="I644" t="s">
        <v>15</v>
      </c>
      <c r="J644" s="2" t="s">
        <v>16</v>
      </c>
      <c r="K644" t="s">
        <v>17</v>
      </c>
      <c r="L644" t="s">
        <v>18</v>
      </c>
      <c r="M644" t="s">
        <v>19</v>
      </c>
      <c r="N644" t="s">
        <v>20</v>
      </c>
      <c r="O644" t="s">
        <v>21</v>
      </c>
      <c r="P644" t="s">
        <v>22</v>
      </c>
    </row>
    <row r="645" spans="1:16" hidden="1" x14ac:dyDescent="0.25">
      <c r="A645" t="s">
        <v>4119</v>
      </c>
      <c r="B645" t="s">
        <v>871</v>
      </c>
      <c r="C645" t="s">
        <v>4122</v>
      </c>
      <c r="D645" t="s">
        <v>26</v>
      </c>
      <c r="E645" t="s">
        <v>42</v>
      </c>
      <c r="F645">
        <v>1</v>
      </c>
      <c r="G645" t="s">
        <v>4</v>
      </c>
      <c r="H645" t="s">
        <v>15</v>
      </c>
      <c r="I645">
        <v>11000</v>
      </c>
      <c r="J645" s="2">
        <v>0</v>
      </c>
      <c r="K645">
        <v>7.1895424836601309</v>
      </c>
      <c r="N645" t="s">
        <v>4147</v>
      </c>
      <c r="O645" t="s">
        <v>4123</v>
      </c>
      <c r="P645" t="s">
        <v>27</v>
      </c>
    </row>
    <row r="646" spans="1:16" hidden="1" x14ac:dyDescent="0.25">
      <c r="A646" t="s">
        <v>4119</v>
      </c>
      <c r="B646" t="s">
        <v>3992</v>
      </c>
      <c r="C646" t="s">
        <v>3993</v>
      </c>
      <c r="D646" t="s">
        <v>26</v>
      </c>
      <c r="E646" t="s">
        <v>42</v>
      </c>
      <c r="F646">
        <v>1</v>
      </c>
      <c r="G646" t="s">
        <v>4</v>
      </c>
      <c r="H646" t="s">
        <v>15</v>
      </c>
      <c r="I646">
        <v>16184.729999999981</v>
      </c>
      <c r="J646" s="2">
        <v>0</v>
      </c>
      <c r="K646">
        <v>10.578254901960772</v>
      </c>
      <c r="N646" t="s">
        <v>4147</v>
      </c>
      <c r="P646" t="s">
        <v>4118</v>
      </c>
    </row>
    <row r="647" spans="1:16" hidden="1" x14ac:dyDescent="0.25">
      <c r="A647" t="s">
        <v>4119</v>
      </c>
      <c r="B647" t="s">
        <v>4051</v>
      </c>
      <c r="C647" t="s">
        <v>1948</v>
      </c>
      <c r="D647" t="s">
        <v>26</v>
      </c>
      <c r="E647" t="s">
        <v>42</v>
      </c>
      <c r="F647">
        <v>2</v>
      </c>
      <c r="G647" t="s">
        <v>4</v>
      </c>
      <c r="H647" t="s">
        <v>15</v>
      </c>
      <c r="I647">
        <v>21050</v>
      </c>
      <c r="J647" s="2">
        <v>21050</v>
      </c>
      <c r="K647">
        <v>13.758169934640524</v>
      </c>
      <c r="N647" t="s">
        <v>4147</v>
      </c>
      <c r="P647" t="s">
        <v>27</v>
      </c>
    </row>
    <row r="648" spans="1:16" hidden="1" x14ac:dyDescent="0.25">
      <c r="A648" t="s">
        <v>4119</v>
      </c>
      <c r="B648" t="s">
        <v>3024</v>
      </c>
      <c r="C648" t="s">
        <v>1948</v>
      </c>
      <c r="D648" t="s">
        <v>26</v>
      </c>
      <c r="E648" t="s">
        <v>42</v>
      </c>
      <c r="F648">
        <v>1</v>
      </c>
      <c r="G648" t="s">
        <v>4</v>
      </c>
      <c r="H648" t="s">
        <v>15</v>
      </c>
      <c r="I648">
        <v>24000</v>
      </c>
      <c r="J648" s="2">
        <v>0</v>
      </c>
      <c r="K648">
        <v>15.686274509803921</v>
      </c>
      <c r="N648" t="s">
        <v>4147</v>
      </c>
      <c r="O648" t="s">
        <v>4120</v>
      </c>
      <c r="P648" t="s">
        <v>27</v>
      </c>
    </row>
    <row r="649" spans="1:16" hidden="1" x14ac:dyDescent="0.25">
      <c r="A649" t="s">
        <v>4119</v>
      </c>
      <c r="B649" t="s">
        <v>3048</v>
      </c>
      <c r="C649" t="s">
        <v>155</v>
      </c>
      <c r="D649" t="s">
        <v>26</v>
      </c>
      <c r="E649" t="s">
        <v>42</v>
      </c>
      <c r="F649">
        <v>1</v>
      </c>
      <c r="G649" t="s">
        <v>4</v>
      </c>
      <c r="H649" t="s">
        <v>15</v>
      </c>
      <c r="I649">
        <v>80000</v>
      </c>
      <c r="J649" s="2">
        <v>0</v>
      </c>
      <c r="K649">
        <v>52.287581699346404</v>
      </c>
      <c r="N649" t="s">
        <v>4147</v>
      </c>
      <c r="P649" t="s">
        <v>4118</v>
      </c>
    </row>
    <row r="650" spans="1:16" hidden="1" x14ac:dyDescent="0.25">
      <c r="A650" t="s">
        <v>4119</v>
      </c>
      <c r="B650" t="s">
        <v>2908</v>
      </c>
      <c r="C650" t="s">
        <v>1948</v>
      </c>
      <c r="D650" t="s">
        <v>26</v>
      </c>
      <c r="E650" t="s">
        <v>42</v>
      </c>
      <c r="F650">
        <v>1</v>
      </c>
      <c r="G650" t="s">
        <v>4</v>
      </c>
      <c r="H650" t="s">
        <v>15</v>
      </c>
      <c r="I650">
        <v>99104.25</v>
      </c>
      <c r="J650" s="2">
        <v>0</v>
      </c>
      <c r="K650">
        <v>64.774019607843144</v>
      </c>
      <c r="N650" t="s">
        <v>4147</v>
      </c>
      <c r="O650" t="s">
        <v>4121</v>
      </c>
      <c r="P650" t="s">
        <v>27</v>
      </c>
    </row>
    <row r="651" spans="1:16" hidden="1" x14ac:dyDescent="0.25">
      <c r="A651" t="s">
        <v>4119</v>
      </c>
      <c r="B651" t="s">
        <v>334</v>
      </c>
      <c r="C651" t="s">
        <v>4037</v>
      </c>
      <c r="D651" t="s">
        <v>26</v>
      </c>
      <c r="E651" t="s">
        <v>42</v>
      </c>
      <c r="F651">
        <v>2</v>
      </c>
      <c r="G651" t="s">
        <v>4</v>
      </c>
      <c r="H651" t="s">
        <v>15</v>
      </c>
      <c r="I651">
        <v>110000</v>
      </c>
      <c r="J651" s="2">
        <v>110000</v>
      </c>
      <c r="K651">
        <v>71.895424836601308</v>
      </c>
      <c r="N651" t="s">
        <v>4147</v>
      </c>
      <c r="P651" t="s">
        <v>4118</v>
      </c>
    </row>
    <row r="652" spans="1:16" hidden="1" x14ac:dyDescent="0.25">
      <c r="A652" t="s">
        <v>4119</v>
      </c>
      <c r="B652" t="s">
        <v>4125</v>
      </c>
      <c r="C652" t="s">
        <v>814</v>
      </c>
      <c r="D652" t="s">
        <v>26</v>
      </c>
      <c r="E652" t="s">
        <v>91</v>
      </c>
      <c r="F652">
        <v>1</v>
      </c>
      <c r="G652" t="s">
        <v>4</v>
      </c>
      <c r="H652" t="s">
        <v>15</v>
      </c>
      <c r="I652">
        <v>130000</v>
      </c>
      <c r="J652" s="2">
        <v>0</v>
      </c>
      <c r="K652">
        <v>84.967320261437905</v>
      </c>
      <c r="N652" t="s">
        <v>4147</v>
      </c>
      <c r="O652" t="s">
        <v>4126</v>
      </c>
      <c r="P652" t="s">
        <v>27</v>
      </c>
    </row>
    <row r="653" spans="1:16" x14ac:dyDescent="0.25">
      <c r="A653" t="s">
        <v>4119</v>
      </c>
      <c r="B653" t="s">
        <v>2153</v>
      </c>
      <c r="C653" t="s">
        <v>155</v>
      </c>
      <c r="D653" t="s">
        <v>26</v>
      </c>
      <c r="E653" t="s">
        <v>42</v>
      </c>
      <c r="F653">
        <v>1</v>
      </c>
      <c r="G653" t="s">
        <v>4</v>
      </c>
      <c r="H653" t="s">
        <v>15</v>
      </c>
      <c r="I653">
        <v>150000</v>
      </c>
      <c r="J653" s="2">
        <v>100000</v>
      </c>
      <c r="K653">
        <v>98.039215686274517</v>
      </c>
      <c r="N653" t="s">
        <v>4147</v>
      </c>
      <c r="P653" t="s">
        <v>4118</v>
      </c>
    </row>
    <row r="654" spans="1:16" hidden="1" x14ac:dyDescent="0.25">
      <c r="A654" t="s">
        <v>4119</v>
      </c>
      <c r="B654" t="s">
        <v>1580</v>
      </c>
      <c r="C654" t="s">
        <v>155</v>
      </c>
      <c r="D654" t="s">
        <v>26</v>
      </c>
      <c r="E654" t="s">
        <v>42</v>
      </c>
      <c r="F654">
        <v>1</v>
      </c>
      <c r="G654" t="s">
        <v>4</v>
      </c>
      <c r="H654" t="s">
        <v>15</v>
      </c>
      <c r="I654">
        <v>189034.91</v>
      </c>
      <c r="J654" s="2">
        <v>0</v>
      </c>
      <c r="K654">
        <v>123.55222875816993</v>
      </c>
      <c r="N654" t="s">
        <v>4147</v>
      </c>
      <c r="P654" t="s">
        <v>4118</v>
      </c>
    </row>
    <row r="655" spans="1:16" x14ac:dyDescent="0.25">
      <c r="A655" t="s">
        <v>4119</v>
      </c>
      <c r="B655" t="s">
        <v>483</v>
      </c>
      <c r="C655" t="s">
        <v>155</v>
      </c>
      <c r="D655" t="s">
        <v>26</v>
      </c>
      <c r="E655" t="s">
        <v>42</v>
      </c>
      <c r="F655">
        <v>1</v>
      </c>
      <c r="G655" t="s">
        <v>4</v>
      </c>
      <c r="H655" t="s">
        <v>15</v>
      </c>
      <c r="I655">
        <v>190000</v>
      </c>
      <c r="J655" s="2">
        <v>80000</v>
      </c>
      <c r="K655">
        <v>124.18300653594771</v>
      </c>
      <c r="N655" t="s">
        <v>4147</v>
      </c>
      <c r="P655" t="s">
        <v>4118</v>
      </c>
    </row>
    <row r="656" spans="1:16" hidden="1" x14ac:dyDescent="0.25">
      <c r="A656" t="s">
        <v>4119</v>
      </c>
      <c r="B656" t="s">
        <v>1462</v>
      </c>
      <c r="C656" t="s">
        <v>155</v>
      </c>
      <c r="D656" t="s">
        <v>26</v>
      </c>
      <c r="E656" t="s">
        <v>42</v>
      </c>
      <c r="F656">
        <v>1</v>
      </c>
      <c r="G656" t="s">
        <v>4</v>
      </c>
      <c r="H656" t="s">
        <v>15</v>
      </c>
      <c r="I656">
        <v>200000.02</v>
      </c>
      <c r="J656" s="2">
        <v>0</v>
      </c>
      <c r="K656">
        <v>130.71896732026144</v>
      </c>
      <c r="N656" t="s">
        <v>4147</v>
      </c>
      <c r="P656" t="s">
        <v>4118</v>
      </c>
    </row>
    <row r="657" spans="1:16" x14ac:dyDescent="0.25">
      <c r="A657" t="s">
        <v>4119</v>
      </c>
      <c r="B657" t="s">
        <v>1571</v>
      </c>
      <c r="C657" t="s">
        <v>155</v>
      </c>
      <c r="D657" t="s">
        <v>26</v>
      </c>
      <c r="E657" t="s">
        <v>42</v>
      </c>
      <c r="F657">
        <v>1</v>
      </c>
      <c r="G657" t="s">
        <v>4</v>
      </c>
      <c r="H657" t="s">
        <v>15</v>
      </c>
      <c r="I657">
        <v>200001.08</v>
      </c>
      <c r="J657" s="2">
        <v>200000</v>
      </c>
      <c r="K657">
        <v>130.71966013071895</v>
      </c>
      <c r="N657" t="s">
        <v>4147</v>
      </c>
      <c r="P657" t="s">
        <v>4118</v>
      </c>
    </row>
    <row r="658" spans="1:16" hidden="1" x14ac:dyDescent="0.25">
      <c r="A658" t="s">
        <v>4119</v>
      </c>
      <c r="B658" t="s">
        <v>3299</v>
      </c>
      <c r="C658" t="s">
        <v>3300</v>
      </c>
      <c r="D658" t="s">
        <v>26</v>
      </c>
      <c r="E658" t="s">
        <v>42</v>
      </c>
      <c r="F658">
        <v>1</v>
      </c>
      <c r="G658" t="s">
        <v>4</v>
      </c>
      <c r="H658" t="s">
        <v>15</v>
      </c>
      <c r="I658">
        <v>250000</v>
      </c>
      <c r="J658" s="2">
        <v>0</v>
      </c>
      <c r="K658">
        <v>163.3986928104575</v>
      </c>
      <c r="N658" t="s">
        <v>4147</v>
      </c>
      <c r="P658" t="s">
        <v>4118</v>
      </c>
    </row>
    <row r="659" spans="1:16" hidden="1" x14ac:dyDescent="0.25">
      <c r="A659" t="s">
        <v>4119</v>
      </c>
      <c r="B659" t="s">
        <v>3155</v>
      </c>
      <c r="C659" t="s">
        <v>3156</v>
      </c>
      <c r="D659" t="s">
        <v>26</v>
      </c>
      <c r="E659" t="s">
        <v>42</v>
      </c>
      <c r="F659">
        <v>1</v>
      </c>
      <c r="G659" t="s">
        <v>4</v>
      </c>
      <c r="H659" t="s">
        <v>15</v>
      </c>
      <c r="I659">
        <v>250000</v>
      </c>
      <c r="J659" s="2">
        <v>0</v>
      </c>
      <c r="K659">
        <v>163.3986928104575</v>
      </c>
      <c r="N659" t="s">
        <v>4147</v>
      </c>
      <c r="P659" t="s">
        <v>4118</v>
      </c>
    </row>
    <row r="660" spans="1:16" hidden="1" x14ac:dyDescent="0.25">
      <c r="A660" t="s">
        <v>4119</v>
      </c>
      <c r="B660" t="s">
        <v>3256</v>
      </c>
      <c r="C660" t="s">
        <v>4086</v>
      </c>
      <c r="D660" t="s">
        <v>26</v>
      </c>
      <c r="E660" t="s">
        <v>31</v>
      </c>
      <c r="F660">
        <v>1</v>
      </c>
      <c r="G660" t="s">
        <v>4</v>
      </c>
      <c r="H660" t="s">
        <v>15</v>
      </c>
      <c r="I660">
        <v>300000</v>
      </c>
      <c r="J660" s="2">
        <v>0</v>
      </c>
      <c r="K660">
        <v>196.07843137254903</v>
      </c>
      <c r="N660" t="s">
        <v>4147</v>
      </c>
      <c r="O660" t="s">
        <v>4124</v>
      </c>
      <c r="P660" t="s">
        <v>27</v>
      </c>
    </row>
    <row r="661" spans="1:16" hidden="1" x14ac:dyDescent="0.25">
      <c r="A661" t="s">
        <v>4119</v>
      </c>
      <c r="B661" t="s">
        <v>2652</v>
      </c>
      <c r="C661" t="s">
        <v>3765</v>
      </c>
      <c r="D661" t="s">
        <v>26</v>
      </c>
      <c r="E661" t="s">
        <v>62</v>
      </c>
      <c r="F661">
        <v>2</v>
      </c>
      <c r="G661" t="s">
        <v>4</v>
      </c>
      <c r="H661" t="s">
        <v>15</v>
      </c>
      <c r="I661">
        <v>500000</v>
      </c>
      <c r="J661" s="2">
        <v>500000</v>
      </c>
      <c r="K661">
        <v>326.79738562091501</v>
      </c>
      <c r="N661" t="s">
        <v>4147</v>
      </c>
      <c r="P661" t="s">
        <v>4118</v>
      </c>
    </row>
    <row r="662" spans="1:16" hidden="1" x14ac:dyDescent="0.25">
      <c r="A662" t="s">
        <v>4119</v>
      </c>
      <c r="B662" t="s">
        <v>2922</v>
      </c>
      <c r="C662" t="s">
        <v>3506</v>
      </c>
      <c r="D662" t="s">
        <v>61</v>
      </c>
      <c r="E662" t="s">
        <v>42</v>
      </c>
      <c r="F662">
        <v>2</v>
      </c>
      <c r="G662" t="s">
        <v>4</v>
      </c>
      <c r="H662" t="s">
        <v>15</v>
      </c>
      <c r="I662">
        <v>500000</v>
      </c>
      <c r="J662" s="2">
        <v>500000</v>
      </c>
      <c r="K662">
        <v>326.79738562091501</v>
      </c>
      <c r="N662" t="s">
        <v>4147</v>
      </c>
      <c r="P662" t="s">
        <v>4118</v>
      </c>
    </row>
    <row r="663" spans="1:16" hidden="1" x14ac:dyDescent="0.25">
      <c r="A663" t="s">
        <v>4119</v>
      </c>
      <c r="B663" t="s">
        <v>2151</v>
      </c>
      <c r="C663" t="s">
        <v>4107</v>
      </c>
      <c r="D663" t="s">
        <v>26</v>
      </c>
      <c r="E663" t="s">
        <v>42</v>
      </c>
      <c r="F663">
        <v>2</v>
      </c>
      <c r="G663" t="s">
        <v>4</v>
      </c>
      <c r="H663" t="s">
        <v>15</v>
      </c>
      <c r="I663">
        <v>550000</v>
      </c>
      <c r="J663" s="2">
        <v>550000</v>
      </c>
      <c r="K663">
        <v>359.47712418300654</v>
      </c>
      <c r="N663" t="s">
        <v>4147</v>
      </c>
      <c r="P663" t="s">
        <v>4118</v>
      </c>
    </row>
    <row r="664" spans="1:16" x14ac:dyDescent="0.25">
      <c r="A664" t="s">
        <v>4119</v>
      </c>
      <c r="B664" t="s">
        <v>3169</v>
      </c>
      <c r="C664" t="s">
        <v>3988</v>
      </c>
      <c r="D664" t="s">
        <v>26</v>
      </c>
      <c r="E664" t="s">
        <v>62</v>
      </c>
      <c r="F664">
        <v>1</v>
      </c>
      <c r="G664" t="s">
        <v>4</v>
      </c>
      <c r="H664" t="s">
        <v>15</v>
      </c>
      <c r="I664">
        <v>560000</v>
      </c>
      <c r="J664" s="2">
        <v>200000</v>
      </c>
      <c r="K664">
        <v>366.01307189542484</v>
      </c>
      <c r="N664" t="s">
        <v>4147</v>
      </c>
      <c r="P664" t="s">
        <v>4118</v>
      </c>
    </row>
    <row r="665" spans="1:16" hidden="1" x14ac:dyDescent="0.25">
      <c r="A665" t="s">
        <v>4119</v>
      </c>
      <c r="B665" t="s">
        <v>3814</v>
      </c>
      <c r="C665" t="s">
        <v>3295</v>
      </c>
      <c r="D665" t="s">
        <v>26</v>
      </c>
      <c r="E665" t="s">
        <v>42</v>
      </c>
      <c r="F665">
        <v>2</v>
      </c>
      <c r="G665" t="s">
        <v>4</v>
      </c>
      <c r="H665" t="s">
        <v>15</v>
      </c>
      <c r="I665">
        <v>600000</v>
      </c>
      <c r="J665" s="2">
        <v>600000</v>
      </c>
      <c r="K665">
        <v>392.15686274509807</v>
      </c>
      <c r="N665" t="s">
        <v>4147</v>
      </c>
      <c r="P665" t="s">
        <v>4118</v>
      </c>
    </row>
    <row r="666" spans="1:16" hidden="1" x14ac:dyDescent="0.25">
      <c r="A666" t="s">
        <v>4119</v>
      </c>
      <c r="B666" t="s">
        <v>344</v>
      </c>
      <c r="C666" t="s">
        <v>4100</v>
      </c>
      <c r="D666" t="s">
        <v>26</v>
      </c>
      <c r="E666" t="s">
        <v>62</v>
      </c>
      <c r="F666">
        <v>1</v>
      </c>
      <c r="G666" t="s">
        <v>4</v>
      </c>
      <c r="H666" t="s">
        <v>15</v>
      </c>
      <c r="I666">
        <v>619300</v>
      </c>
      <c r="J666" s="2">
        <v>0</v>
      </c>
      <c r="K666">
        <v>404.77124183006538</v>
      </c>
      <c r="N666" t="s">
        <v>4147</v>
      </c>
      <c r="P666" t="s">
        <v>4118</v>
      </c>
    </row>
    <row r="667" spans="1:16" hidden="1" x14ac:dyDescent="0.25">
      <c r="A667" t="s">
        <v>4119</v>
      </c>
      <c r="B667" t="s">
        <v>3051</v>
      </c>
      <c r="C667" t="s">
        <v>2667</v>
      </c>
      <c r="D667" t="s">
        <v>26</v>
      </c>
      <c r="E667" t="s">
        <v>42</v>
      </c>
      <c r="F667">
        <v>2</v>
      </c>
      <c r="G667" t="s">
        <v>4</v>
      </c>
      <c r="H667" t="s">
        <v>15</v>
      </c>
      <c r="I667">
        <v>1000000</v>
      </c>
      <c r="J667" s="2">
        <v>1000000</v>
      </c>
      <c r="K667">
        <v>653.59477124183002</v>
      </c>
      <c r="N667" t="s">
        <v>4147</v>
      </c>
      <c r="P667" t="s">
        <v>4118</v>
      </c>
    </row>
    <row r="668" spans="1:16" hidden="1" x14ac:dyDescent="0.25">
      <c r="A668" t="s">
        <v>4119</v>
      </c>
      <c r="B668" t="s">
        <v>1677</v>
      </c>
      <c r="C668" t="s">
        <v>4035</v>
      </c>
      <c r="D668" t="s">
        <v>26</v>
      </c>
      <c r="E668" t="s">
        <v>42</v>
      </c>
      <c r="F668">
        <v>2</v>
      </c>
      <c r="G668" t="s">
        <v>4</v>
      </c>
      <c r="H668" t="s">
        <v>15</v>
      </c>
      <c r="I668">
        <v>1000000</v>
      </c>
      <c r="J668" s="2">
        <v>1000000</v>
      </c>
      <c r="K668">
        <v>653.59477124183002</v>
      </c>
      <c r="N668" t="s">
        <v>4147</v>
      </c>
      <c r="P668" t="s">
        <v>4118</v>
      </c>
    </row>
    <row r="669" spans="1:16" hidden="1" x14ac:dyDescent="0.25">
      <c r="A669" t="s">
        <v>4119</v>
      </c>
      <c r="B669" t="s">
        <v>483</v>
      </c>
      <c r="C669" t="s">
        <v>3442</v>
      </c>
      <c r="D669" t="s">
        <v>26</v>
      </c>
      <c r="E669" t="s">
        <v>42</v>
      </c>
      <c r="F669">
        <v>2</v>
      </c>
      <c r="G669" t="s">
        <v>4</v>
      </c>
      <c r="H669" t="s">
        <v>15</v>
      </c>
      <c r="I669">
        <v>1000000</v>
      </c>
      <c r="J669" s="2">
        <v>1000000</v>
      </c>
      <c r="K669">
        <v>653.59477124183002</v>
      </c>
      <c r="N669" t="s">
        <v>4147</v>
      </c>
      <c r="P669" t="s">
        <v>4118</v>
      </c>
    </row>
    <row r="670" spans="1:16" hidden="1" x14ac:dyDescent="0.25">
      <c r="A670" t="s">
        <v>4119</v>
      </c>
      <c r="B670" t="s">
        <v>2728</v>
      </c>
      <c r="C670" t="s">
        <v>3910</v>
      </c>
      <c r="D670" t="s">
        <v>26</v>
      </c>
      <c r="E670" t="s">
        <v>42</v>
      </c>
      <c r="F670">
        <v>2</v>
      </c>
      <c r="G670" t="s">
        <v>4</v>
      </c>
      <c r="H670" t="s">
        <v>15</v>
      </c>
      <c r="I670">
        <v>1011000</v>
      </c>
      <c r="J670" s="2">
        <v>1011000</v>
      </c>
      <c r="K670">
        <v>660.78431372549016</v>
      </c>
      <c r="N670" t="s">
        <v>4147</v>
      </c>
      <c r="P670" t="s">
        <v>4118</v>
      </c>
    </row>
    <row r="671" spans="1:16" x14ac:dyDescent="0.25">
      <c r="J671" s="2">
        <f>SUBTOTAL(109,Tabla35[Importe AR$])</f>
        <v>580000</v>
      </c>
    </row>
    <row r="673" spans="1:16" x14ac:dyDescent="0.25">
      <c r="A673" t="s">
        <v>7</v>
      </c>
      <c r="B673" t="s">
        <v>8</v>
      </c>
      <c r="C673" t="s">
        <v>9</v>
      </c>
      <c r="D673" t="s">
        <v>10</v>
      </c>
      <c r="E673" t="s">
        <v>11</v>
      </c>
      <c r="F673" t="s">
        <v>12</v>
      </c>
      <c r="G673" t="s">
        <v>13</v>
      </c>
      <c r="H673" t="s">
        <v>14</v>
      </c>
      <c r="I673" t="s">
        <v>15</v>
      </c>
      <c r="J673" s="2" t="s">
        <v>16</v>
      </c>
      <c r="K673" t="s">
        <v>17</v>
      </c>
      <c r="L673" t="s">
        <v>18</v>
      </c>
      <c r="M673" t="s">
        <v>19</v>
      </c>
      <c r="N673" t="s">
        <v>20</v>
      </c>
      <c r="O673" t="s">
        <v>21</v>
      </c>
      <c r="P673" t="s">
        <v>22</v>
      </c>
    </row>
    <row r="674" spans="1:16" hidden="1" x14ac:dyDescent="0.25">
      <c r="A674" t="s">
        <v>4119</v>
      </c>
      <c r="B674" t="s">
        <v>871</v>
      </c>
      <c r="C674" t="s">
        <v>4122</v>
      </c>
      <c r="D674" t="s">
        <v>26</v>
      </c>
      <c r="E674" t="s">
        <v>42</v>
      </c>
      <c r="F674">
        <v>1</v>
      </c>
      <c r="G674" t="s">
        <v>4</v>
      </c>
      <c r="H674" t="s">
        <v>15</v>
      </c>
      <c r="I674">
        <v>11000</v>
      </c>
      <c r="J674" s="2">
        <v>11000</v>
      </c>
      <c r="K674">
        <v>7.1895424836601309</v>
      </c>
      <c r="N674" t="s">
        <v>4147</v>
      </c>
      <c r="O674" t="s">
        <v>4123</v>
      </c>
      <c r="P674" t="s">
        <v>27</v>
      </c>
    </row>
    <row r="675" spans="1:16" hidden="1" x14ac:dyDescent="0.25">
      <c r="A675" t="s">
        <v>4119</v>
      </c>
      <c r="B675" t="s">
        <v>3992</v>
      </c>
      <c r="C675" t="s">
        <v>3993</v>
      </c>
      <c r="D675" t="s">
        <v>26</v>
      </c>
      <c r="E675" t="s">
        <v>42</v>
      </c>
      <c r="F675">
        <v>1</v>
      </c>
      <c r="G675" t="s">
        <v>4</v>
      </c>
      <c r="H675" t="s">
        <v>15</v>
      </c>
      <c r="I675">
        <v>16184.729999999981</v>
      </c>
      <c r="J675" s="2">
        <v>16184.729999999981</v>
      </c>
      <c r="K675">
        <v>10.578254901960772</v>
      </c>
      <c r="N675" t="s">
        <v>4147</v>
      </c>
      <c r="P675" t="s">
        <v>4118</v>
      </c>
    </row>
    <row r="676" spans="1:16" hidden="1" x14ac:dyDescent="0.25">
      <c r="A676" t="s">
        <v>4119</v>
      </c>
      <c r="B676" t="s">
        <v>4051</v>
      </c>
      <c r="C676" t="s">
        <v>1948</v>
      </c>
      <c r="D676" t="s">
        <v>26</v>
      </c>
      <c r="E676" t="s">
        <v>42</v>
      </c>
      <c r="F676">
        <v>2</v>
      </c>
      <c r="G676" t="s">
        <v>4</v>
      </c>
      <c r="H676" t="s">
        <v>15</v>
      </c>
      <c r="I676">
        <v>21050</v>
      </c>
      <c r="J676" s="2">
        <v>0</v>
      </c>
      <c r="K676">
        <v>13.758169934640524</v>
      </c>
      <c r="N676" t="s">
        <v>4147</v>
      </c>
      <c r="P676" t="s">
        <v>27</v>
      </c>
    </row>
    <row r="677" spans="1:16" hidden="1" x14ac:dyDescent="0.25">
      <c r="A677" t="s">
        <v>4119</v>
      </c>
      <c r="B677" t="s">
        <v>3024</v>
      </c>
      <c r="C677" t="s">
        <v>1948</v>
      </c>
      <c r="D677" t="s">
        <v>26</v>
      </c>
      <c r="E677" t="s">
        <v>42</v>
      </c>
      <c r="F677">
        <v>1</v>
      </c>
      <c r="G677" t="s">
        <v>4</v>
      </c>
      <c r="H677" t="s">
        <v>15</v>
      </c>
      <c r="I677">
        <v>24000</v>
      </c>
      <c r="J677" s="2">
        <v>24000</v>
      </c>
      <c r="K677">
        <v>15.686274509803921</v>
      </c>
      <c r="N677" t="s">
        <v>4147</v>
      </c>
      <c r="O677" t="s">
        <v>4120</v>
      </c>
      <c r="P677" t="s">
        <v>27</v>
      </c>
    </row>
    <row r="678" spans="1:16" hidden="1" x14ac:dyDescent="0.25">
      <c r="A678" t="s">
        <v>4119</v>
      </c>
      <c r="B678" t="s">
        <v>3048</v>
      </c>
      <c r="C678" t="s">
        <v>155</v>
      </c>
      <c r="D678" t="s">
        <v>26</v>
      </c>
      <c r="E678" t="s">
        <v>42</v>
      </c>
      <c r="F678">
        <v>1</v>
      </c>
      <c r="G678" t="s">
        <v>4</v>
      </c>
      <c r="H678" t="s">
        <v>15</v>
      </c>
      <c r="I678">
        <v>80000</v>
      </c>
      <c r="J678" s="2">
        <v>80000</v>
      </c>
      <c r="K678">
        <v>52.287581699346404</v>
      </c>
      <c r="N678" t="s">
        <v>4147</v>
      </c>
      <c r="P678" t="s">
        <v>4118</v>
      </c>
    </row>
    <row r="679" spans="1:16" hidden="1" x14ac:dyDescent="0.25">
      <c r="A679" t="s">
        <v>4119</v>
      </c>
      <c r="B679" t="s">
        <v>2908</v>
      </c>
      <c r="C679" t="s">
        <v>1948</v>
      </c>
      <c r="D679" t="s">
        <v>26</v>
      </c>
      <c r="E679" t="s">
        <v>42</v>
      </c>
      <c r="F679">
        <v>1</v>
      </c>
      <c r="G679" t="s">
        <v>4</v>
      </c>
      <c r="H679" t="s">
        <v>15</v>
      </c>
      <c r="I679">
        <v>99104.25</v>
      </c>
      <c r="J679" s="2">
        <v>99104.25</v>
      </c>
      <c r="K679">
        <v>64.774019607843144</v>
      </c>
      <c r="N679" t="s">
        <v>4147</v>
      </c>
      <c r="O679" t="s">
        <v>4121</v>
      </c>
      <c r="P679" t="s">
        <v>27</v>
      </c>
    </row>
    <row r="680" spans="1:16" hidden="1" x14ac:dyDescent="0.25">
      <c r="A680" t="s">
        <v>4119</v>
      </c>
      <c r="B680" t="s">
        <v>334</v>
      </c>
      <c r="C680" t="s">
        <v>4037</v>
      </c>
      <c r="D680" t="s">
        <v>26</v>
      </c>
      <c r="E680" t="s">
        <v>42</v>
      </c>
      <c r="F680">
        <v>2</v>
      </c>
      <c r="G680" t="s">
        <v>4</v>
      </c>
      <c r="H680" t="s">
        <v>15</v>
      </c>
      <c r="I680">
        <v>110000</v>
      </c>
      <c r="J680" s="2">
        <v>0</v>
      </c>
      <c r="K680">
        <v>71.895424836601308</v>
      </c>
      <c r="N680" t="s">
        <v>4147</v>
      </c>
      <c r="P680" t="s">
        <v>4118</v>
      </c>
    </row>
    <row r="681" spans="1:16" hidden="1" x14ac:dyDescent="0.25">
      <c r="A681" t="s">
        <v>4119</v>
      </c>
      <c r="B681" t="s">
        <v>4125</v>
      </c>
      <c r="C681" t="s">
        <v>814</v>
      </c>
      <c r="D681" t="s">
        <v>26</v>
      </c>
      <c r="E681" t="s">
        <v>91</v>
      </c>
      <c r="F681">
        <v>1</v>
      </c>
      <c r="G681" t="s">
        <v>4</v>
      </c>
      <c r="H681" t="s">
        <v>15</v>
      </c>
      <c r="I681">
        <v>130000</v>
      </c>
      <c r="J681" s="2">
        <v>130000</v>
      </c>
      <c r="K681">
        <v>84.967320261437905</v>
      </c>
      <c r="N681" t="s">
        <v>4147</v>
      </c>
      <c r="O681" t="s">
        <v>4126</v>
      </c>
      <c r="P681" t="s">
        <v>27</v>
      </c>
    </row>
    <row r="682" spans="1:16" hidden="1" x14ac:dyDescent="0.25">
      <c r="A682" t="s">
        <v>4119</v>
      </c>
      <c r="B682" t="s">
        <v>2153</v>
      </c>
      <c r="C682" t="s">
        <v>155</v>
      </c>
      <c r="D682" t="s">
        <v>26</v>
      </c>
      <c r="E682" t="s">
        <v>42</v>
      </c>
      <c r="F682">
        <v>1</v>
      </c>
      <c r="G682" t="s">
        <v>4</v>
      </c>
      <c r="H682" t="s">
        <v>15</v>
      </c>
      <c r="I682">
        <v>150000</v>
      </c>
      <c r="J682" s="2">
        <v>150000</v>
      </c>
      <c r="K682">
        <v>98.039215686274517</v>
      </c>
      <c r="N682" t="s">
        <v>4147</v>
      </c>
      <c r="P682" t="s">
        <v>4118</v>
      </c>
    </row>
    <row r="683" spans="1:16" hidden="1" x14ac:dyDescent="0.25">
      <c r="A683" t="s">
        <v>4119</v>
      </c>
      <c r="B683" t="s">
        <v>1580</v>
      </c>
      <c r="C683" t="s">
        <v>155</v>
      </c>
      <c r="D683" t="s">
        <v>26</v>
      </c>
      <c r="E683" t="s">
        <v>42</v>
      </c>
      <c r="F683">
        <v>1</v>
      </c>
      <c r="G683" t="s">
        <v>4</v>
      </c>
      <c r="H683" t="s">
        <v>15</v>
      </c>
      <c r="I683">
        <v>189034.91</v>
      </c>
      <c r="J683" s="2">
        <v>189034.91</v>
      </c>
      <c r="K683">
        <v>123.55222875816993</v>
      </c>
      <c r="N683" t="s">
        <v>4147</v>
      </c>
      <c r="P683" t="s">
        <v>4118</v>
      </c>
    </row>
    <row r="684" spans="1:16" hidden="1" x14ac:dyDescent="0.25">
      <c r="A684" t="s">
        <v>4119</v>
      </c>
      <c r="B684" t="s">
        <v>483</v>
      </c>
      <c r="C684" t="s">
        <v>155</v>
      </c>
      <c r="D684" t="s">
        <v>26</v>
      </c>
      <c r="E684" t="s">
        <v>42</v>
      </c>
      <c r="F684">
        <v>1</v>
      </c>
      <c r="G684" t="s">
        <v>4</v>
      </c>
      <c r="H684" t="s">
        <v>15</v>
      </c>
      <c r="I684">
        <v>190000</v>
      </c>
      <c r="J684" s="2">
        <v>190000</v>
      </c>
      <c r="K684">
        <v>124.18300653594771</v>
      </c>
      <c r="N684" t="s">
        <v>4147</v>
      </c>
      <c r="P684" t="s">
        <v>4118</v>
      </c>
    </row>
    <row r="685" spans="1:16" hidden="1" x14ac:dyDescent="0.25">
      <c r="A685" t="s">
        <v>4119</v>
      </c>
      <c r="B685" t="s">
        <v>1462</v>
      </c>
      <c r="C685" t="s">
        <v>155</v>
      </c>
      <c r="D685" t="s">
        <v>26</v>
      </c>
      <c r="E685" t="s">
        <v>42</v>
      </c>
      <c r="F685">
        <v>1</v>
      </c>
      <c r="G685" t="s">
        <v>4</v>
      </c>
      <c r="H685" t="s">
        <v>15</v>
      </c>
      <c r="I685">
        <v>200000.02</v>
      </c>
      <c r="J685" s="2">
        <v>200000.02</v>
      </c>
      <c r="K685">
        <v>130.71896732026144</v>
      </c>
      <c r="N685" t="s">
        <v>4147</v>
      </c>
      <c r="P685" t="s">
        <v>4118</v>
      </c>
    </row>
    <row r="686" spans="1:16" hidden="1" x14ac:dyDescent="0.25">
      <c r="A686" t="s">
        <v>4119</v>
      </c>
      <c r="B686" t="s">
        <v>1571</v>
      </c>
      <c r="C686" t="s">
        <v>155</v>
      </c>
      <c r="D686" t="s">
        <v>26</v>
      </c>
      <c r="E686" t="s">
        <v>42</v>
      </c>
      <c r="F686">
        <v>1</v>
      </c>
      <c r="G686" t="s">
        <v>4</v>
      </c>
      <c r="H686" t="s">
        <v>15</v>
      </c>
      <c r="I686">
        <v>200001.08</v>
      </c>
      <c r="J686" s="2">
        <v>200001.08</v>
      </c>
      <c r="K686">
        <v>130.71966013071895</v>
      </c>
      <c r="N686" t="s">
        <v>4147</v>
      </c>
      <c r="P686" t="s">
        <v>4118</v>
      </c>
    </row>
    <row r="687" spans="1:16" hidden="1" x14ac:dyDescent="0.25">
      <c r="A687" t="s">
        <v>4119</v>
      </c>
      <c r="B687" t="s">
        <v>3299</v>
      </c>
      <c r="C687" t="s">
        <v>3300</v>
      </c>
      <c r="D687" t="s">
        <v>26</v>
      </c>
      <c r="E687" t="s">
        <v>42</v>
      </c>
      <c r="F687">
        <v>1</v>
      </c>
      <c r="G687" t="s">
        <v>4</v>
      </c>
      <c r="H687" t="s">
        <v>15</v>
      </c>
      <c r="I687">
        <v>250000</v>
      </c>
      <c r="J687" s="2">
        <v>250000</v>
      </c>
      <c r="K687">
        <v>163.3986928104575</v>
      </c>
      <c r="N687" t="s">
        <v>4147</v>
      </c>
      <c r="P687" t="s">
        <v>4118</v>
      </c>
    </row>
    <row r="688" spans="1:16" hidden="1" x14ac:dyDescent="0.25">
      <c r="A688" t="s">
        <v>4119</v>
      </c>
      <c r="B688" t="s">
        <v>3155</v>
      </c>
      <c r="C688" t="s">
        <v>3156</v>
      </c>
      <c r="D688" t="s">
        <v>26</v>
      </c>
      <c r="E688" t="s">
        <v>42</v>
      </c>
      <c r="F688">
        <v>1</v>
      </c>
      <c r="G688" t="s">
        <v>4</v>
      </c>
      <c r="H688" t="s">
        <v>15</v>
      </c>
      <c r="I688">
        <v>250000</v>
      </c>
      <c r="J688" s="2">
        <v>250000</v>
      </c>
      <c r="K688">
        <v>163.3986928104575</v>
      </c>
      <c r="N688" t="s">
        <v>4147</v>
      </c>
      <c r="P688" t="s">
        <v>4118</v>
      </c>
    </row>
    <row r="689" spans="1:16" hidden="1" x14ac:dyDescent="0.25">
      <c r="A689" t="s">
        <v>4119</v>
      </c>
      <c r="B689" t="s">
        <v>3256</v>
      </c>
      <c r="C689" t="s">
        <v>4086</v>
      </c>
      <c r="D689" t="s">
        <v>26</v>
      </c>
      <c r="E689" t="s">
        <v>31</v>
      </c>
      <c r="F689">
        <v>1</v>
      </c>
      <c r="G689" t="s">
        <v>4</v>
      </c>
      <c r="H689" t="s">
        <v>15</v>
      </c>
      <c r="I689">
        <v>300000</v>
      </c>
      <c r="J689" s="2">
        <v>300000</v>
      </c>
      <c r="K689">
        <v>196.07843137254903</v>
      </c>
      <c r="N689" t="s">
        <v>4147</v>
      </c>
      <c r="O689" t="s">
        <v>4124</v>
      </c>
      <c r="P689" t="s">
        <v>27</v>
      </c>
    </row>
    <row r="690" spans="1:16" x14ac:dyDescent="0.25">
      <c r="A690" t="s">
        <v>4119</v>
      </c>
      <c r="B690" t="s">
        <v>2652</v>
      </c>
      <c r="C690" t="s">
        <v>3765</v>
      </c>
      <c r="D690" t="s">
        <v>26</v>
      </c>
      <c r="E690" t="s">
        <v>62</v>
      </c>
      <c r="F690">
        <v>2</v>
      </c>
      <c r="G690" t="s">
        <v>4</v>
      </c>
      <c r="H690" t="s">
        <v>15</v>
      </c>
      <c r="I690">
        <v>500000</v>
      </c>
      <c r="J690" s="2">
        <v>200000</v>
      </c>
      <c r="K690">
        <v>326.79738562091501</v>
      </c>
      <c r="N690" t="s">
        <v>4147</v>
      </c>
      <c r="P690" t="s">
        <v>4118</v>
      </c>
    </row>
    <row r="691" spans="1:16" hidden="1" x14ac:dyDescent="0.25">
      <c r="A691" t="s">
        <v>4119</v>
      </c>
      <c r="B691" t="s">
        <v>2922</v>
      </c>
      <c r="C691" t="s">
        <v>3506</v>
      </c>
      <c r="D691" t="s">
        <v>61</v>
      </c>
      <c r="E691" t="s">
        <v>42</v>
      </c>
      <c r="F691">
        <v>2</v>
      </c>
      <c r="G691" t="s">
        <v>4</v>
      </c>
      <c r="H691" t="s">
        <v>15</v>
      </c>
      <c r="I691">
        <v>500000</v>
      </c>
      <c r="J691" s="2">
        <v>0</v>
      </c>
      <c r="K691">
        <v>326.79738562091501</v>
      </c>
      <c r="N691" t="s">
        <v>4147</v>
      </c>
      <c r="P691" t="s">
        <v>4118</v>
      </c>
    </row>
    <row r="692" spans="1:16" hidden="1" x14ac:dyDescent="0.25">
      <c r="A692" t="s">
        <v>4119</v>
      </c>
      <c r="B692" t="s">
        <v>2151</v>
      </c>
      <c r="C692" t="s">
        <v>4107</v>
      </c>
      <c r="D692" t="s">
        <v>26</v>
      </c>
      <c r="E692" t="s">
        <v>42</v>
      </c>
      <c r="F692">
        <v>2</v>
      </c>
      <c r="G692" t="s">
        <v>4</v>
      </c>
      <c r="H692" t="s">
        <v>15</v>
      </c>
      <c r="I692">
        <v>550000</v>
      </c>
      <c r="J692" s="2">
        <v>0</v>
      </c>
      <c r="K692">
        <v>359.47712418300654</v>
      </c>
      <c r="N692" t="s">
        <v>4147</v>
      </c>
      <c r="P692" t="s">
        <v>4118</v>
      </c>
    </row>
    <row r="693" spans="1:16" hidden="1" x14ac:dyDescent="0.25">
      <c r="A693" t="s">
        <v>4119</v>
      </c>
      <c r="B693" t="s">
        <v>3169</v>
      </c>
      <c r="C693" t="s">
        <v>3988</v>
      </c>
      <c r="D693" t="s">
        <v>26</v>
      </c>
      <c r="E693" t="s">
        <v>62</v>
      </c>
      <c r="F693">
        <v>1</v>
      </c>
      <c r="G693" t="s">
        <v>4</v>
      </c>
      <c r="H693" t="s">
        <v>15</v>
      </c>
      <c r="I693">
        <v>560000</v>
      </c>
      <c r="J693" s="2">
        <v>560000</v>
      </c>
      <c r="K693">
        <v>366.01307189542484</v>
      </c>
      <c r="N693" t="s">
        <v>4147</v>
      </c>
      <c r="P693" t="s">
        <v>4118</v>
      </c>
    </row>
    <row r="694" spans="1:16" hidden="1" x14ac:dyDescent="0.25">
      <c r="A694" t="s">
        <v>4119</v>
      </c>
      <c r="B694" t="s">
        <v>3814</v>
      </c>
      <c r="C694" t="s">
        <v>3295</v>
      </c>
      <c r="D694" t="s">
        <v>26</v>
      </c>
      <c r="E694" t="s">
        <v>42</v>
      </c>
      <c r="F694">
        <v>2</v>
      </c>
      <c r="G694" t="s">
        <v>4</v>
      </c>
      <c r="H694" t="s">
        <v>15</v>
      </c>
      <c r="I694">
        <v>600000</v>
      </c>
      <c r="J694" s="2">
        <v>0</v>
      </c>
      <c r="K694">
        <v>392.15686274509807</v>
      </c>
      <c r="N694" t="s">
        <v>4147</v>
      </c>
      <c r="P694" t="s">
        <v>4118</v>
      </c>
    </row>
    <row r="695" spans="1:16" hidden="1" x14ac:dyDescent="0.25">
      <c r="A695" t="s">
        <v>4119</v>
      </c>
      <c r="B695" t="s">
        <v>344</v>
      </c>
      <c r="C695" t="s">
        <v>4100</v>
      </c>
      <c r="D695" t="s">
        <v>26</v>
      </c>
      <c r="E695" t="s">
        <v>62</v>
      </c>
      <c r="F695">
        <v>1</v>
      </c>
      <c r="G695" t="s">
        <v>4</v>
      </c>
      <c r="H695" t="s">
        <v>15</v>
      </c>
      <c r="I695">
        <v>619300</v>
      </c>
      <c r="J695" s="2">
        <v>619300</v>
      </c>
      <c r="K695">
        <v>404.77124183006538</v>
      </c>
      <c r="N695" t="s">
        <v>4147</v>
      </c>
      <c r="P695" t="s">
        <v>4118</v>
      </c>
    </row>
    <row r="696" spans="1:16" x14ac:dyDescent="0.25">
      <c r="A696" t="s">
        <v>4119</v>
      </c>
      <c r="B696" t="s">
        <v>3051</v>
      </c>
      <c r="C696" t="s">
        <v>2667</v>
      </c>
      <c r="D696" t="s">
        <v>26</v>
      </c>
      <c r="E696" t="s">
        <v>42</v>
      </c>
      <c r="F696">
        <v>2</v>
      </c>
      <c r="G696" t="s">
        <v>4</v>
      </c>
      <c r="H696" t="s">
        <v>15</v>
      </c>
      <c r="I696">
        <v>1000000</v>
      </c>
      <c r="J696" s="2">
        <v>800000</v>
      </c>
      <c r="K696">
        <v>653.59477124183002</v>
      </c>
      <c r="N696" t="s">
        <v>4147</v>
      </c>
      <c r="P696" t="s">
        <v>4118</v>
      </c>
    </row>
    <row r="697" spans="1:16" x14ac:dyDescent="0.25">
      <c r="A697" t="s">
        <v>4119</v>
      </c>
      <c r="B697" t="s">
        <v>1677</v>
      </c>
      <c r="C697" t="s">
        <v>4035</v>
      </c>
      <c r="D697" t="s">
        <v>26</v>
      </c>
      <c r="E697" t="s">
        <v>42</v>
      </c>
      <c r="F697">
        <v>2</v>
      </c>
      <c r="G697" t="s">
        <v>4</v>
      </c>
      <c r="H697" t="s">
        <v>15</v>
      </c>
      <c r="I697">
        <v>1000000</v>
      </c>
      <c r="J697" s="2">
        <v>700000</v>
      </c>
      <c r="K697">
        <v>653.59477124183002</v>
      </c>
      <c r="N697" t="s">
        <v>4147</v>
      </c>
      <c r="P697" t="s">
        <v>4118</v>
      </c>
    </row>
    <row r="698" spans="1:16" x14ac:dyDescent="0.25">
      <c r="A698" t="s">
        <v>4119</v>
      </c>
      <c r="B698" t="s">
        <v>2151</v>
      </c>
      <c r="C698" t="s">
        <v>4163</v>
      </c>
      <c r="D698" t="s">
        <v>26</v>
      </c>
      <c r="E698" t="s">
        <v>42</v>
      </c>
      <c r="F698">
        <v>2</v>
      </c>
      <c r="G698" t="s">
        <v>4</v>
      </c>
      <c r="H698" t="s">
        <v>15</v>
      </c>
      <c r="I698">
        <v>1000000</v>
      </c>
      <c r="J698" s="2">
        <v>200000</v>
      </c>
      <c r="K698">
        <v>653.59477124183002</v>
      </c>
      <c r="N698" t="s">
        <v>4147</v>
      </c>
      <c r="P698" t="s">
        <v>4118</v>
      </c>
    </row>
    <row r="699" spans="1:16" hidden="1" x14ac:dyDescent="0.25">
      <c r="A699" t="s">
        <v>4119</v>
      </c>
      <c r="B699" t="s">
        <v>2728</v>
      </c>
      <c r="C699" t="s">
        <v>3910</v>
      </c>
      <c r="D699" t="s">
        <v>26</v>
      </c>
      <c r="E699" t="s">
        <v>42</v>
      </c>
      <c r="F699">
        <v>2</v>
      </c>
      <c r="G699" t="s">
        <v>4</v>
      </c>
      <c r="H699" t="s">
        <v>15</v>
      </c>
      <c r="I699">
        <v>1011000</v>
      </c>
      <c r="J699" s="2">
        <v>0</v>
      </c>
      <c r="K699">
        <v>660.78431372549016</v>
      </c>
      <c r="N699" t="s">
        <v>4147</v>
      </c>
      <c r="P699" t="s">
        <v>4118</v>
      </c>
    </row>
    <row r="700" spans="1:16" x14ac:dyDescent="0.25">
      <c r="J700" s="2">
        <f>SUBTOTAL(109,Tabla313[Importe AR$])</f>
        <v>1900000</v>
      </c>
    </row>
    <row r="702" spans="1:16" x14ac:dyDescent="0.25">
      <c r="J702" s="2">
        <f>Tabla313[[#Totals],[Importe AR$]]+Tabla35[[#Totals],[Importe AR$]]</f>
        <v>2480000</v>
      </c>
    </row>
    <row r="703" spans="1:16" x14ac:dyDescent="0.25">
      <c r="G703" s="5" t="s">
        <v>4021</v>
      </c>
      <c r="H703" s="25" t="s">
        <v>4166</v>
      </c>
      <c r="I703" s="25" t="s">
        <v>4167</v>
      </c>
      <c r="J703" s="6" t="s">
        <v>15</v>
      </c>
    </row>
    <row r="704" spans="1:16" x14ac:dyDescent="0.25">
      <c r="G704" s="5" t="s">
        <v>4164</v>
      </c>
      <c r="H704" s="5"/>
      <c r="I704" s="5"/>
      <c r="J704" s="94">
        <f>Tabla35[[#Totals],[Importe AR$]]</f>
        <v>580000</v>
      </c>
    </row>
    <row r="705" spans="1:16" x14ac:dyDescent="0.25">
      <c r="G705" s="5" t="s">
        <v>4165</v>
      </c>
      <c r="H705" s="5"/>
      <c r="I705" s="5"/>
      <c r="J705" s="94">
        <f>Tabla313[[#Totals],[Importe AR$]]</f>
        <v>1900000</v>
      </c>
    </row>
    <row r="706" spans="1:16" ht="3.75" customHeight="1" x14ac:dyDescent="0.25">
      <c r="G706" s="5"/>
      <c r="H706" s="5"/>
      <c r="I706" s="5"/>
      <c r="J706" s="6"/>
    </row>
    <row r="707" spans="1:16" x14ac:dyDescent="0.25">
      <c r="G707" s="5" t="s">
        <v>26</v>
      </c>
      <c r="H707" s="5"/>
      <c r="I707" s="5"/>
      <c r="J707" s="6">
        <f>SUM(J704:J706)</f>
        <v>2480000</v>
      </c>
    </row>
    <row r="710" spans="1:16" x14ac:dyDescent="0.25">
      <c r="A710" t="s">
        <v>7</v>
      </c>
      <c r="B710" t="s">
        <v>8</v>
      </c>
      <c r="C710" t="s">
        <v>9</v>
      </c>
      <c r="D710" t="s">
        <v>10</v>
      </c>
      <c r="E710" t="s">
        <v>11</v>
      </c>
      <c r="F710" t="s">
        <v>12</v>
      </c>
      <c r="G710" t="s">
        <v>13</v>
      </c>
      <c r="H710" t="s">
        <v>14</v>
      </c>
      <c r="I710" t="s">
        <v>15</v>
      </c>
      <c r="J710" s="2" t="s">
        <v>16</v>
      </c>
      <c r="K710" t="s">
        <v>17</v>
      </c>
      <c r="L710" t="s">
        <v>18</v>
      </c>
      <c r="M710" t="s">
        <v>19</v>
      </c>
      <c r="N710" t="s">
        <v>20</v>
      </c>
      <c r="O710" t="s">
        <v>21</v>
      </c>
      <c r="P710" t="s">
        <v>22</v>
      </c>
    </row>
    <row r="711" spans="1:16" x14ac:dyDescent="0.25">
      <c r="A711" t="s">
        <v>4157</v>
      </c>
      <c r="B711" t="s">
        <v>3992</v>
      </c>
      <c r="C711" t="s">
        <v>3993</v>
      </c>
      <c r="D711" t="s">
        <v>26</v>
      </c>
      <c r="E711" t="s">
        <v>42</v>
      </c>
      <c r="F711">
        <v>1</v>
      </c>
      <c r="G711" t="s">
        <v>4</v>
      </c>
      <c r="H711" t="s">
        <v>15</v>
      </c>
      <c r="I711">
        <v>16184.729999999981</v>
      </c>
      <c r="J711" s="2">
        <v>16184.729999999981</v>
      </c>
      <c r="K711">
        <v>10.578254901960772</v>
      </c>
      <c r="N711" t="s">
        <v>4185</v>
      </c>
      <c r="P711" t="s">
        <v>4161</v>
      </c>
    </row>
    <row r="712" spans="1:16" x14ac:dyDescent="0.25">
      <c r="A712" t="s">
        <v>4157</v>
      </c>
      <c r="B712" t="s">
        <v>2153</v>
      </c>
      <c r="C712" t="s">
        <v>155</v>
      </c>
      <c r="D712" t="s">
        <v>26</v>
      </c>
      <c r="E712" t="s">
        <v>42</v>
      </c>
      <c r="F712">
        <v>1</v>
      </c>
      <c r="G712" t="s">
        <v>4</v>
      </c>
      <c r="H712" t="s">
        <v>15</v>
      </c>
      <c r="I712">
        <v>50005</v>
      </c>
      <c r="J712" s="2">
        <v>50005</v>
      </c>
      <c r="K712">
        <v>32.683006535947712</v>
      </c>
      <c r="N712" t="s">
        <v>4185</v>
      </c>
      <c r="P712" t="s">
        <v>4161</v>
      </c>
    </row>
    <row r="713" spans="1:16" x14ac:dyDescent="0.25">
      <c r="A713" t="s">
        <v>4157</v>
      </c>
      <c r="B713" t="s">
        <v>3048</v>
      </c>
      <c r="C713" t="s">
        <v>155</v>
      </c>
      <c r="D713" t="s">
        <v>26</v>
      </c>
      <c r="E713" t="s">
        <v>42</v>
      </c>
      <c r="F713">
        <v>1</v>
      </c>
      <c r="G713" t="s">
        <v>4</v>
      </c>
      <c r="H713" t="s">
        <v>15</v>
      </c>
      <c r="I713">
        <v>80000</v>
      </c>
      <c r="J713" s="2">
        <v>80000</v>
      </c>
      <c r="K713">
        <v>52.287581699346404</v>
      </c>
      <c r="N713" t="s">
        <v>4185</v>
      </c>
      <c r="P713" t="s">
        <v>4161</v>
      </c>
    </row>
    <row r="714" spans="1:16" hidden="1" x14ac:dyDescent="0.25">
      <c r="A714" t="s">
        <v>4157</v>
      </c>
      <c r="B714" t="s">
        <v>334</v>
      </c>
      <c r="C714" t="s">
        <v>4037</v>
      </c>
      <c r="D714" t="s">
        <v>26</v>
      </c>
      <c r="E714" t="s">
        <v>42</v>
      </c>
      <c r="F714">
        <v>2</v>
      </c>
      <c r="G714" t="s">
        <v>4</v>
      </c>
      <c r="H714" t="s">
        <v>15</v>
      </c>
      <c r="I714">
        <v>110000</v>
      </c>
      <c r="J714" s="2">
        <v>110000</v>
      </c>
      <c r="K714">
        <v>71.895424836601308</v>
      </c>
      <c r="N714" t="s">
        <v>4185</v>
      </c>
      <c r="P714" t="s">
        <v>4161</v>
      </c>
    </row>
    <row r="715" spans="1:16" x14ac:dyDescent="0.25">
      <c r="A715" t="s">
        <v>4157</v>
      </c>
      <c r="B715" t="s">
        <v>1580</v>
      </c>
      <c r="C715" t="s">
        <v>155</v>
      </c>
      <c r="D715" t="s">
        <v>26</v>
      </c>
      <c r="E715" t="s">
        <v>42</v>
      </c>
      <c r="F715">
        <v>1</v>
      </c>
      <c r="G715" t="s">
        <v>4</v>
      </c>
      <c r="H715" t="s">
        <v>15</v>
      </c>
      <c r="I715">
        <v>189034.91</v>
      </c>
      <c r="J715" s="2">
        <v>189034.91</v>
      </c>
      <c r="K715">
        <v>123.55222875816993</v>
      </c>
      <c r="N715" t="s">
        <v>4185</v>
      </c>
      <c r="P715" t="s">
        <v>4161</v>
      </c>
    </row>
    <row r="716" spans="1:16" x14ac:dyDescent="0.25">
      <c r="A716" t="s">
        <v>4157</v>
      </c>
      <c r="B716" t="s">
        <v>483</v>
      </c>
      <c r="C716" t="s">
        <v>155</v>
      </c>
      <c r="D716" t="s">
        <v>26</v>
      </c>
      <c r="E716" t="s">
        <v>42</v>
      </c>
      <c r="F716">
        <v>1</v>
      </c>
      <c r="G716" t="s">
        <v>4</v>
      </c>
      <c r="H716" t="s">
        <v>15</v>
      </c>
      <c r="I716">
        <v>190000</v>
      </c>
      <c r="J716" s="2">
        <v>190000</v>
      </c>
      <c r="K716">
        <v>124.18300653594771</v>
      </c>
      <c r="N716" t="s">
        <v>4185</v>
      </c>
      <c r="P716" t="s">
        <v>4161</v>
      </c>
    </row>
    <row r="717" spans="1:16" x14ac:dyDescent="0.25">
      <c r="A717" t="s">
        <v>4157</v>
      </c>
      <c r="B717" t="s">
        <v>1462</v>
      </c>
      <c r="C717" t="s">
        <v>155</v>
      </c>
      <c r="D717" t="s">
        <v>26</v>
      </c>
      <c r="E717" t="s">
        <v>42</v>
      </c>
      <c r="F717">
        <v>1</v>
      </c>
      <c r="G717" t="s">
        <v>4</v>
      </c>
      <c r="H717" t="s">
        <v>15</v>
      </c>
      <c r="I717">
        <v>200000.02</v>
      </c>
      <c r="J717" s="2">
        <v>200000.02</v>
      </c>
      <c r="K717">
        <v>130.71896732026144</v>
      </c>
      <c r="N717" t="s">
        <v>4185</v>
      </c>
      <c r="P717" t="s">
        <v>4161</v>
      </c>
    </row>
    <row r="718" spans="1:16" x14ac:dyDescent="0.25">
      <c r="A718" t="s">
        <v>4157</v>
      </c>
      <c r="B718" t="s">
        <v>3299</v>
      </c>
      <c r="C718" t="s">
        <v>3300</v>
      </c>
      <c r="D718" t="s">
        <v>26</v>
      </c>
      <c r="E718" t="s">
        <v>42</v>
      </c>
      <c r="F718">
        <v>1</v>
      </c>
      <c r="G718" t="s">
        <v>4</v>
      </c>
      <c r="H718" t="s">
        <v>15</v>
      </c>
      <c r="I718">
        <v>250000</v>
      </c>
      <c r="J718" s="2">
        <v>250000</v>
      </c>
      <c r="K718">
        <v>163.3986928104575</v>
      </c>
      <c r="N718" t="s">
        <v>4185</v>
      </c>
      <c r="P718" t="s">
        <v>4161</v>
      </c>
    </row>
    <row r="719" spans="1:16" x14ac:dyDescent="0.25">
      <c r="A719" t="s">
        <v>4157</v>
      </c>
      <c r="B719" t="s">
        <v>3155</v>
      </c>
      <c r="C719" t="s">
        <v>3156</v>
      </c>
      <c r="D719" t="s">
        <v>26</v>
      </c>
      <c r="E719" t="s">
        <v>42</v>
      </c>
      <c r="F719">
        <v>1</v>
      </c>
      <c r="G719" t="s">
        <v>4</v>
      </c>
      <c r="H719" t="s">
        <v>15</v>
      </c>
      <c r="I719">
        <v>250000</v>
      </c>
      <c r="J719" s="2">
        <v>250000</v>
      </c>
      <c r="K719">
        <v>163.3986928104575</v>
      </c>
      <c r="N719" t="s">
        <v>4185</v>
      </c>
      <c r="P719" t="s">
        <v>4161</v>
      </c>
    </row>
    <row r="720" spans="1:16" hidden="1" x14ac:dyDescent="0.25">
      <c r="A720" t="s">
        <v>4157</v>
      </c>
      <c r="B720" t="s">
        <v>2151</v>
      </c>
      <c r="C720" t="s">
        <v>4107</v>
      </c>
      <c r="D720" t="s">
        <v>26</v>
      </c>
      <c r="E720" t="s">
        <v>42</v>
      </c>
      <c r="F720">
        <v>2</v>
      </c>
      <c r="G720" t="s">
        <v>4</v>
      </c>
      <c r="H720" t="s">
        <v>15</v>
      </c>
      <c r="I720">
        <v>350000</v>
      </c>
      <c r="J720" s="2">
        <v>350000</v>
      </c>
      <c r="K720">
        <v>228.75816993464053</v>
      </c>
      <c r="N720" t="s">
        <v>4185</v>
      </c>
      <c r="P720" t="s">
        <v>4161</v>
      </c>
    </row>
    <row r="721" spans="1:16" hidden="1" x14ac:dyDescent="0.25">
      <c r="A721" t="s">
        <v>4157</v>
      </c>
      <c r="B721" t="s">
        <v>2652</v>
      </c>
      <c r="C721" t="s">
        <v>3765</v>
      </c>
      <c r="D721" t="s">
        <v>26</v>
      </c>
      <c r="E721" t="s">
        <v>62</v>
      </c>
      <c r="F721">
        <v>2</v>
      </c>
      <c r="G721" t="s">
        <v>4</v>
      </c>
      <c r="H721" t="s">
        <v>15</v>
      </c>
      <c r="I721">
        <v>500000</v>
      </c>
      <c r="J721" s="2">
        <v>500000</v>
      </c>
      <c r="K721">
        <v>326.79738562091501</v>
      </c>
      <c r="N721" t="s">
        <v>4185</v>
      </c>
      <c r="P721" t="s">
        <v>4161</v>
      </c>
    </row>
    <row r="722" spans="1:16" x14ac:dyDescent="0.25">
      <c r="A722" t="s">
        <v>4157</v>
      </c>
      <c r="B722" t="s">
        <v>3169</v>
      </c>
      <c r="C722" t="s">
        <v>3988</v>
      </c>
      <c r="D722" t="s">
        <v>26</v>
      </c>
      <c r="E722" t="s">
        <v>62</v>
      </c>
      <c r="F722">
        <v>1</v>
      </c>
      <c r="G722" t="s">
        <v>4</v>
      </c>
      <c r="H722" t="s">
        <v>15</v>
      </c>
      <c r="I722">
        <v>560000</v>
      </c>
      <c r="J722" s="2">
        <v>560000</v>
      </c>
      <c r="K722">
        <v>366.01307189542484</v>
      </c>
      <c r="N722" t="s">
        <v>4185</v>
      </c>
      <c r="P722" t="s">
        <v>4161</v>
      </c>
    </row>
    <row r="723" spans="1:16" hidden="1" x14ac:dyDescent="0.25">
      <c r="A723" t="s">
        <v>4157</v>
      </c>
      <c r="B723" t="s">
        <v>3814</v>
      </c>
      <c r="C723" t="s">
        <v>3295</v>
      </c>
      <c r="D723" t="s">
        <v>26</v>
      </c>
      <c r="E723" t="s">
        <v>42</v>
      </c>
      <c r="F723">
        <v>2</v>
      </c>
      <c r="G723" t="s">
        <v>4</v>
      </c>
      <c r="H723" t="s">
        <v>15</v>
      </c>
      <c r="I723">
        <v>600000</v>
      </c>
      <c r="J723" s="2">
        <v>600000</v>
      </c>
      <c r="K723">
        <v>392.15686274509807</v>
      </c>
      <c r="N723" t="s">
        <v>4185</v>
      </c>
      <c r="P723" t="s">
        <v>4161</v>
      </c>
    </row>
    <row r="724" spans="1:16" hidden="1" x14ac:dyDescent="0.25">
      <c r="A724" t="s">
        <v>4157</v>
      </c>
      <c r="B724" t="s">
        <v>483</v>
      </c>
      <c r="C724" t="s">
        <v>3442</v>
      </c>
      <c r="D724" t="s">
        <v>26</v>
      </c>
      <c r="E724" t="s">
        <v>42</v>
      </c>
      <c r="F724">
        <v>2</v>
      </c>
      <c r="G724" t="s">
        <v>4</v>
      </c>
      <c r="H724" t="s">
        <v>15</v>
      </c>
      <c r="I724">
        <v>1000000</v>
      </c>
      <c r="J724" s="2">
        <v>1000000</v>
      </c>
      <c r="K724">
        <v>653.59477124183002</v>
      </c>
      <c r="N724" t="s">
        <v>4185</v>
      </c>
      <c r="P724" t="s">
        <v>4161</v>
      </c>
    </row>
    <row r="725" spans="1:16" hidden="1" x14ac:dyDescent="0.25">
      <c r="A725" t="s">
        <v>4157</v>
      </c>
      <c r="B725" t="s">
        <v>2728</v>
      </c>
      <c r="C725" t="s">
        <v>3910</v>
      </c>
      <c r="D725" t="s">
        <v>26</v>
      </c>
      <c r="E725" t="s">
        <v>42</v>
      </c>
      <c r="F725">
        <v>2</v>
      </c>
      <c r="G725" t="s">
        <v>4</v>
      </c>
      <c r="H725" t="s">
        <v>15</v>
      </c>
      <c r="I725">
        <v>1011000</v>
      </c>
      <c r="J725" s="2">
        <v>1011000</v>
      </c>
      <c r="K725">
        <v>660.78431372549016</v>
      </c>
      <c r="N725" t="s">
        <v>4185</v>
      </c>
      <c r="P725" t="s">
        <v>4161</v>
      </c>
    </row>
    <row r="726" spans="1:16" hidden="1" x14ac:dyDescent="0.25">
      <c r="A726" t="s">
        <v>4157</v>
      </c>
      <c r="B726" t="s">
        <v>3703</v>
      </c>
      <c r="C726" t="s">
        <v>2667</v>
      </c>
      <c r="D726" t="s">
        <v>26</v>
      </c>
      <c r="E726" t="s">
        <v>3928</v>
      </c>
      <c r="F726">
        <v>2</v>
      </c>
      <c r="G726" t="s">
        <v>4</v>
      </c>
      <c r="H726" t="s">
        <v>15</v>
      </c>
      <c r="I726">
        <v>2000000</v>
      </c>
      <c r="J726" s="2">
        <v>2000000</v>
      </c>
      <c r="K726">
        <v>1307.18954248366</v>
      </c>
      <c r="N726" t="s">
        <v>4185</v>
      </c>
      <c r="P726" t="s">
        <v>4161</v>
      </c>
    </row>
    <row r="727" spans="1:16" hidden="1" x14ac:dyDescent="0.25">
      <c r="A727" t="s">
        <v>4157</v>
      </c>
      <c r="B727" t="s">
        <v>3051</v>
      </c>
      <c r="C727" t="s">
        <v>2667</v>
      </c>
      <c r="D727" t="s">
        <v>26</v>
      </c>
      <c r="E727" t="s">
        <v>42</v>
      </c>
      <c r="F727">
        <v>2</v>
      </c>
      <c r="G727" t="s">
        <v>4</v>
      </c>
      <c r="H727" t="s">
        <v>15</v>
      </c>
      <c r="I727">
        <v>2000000</v>
      </c>
      <c r="J727" s="2">
        <v>2000000</v>
      </c>
      <c r="K727">
        <v>1307.18954248366</v>
      </c>
      <c r="N727" t="s">
        <v>4185</v>
      </c>
      <c r="P727" t="s">
        <v>4161</v>
      </c>
    </row>
    <row r="728" spans="1:16" hidden="1" x14ac:dyDescent="0.25">
      <c r="A728" t="s">
        <v>4157</v>
      </c>
      <c r="B728" t="s">
        <v>1854</v>
      </c>
      <c r="C728" t="s">
        <v>2667</v>
      </c>
      <c r="D728" t="s">
        <v>26</v>
      </c>
      <c r="E728" t="s">
        <v>3928</v>
      </c>
      <c r="F728">
        <v>2</v>
      </c>
      <c r="G728" t="s">
        <v>4</v>
      </c>
      <c r="H728" t="s">
        <v>15</v>
      </c>
      <c r="I728">
        <v>2000000</v>
      </c>
      <c r="J728" s="2">
        <v>2000000</v>
      </c>
      <c r="K728">
        <v>1307.18954248366</v>
      </c>
      <c r="N728" t="s">
        <v>4185</v>
      </c>
      <c r="P728" t="s">
        <v>4161</v>
      </c>
    </row>
    <row r="729" spans="1:16" hidden="1" x14ac:dyDescent="0.25">
      <c r="A729" t="s">
        <v>4157</v>
      </c>
      <c r="B729" t="s">
        <v>1677</v>
      </c>
      <c r="C729" t="s">
        <v>4035</v>
      </c>
      <c r="D729" t="s">
        <v>26</v>
      </c>
      <c r="E729" t="s">
        <v>42</v>
      </c>
      <c r="F729">
        <v>2</v>
      </c>
      <c r="G729" t="s">
        <v>4</v>
      </c>
      <c r="H729" t="s">
        <v>15</v>
      </c>
      <c r="I729">
        <v>2000000</v>
      </c>
      <c r="J729" s="2">
        <v>2000000</v>
      </c>
      <c r="K729">
        <v>1307.18954248366</v>
      </c>
      <c r="N729" t="s">
        <v>4185</v>
      </c>
      <c r="P729" t="s">
        <v>4161</v>
      </c>
    </row>
    <row r="730" spans="1:16" x14ac:dyDescent="0.25">
      <c r="J730" s="2">
        <f>SUBTOTAL(109,Tabla4446[Importe AR$])</f>
        <v>1785224.6600000001</v>
      </c>
    </row>
    <row r="731" spans="1:16" ht="6" customHeight="1" x14ac:dyDescent="0.25"/>
    <row r="732" spans="1:16" x14ac:dyDescent="0.25">
      <c r="A732" t="s">
        <v>7</v>
      </c>
      <c r="B732" t="s">
        <v>8</v>
      </c>
      <c r="C732" t="s">
        <v>9</v>
      </c>
      <c r="D732" t="s">
        <v>10</v>
      </c>
      <c r="E732" t="s">
        <v>11</v>
      </c>
      <c r="F732" t="s">
        <v>12</v>
      </c>
      <c r="G732" t="s">
        <v>13</v>
      </c>
      <c r="H732" t="s">
        <v>14</v>
      </c>
      <c r="I732" t="s">
        <v>15</v>
      </c>
      <c r="J732" s="2" t="s">
        <v>16</v>
      </c>
      <c r="K732" t="s">
        <v>17</v>
      </c>
      <c r="L732" t="s">
        <v>18</v>
      </c>
      <c r="M732" t="s">
        <v>19</v>
      </c>
      <c r="N732" t="s">
        <v>20</v>
      </c>
      <c r="O732" t="s">
        <v>21</v>
      </c>
      <c r="P732" t="s">
        <v>22</v>
      </c>
    </row>
    <row r="733" spans="1:16" hidden="1" x14ac:dyDescent="0.25">
      <c r="A733" t="s">
        <v>4157</v>
      </c>
      <c r="B733" t="s">
        <v>3992</v>
      </c>
      <c r="C733" t="s">
        <v>3993</v>
      </c>
      <c r="D733" t="s">
        <v>26</v>
      </c>
      <c r="E733" t="s">
        <v>42</v>
      </c>
      <c r="F733">
        <v>1</v>
      </c>
      <c r="G733" t="s">
        <v>4</v>
      </c>
      <c r="H733" t="s">
        <v>15</v>
      </c>
      <c r="I733">
        <v>16184.729999999981</v>
      </c>
      <c r="J733" s="2">
        <v>16184.729999999981</v>
      </c>
      <c r="K733">
        <v>10.578254901960772</v>
      </c>
      <c r="N733" t="s">
        <v>4185</v>
      </c>
      <c r="P733" t="s">
        <v>4161</v>
      </c>
    </row>
    <row r="734" spans="1:16" hidden="1" x14ac:dyDescent="0.25">
      <c r="A734" t="s">
        <v>4157</v>
      </c>
      <c r="B734" t="s">
        <v>2153</v>
      </c>
      <c r="C734" t="s">
        <v>155</v>
      </c>
      <c r="D734" t="s">
        <v>26</v>
      </c>
      <c r="E734" t="s">
        <v>42</v>
      </c>
      <c r="F734">
        <v>1</v>
      </c>
      <c r="G734" t="s">
        <v>4</v>
      </c>
      <c r="H734" t="s">
        <v>15</v>
      </c>
      <c r="I734">
        <v>50005</v>
      </c>
      <c r="J734" s="2">
        <v>50005</v>
      </c>
      <c r="K734">
        <v>32.683006535947712</v>
      </c>
      <c r="N734" t="s">
        <v>4185</v>
      </c>
      <c r="P734" t="s">
        <v>4161</v>
      </c>
    </row>
    <row r="735" spans="1:16" hidden="1" x14ac:dyDescent="0.25">
      <c r="A735" t="s">
        <v>4157</v>
      </c>
      <c r="B735" t="s">
        <v>3048</v>
      </c>
      <c r="C735" t="s">
        <v>155</v>
      </c>
      <c r="D735" t="s">
        <v>26</v>
      </c>
      <c r="E735" t="s">
        <v>42</v>
      </c>
      <c r="F735">
        <v>1</v>
      </c>
      <c r="G735" t="s">
        <v>4</v>
      </c>
      <c r="H735" t="s">
        <v>15</v>
      </c>
      <c r="I735">
        <v>80000</v>
      </c>
      <c r="J735" s="2">
        <v>80000</v>
      </c>
      <c r="K735">
        <v>52.287581699346404</v>
      </c>
      <c r="N735" t="s">
        <v>4185</v>
      </c>
      <c r="P735" t="s">
        <v>4161</v>
      </c>
    </row>
    <row r="736" spans="1:16" x14ac:dyDescent="0.25">
      <c r="A736" t="s">
        <v>4157</v>
      </c>
      <c r="B736" t="s">
        <v>334</v>
      </c>
      <c r="C736" t="s">
        <v>4037</v>
      </c>
      <c r="D736" t="s">
        <v>26</v>
      </c>
      <c r="E736" t="s">
        <v>42</v>
      </c>
      <c r="F736">
        <v>2</v>
      </c>
      <c r="G736" t="s">
        <v>4</v>
      </c>
      <c r="H736" t="s">
        <v>15</v>
      </c>
      <c r="I736">
        <v>110000</v>
      </c>
      <c r="J736" s="2">
        <v>110000</v>
      </c>
      <c r="K736">
        <v>71.895424836601308</v>
      </c>
      <c r="N736" t="s">
        <v>4185</v>
      </c>
      <c r="P736" t="s">
        <v>4161</v>
      </c>
    </row>
    <row r="737" spans="1:16" hidden="1" x14ac:dyDescent="0.25">
      <c r="A737" t="s">
        <v>4157</v>
      </c>
      <c r="B737" t="s">
        <v>1580</v>
      </c>
      <c r="C737" t="s">
        <v>155</v>
      </c>
      <c r="D737" t="s">
        <v>26</v>
      </c>
      <c r="E737" t="s">
        <v>42</v>
      </c>
      <c r="F737">
        <v>1</v>
      </c>
      <c r="G737" t="s">
        <v>4</v>
      </c>
      <c r="H737" t="s">
        <v>15</v>
      </c>
      <c r="I737">
        <v>189034.91</v>
      </c>
      <c r="J737" s="2">
        <v>189034.91</v>
      </c>
      <c r="K737">
        <v>123.55222875816993</v>
      </c>
      <c r="N737" t="s">
        <v>4185</v>
      </c>
      <c r="P737" t="s">
        <v>4161</v>
      </c>
    </row>
    <row r="738" spans="1:16" hidden="1" x14ac:dyDescent="0.25">
      <c r="A738" t="s">
        <v>4157</v>
      </c>
      <c r="B738" t="s">
        <v>483</v>
      </c>
      <c r="C738" t="s">
        <v>155</v>
      </c>
      <c r="D738" t="s">
        <v>26</v>
      </c>
      <c r="E738" t="s">
        <v>42</v>
      </c>
      <c r="F738">
        <v>1</v>
      </c>
      <c r="G738" t="s">
        <v>4</v>
      </c>
      <c r="H738" t="s">
        <v>15</v>
      </c>
      <c r="I738">
        <v>190000</v>
      </c>
      <c r="J738" s="2">
        <v>190000</v>
      </c>
      <c r="K738">
        <v>124.18300653594771</v>
      </c>
      <c r="N738" t="s">
        <v>4185</v>
      </c>
      <c r="P738" t="s">
        <v>4161</v>
      </c>
    </row>
    <row r="739" spans="1:16" hidden="1" x14ac:dyDescent="0.25">
      <c r="A739" t="s">
        <v>4157</v>
      </c>
      <c r="B739" t="s">
        <v>1462</v>
      </c>
      <c r="C739" t="s">
        <v>155</v>
      </c>
      <c r="D739" t="s">
        <v>26</v>
      </c>
      <c r="E739" t="s">
        <v>42</v>
      </c>
      <c r="F739">
        <v>1</v>
      </c>
      <c r="G739" t="s">
        <v>4</v>
      </c>
      <c r="H739" t="s">
        <v>15</v>
      </c>
      <c r="I739">
        <v>200000.02</v>
      </c>
      <c r="J739" s="2">
        <v>200000.02</v>
      </c>
      <c r="K739">
        <v>130.71896732026144</v>
      </c>
      <c r="N739" t="s">
        <v>4185</v>
      </c>
      <c r="P739" t="s">
        <v>4161</v>
      </c>
    </row>
    <row r="740" spans="1:16" hidden="1" x14ac:dyDescent="0.25">
      <c r="A740" t="s">
        <v>4157</v>
      </c>
      <c r="B740" t="s">
        <v>3299</v>
      </c>
      <c r="C740" t="s">
        <v>3300</v>
      </c>
      <c r="D740" t="s">
        <v>26</v>
      </c>
      <c r="E740" t="s">
        <v>42</v>
      </c>
      <c r="F740">
        <v>1</v>
      </c>
      <c r="G740" t="s">
        <v>4</v>
      </c>
      <c r="H740" t="s">
        <v>15</v>
      </c>
      <c r="I740">
        <v>250000</v>
      </c>
      <c r="J740" s="2">
        <v>250000</v>
      </c>
      <c r="K740">
        <v>163.3986928104575</v>
      </c>
      <c r="N740" t="s">
        <v>4185</v>
      </c>
      <c r="P740" t="s">
        <v>4161</v>
      </c>
    </row>
    <row r="741" spans="1:16" hidden="1" x14ac:dyDescent="0.25">
      <c r="A741" t="s">
        <v>4157</v>
      </c>
      <c r="B741" t="s">
        <v>3155</v>
      </c>
      <c r="C741" t="s">
        <v>3156</v>
      </c>
      <c r="D741" t="s">
        <v>26</v>
      </c>
      <c r="E741" t="s">
        <v>42</v>
      </c>
      <c r="F741">
        <v>1</v>
      </c>
      <c r="G741" t="s">
        <v>4</v>
      </c>
      <c r="H741" t="s">
        <v>15</v>
      </c>
      <c r="I741">
        <v>250000</v>
      </c>
      <c r="J741" s="2">
        <v>250000</v>
      </c>
      <c r="K741">
        <v>163.3986928104575</v>
      </c>
      <c r="N741" t="s">
        <v>4185</v>
      </c>
      <c r="P741" t="s">
        <v>4161</v>
      </c>
    </row>
    <row r="742" spans="1:16" x14ac:dyDescent="0.25">
      <c r="A742" t="s">
        <v>4157</v>
      </c>
      <c r="B742" t="s">
        <v>2151</v>
      </c>
      <c r="C742" t="s">
        <v>4107</v>
      </c>
      <c r="D742" t="s">
        <v>26</v>
      </c>
      <c r="E742" t="s">
        <v>42</v>
      </c>
      <c r="F742">
        <v>2</v>
      </c>
      <c r="G742" t="s">
        <v>4</v>
      </c>
      <c r="H742" t="s">
        <v>15</v>
      </c>
      <c r="I742">
        <v>350000</v>
      </c>
      <c r="J742" s="2">
        <v>350000</v>
      </c>
      <c r="K742">
        <v>228.75816993464053</v>
      </c>
      <c r="N742" t="s">
        <v>4185</v>
      </c>
      <c r="P742" t="s">
        <v>4161</v>
      </c>
    </row>
    <row r="743" spans="1:16" x14ac:dyDescent="0.25">
      <c r="A743" t="s">
        <v>4157</v>
      </c>
      <c r="B743" t="s">
        <v>2652</v>
      </c>
      <c r="C743" t="s">
        <v>3765</v>
      </c>
      <c r="D743" t="s">
        <v>26</v>
      </c>
      <c r="E743" t="s">
        <v>62</v>
      </c>
      <c r="F743">
        <v>2</v>
      </c>
      <c r="G743" t="s">
        <v>4</v>
      </c>
      <c r="H743" t="s">
        <v>15</v>
      </c>
      <c r="I743">
        <v>500000</v>
      </c>
      <c r="J743" s="2">
        <v>300000</v>
      </c>
      <c r="K743">
        <v>326.79738562091501</v>
      </c>
      <c r="N743" t="s">
        <v>4185</v>
      </c>
      <c r="P743" t="s">
        <v>4161</v>
      </c>
    </row>
    <row r="744" spans="1:16" hidden="1" x14ac:dyDescent="0.25">
      <c r="A744" t="s">
        <v>4157</v>
      </c>
      <c r="B744" t="s">
        <v>3169</v>
      </c>
      <c r="C744" t="s">
        <v>3988</v>
      </c>
      <c r="D744" t="s">
        <v>26</v>
      </c>
      <c r="E744" t="s">
        <v>62</v>
      </c>
      <c r="F744">
        <v>1</v>
      </c>
      <c r="G744" t="s">
        <v>4</v>
      </c>
      <c r="H744" t="s">
        <v>15</v>
      </c>
      <c r="I744">
        <v>560000</v>
      </c>
      <c r="J744" s="2">
        <v>560000</v>
      </c>
      <c r="K744">
        <v>366.01307189542484</v>
      </c>
      <c r="N744" t="s">
        <v>4185</v>
      </c>
      <c r="P744" t="s">
        <v>4161</v>
      </c>
    </row>
    <row r="745" spans="1:16" x14ac:dyDescent="0.25">
      <c r="A745" t="s">
        <v>4157</v>
      </c>
      <c r="B745" t="s">
        <v>3814</v>
      </c>
      <c r="C745" t="s">
        <v>3295</v>
      </c>
      <c r="D745" t="s">
        <v>26</v>
      </c>
      <c r="E745" t="s">
        <v>42</v>
      </c>
      <c r="F745">
        <v>2</v>
      </c>
      <c r="G745" t="s">
        <v>4</v>
      </c>
      <c r="H745" t="s">
        <v>15</v>
      </c>
      <c r="I745">
        <v>600000</v>
      </c>
      <c r="J745" s="2">
        <v>300000</v>
      </c>
      <c r="K745">
        <v>392.15686274509807</v>
      </c>
      <c r="N745" t="s">
        <v>4185</v>
      </c>
      <c r="P745" t="s">
        <v>4161</v>
      </c>
    </row>
    <row r="746" spans="1:16" x14ac:dyDescent="0.25">
      <c r="A746" t="s">
        <v>4157</v>
      </c>
      <c r="B746" t="s">
        <v>483</v>
      </c>
      <c r="C746" t="s">
        <v>3442</v>
      </c>
      <c r="D746" t="s">
        <v>26</v>
      </c>
      <c r="E746" t="s">
        <v>42</v>
      </c>
      <c r="F746">
        <v>2</v>
      </c>
      <c r="G746" t="s">
        <v>4</v>
      </c>
      <c r="H746" t="s">
        <v>15</v>
      </c>
      <c r="I746">
        <v>1000000</v>
      </c>
      <c r="J746" s="2">
        <v>500000</v>
      </c>
      <c r="K746">
        <v>653.59477124183002</v>
      </c>
      <c r="N746" t="s">
        <v>4185</v>
      </c>
      <c r="P746" t="s">
        <v>4161</v>
      </c>
    </row>
    <row r="747" spans="1:16" x14ac:dyDescent="0.25">
      <c r="A747" t="s">
        <v>4157</v>
      </c>
      <c r="B747" t="s">
        <v>2728</v>
      </c>
      <c r="C747" t="s">
        <v>3910</v>
      </c>
      <c r="D747" t="s">
        <v>26</v>
      </c>
      <c r="E747" t="s">
        <v>42</v>
      </c>
      <c r="F747">
        <v>2</v>
      </c>
      <c r="G747" t="s">
        <v>4</v>
      </c>
      <c r="H747" t="s">
        <v>15</v>
      </c>
      <c r="I747">
        <v>1011000</v>
      </c>
      <c r="J747" s="2">
        <v>500000</v>
      </c>
      <c r="K747">
        <v>660.78431372549016</v>
      </c>
      <c r="N747" t="s">
        <v>4185</v>
      </c>
      <c r="P747" t="s">
        <v>4161</v>
      </c>
    </row>
    <row r="748" spans="1:16" x14ac:dyDescent="0.25">
      <c r="A748" t="s">
        <v>4157</v>
      </c>
      <c r="B748" t="s">
        <v>3703</v>
      </c>
      <c r="C748" t="s">
        <v>2667</v>
      </c>
      <c r="D748" t="s">
        <v>26</v>
      </c>
      <c r="E748" t="s">
        <v>3928</v>
      </c>
      <c r="F748">
        <v>2</v>
      </c>
      <c r="G748" t="s">
        <v>4</v>
      </c>
      <c r="H748" t="s">
        <v>15</v>
      </c>
      <c r="I748">
        <v>2000000</v>
      </c>
      <c r="J748" s="2">
        <v>0</v>
      </c>
      <c r="K748">
        <v>1307.18954248366</v>
      </c>
      <c r="N748" t="s">
        <v>4185</v>
      </c>
      <c r="P748" t="s">
        <v>4161</v>
      </c>
    </row>
    <row r="749" spans="1:16" x14ac:dyDescent="0.25">
      <c r="A749" t="s">
        <v>4157</v>
      </c>
      <c r="B749" t="s">
        <v>3051</v>
      </c>
      <c r="C749" t="s">
        <v>2667</v>
      </c>
      <c r="D749" t="s">
        <v>26</v>
      </c>
      <c r="E749" t="s">
        <v>42</v>
      </c>
      <c r="F749">
        <v>2</v>
      </c>
      <c r="G749" t="s">
        <v>4</v>
      </c>
      <c r="H749" t="s">
        <v>15</v>
      </c>
      <c r="I749">
        <v>2000000</v>
      </c>
      <c r="J749" s="2">
        <v>500000</v>
      </c>
      <c r="K749">
        <v>1307.18954248366</v>
      </c>
      <c r="N749" t="s">
        <v>4185</v>
      </c>
      <c r="P749" t="s">
        <v>4161</v>
      </c>
    </row>
    <row r="750" spans="1:16" x14ac:dyDescent="0.25">
      <c r="A750" t="s">
        <v>4157</v>
      </c>
      <c r="B750" t="s">
        <v>1854</v>
      </c>
      <c r="C750" t="s">
        <v>2667</v>
      </c>
      <c r="D750" t="s">
        <v>26</v>
      </c>
      <c r="E750" t="s">
        <v>3928</v>
      </c>
      <c r="F750">
        <v>2</v>
      </c>
      <c r="G750" t="s">
        <v>4</v>
      </c>
      <c r="H750" t="s">
        <v>15</v>
      </c>
      <c r="I750">
        <v>2000000</v>
      </c>
      <c r="J750" s="2">
        <v>0</v>
      </c>
      <c r="K750">
        <v>1307.18954248366</v>
      </c>
      <c r="N750" t="s">
        <v>4185</v>
      </c>
      <c r="P750" t="s">
        <v>4161</v>
      </c>
    </row>
    <row r="751" spans="1:16" x14ac:dyDescent="0.25">
      <c r="A751" t="s">
        <v>4157</v>
      </c>
      <c r="B751" t="s">
        <v>1677</v>
      </c>
      <c r="C751" t="s">
        <v>4035</v>
      </c>
      <c r="D751" t="s">
        <v>26</v>
      </c>
      <c r="E751" t="s">
        <v>42</v>
      </c>
      <c r="F751">
        <v>2</v>
      </c>
      <c r="G751" t="s">
        <v>4</v>
      </c>
      <c r="H751" t="s">
        <v>15</v>
      </c>
      <c r="I751">
        <v>2000000</v>
      </c>
      <c r="J751" s="2">
        <v>1000000</v>
      </c>
      <c r="K751">
        <v>1307.18954248366</v>
      </c>
      <c r="N751" t="s">
        <v>4185</v>
      </c>
      <c r="P751" t="s">
        <v>4161</v>
      </c>
    </row>
    <row r="752" spans="1:16" x14ac:dyDescent="0.25">
      <c r="J752" s="2">
        <f>SUBTOTAL(109,Tabla4447[Importe AR$])</f>
        <v>3560000</v>
      </c>
    </row>
    <row r="753" spans="1:16" ht="6.75" customHeight="1" x14ac:dyDescent="0.25"/>
    <row r="754" spans="1:16" x14ac:dyDescent="0.25">
      <c r="G754" s="75" t="s">
        <v>26</v>
      </c>
      <c r="H754" s="25"/>
      <c r="I754" s="25"/>
      <c r="J754" s="4">
        <f>Tabla4447[[#Totals],[Importe AR$]]+Tabla4446[[#Totals],[Importe AR$]]</f>
        <v>5345224.66</v>
      </c>
    </row>
    <row r="757" spans="1:16" x14ac:dyDescent="0.25">
      <c r="A757" t="s">
        <v>7</v>
      </c>
      <c r="B757" t="s">
        <v>8</v>
      </c>
      <c r="C757" t="s">
        <v>9</v>
      </c>
      <c r="D757" t="s">
        <v>10</v>
      </c>
      <c r="E757" t="s">
        <v>11</v>
      </c>
      <c r="F757" t="s">
        <v>12</v>
      </c>
      <c r="G757" t="s">
        <v>13</v>
      </c>
      <c r="H757" t="s">
        <v>14</v>
      </c>
      <c r="I757" t="s">
        <v>15</v>
      </c>
      <c r="J757" s="2" t="s">
        <v>16</v>
      </c>
      <c r="K757" t="s">
        <v>17</v>
      </c>
      <c r="L757" t="s">
        <v>18</v>
      </c>
      <c r="M757" t="s">
        <v>19</v>
      </c>
      <c r="N757" t="s">
        <v>20</v>
      </c>
      <c r="O757" t="s">
        <v>21</v>
      </c>
      <c r="P757" t="s">
        <v>22</v>
      </c>
    </row>
    <row r="758" spans="1:16" x14ac:dyDescent="0.25">
      <c r="A758" t="s">
        <v>4211</v>
      </c>
      <c r="B758" t="s">
        <v>3992</v>
      </c>
      <c r="C758" t="s">
        <v>3993</v>
      </c>
      <c r="D758" t="s">
        <v>26</v>
      </c>
      <c r="E758" t="s">
        <v>42</v>
      </c>
      <c r="F758">
        <v>1</v>
      </c>
      <c r="G758" t="s">
        <v>4</v>
      </c>
      <c r="H758" t="s">
        <v>15</v>
      </c>
      <c r="I758">
        <v>16184.729999999981</v>
      </c>
      <c r="J758" s="2">
        <v>0</v>
      </c>
      <c r="K758">
        <v>10.578254901960772</v>
      </c>
      <c r="N758" t="s">
        <v>4268</v>
      </c>
      <c r="P758" t="s">
        <v>4212</v>
      </c>
    </row>
    <row r="759" spans="1:16" x14ac:dyDescent="0.25">
      <c r="A759" t="s">
        <v>4211</v>
      </c>
      <c r="B759" t="s">
        <v>1979</v>
      </c>
      <c r="C759" t="s">
        <v>155</v>
      </c>
      <c r="D759" t="s">
        <v>26</v>
      </c>
      <c r="E759" t="s">
        <v>42</v>
      </c>
      <c r="F759">
        <v>1</v>
      </c>
      <c r="G759" t="s">
        <v>4</v>
      </c>
      <c r="H759" t="s">
        <v>15</v>
      </c>
      <c r="I759">
        <v>95006.8</v>
      </c>
      <c r="J759" s="49">
        <v>95006.8</v>
      </c>
      <c r="K759">
        <v>62.095947712418301</v>
      </c>
      <c r="N759" t="s">
        <v>4268</v>
      </c>
      <c r="P759" t="s">
        <v>4212</v>
      </c>
    </row>
    <row r="760" spans="1:16" x14ac:dyDescent="0.25">
      <c r="A760" t="s">
        <v>4211</v>
      </c>
      <c r="B760" t="s">
        <v>483</v>
      </c>
      <c r="C760" t="s">
        <v>155</v>
      </c>
      <c r="D760" t="s">
        <v>26</v>
      </c>
      <c r="E760" t="s">
        <v>42</v>
      </c>
      <c r="F760">
        <v>1</v>
      </c>
      <c r="G760" t="s">
        <v>4</v>
      </c>
      <c r="H760" t="s">
        <v>15</v>
      </c>
      <c r="I760">
        <v>190000</v>
      </c>
      <c r="J760" s="2">
        <v>150000</v>
      </c>
      <c r="K760">
        <v>124.18300653594771</v>
      </c>
      <c r="N760" t="s">
        <v>4268</v>
      </c>
      <c r="P760" t="s">
        <v>4212</v>
      </c>
    </row>
    <row r="761" spans="1:16" x14ac:dyDescent="0.25">
      <c r="A761" t="s">
        <v>4211</v>
      </c>
      <c r="B761" t="s">
        <v>4316</v>
      </c>
      <c r="C761" t="s">
        <v>3300</v>
      </c>
      <c r="D761" t="s">
        <v>26</v>
      </c>
      <c r="E761" t="s">
        <v>42</v>
      </c>
      <c r="F761">
        <v>1</v>
      </c>
      <c r="G761" t="s">
        <v>4</v>
      </c>
      <c r="H761" t="s">
        <v>15</v>
      </c>
      <c r="I761">
        <v>250000</v>
      </c>
      <c r="J761" s="2">
        <v>200000</v>
      </c>
      <c r="K761">
        <v>163.3986928104575</v>
      </c>
      <c r="N761" t="s">
        <v>4268</v>
      </c>
      <c r="P761" t="s">
        <v>4212</v>
      </c>
    </row>
    <row r="762" spans="1:16" x14ac:dyDescent="0.25">
      <c r="A762" t="s">
        <v>4211</v>
      </c>
      <c r="B762" t="s">
        <v>3155</v>
      </c>
      <c r="C762" t="s">
        <v>3156</v>
      </c>
      <c r="D762" t="s">
        <v>26</v>
      </c>
      <c r="E762" t="s">
        <v>42</v>
      </c>
      <c r="F762">
        <v>1</v>
      </c>
      <c r="G762" t="s">
        <v>4</v>
      </c>
      <c r="H762" t="s">
        <v>15</v>
      </c>
      <c r="I762">
        <v>250000</v>
      </c>
      <c r="J762" s="2">
        <v>133843.20000000001</v>
      </c>
      <c r="K762">
        <v>163.3986928104575</v>
      </c>
      <c r="N762" t="s">
        <v>4268</v>
      </c>
      <c r="P762" t="s">
        <v>4212</v>
      </c>
    </row>
    <row r="763" spans="1:16" hidden="1" x14ac:dyDescent="0.25">
      <c r="A763" t="s">
        <v>4211</v>
      </c>
      <c r="B763" t="s">
        <v>3814</v>
      </c>
      <c r="C763" t="s">
        <v>3295</v>
      </c>
      <c r="D763" t="s">
        <v>26</v>
      </c>
      <c r="E763" t="s">
        <v>42</v>
      </c>
      <c r="F763">
        <v>2</v>
      </c>
      <c r="G763" t="s">
        <v>4</v>
      </c>
      <c r="H763" t="s">
        <v>15</v>
      </c>
      <c r="I763">
        <v>300000</v>
      </c>
      <c r="J763" s="2">
        <v>300000</v>
      </c>
      <c r="K763">
        <v>196.07843137254903</v>
      </c>
      <c r="N763" t="s">
        <v>4268</v>
      </c>
      <c r="P763" t="s">
        <v>4212</v>
      </c>
    </row>
    <row r="764" spans="1:16" x14ac:dyDescent="0.25">
      <c r="A764" t="s">
        <v>4211</v>
      </c>
      <c r="B764" t="s">
        <v>1026</v>
      </c>
      <c r="C764" t="s">
        <v>4269</v>
      </c>
      <c r="D764" t="s">
        <v>26</v>
      </c>
      <c r="E764" t="s">
        <v>42</v>
      </c>
      <c r="F764">
        <v>1</v>
      </c>
      <c r="G764" t="s">
        <v>4</v>
      </c>
      <c r="H764" t="s">
        <v>15</v>
      </c>
      <c r="I764">
        <v>500000</v>
      </c>
      <c r="K764">
        <v>326.79738562091501</v>
      </c>
      <c r="N764" t="s">
        <v>4268</v>
      </c>
      <c r="P764" t="s">
        <v>4212</v>
      </c>
    </row>
    <row r="765" spans="1:16" x14ac:dyDescent="0.25">
      <c r="A765" t="s">
        <v>4211</v>
      </c>
      <c r="B765" t="s">
        <v>4313</v>
      </c>
      <c r="C765" t="s">
        <v>3400</v>
      </c>
      <c r="D765" t="s">
        <v>26</v>
      </c>
      <c r="E765" t="s">
        <v>62</v>
      </c>
      <c r="F765">
        <v>1</v>
      </c>
      <c r="G765" t="s">
        <v>4</v>
      </c>
      <c r="H765" t="s">
        <v>15</v>
      </c>
      <c r="I765">
        <v>500000</v>
      </c>
      <c r="J765" s="2">
        <v>500000</v>
      </c>
      <c r="K765">
        <v>326.79738562091501</v>
      </c>
      <c r="N765" t="s">
        <v>4268</v>
      </c>
      <c r="P765" t="s">
        <v>4212</v>
      </c>
    </row>
    <row r="766" spans="1:16" hidden="1" x14ac:dyDescent="0.25">
      <c r="A766" t="s">
        <v>4211</v>
      </c>
      <c r="B766" t="s">
        <v>2728</v>
      </c>
      <c r="C766" t="s">
        <v>3910</v>
      </c>
      <c r="D766" t="s">
        <v>26</v>
      </c>
      <c r="E766" t="s">
        <v>42</v>
      </c>
      <c r="F766">
        <v>2</v>
      </c>
      <c r="G766" t="s">
        <v>4</v>
      </c>
      <c r="H766" t="s">
        <v>15</v>
      </c>
      <c r="I766">
        <v>511000</v>
      </c>
      <c r="J766" s="2">
        <v>511000</v>
      </c>
      <c r="K766">
        <v>333.98692810457516</v>
      </c>
      <c r="N766" t="s">
        <v>4268</v>
      </c>
      <c r="P766" t="s">
        <v>4212</v>
      </c>
    </row>
    <row r="767" spans="1:16" x14ac:dyDescent="0.25">
      <c r="A767" t="s">
        <v>4211</v>
      </c>
      <c r="B767" t="s">
        <v>3169</v>
      </c>
      <c r="C767" t="s">
        <v>3988</v>
      </c>
      <c r="D767" t="s">
        <v>26</v>
      </c>
      <c r="E767" t="s">
        <v>62</v>
      </c>
      <c r="F767">
        <v>1</v>
      </c>
      <c r="G767" t="s">
        <v>4</v>
      </c>
      <c r="H767" t="s">
        <v>15</v>
      </c>
      <c r="I767">
        <v>1000000</v>
      </c>
      <c r="J767" s="49">
        <v>605000</v>
      </c>
      <c r="K767">
        <v>653.59477124183002</v>
      </c>
      <c r="N767" t="s">
        <v>4268</v>
      </c>
      <c r="P767" t="s">
        <v>4212</v>
      </c>
    </row>
    <row r="768" spans="1:16" hidden="1" x14ac:dyDescent="0.25">
      <c r="A768" t="s">
        <v>4211</v>
      </c>
      <c r="B768" t="s">
        <v>3051</v>
      </c>
      <c r="C768" t="s">
        <v>2667</v>
      </c>
      <c r="D768" t="s">
        <v>26</v>
      </c>
      <c r="E768" t="s">
        <v>42</v>
      </c>
      <c r="F768">
        <v>2</v>
      </c>
      <c r="G768" t="s">
        <v>4</v>
      </c>
      <c r="H768" t="s">
        <v>15</v>
      </c>
      <c r="I768">
        <v>1000000</v>
      </c>
      <c r="J768" s="2">
        <v>1000000</v>
      </c>
      <c r="K768">
        <v>653.59477124183002</v>
      </c>
      <c r="N768" t="s">
        <v>4268</v>
      </c>
      <c r="P768" t="s">
        <v>4212</v>
      </c>
    </row>
    <row r="769" spans="1:16" hidden="1" x14ac:dyDescent="0.25">
      <c r="A769" t="s">
        <v>4211</v>
      </c>
      <c r="B769" t="s">
        <v>1854</v>
      </c>
      <c r="C769" t="s">
        <v>2667</v>
      </c>
      <c r="D769" t="s">
        <v>26</v>
      </c>
      <c r="E769" t="s">
        <v>3928</v>
      </c>
      <c r="F769">
        <v>2</v>
      </c>
      <c r="G769" t="s">
        <v>4</v>
      </c>
      <c r="H769" t="s">
        <v>15</v>
      </c>
      <c r="I769">
        <v>1000000</v>
      </c>
      <c r="J769" s="2">
        <v>1000000</v>
      </c>
      <c r="K769">
        <v>653.59477124183002</v>
      </c>
      <c r="N769" t="s">
        <v>4268</v>
      </c>
      <c r="P769" t="s">
        <v>4212</v>
      </c>
    </row>
    <row r="770" spans="1:16" hidden="1" x14ac:dyDescent="0.25">
      <c r="A770" t="s">
        <v>4211</v>
      </c>
      <c r="B770" t="s">
        <v>1677</v>
      </c>
      <c r="C770" t="s">
        <v>4035</v>
      </c>
      <c r="D770" t="s">
        <v>26</v>
      </c>
      <c r="E770" t="s">
        <v>42</v>
      </c>
      <c r="F770">
        <v>2</v>
      </c>
      <c r="G770" t="s">
        <v>4</v>
      </c>
      <c r="H770" t="s">
        <v>15</v>
      </c>
      <c r="I770">
        <v>1000000</v>
      </c>
      <c r="J770" s="2">
        <v>1000000</v>
      </c>
      <c r="K770">
        <v>653.59477124183002</v>
      </c>
      <c r="N770" t="s">
        <v>4268</v>
      </c>
      <c r="P770" t="s">
        <v>4212</v>
      </c>
    </row>
    <row r="771" spans="1:16" hidden="1" x14ac:dyDescent="0.25">
      <c r="A771" t="s">
        <v>4211</v>
      </c>
      <c r="B771" t="s">
        <v>483</v>
      </c>
      <c r="C771" t="s">
        <v>3442</v>
      </c>
      <c r="D771" t="s">
        <v>26</v>
      </c>
      <c r="E771" t="s">
        <v>42</v>
      </c>
      <c r="F771">
        <v>2</v>
      </c>
      <c r="G771" t="s">
        <v>4</v>
      </c>
      <c r="H771" t="s">
        <v>15</v>
      </c>
      <c r="I771">
        <v>1000000</v>
      </c>
      <c r="J771" s="2">
        <v>1000000</v>
      </c>
      <c r="K771">
        <v>653.59477124183002</v>
      </c>
      <c r="N771" t="s">
        <v>4268</v>
      </c>
      <c r="P771" t="s">
        <v>4212</v>
      </c>
    </row>
    <row r="772" spans="1:16" x14ac:dyDescent="0.25">
      <c r="J772" s="2">
        <f>SUBTOTAL(109,Tabla4850[Importe AR$])</f>
        <v>1683850</v>
      </c>
    </row>
    <row r="773" spans="1:16" ht="6" customHeight="1" x14ac:dyDescent="0.25"/>
    <row r="774" spans="1:16" x14ac:dyDescent="0.25">
      <c r="A774" t="s">
        <v>7</v>
      </c>
      <c r="B774" t="s">
        <v>8</v>
      </c>
      <c r="C774" t="s">
        <v>9</v>
      </c>
      <c r="D774" t="s">
        <v>10</v>
      </c>
      <c r="E774" t="s">
        <v>11</v>
      </c>
      <c r="F774" t="s">
        <v>12</v>
      </c>
      <c r="G774" t="s">
        <v>13</v>
      </c>
      <c r="H774" t="s">
        <v>14</v>
      </c>
      <c r="I774" t="s">
        <v>15</v>
      </c>
      <c r="J774" s="2" t="s">
        <v>16</v>
      </c>
      <c r="K774" t="s">
        <v>17</v>
      </c>
      <c r="L774" t="s">
        <v>18</v>
      </c>
      <c r="M774" t="s">
        <v>19</v>
      </c>
      <c r="N774" t="s">
        <v>20</v>
      </c>
      <c r="O774" t="s">
        <v>21</v>
      </c>
      <c r="P774" t="s">
        <v>22</v>
      </c>
    </row>
    <row r="775" spans="1:16" hidden="1" x14ac:dyDescent="0.25">
      <c r="A775" t="s">
        <v>4211</v>
      </c>
      <c r="B775" t="s">
        <v>3992</v>
      </c>
      <c r="C775" t="s">
        <v>3993</v>
      </c>
      <c r="D775" t="s">
        <v>26</v>
      </c>
      <c r="E775" t="s">
        <v>42</v>
      </c>
      <c r="F775">
        <v>1</v>
      </c>
      <c r="G775" t="s">
        <v>4</v>
      </c>
      <c r="H775" t="s">
        <v>15</v>
      </c>
      <c r="I775">
        <v>16184.729999999981</v>
      </c>
      <c r="J775" s="2">
        <v>16184.729999999981</v>
      </c>
      <c r="K775">
        <v>10.578254901960772</v>
      </c>
      <c r="N775" t="s">
        <v>4268</v>
      </c>
      <c r="P775" t="s">
        <v>4212</v>
      </c>
    </row>
    <row r="776" spans="1:16" hidden="1" x14ac:dyDescent="0.25">
      <c r="A776" t="s">
        <v>4211</v>
      </c>
      <c r="B776" t="s">
        <v>1979</v>
      </c>
      <c r="C776" t="s">
        <v>155</v>
      </c>
      <c r="D776" t="s">
        <v>26</v>
      </c>
      <c r="E776" t="s">
        <v>42</v>
      </c>
      <c r="F776">
        <v>1</v>
      </c>
      <c r="G776" t="s">
        <v>4</v>
      </c>
      <c r="H776" t="s">
        <v>15</v>
      </c>
      <c r="I776">
        <v>95006.8</v>
      </c>
      <c r="J776" s="2">
        <v>95006.8</v>
      </c>
      <c r="K776">
        <v>62.095947712418301</v>
      </c>
      <c r="N776" t="s">
        <v>4268</v>
      </c>
      <c r="P776" t="s">
        <v>4212</v>
      </c>
    </row>
    <row r="777" spans="1:16" hidden="1" x14ac:dyDescent="0.25">
      <c r="A777" t="s">
        <v>4211</v>
      </c>
      <c r="B777" t="s">
        <v>483</v>
      </c>
      <c r="C777" t="s">
        <v>155</v>
      </c>
      <c r="D777" t="s">
        <v>26</v>
      </c>
      <c r="E777" t="s">
        <v>42</v>
      </c>
      <c r="F777">
        <v>1</v>
      </c>
      <c r="G777" t="s">
        <v>4</v>
      </c>
      <c r="H777" t="s">
        <v>15</v>
      </c>
      <c r="I777">
        <v>190000</v>
      </c>
      <c r="J777" s="2">
        <v>190000</v>
      </c>
      <c r="K777">
        <v>124.18300653594771</v>
      </c>
      <c r="N777" t="s">
        <v>4268</v>
      </c>
      <c r="P777" t="s">
        <v>4212</v>
      </c>
    </row>
    <row r="778" spans="1:16" hidden="1" x14ac:dyDescent="0.25">
      <c r="A778" t="s">
        <v>4211</v>
      </c>
      <c r="B778" t="s">
        <v>3299</v>
      </c>
      <c r="C778" t="s">
        <v>3300</v>
      </c>
      <c r="D778" t="s">
        <v>26</v>
      </c>
      <c r="E778" t="s">
        <v>42</v>
      </c>
      <c r="F778">
        <v>1</v>
      </c>
      <c r="G778" t="s">
        <v>4</v>
      </c>
      <c r="H778" t="s">
        <v>15</v>
      </c>
      <c r="I778">
        <v>250000</v>
      </c>
      <c r="J778" s="2">
        <v>250000</v>
      </c>
      <c r="K778">
        <v>163.3986928104575</v>
      </c>
      <c r="N778" t="s">
        <v>4268</v>
      </c>
      <c r="P778" t="s">
        <v>4212</v>
      </c>
    </row>
    <row r="779" spans="1:16" hidden="1" x14ac:dyDescent="0.25">
      <c r="A779" t="s">
        <v>4211</v>
      </c>
      <c r="B779" t="s">
        <v>3155</v>
      </c>
      <c r="C779" t="s">
        <v>3156</v>
      </c>
      <c r="D779" t="s">
        <v>26</v>
      </c>
      <c r="E779" t="s">
        <v>42</v>
      </c>
      <c r="F779">
        <v>1</v>
      </c>
      <c r="G779" t="s">
        <v>4</v>
      </c>
      <c r="H779" t="s">
        <v>15</v>
      </c>
      <c r="I779">
        <v>250000</v>
      </c>
      <c r="J779" s="2">
        <v>250000</v>
      </c>
      <c r="K779">
        <v>163.3986928104575</v>
      </c>
      <c r="N779" t="s">
        <v>4268</v>
      </c>
      <c r="P779" t="s">
        <v>4212</v>
      </c>
    </row>
    <row r="780" spans="1:16" x14ac:dyDescent="0.25">
      <c r="A780" t="s">
        <v>4211</v>
      </c>
      <c r="B780" t="s">
        <v>3814</v>
      </c>
      <c r="C780" t="s">
        <v>3295</v>
      </c>
      <c r="D780" t="s">
        <v>26</v>
      </c>
      <c r="E780" t="s">
        <v>42</v>
      </c>
      <c r="F780">
        <v>2</v>
      </c>
      <c r="G780" t="s">
        <v>4</v>
      </c>
      <c r="H780" t="s">
        <v>15</v>
      </c>
      <c r="I780">
        <v>300000</v>
      </c>
      <c r="J780" s="49">
        <v>200000</v>
      </c>
      <c r="K780">
        <v>196.07843137254903</v>
      </c>
      <c r="N780" t="s">
        <v>4268</v>
      </c>
      <c r="P780" t="s">
        <v>4212</v>
      </c>
    </row>
    <row r="781" spans="1:16" hidden="1" x14ac:dyDescent="0.25">
      <c r="A781" t="s">
        <v>4211</v>
      </c>
      <c r="B781" t="s">
        <v>1026</v>
      </c>
      <c r="C781" t="s">
        <v>4269</v>
      </c>
      <c r="D781" t="s">
        <v>26</v>
      </c>
      <c r="E781" t="s">
        <v>42</v>
      </c>
      <c r="F781">
        <v>1</v>
      </c>
      <c r="G781" t="s">
        <v>4</v>
      </c>
      <c r="H781" t="s">
        <v>15</v>
      </c>
      <c r="I781">
        <v>500000</v>
      </c>
      <c r="J781" s="2">
        <v>500000</v>
      </c>
      <c r="K781">
        <v>326.79738562091501</v>
      </c>
      <c r="N781" t="s">
        <v>4268</v>
      </c>
      <c r="P781" t="s">
        <v>4212</v>
      </c>
    </row>
    <row r="782" spans="1:16" hidden="1" x14ac:dyDescent="0.25">
      <c r="A782" t="s">
        <v>4211</v>
      </c>
      <c r="B782" t="s">
        <v>1580</v>
      </c>
      <c r="C782" t="s">
        <v>3400</v>
      </c>
      <c r="D782" t="s">
        <v>26</v>
      </c>
      <c r="E782" t="s">
        <v>62</v>
      </c>
      <c r="F782">
        <v>1</v>
      </c>
      <c r="G782" t="s">
        <v>4</v>
      </c>
      <c r="H782" t="s">
        <v>15</v>
      </c>
      <c r="I782">
        <v>500000</v>
      </c>
      <c r="J782" s="2">
        <v>500000</v>
      </c>
      <c r="K782">
        <v>326.79738562091501</v>
      </c>
      <c r="N782" t="s">
        <v>4268</v>
      </c>
      <c r="P782" t="s">
        <v>4212</v>
      </c>
    </row>
    <row r="783" spans="1:16" x14ac:dyDescent="0.25">
      <c r="A783" t="s">
        <v>4211</v>
      </c>
      <c r="B783" t="s">
        <v>2652</v>
      </c>
      <c r="C783" t="s">
        <v>3910</v>
      </c>
      <c r="D783" t="s">
        <v>26</v>
      </c>
      <c r="E783" t="s">
        <v>42</v>
      </c>
      <c r="F783">
        <v>2</v>
      </c>
      <c r="G783" t="s">
        <v>4</v>
      </c>
      <c r="H783" t="s">
        <v>15</v>
      </c>
      <c r="I783">
        <v>511000</v>
      </c>
      <c r="J783" s="2">
        <v>200000</v>
      </c>
      <c r="K783">
        <v>333.98692810457516</v>
      </c>
      <c r="N783" t="s">
        <v>4268</v>
      </c>
      <c r="P783" t="s">
        <v>4212</v>
      </c>
    </row>
    <row r="784" spans="1:16" hidden="1" x14ac:dyDescent="0.25">
      <c r="A784" t="s">
        <v>4211</v>
      </c>
      <c r="B784" t="s">
        <v>3169</v>
      </c>
      <c r="C784" t="s">
        <v>3988</v>
      </c>
      <c r="D784" t="s">
        <v>26</v>
      </c>
      <c r="E784" t="s">
        <v>62</v>
      </c>
      <c r="F784">
        <v>1</v>
      </c>
      <c r="G784" t="s">
        <v>4</v>
      </c>
      <c r="H784" t="s">
        <v>15</v>
      </c>
      <c r="I784">
        <v>1000000</v>
      </c>
      <c r="J784" s="2">
        <v>1000000</v>
      </c>
      <c r="K784">
        <v>653.59477124183002</v>
      </c>
      <c r="N784" t="s">
        <v>4268</v>
      </c>
      <c r="P784" t="s">
        <v>4212</v>
      </c>
    </row>
    <row r="785" spans="1:19" x14ac:dyDescent="0.25">
      <c r="A785" t="s">
        <v>4211</v>
      </c>
      <c r="B785" t="s">
        <v>3051</v>
      </c>
      <c r="C785" t="s">
        <v>2667</v>
      </c>
      <c r="D785" t="s">
        <v>26</v>
      </c>
      <c r="E785" t="s">
        <v>42</v>
      </c>
      <c r="F785">
        <v>2</v>
      </c>
      <c r="G785" t="s">
        <v>4</v>
      </c>
      <c r="H785" t="s">
        <v>15</v>
      </c>
      <c r="I785">
        <v>1000000</v>
      </c>
      <c r="J785" s="49">
        <v>800000</v>
      </c>
      <c r="K785">
        <v>653.59477124183002</v>
      </c>
      <c r="N785" t="s">
        <v>4268</v>
      </c>
      <c r="P785" t="s">
        <v>4212</v>
      </c>
    </row>
    <row r="786" spans="1:19" x14ac:dyDescent="0.25">
      <c r="A786" t="s">
        <v>4211</v>
      </c>
      <c r="B786" t="s">
        <v>1854</v>
      </c>
      <c r="C786" t="s">
        <v>2667</v>
      </c>
      <c r="D786" t="s">
        <v>26</v>
      </c>
      <c r="E786" t="s">
        <v>3928</v>
      </c>
      <c r="F786">
        <v>2</v>
      </c>
      <c r="G786" t="s">
        <v>4</v>
      </c>
      <c r="H786" t="s">
        <v>15</v>
      </c>
      <c r="I786">
        <v>1000000</v>
      </c>
      <c r="J786" s="2">
        <v>116150</v>
      </c>
      <c r="K786">
        <v>653.59477124183002</v>
      </c>
      <c r="N786" t="s">
        <v>4268</v>
      </c>
      <c r="P786" t="s">
        <v>4212</v>
      </c>
    </row>
    <row r="787" spans="1:19" x14ac:dyDescent="0.25">
      <c r="A787" t="s">
        <v>4211</v>
      </c>
      <c r="B787" t="s">
        <v>1677</v>
      </c>
      <c r="C787" t="s">
        <v>4035</v>
      </c>
      <c r="D787" t="s">
        <v>26</v>
      </c>
      <c r="E787" t="s">
        <v>42</v>
      </c>
      <c r="F787">
        <v>2</v>
      </c>
      <c r="G787" t="s">
        <v>4</v>
      </c>
      <c r="H787" t="s">
        <v>15</v>
      </c>
      <c r="I787">
        <v>1000000</v>
      </c>
      <c r="J787" s="49">
        <v>1000000</v>
      </c>
      <c r="K787">
        <v>653.59477124183002</v>
      </c>
      <c r="N787" t="s">
        <v>4268</v>
      </c>
      <c r="P787" t="s">
        <v>4212</v>
      </c>
      <c r="R787" t="s">
        <v>4021</v>
      </c>
      <c r="S787" t="s">
        <v>15</v>
      </c>
    </row>
    <row r="788" spans="1:19" x14ac:dyDescent="0.25">
      <c r="A788" t="s">
        <v>4211</v>
      </c>
      <c r="B788" t="s">
        <v>483</v>
      </c>
      <c r="C788" t="s">
        <v>3442</v>
      </c>
      <c r="D788" t="s">
        <v>26</v>
      </c>
      <c r="E788" t="s">
        <v>42</v>
      </c>
      <c r="F788">
        <v>2</v>
      </c>
      <c r="G788" t="s">
        <v>4</v>
      </c>
      <c r="H788" t="s">
        <v>15</v>
      </c>
      <c r="I788">
        <v>1000000</v>
      </c>
      <c r="J788" s="2">
        <v>0</v>
      </c>
      <c r="K788">
        <v>653.59477124183002</v>
      </c>
      <c r="N788" t="s">
        <v>4268</v>
      </c>
      <c r="P788" t="s">
        <v>4212</v>
      </c>
      <c r="R788" t="s">
        <v>4164</v>
      </c>
      <c r="S788" s="8">
        <f>Tabla4850[[#Totals],[Importe AR$]]</f>
        <v>1683850</v>
      </c>
    </row>
    <row r="789" spans="1:19" x14ac:dyDescent="0.25">
      <c r="J789" s="2">
        <f>SUBTOTAL(109,Tabla4851[Importe AR$])</f>
        <v>2316150</v>
      </c>
      <c r="R789" t="s">
        <v>4165</v>
      </c>
      <c r="S789" s="8">
        <f>Tabla4851[[#Totals],[Importe AR$]]</f>
        <v>2316150</v>
      </c>
    </row>
    <row r="790" spans="1:19" ht="6.75" customHeight="1" x14ac:dyDescent="0.25"/>
    <row r="791" spans="1:19" x14ac:dyDescent="0.25">
      <c r="G791" s="95" t="s">
        <v>26</v>
      </c>
      <c r="H791" s="25"/>
      <c r="I791" s="25"/>
      <c r="J791" s="96">
        <f>Tabla4851[[#Totals],[Importe AR$]]+Tabla4850[[#Totals],[Importe AR$]]</f>
        <v>4000000</v>
      </c>
    </row>
    <row r="792" spans="1:19" x14ac:dyDescent="0.25">
      <c r="J792" s="4"/>
    </row>
    <row r="793" spans="1:19" x14ac:dyDescent="0.25">
      <c r="G793" s="95" t="s">
        <v>4314</v>
      </c>
      <c r="H793" s="25"/>
      <c r="I793" s="25"/>
      <c r="J793" s="96">
        <v>4000000</v>
      </c>
    </row>
    <row r="794" spans="1:19" x14ac:dyDescent="0.25">
      <c r="G794" s="95" t="s">
        <v>4315</v>
      </c>
      <c r="H794" s="25"/>
      <c r="I794" s="25"/>
      <c r="J794" s="96">
        <f>J793-J791</f>
        <v>0</v>
      </c>
    </row>
    <row r="795" spans="1:19" x14ac:dyDescent="0.25">
      <c r="G795" s="25"/>
      <c r="H795" s="25"/>
      <c r="I795" s="25"/>
      <c r="J795" s="4"/>
    </row>
    <row r="802" spans="1:16" x14ac:dyDescent="0.25">
      <c r="A802" t="s">
        <v>7</v>
      </c>
      <c r="B802" t="s">
        <v>8</v>
      </c>
      <c r="C802" t="s">
        <v>9</v>
      </c>
      <c r="D802" t="s">
        <v>10</v>
      </c>
      <c r="E802" t="s">
        <v>11</v>
      </c>
      <c r="F802" t="s">
        <v>12</v>
      </c>
      <c r="G802" t="s">
        <v>13</v>
      </c>
      <c r="H802" t="s">
        <v>14</v>
      </c>
      <c r="I802" t="s">
        <v>15</v>
      </c>
      <c r="J802" s="2" t="s">
        <v>16</v>
      </c>
      <c r="K802" t="s">
        <v>17</v>
      </c>
      <c r="L802" t="s">
        <v>18</v>
      </c>
      <c r="M802" t="s">
        <v>19</v>
      </c>
      <c r="N802" t="s">
        <v>20</v>
      </c>
      <c r="O802" t="s">
        <v>21</v>
      </c>
      <c r="P802" t="s">
        <v>22</v>
      </c>
    </row>
    <row r="803" spans="1:16" x14ac:dyDescent="0.25">
      <c r="A803" t="s">
        <v>4322</v>
      </c>
      <c r="B803" t="s">
        <v>3992</v>
      </c>
      <c r="C803" t="s">
        <v>3993</v>
      </c>
      <c r="D803" t="s">
        <v>26</v>
      </c>
      <c r="E803" t="s">
        <v>42</v>
      </c>
      <c r="F803">
        <v>1</v>
      </c>
      <c r="G803" t="s">
        <v>4</v>
      </c>
      <c r="H803" t="s">
        <v>15</v>
      </c>
      <c r="I803">
        <v>16184.729999999981</v>
      </c>
      <c r="J803" s="2">
        <v>16184.729999999981</v>
      </c>
      <c r="K803">
        <v>10.578254901960772</v>
      </c>
      <c r="N803" t="s">
        <v>4352</v>
      </c>
      <c r="P803" t="s">
        <v>4323</v>
      </c>
    </row>
    <row r="804" spans="1:16" x14ac:dyDescent="0.25">
      <c r="A804" t="s">
        <v>4322</v>
      </c>
      <c r="B804" t="s">
        <v>3048</v>
      </c>
      <c r="C804" t="s">
        <v>155</v>
      </c>
      <c r="D804" t="s">
        <v>26</v>
      </c>
      <c r="E804" t="s">
        <v>42</v>
      </c>
      <c r="F804">
        <v>1</v>
      </c>
      <c r="G804" t="s">
        <v>4</v>
      </c>
      <c r="H804" t="s">
        <v>15</v>
      </c>
      <c r="I804">
        <v>90000</v>
      </c>
      <c r="J804" s="2">
        <v>90000</v>
      </c>
      <c r="K804">
        <v>58.823529411764703</v>
      </c>
      <c r="N804" t="s">
        <v>4352</v>
      </c>
      <c r="P804" t="s">
        <v>4323</v>
      </c>
    </row>
    <row r="805" spans="1:16" hidden="1" x14ac:dyDescent="0.25">
      <c r="A805" t="s">
        <v>4322</v>
      </c>
      <c r="B805" t="s">
        <v>3814</v>
      </c>
      <c r="C805" t="s">
        <v>3295</v>
      </c>
      <c r="D805" t="s">
        <v>26</v>
      </c>
      <c r="E805" t="s">
        <v>42</v>
      </c>
      <c r="F805">
        <v>2</v>
      </c>
      <c r="G805" t="s">
        <v>4</v>
      </c>
      <c r="H805" t="s">
        <v>15</v>
      </c>
      <c r="I805">
        <v>100000</v>
      </c>
      <c r="J805" s="2">
        <v>100000</v>
      </c>
      <c r="K805">
        <v>65.359477124183002</v>
      </c>
      <c r="N805" t="s">
        <v>4352</v>
      </c>
      <c r="P805" t="s">
        <v>4323</v>
      </c>
    </row>
    <row r="806" spans="1:16" x14ac:dyDescent="0.25">
      <c r="A806" t="s">
        <v>4322</v>
      </c>
      <c r="B806" t="s">
        <v>1580</v>
      </c>
      <c r="C806" t="s">
        <v>4351</v>
      </c>
      <c r="D806" t="s">
        <v>26</v>
      </c>
      <c r="E806" t="s">
        <v>62</v>
      </c>
      <c r="F806">
        <v>1</v>
      </c>
      <c r="G806" t="s">
        <v>4</v>
      </c>
      <c r="H806" t="s">
        <v>15</v>
      </c>
      <c r="I806">
        <v>200000</v>
      </c>
      <c r="J806" s="2">
        <v>200000</v>
      </c>
      <c r="K806">
        <v>130.718954248366</v>
      </c>
      <c r="N806" t="s">
        <v>4352</v>
      </c>
      <c r="P806" t="s">
        <v>4323</v>
      </c>
    </row>
    <row r="807" spans="1:16" x14ac:dyDescent="0.25">
      <c r="A807" t="s">
        <v>4322</v>
      </c>
      <c r="B807" t="s">
        <v>1462</v>
      </c>
      <c r="C807" t="s">
        <v>155</v>
      </c>
      <c r="D807" t="s">
        <v>26</v>
      </c>
      <c r="E807" t="s">
        <v>42</v>
      </c>
      <c r="F807">
        <v>1</v>
      </c>
      <c r="G807" t="s">
        <v>4</v>
      </c>
      <c r="H807" t="s">
        <v>15</v>
      </c>
      <c r="I807">
        <v>200000</v>
      </c>
      <c r="J807" s="2">
        <v>200000</v>
      </c>
      <c r="K807">
        <v>130.718954248366</v>
      </c>
      <c r="N807" t="s">
        <v>4352</v>
      </c>
      <c r="P807" t="s">
        <v>4323</v>
      </c>
    </row>
    <row r="808" spans="1:16" x14ac:dyDescent="0.25">
      <c r="A808" t="s">
        <v>4322</v>
      </c>
      <c r="B808" t="s">
        <v>483</v>
      </c>
      <c r="C808" t="s">
        <v>155</v>
      </c>
      <c r="D808" t="s">
        <v>26</v>
      </c>
      <c r="E808" t="s">
        <v>42</v>
      </c>
      <c r="F808">
        <v>1</v>
      </c>
      <c r="G808" t="s">
        <v>4</v>
      </c>
      <c r="H808" t="s">
        <v>15</v>
      </c>
      <c r="I808">
        <v>200000</v>
      </c>
      <c r="J808" s="2">
        <v>200000</v>
      </c>
      <c r="K808">
        <v>130.718954248366</v>
      </c>
      <c r="N808" t="s">
        <v>4352</v>
      </c>
      <c r="P808" t="s">
        <v>4323</v>
      </c>
    </row>
    <row r="809" spans="1:16" x14ac:dyDescent="0.25">
      <c r="A809" t="s">
        <v>4322</v>
      </c>
      <c r="B809" t="s">
        <v>3299</v>
      </c>
      <c r="C809" t="s">
        <v>3300</v>
      </c>
      <c r="D809" t="s">
        <v>26</v>
      </c>
      <c r="E809" t="s">
        <v>42</v>
      </c>
      <c r="F809">
        <v>1</v>
      </c>
      <c r="G809" t="s">
        <v>4</v>
      </c>
      <c r="H809" t="s">
        <v>15</v>
      </c>
      <c r="I809">
        <v>250000</v>
      </c>
      <c r="J809" s="2">
        <v>250000</v>
      </c>
      <c r="K809">
        <v>163.3986928104575</v>
      </c>
      <c r="N809" t="s">
        <v>4352</v>
      </c>
      <c r="P809" t="s">
        <v>4323</v>
      </c>
    </row>
    <row r="810" spans="1:16" x14ac:dyDescent="0.25">
      <c r="A810" t="s">
        <v>4322</v>
      </c>
      <c r="B810" t="s">
        <v>3155</v>
      </c>
      <c r="C810" t="s">
        <v>3156</v>
      </c>
      <c r="D810" t="s">
        <v>26</v>
      </c>
      <c r="E810" t="s">
        <v>42</v>
      </c>
      <c r="F810">
        <v>1</v>
      </c>
      <c r="G810" t="s">
        <v>4</v>
      </c>
      <c r="H810" t="s">
        <v>15</v>
      </c>
      <c r="I810">
        <v>250000</v>
      </c>
      <c r="J810" s="2">
        <v>250000</v>
      </c>
      <c r="K810">
        <v>163.3986928104575</v>
      </c>
      <c r="N810" t="s">
        <v>4352</v>
      </c>
      <c r="P810" t="s">
        <v>4323</v>
      </c>
    </row>
    <row r="811" spans="1:16" hidden="1" x14ac:dyDescent="0.25">
      <c r="A811" t="s">
        <v>4322</v>
      </c>
      <c r="B811" t="s">
        <v>2728</v>
      </c>
      <c r="C811" t="s">
        <v>3910</v>
      </c>
      <c r="D811" t="s">
        <v>26</v>
      </c>
      <c r="E811" t="s">
        <v>42</v>
      </c>
      <c r="F811">
        <v>2</v>
      </c>
      <c r="G811" t="s">
        <v>4</v>
      </c>
      <c r="H811" t="s">
        <v>15</v>
      </c>
      <c r="I811">
        <v>511000</v>
      </c>
      <c r="J811" s="2">
        <v>511000</v>
      </c>
      <c r="K811">
        <v>333.98692810457516</v>
      </c>
      <c r="N811" t="s">
        <v>4352</v>
      </c>
      <c r="P811" t="s">
        <v>4323</v>
      </c>
    </row>
    <row r="812" spans="1:16" hidden="1" x14ac:dyDescent="0.25">
      <c r="A812" t="s">
        <v>4322</v>
      </c>
      <c r="B812" t="s">
        <v>2652</v>
      </c>
      <c r="C812" t="s">
        <v>3765</v>
      </c>
      <c r="D812" t="s">
        <v>26</v>
      </c>
      <c r="E812" t="s">
        <v>62</v>
      </c>
      <c r="F812">
        <v>2</v>
      </c>
      <c r="G812" t="s">
        <v>4</v>
      </c>
      <c r="H812" t="s">
        <v>15</v>
      </c>
      <c r="I812">
        <v>648000</v>
      </c>
      <c r="J812" s="2">
        <v>648000</v>
      </c>
      <c r="K812">
        <v>423.52941176470586</v>
      </c>
      <c r="N812" t="s">
        <v>4352</v>
      </c>
      <c r="P812" t="s">
        <v>4323</v>
      </c>
    </row>
    <row r="813" spans="1:16" x14ac:dyDescent="0.25">
      <c r="A813" t="s">
        <v>4322</v>
      </c>
      <c r="B813" t="s">
        <v>3169</v>
      </c>
      <c r="C813" t="s">
        <v>3988</v>
      </c>
      <c r="D813" t="s">
        <v>26</v>
      </c>
      <c r="E813" t="s">
        <v>62</v>
      </c>
      <c r="F813">
        <v>1</v>
      </c>
      <c r="G813" t="s">
        <v>4</v>
      </c>
      <c r="H813" t="s">
        <v>15</v>
      </c>
      <c r="I813">
        <v>1000000</v>
      </c>
      <c r="J813" s="2">
        <v>1000000</v>
      </c>
      <c r="K813">
        <v>653.59477124183002</v>
      </c>
      <c r="N813" t="s">
        <v>4352</v>
      </c>
      <c r="P813" t="s">
        <v>4323</v>
      </c>
    </row>
    <row r="814" spans="1:16" hidden="1" x14ac:dyDescent="0.25">
      <c r="A814" t="s">
        <v>4322</v>
      </c>
      <c r="B814" t="s">
        <v>483</v>
      </c>
      <c r="C814" t="s">
        <v>3442</v>
      </c>
      <c r="D814" t="s">
        <v>26</v>
      </c>
      <c r="E814" t="s">
        <v>42</v>
      </c>
      <c r="F814">
        <v>2</v>
      </c>
      <c r="G814" t="s">
        <v>4</v>
      </c>
      <c r="H814" t="s">
        <v>15</v>
      </c>
      <c r="I814">
        <v>1000000</v>
      </c>
      <c r="J814" s="2">
        <v>1000000</v>
      </c>
      <c r="K814">
        <v>653.59477124183002</v>
      </c>
      <c r="N814" t="s">
        <v>4352</v>
      </c>
      <c r="P814" t="s">
        <v>4323</v>
      </c>
    </row>
    <row r="815" spans="1:16" hidden="1" x14ac:dyDescent="0.25">
      <c r="A815" t="s">
        <v>4322</v>
      </c>
      <c r="B815" t="s">
        <v>3051</v>
      </c>
      <c r="C815" t="s">
        <v>2667</v>
      </c>
      <c r="D815" t="s">
        <v>26</v>
      </c>
      <c r="E815" t="s">
        <v>3928</v>
      </c>
      <c r="F815">
        <v>2</v>
      </c>
      <c r="G815" t="s">
        <v>4</v>
      </c>
      <c r="H815" t="s">
        <v>15</v>
      </c>
      <c r="I815">
        <v>2000000</v>
      </c>
      <c r="J815" s="2">
        <v>2000000</v>
      </c>
      <c r="K815">
        <v>1307.18954248366</v>
      </c>
      <c r="N815" t="s">
        <v>4352</v>
      </c>
      <c r="P815" t="s">
        <v>4323</v>
      </c>
    </row>
    <row r="816" spans="1:16" hidden="1" x14ac:dyDescent="0.25">
      <c r="A816" t="s">
        <v>4322</v>
      </c>
      <c r="B816" t="s">
        <v>1677</v>
      </c>
      <c r="C816" t="s">
        <v>4035</v>
      </c>
      <c r="D816" t="s">
        <v>26</v>
      </c>
      <c r="E816" t="s">
        <v>42</v>
      </c>
      <c r="F816">
        <v>2</v>
      </c>
      <c r="G816" t="s">
        <v>4</v>
      </c>
      <c r="H816" t="s">
        <v>15</v>
      </c>
      <c r="I816">
        <v>2000000</v>
      </c>
      <c r="J816" s="2">
        <v>2000000</v>
      </c>
      <c r="K816">
        <v>1307.18954248366</v>
      </c>
      <c r="N816" t="s">
        <v>4352</v>
      </c>
      <c r="P816" t="s">
        <v>4323</v>
      </c>
    </row>
    <row r="817" spans="1:16" x14ac:dyDescent="0.25">
      <c r="J817" s="2">
        <f>SUBTOTAL(109,Tabla5153[Importe AR$])</f>
        <v>2206184.73</v>
      </c>
    </row>
    <row r="819" spans="1:16" x14ac:dyDescent="0.25">
      <c r="A819" t="s">
        <v>7</v>
      </c>
      <c r="B819" t="s">
        <v>8</v>
      </c>
      <c r="C819" t="s">
        <v>9</v>
      </c>
      <c r="D819" t="s">
        <v>10</v>
      </c>
      <c r="E819" t="s">
        <v>11</v>
      </c>
      <c r="F819" t="s">
        <v>12</v>
      </c>
      <c r="G819" t="s">
        <v>13</v>
      </c>
      <c r="H819" t="s">
        <v>14</v>
      </c>
      <c r="I819" t="s">
        <v>15</v>
      </c>
      <c r="J819" s="2" t="s">
        <v>16</v>
      </c>
      <c r="K819" t="s">
        <v>17</v>
      </c>
      <c r="L819" t="s">
        <v>18</v>
      </c>
      <c r="M819" t="s">
        <v>19</v>
      </c>
      <c r="N819" t="s">
        <v>20</v>
      </c>
      <c r="O819" t="s">
        <v>21</v>
      </c>
      <c r="P819" t="s">
        <v>22</v>
      </c>
    </row>
    <row r="820" spans="1:16" hidden="1" x14ac:dyDescent="0.25">
      <c r="A820" t="s">
        <v>4322</v>
      </c>
      <c r="B820" t="s">
        <v>3992</v>
      </c>
      <c r="C820" t="s">
        <v>3993</v>
      </c>
      <c r="D820" t="s">
        <v>26</v>
      </c>
      <c r="E820" t="s">
        <v>42</v>
      </c>
      <c r="F820">
        <v>1</v>
      </c>
      <c r="G820" t="s">
        <v>4</v>
      </c>
      <c r="H820" t="s">
        <v>15</v>
      </c>
      <c r="I820">
        <v>16184.729999999981</v>
      </c>
      <c r="J820" s="2">
        <v>16184.729999999981</v>
      </c>
      <c r="K820">
        <v>10.578254901960772</v>
      </c>
      <c r="N820" t="s">
        <v>4352</v>
      </c>
      <c r="P820" t="s">
        <v>4323</v>
      </c>
    </row>
    <row r="821" spans="1:16" hidden="1" x14ac:dyDescent="0.25">
      <c r="A821" t="s">
        <v>4322</v>
      </c>
      <c r="B821" t="s">
        <v>3048</v>
      </c>
      <c r="C821" t="s">
        <v>155</v>
      </c>
      <c r="D821" t="s">
        <v>26</v>
      </c>
      <c r="E821" t="s">
        <v>42</v>
      </c>
      <c r="F821">
        <v>1</v>
      </c>
      <c r="G821" t="s">
        <v>4</v>
      </c>
      <c r="H821" t="s">
        <v>15</v>
      </c>
      <c r="I821">
        <v>90000</v>
      </c>
      <c r="J821" s="2">
        <v>90000</v>
      </c>
      <c r="K821">
        <v>58.823529411764703</v>
      </c>
      <c r="N821" t="s">
        <v>4352</v>
      </c>
      <c r="P821" t="s">
        <v>4323</v>
      </c>
    </row>
    <row r="822" spans="1:16" x14ac:dyDescent="0.25">
      <c r="A822" t="s">
        <v>4322</v>
      </c>
      <c r="B822" t="s">
        <v>3814</v>
      </c>
      <c r="C822" t="s">
        <v>3295</v>
      </c>
      <c r="D822" t="s">
        <v>26</v>
      </c>
      <c r="E822" t="s">
        <v>42</v>
      </c>
      <c r="F822">
        <v>2</v>
      </c>
      <c r="G822" t="s">
        <v>4</v>
      </c>
      <c r="H822" t="s">
        <v>15</v>
      </c>
      <c r="I822">
        <v>100000</v>
      </c>
      <c r="J822" s="2">
        <v>100000</v>
      </c>
      <c r="K822">
        <v>65.359477124183002</v>
      </c>
      <c r="N822" t="s">
        <v>4352</v>
      </c>
      <c r="P822" t="s">
        <v>4323</v>
      </c>
    </row>
    <row r="823" spans="1:16" hidden="1" x14ac:dyDescent="0.25">
      <c r="A823" t="s">
        <v>4322</v>
      </c>
      <c r="B823" t="s">
        <v>1580</v>
      </c>
      <c r="C823" t="s">
        <v>4351</v>
      </c>
      <c r="D823" t="s">
        <v>26</v>
      </c>
      <c r="E823" t="s">
        <v>62</v>
      </c>
      <c r="F823">
        <v>1</v>
      </c>
      <c r="G823" t="s">
        <v>4</v>
      </c>
      <c r="H823" t="s">
        <v>15</v>
      </c>
      <c r="I823">
        <v>200000</v>
      </c>
      <c r="J823" s="2">
        <v>200000</v>
      </c>
      <c r="K823">
        <v>130.718954248366</v>
      </c>
      <c r="N823" t="s">
        <v>4352</v>
      </c>
      <c r="P823" t="s">
        <v>4323</v>
      </c>
    </row>
    <row r="824" spans="1:16" hidden="1" x14ac:dyDescent="0.25">
      <c r="A824" t="s">
        <v>4322</v>
      </c>
      <c r="B824" t="s">
        <v>1462</v>
      </c>
      <c r="C824" t="s">
        <v>155</v>
      </c>
      <c r="D824" t="s">
        <v>26</v>
      </c>
      <c r="E824" t="s">
        <v>42</v>
      </c>
      <c r="F824">
        <v>1</v>
      </c>
      <c r="G824" t="s">
        <v>4</v>
      </c>
      <c r="H824" t="s">
        <v>15</v>
      </c>
      <c r="I824">
        <v>200000</v>
      </c>
      <c r="J824" s="2">
        <v>200000</v>
      </c>
      <c r="K824">
        <v>130.718954248366</v>
      </c>
      <c r="N824" t="s">
        <v>4352</v>
      </c>
      <c r="P824" t="s">
        <v>4323</v>
      </c>
    </row>
    <row r="825" spans="1:16" hidden="1" x14ac:dyDescent="0.25">
      <c r="A825" t="s">
        <v>4322</v>
      </c>
      <c r="B825" t="s">
        <v>483</v>
      </c>
      <c r="C825" t="s">
        <v>155</v>
      </c>
      <c r="D825" t="s">
        <v>26</v>
      </c>
      <c r="E825" t="s">
        <v>42</v>
      </c>
      <c r="F825">
        <v>1</v>
      </c>
      <c r="G825" t="s">
        <v>4</v>
      </c>
      <c r="H825" t="s">
        <v>15</v>
      </c>
      <c r="I825">
        <v>200000</v>
      </c>
      <c r="J825" s="2">
        <v>200000</v>
      </c>
      <c r="K825">
        <v>130.718954248366</v>
      </c>
      <c r="N825" t="s">
        <v>4352</v>
      </c>
      <c r="P825" t="s">
        <v>4323</v>
      </c>
    </row>
    <row r="826" spans="1:16" hidden="1" x14ac:dyDescent="0.25">
      <c r="A826" t="s">
        <v>4322</v>
      </c>
      <c r="B826" t="s">
        <v>3299</v>
      </c>
      <c r="C826" t="s">
        <v>3300</v>
      </c>
      <c r="D826" t="s">
        <v>26</v>
      </c>
      <c r="E826" t="s">
        <v>42</v>
      </c>
      <c r="F826">
        <v>1</v>
      </c>
      <c r="G826" t="s">
        <v>4</v>
      </c>
      <c r="H826" t="s">
        <v>15</v>
      </c>
      <c r="I826">
        <v>250000</v>
      </c>
      <c r="J826" s="2">
        <v>250000</v>
      </c>
      <c r="K826">
        <v>163.3986928104575</v>
      </c>
      <c r="N826" t="s">
        <v>4352</v>
      </c>
      <c r="P826" t="s">
        <v>4323</v>
      </c>
    </row>
    <row r="827" spans="1:16" hidden="1" x14ac:dyDescent="0.25">
      <c r="A827" t="s">
        <v>4322</v>
      </c>
      <c r="B827" t="s">
        <v>3155</v>
      </c>
      <c r="C827" t="s">
        <v>3156</v>
      </c>
      <c r="D827" t="s">
        <v>26</v>
      </c>
      <c r="E827" t="s">
        <v>42</v>
      </c>
      <c r="F827">
        <v>1</v>
      </c>
      <c r="G827" t="s">
        <v>4</v>
      </c>
      <c r="H827" t="s">
        <v>15</v>
      </c>
      <c r="I827">
        <v>250000</v>
      </c>
      <c r="J827" s="2">
        <v>250000</v>
      </c>
      <c r="K827">
        <v>163.3986928104575</v>
      </c>
      <c r="N827" t="s">
        <v>4352</v>
      </c>
      <c r="P827" t="s">
        <v>4323</v>
      </c>
    </row>
    <row r="828" spans="1:16" x14ac:dyDescent="0.25">
      <c r="A828" t="s">
        <v>4322</v>
      </c>
      <c r="B828" t="s">
        <v>2728</v>
      </c>
      <c r="C828" t="s">
        <v>3910</v>
      </c>
      <c r="D828" t="s">
        <v>26</v>
      </c>
      <c r="E828" t="s">
        <v>42</v>
      </c>
      <c r="F828">
        <v>2</v>
      </c>
      <c r="G828" t="s">
        <v>4</v>
      </c>
      <c r="H828" t="s">
        <v>15</v>
      </c>
      <c r="I828">
        <v>511000</v>
      </c>
      <c r="J828" s="2">
        <v>511000</v>
      </c>
      <c r="K828">
        <v>333.98692810457516</v>
      </c>
      <c r="N828" t="s">
        <v>4352</v>
      </c>
      <c r="P828" t="s">
        <v>4323</v>
      </c>
    </row>
    <row r="829" spans="1:16" x14ac:dyDescent="0.25">
      <c r="A829" t="s">
        <v>4322</v>
      </c>
      <c r="B829" t="s">
        <v>2652</v>
      </c>
      <c r="C829" t="s">
        <v>3765</v>
      </c>
      <c r="D829" t="s">
        <v>26</v>
      </c>
      <c r="E829" t="s">
        <v>62</v>
      </c>
      <c r="F829">
        <v>2</v>
      </c>
      <c r="G829" t="s">
        <v>4</v>
      </c>
      <c r="H829" t="s">
        <v>15</v>
      </c>
      <c r="I829">
        <v>648000</v>
      </c>
      <c r="J829" s="2">
        <v>648000</v>
      </c>
      <c r="K829">
        <v>423.52941176470586</v>
      </c>
      <c r="N829" t="s">
        <v>4352</v>
      </c>
      <c r="P829" t="s">
        <v>4323</v>
      </c>
    </row>
    <row r="830" spans="1:16" hidden="1" x14ac:dyDescent="0.25">
      <c r="A830" t="s">
        <v>4322</v>
      </c>
      <c r="B830" t="s">
        <v>3169</v>
      </c>
      <c r="C830" t="s">
        <v>3988</v>
      </c>
      <c r="D830" t="s">
        <v>26</v>
      </c>
      <c r="E830" t="s">
        <v>62</v>
      </c>
      <c r="F830">
        <v>1</v>
      </c>
      <c r="G830" t="s">
        <v>4</v>
      </c>
      <c r="H830" t="s">
        <v>15</v>
      </c>
      <c r="I830">
        <v>1000000</v>
      </c>
      <c r="J830" s="2">
        <v>1000000</v>
      </c>
      <c r="K830">
        <v>653.59477124183002</v>
      </c>
      <c r="N830" t="s">
        <v>4352</v>
      </c>
      <c r="P830" t="s">
        <v>4323</v>
      </c>
    </row>
    <row r="831" spans="1:16" x14ac:dyDescent="0.25">
      <c r="A831" t="s">
        <v>4322</v>
      </c>
      <c r="B831" t="s">
        <v>483</v>
      </c>
      <c r="C831" t="s">
        <v>3442</v>
      </c>
      <c r="D831" t="s">
        <v>26</v>
      </c>
      <c r="E831" t="s">
        <v>42</v>
      </c>
      <c r="F831">
        <v>2</v>
      </c>
      <c r="G831" t="s">
        <v>4</v>
      </c>
      <c r="H831" t="s">
        <v>15</v>
      </c>
      <c r="I831">
        <v>1000000</v>
      </c>
      <c r="J831" s="2">
        <v>1000000</v>
      </c>
      <c r="K831">
        <v>653.59477124183002</v>
      </c>
      <c r="N831" t="s">
        <v>4352</v>
      </c>
      <c r="P831" t="s">
        <v>4323</v>
      </c>
    </row>
    <row r="832" spans="1:16" x14ac:dyDescent="0.25">
      <c r="A832" t="s">
        <v>4322</v>
      </c>
      <c r="B832" t="s">
        <v>3051</v>
      </c>
      <c r="C832" t="s">
        <v>2667</v>
      </c>
      <c r="D832" t="s">
        <v>26</v>
      </c>
      <c r="E832" t="s">
        <v>3928</v>
      </c>
      <c r="F832">
        <v>2</v>
      </c>
      <c r="G832" t="s">
        <v>4</v>
      </c>
      <c r="H832" t="s">
        <v>15</v>
      </c>
      <c r="I832">
        <v>2000000</v>
      </c>
      <c r="J832" s="2">
        <v>2000000</v>
      </c>
      <c r="K832">
        <v>1307.18954248366</v>
      </c>
      <c r="N832" t="s">
        <v>4352</v>
      </c>
      <c r="P832" t="s">
        <v>4323</v>
      </c>
    </row>
    <row r="833" spans="1:16" x14ac:dyDescent="0.25">
      <c r="A833" t="s">
        <v>4322</v>
      </c>
      <c r="B833" t="s">
        <v>1677</v>
      </c>
      <c r="C833" t="s">
        <v>4035</v>
      </c>
      <c r="D833" t="s">
        <v>26</v>
      </c>
      <c r="E833" t="s">
        <v>42</v>
      </c>
      <c r="F833">
        <v>2</v>
      </c>
      <c r="G833" t="s">
        <v>4</v>
      </c>
      <c r="H833" t="s">
        <v>15</v>
      </c>
      <c r="I833">
        <v>2000000</v>
      </c>
      <c r="J833" s="2">
        <v>2000000</v>
      </c>
      <c r="K833">
        <v>1307.18954248366</v>
      </c>
      <c r="N833" t="s">
        <v>4352</v>
      </c>
      <c r="P833" t="s">
        <v>4323</v>
      </c>
    </row>
    <row r="834" spans="1:16" x14ac:dyDescent="0.25">
      <c r="J834" s="2">
        <f>SUBTOTAL(109,Tabla5154[Importe AR$])</f>
        <v>6259000</v>
      </c>
    </row>
    <row r="836" spans="1:16" x14ac:dyDescent="0.25">
      <c r="G836" s="25" t="s">
        <v>26</v>
      </c>
      <c r="H836" s="25"/>
      <c r="I836" s="25"/>
      <c r="J836" s="4">
        <f>Tabla5154[[#Totals],[Importe AR$]]+Tabla5153[[#Totals],[Importe AR$]]</f>
        <v>8465184.7300000004</v>
      </c>
    </row>
    <row r="839" spans="1:16" x14ac:dyDescent="0.25">
      <c r="A839" t="s">
        <v>7</v>
      </c>
      <c r="B839" t="s">
        <v>8</v>
      </c>
      <c r="C839" t="s">
        <v>9</v>
      </c>
      <c r="D839" t="s">
        <v>10</v>
      </c>
      <c r="E839" t="s">
        <v>11</v>
      </c>
      <c r="F839" t="s">
        <v>12</v>
      </c>
      <c r="G839" t="s">
        <v>13</v>
      </c>
      <c r="H839" t="s">
        <v>14</v>
      </c>
      <c r="I839" t="s">
        <v>15</v>
      </c>
      <c r="J839" s="2" t="s">
        <v>16</v>
      </c>
      <c r="K839" t="s">
        <v>17</v>
      </c>
      <c r="L839" t="s">
        <v>18</v>
      </c>
      <c r="M839" t="s">
        <v>19</v>
      </c>
      <c r="N839" t="s">
        <v>20</v>
      </c>
      <c r="O839" t="s">
        <v>21</v>
      </c>
      <c r="P839" t="s">
        <v>22</v>
      </c>
    </row>
    <row r="840" spans="1:16" x14ac:dyDescent="0.25">
      <c r="A840" t="s">
        <v>4374</v>
      </c>
      <c r="B840" t="s">
        <v>3992</v>
      </c>
      <c r="C840" t="s">
        <v>3993</v>
      </c>
      <c r="D840" t="s">
        <v>26</v>
      </c>
      <c r="E840" t="s">
        <v>42</v>
      </c>
      <c r="F840">
        <v>1</v>
      </c>
      <c r="G840" t="s">
        <v>4</v>
      </c>
      <c r="H840" t="s">
        <v>15</v>
      </c>
      <c r="I840">
        <v>16184.729999999981</v>
      </c>
      <c r="J840" s="2">
        <v>16184.729999999981</v>
      </c>
      <c r="K840">
        <v>10.543798045602594</v>
      </c>
      <c r="N840" t="s">
        <v>4376</v>
      </c>
      <c r="P840" t="s">
        <v>4375</v>
      </c>
    </row>
    <row r="841" spans="1:16" x14ac:dyDescent="0.25">
      <c r="A841" t="s">
        <v>4374</v>
      </c>
      <c r="B841" t="s">
        <v>3048</v>
      </c>
      <c r="C841" t="s">
        <v>155</v>
      </c>
      <c r="D841" t="s">
        <v>26</v>
      </c>
      <c r="E841" t="s">
        <v>42</v>
      </c>
      <c r="F841">
        <v>1</v>
      </c>
      <c r="G841" t="s">
        <v>4</v>
      </c>
      <c r="H841" t="s">
        <v>15</v>
      </c>
      <c r="I841">
        <v>80000.06</v>
      </c>
      <c r="J841" s="2">
        <v>80000.06</v>
      </c>
      <c r="K841">
        <v>52.117302931596093</v>
      </c>
      <c r="N841" t="s">
        <v>4376</v>
      </c>
      <c r="P841" t="s">
        <v>4375</v>
      </c>
    </row>
    <row r="842" spans="1:16" x14ac:dyDescent="0.25">
      <c r="A842" t="s">
        <v>4374</v>
      </c>
      <c r="B842" t="s">
        <v>1979</v>
      </c>
      <c r="C842" t="s">
        <v>155</v>
      </c>
      <c r="D842" t="s">
        <v>26</v>
      </c>
      <c r="E842" t="s">
        <v>42</v>
      </c>
      <c r="F842">
        <v>1</v>
      </c>
      <c r="G842" t="s">
        <v>4</v>
      </c>
      <c r="H842" t="s">
        <v>15</v>
      </c>
      <c r="I842">
        <v>96015.57</v>
      </c>
      <c r="J842" s="2">
        <v>96015.57</v>
      </c>
      <c r="K842">
        <v>62.550859934853428</v>
      </c>
      <c r="N842" t="s">
        <v>4376</v>
      </c>
      <c r="P842" t="s">
        <v>4375</v>
      </c>
    </row>
    <row r="843" spans="1:16" hidden="1" x14ac:dyDescent="0.25">
      <c r="A843" t="s">
        <v>4374</v>
      </c>
      <c r="B843" t="s">
        <v>3814</v>
      </c>
      <c r="C843" t="s">
        <v>3295</v>
      </c>
      <c r="D843" t="s">
        <v>26</v>
      </c>
      <c r="E843" t="s">
        <v>42</v>
      </c>
      <c r="F843">
        <v>2</v>
      </c>
      <c r="G843" t="s">
        <v>4</v>
      </c>
      <c r="H843" t="s">
        <v>15</v>
      </c>
      <c r="I843">
        <v>100000</v>
      </c>
      <c r="J843" s="2">
        <v>100000</v>
      </c>
      <c r="K843">
        <v>65.146579804560261</v>
      </c>
      <c r="N843" t="s">
        <v>4376</v>
      </c>
      <c r="P843" t="s">
        <v>4375</v>
      </c>
    </row>
    <row r="844" spans="1:16" x14ac:dyDescent="0.25">
      <c r="A844" t="s">
        <v>4374</v>
      </c>
      <c r="B844" t="s">
        <v>1580</v>
      </c>
      <c r="C844" t="s">
        <v>4351</v>
      </c>
      <c r="D844" t="s">
        <v>26</v>
      </c>
      <c r="E844" t="s">
        <v>62</v>
      </c>
      <c r="F844">
        <v>1</v>
      </c>
      <c r="G844" t="s">
        <v>4</v>
      </c>
      <c r="H844" t="s">
        <v>15</v>
      </c>
      <c r="I844">
        <v>190003.04</v>
      </c>
      <c r="J844" s="2">
        <v>190003.04</v>
      </c>
      <c r="K844">
        <v>123.78048208469056</v>
      </c>
      <c r="N844" t="s">
        <v>4376</v>
      </c>
      <c r="P844" t="s">
        <v>4375</v>
      </c>
    </row>
    <row r="845" spans="1:16" x14ac:dyDescent="0.25">
      <c r="A845" t="s">
        <v>4374</v>
      </c>
      <c r="B845" t="s">
        <v>1571</v>
      </c>
      <c r="C845" t="s">
        <v>4328</v>
      </c>
      <c r="D845" t="s">
        <v>26</v>
      </c>
      <c r="E845" t="s">
        <v>42</v>
      </c>
      <c r="F845">
        <v>1</v>
      </c>
      <c r="G845" t="s">
        <v>4</v>
      </c>
      <c r="H845" t="s">
        <v>15</v>
      </c>
      <c r="I845">
        <v>192008</v>
      </c>
      <c r="J845" s="2">
        <v>192008</v>
      </c>
      <c r="K845">
        <v>125.08664495114006</v>
      </c>
      <c r="N845" t="s">
        <v>4376</v>
      </c>
      <c r="P845" t="s">
        <v>4375</v>
      </c>
    </row>
    <row r="846" spans="1:16" x14ac:dyDescent="0.25">
      <c r="A846" t="s">
        <v>4374</v>
      </c>
      <c r="B846" t="s">
        <v>1462</v>
      </c>
      <c r="C846" t="s">
        <v>155</v>
      </c>
      <c r="D846" t="s">
        <v>26</v>
      </c>
      <c r="E846" t="s">
        <v>42</v>
      </c>
      <c r="F846">
        <v>1</v>
      </c>
      <c r="G846" t="s">
        <v>4</v>
      </c>
      <c r="H846" t="s">
        <v>15</v>
      </c>
      <c r="I846">
        <v>200000</v>
      </c>
      <c r="J846" s="2">
        <v>200000</v>
      </c>
      <c r="K846">
        <v>130.29315960912052</v>
      </c>
      <c r="N846" t="s">
        <v>4376</v>
      </c>
      <c r="P846" t="s">
        <v>4375</v>
      </c>
    </row>
    <row r="847" spans="1:16" x14ac:dyDescent="0.25">
      <c r="A847" t="s">
        <v>4374</v>
      </c>
      <c r="B847" t="s">
        <v>483</v>
      </c>
      <c r="C847" t="s">
        <v>155</v>
      </c>
      <c r="D847" t="s">
        <v>26</v>
      </c>
      <c r="E847" t="s">
        <v>42</v>
      </c>
      <c r="F847">
        <v>1</v>
      </c>
      <c r="G847" t="s">
        <v>4</v>
      </c>
      <c r="H847" t="s">
        <v>15</v>
      </c>
      <c r="I847">
        <v>200000</v>
      </c>
      <c r="J847" s="2">
        <v>200000</v>
      </c>
      <c r="K847">
        <v>130.29315960912052</v>
      </c>
      <c r="N847" t="s">
        <v>4376</v>
      </c>
      <c r="P847" t="s">
        <v>4375</v>
      </c>
    </row>
    <row r="848" spans="1:16" x14ac:dyDescent="0.25">
      <c r="A848" t="s">
        <v>4374</v>
      </c>
      <c r="B848" t="s">
        <v>3299</v>
      </c>
      <c r="C848" t="s">
        <v>3300</v>
      </c>
      <c r="D848" t="s">
        <v>26</v>
      </c>
      <c r="E848" t="s">
        <v>42</v>
      </c>
      <c r="F848">
        <v>1</v>
      </c>
      <c r="G848" t="s">
        <v>4</v>
      </c>
      <c r="H848" t="s">
        <v>15</v>
      </c>
      <c r="I848">
        <v>250000</v>
      </c>
      <c r="J848" s="2">
        <v>250000</v>
      </c>
      <c r="K848">
        <v>162.86644951140065</v>
      </c>
      <c r="N848" t="s">
        <v>4376</v>
      </c>
      <c r="P848" t="s">
        <v>4375</v>
      </c>
    </row>
    <row r="849" spans="1:16" x14ac:dyDescent="0.25">
      <c r="A849" t="s">
        <v>4374</v>
      </c>
      <c r="B849" t="s">
        <v>3155</v>
      </c>
      <c r="C849" t="s">
        <v>3156</v>
      </c>
      <c r="D849" t="s">
        <v>26</v>
      </c>
      <c r="E849" t="s">
        <v>42</v>
      </c>
      <c r="F849">
        <v>1</v>
      </c>
      <c r="G849" t="s">
        <v>4</v>
      </c>
      <c r="H849" t="s">
        <v>15</v>
      </c>
      <c r="I849">
        <v>250000</v>
      </c>
      <c r="J849" s="2">
        <v>250000</v>
      </c>
      <c r="K849">
        <v>162.86644951140065</v>
      </c>
      <c r="N849" t="s">
        <v>4376</v>
      </c>
      <c r="P849" t="s">
        <v>4375</v>
      </c>
    </row>
    <row r="850" spans="1:16" hidden="1" x14ac:dyDescent="0.25">
      <c r="A850" t="s">
        <v>4374</v>
      </c>
      <c r="B850" t="s">
        <v>2728</v>
      </c>
      <c r="C850" t="s">
        <v>3910</v>
      </c>
      <c r="D850" t="s">
        <v>26</v>
      </c>
      <c r="E850" t="s">
        <v>42</v>
      </c>
      <c r="F850">
        <v>2</v>
      </c>
      <c r="G850" t="s">
        <v>4</v>
      </c>
      <c r="H850" t="s">
        <v>15</v>
      </c>
      <c r="I850">
        <v>511000</v>
      </c>
      <c r="J850" s="2">
        <v>511000</v>
      </c>
      <c r="K850">
        <v>332.89902280130292</v>
      </c>
      <c r="N850" t="s">
        <v>4376</v>
      </c>
      <c r="P850" t="s">
        <v>4375</v>
      </c>
    </row>
    <row r="851" spans="1:16" hidden="1" x14ac:dyDescent="0.25">
      <c r="A851" t="s">
        <v>4374</v>
      </c>
      <c r="B851" t="s">
        <v>2652</v>
      </c>
      <c r="C851" t="s">
        <v>3765</v>
      </c>
      <c r="D851" t="s">
        <v>26</v>
      </c>
      <c r="E851" t="s">
        <v>62</v>
      </c>
      <c r="F851">
        <v>2</v>
      </c>
      <c r="G851" t="s">
        <v>4</v>
      </c>
      <c r="H851" t="s">
        <v>15</v>
      </c>
      <c r="I851">
        <v>648000</v>
      </c>
      <c r="J851" s="2">
        <v>648000</v>
      </c>
      <c r="K851">
        <v>422.14983713355048</v>
      </c>
      <c r="N851" t="s">
        <v>4376</v>
      </c>
      <c r="P851" t="s">
        <v>4375</v>
      </c>
    </row>
    <row r="852" spans="1:16" hidden="1" x14ac:dyDescent="0.25">
      <c r="A852" t="s">
        <v>4374</v>
      </c>
      <c r="B852" t="s">
        <v>483</v>
      </c>
      <c r="C852" t="s">
        <v>3442</v>
      </c>
      <c r="D852" t="s">
        <v>26</v>
      </c>
      <c r="E852" t="s">
        <v>42</v>
      </c>
      <c r="F852">
        <v>2</v>
      </c>
      <c r="G852" t="s">
        <v>4</v>
      </c>
      <c r="H852" t="s">
        <v>15</v>
      </c>
      <c r="I852">
        <v>1000000</v>
      </c>
      <c r="J852" s="2">
        <v>1000000</v>
      </c>
      <c r="K852">
        <v>651.46579804560258</v>
      </c>
      <c r="N852" t="s">
        <v>4376</v>
      </c>
      <c r="P852" t="s">
        <v>4375</v>
      </c>
    </row>
    <row r="853" spans="1:16" x14ac:dyDescent="0.25">
      <c r="A853" t="s">
        <v>4374</v>
      </c>
      <c r="B853" t="s">
        <v>3169</v>
      </c>
      <c r="C853" t="s">
        <v>3988</v>
      </c>
      <c r="D853" t="s">
        <v>26</v>
      </c>
      <c r="E853" t="s">
        <v>62</v>
      </c>
      <c r="F853">
        <v>1</v>
      </c>
      <c r="G853" t="s">
        <v>4</v>
      </c>
      <c r="H853" t="s">
        <v>15</v>
      </c>
      <c r="I853">
        <v>1500000</v>
      </c>
      <c r="J853" s="2">
        <v>1500000</v>
      </c>
      <c r="K853">
        <v>977.19869706840393</v>
      </c>
      <c r="N853" t="s">
        <v>4376</v>
      </c>
      <c r="P853" t="s">
        <v>4375</v>
      </c>
    </row>
    <row r="854" spans="1:16" hidden="1" x14ac:dyDescent="0.25">
      <c r="A854" t="s">
        <v>4374</v>
      </c>
      <c r="B854" t="s">
        <v>1854</v>
      </c>
      <c r="C854" t="s">
        <v>2667</v>
      </c>
      <c r="D854" t="s">
        <v>26</v>
      </c>
      <c r="E854" t="s">
        <v>3928</v>
      </c>
      <c r="F854">
        <v>2</v>
      </c>
      <c r="G854" t="s">
        <v>4</v>
      </c>
      <c r="H854" t="s">
        <v>15</v>
      </c>
      <c r="I854">
        <v>2000000</v>
      </c>
      <c r="J854" s="2">
        <v>2000000</v>
      </c>
      <c r="K854">
        <v>1302.9315960912052</v>
      </c>
      <c r="N854" t="s">
        <v>4376</v>
      </c>
      <c r="P854" t="s">
        <v>4375</v>
      </c>
    </row>
    <row r="855" spans="1:16" hidden="1" x14ac:dyDescent="0.25">
      <c r="A855" t="s">
        <v>4374</v>
      </c>
      <c r="B855" t="s">
        <v>1677</v>
      </c>
      <c r="C855" t="s">
        <v>4035</v>
      </c>
      <c r="D855" t="s">
        <v>26</v>
      </c>
      <c r="E855" t="s">
        <v>42</v>
      </c>
      <c r="F855">
        <v>2</v>
      </c>
      <c r="G855" t="s">
        <v>4</v>
      </c>
      <c r="H855" t="s">
        <v>15</v>
      </c>
      <c r="I855">
        <v>2000000</v>
      </c>
      <c r="J855" s="2">
        <v>2000000</v>
      </c>
      <c r="K855">
        <v>1302.9315960912052</v>
      </c>
      <c r="N855" t="s">
        <v>4376</v>
      </c>
      <c r="P855" t="s">
        <v>4375</v>
      </c>
    </row>
    <row r="856" spans="1:16" x14ac:dyDescent="0.25">
      <c r="J856" s="2">
        <f>SUBTOTAL(109,Tabla4345[Importe AR$])</f>
        <v>2974211.4</v>
      </c>
    </row>
    <row r="858" spans="1:16" x14ac:dyDescent="0.25">
      <c r="A858" t="s">
        <v>7</v>
      </c>
      <c r="B858" t="s">
        <v>8</v>
      </c>
      <c r="C858" t="s">
        <v>9</v>
      </c>
      <c r="D858" t="s">
        <v>10</v>
      </c>
      <c r="E858" t="s">
        <v>11</v>
      </c>
      <c r="F858" t="s">
        <v>12</v>
      </c>
      <c r="G858" t="s">
        <v>13</v>
      </c>
      <c r="H858" t="s">
        <v>14</v>
      </c>
      <c r="I858" t="s">
        <v>15</v>
      </c>
      <c r="J858" s="2" t="s">
        <v>16</v>
      </c>
      <c r="K858" t="s">
        <v>17</v>
      </c>
      <c r="L858" t="s">
        <v>18</v>
      </c>
      <c r="M858" t="s">
        <v>19</v>
      </c>
      <c r="N858" t="s">
        <v>20</v>
      </c>
      <c r="O858" t="s">
        <v>21</v>
      </c>
      <c r="P858" t="s">
        <v>22</v>
      </c>
    </row>
    <row r="859" spans="1:16" hidden="1" x14ac:dyDescent="0.25">
      <c r="A859" t="s">
        <v>4374</v>
      </c>
      <c r="B859" t="s">
        <v>3992</v>
      </c>
      <c r="C859" t="s">
        <v>3993</v>
      </c>
      <c r="D859" t="s">
        <v>26</v>
      </c>
      <c r="E859" t="s">
        <v>42</v>
      </c>
      <c r="F859">
        <v>1</v>
      </c>
      <c r="G859" t="s">
        <v>4</v>
      </c>
      <c r="H859" t="s">
        <v>15</v>
      </c>
      <c r="I859">
        <v>16184.729999999981</v>
      </c>
      <c r="J859" s="2">
        <v>16184.729999999981</v>
      </c>
      <c r="K859">
        <v>10.543798045602594</v>
      </c>
      <c r="N859" t="s">
        <v>4376</v>
      </c>
      <c r="P859" t="s">
        <v>4375</v>
      </c>
    </row>
    <row r="860" spans="1:16" hidden="1" x14ac:dyDescent="0.25">
      <c r="A860" t="s">
        <v>4374</v>
      </c>
      <c r="B860" t="s">
        <v>3048</v>
      </c>
      <c r="C860" t="s">
        <v>155</v>
      </c>
      <c r="D860" t="s">
        <v>26</v>
      </c>
      <c r="E860" t="s">
        <v>42</v>
      </c>
      <c r="F860">
        <v>1</v>
      </c>
      <c r="G860" t="s">
        <v>4</v>
      </c>
      <c r="H860" t="s">
        <v>15</v>
      </c>
      <c r="I860">
        <v>80000.06</v>
      </c>
      <c r="J860" s="2">
        <v>80000.06</v>
      </c>
      <c r="K860">
        <v>52.117302931596093</v>
      </c>
      <c r="N860" t="s">
        <v>4376</v>
      </c>
      <c r="P860" t="s">
        <v>4375</v>
      </c>
    </row>
    <row r="861" spans="1:16" hidden="1" x14ac:dyDescent="0.25">
      <c r="A861" t="s">
        <v>4374</v>
      </c>
      <c r="B861" t="s">
        <v>1979</v>
      </c>
      <c r="C861" t="s">
        <v>155</v>
      </c>
      <c r="D861" t="s">
        <v>26</v>
      </c>
      <c r="E861" t="s">
        <v>42</v>
      </c>
      <c r="F861">
        <v>1</v>
      </c>
      <c r="G861" t="s">
        <v>4</v>
      </c>
      <c r="H861" t="s">
        <v>15</v>
      </c>
      <c r="I861">
        <v>96015.57</v>
      </c>
      <c r="J861" s="2">
        <v>96015.57</v>
      </c>
      <c r="K861">
        <v>62.550859934853428</v>
      </c>
      <c r="N861" t="s">
        <v>4376</v>
      </c>
      <c r="P861" t="s">
        <v>4375</v>
      </c>
    </row>
    <row r="862" spans="1:16" x14ac:dyDescent="0.25">
      <c r="A862" t="s">
        <v>4374</v>
      </c>
      <c r="B862" t="s">
        <v>3814</v>
      </c>
      <c r="C862" t="s">
        <v>3295</v>
      </c>
      <c r="D862" t="s">
        <v>26</v>
      </c>
      <c r="E862" t="s">
        <v>42</v>
      </c>
      <c r="F862">
        <v>2</v>
      </c>
      <c r="G862" t="s">
        <v>4</v>
      </c>
      <c r="H862" t="s">
        <v>15</v>
      </c>
      <c r="I862">
        <v>100000</v>
      </c>
      <c r="J862" s="2">
        <v>100000</v>
      </c>
      <c r="K862">
        <v>65.146579804560261</v>
      </c>
      <c r="N862" t="s">
        <v>4376</v>
      </c>
      <c r="P862" t="s">
        <v>4375</v>
      </c>
    </row>
    <row r="863" spans="1:16" hidden="1" x14ac:dyDescent="0.25">
      <c r="A863" t="s">
        <v>4374</v>
      </c>
      <c r="B863" t="s">
        <v>1580</v>
      </c>
      <c r="C863" t="s">
        <v>4351</v>
      </c>
      <c r="D863" t="s">
        <v>26</v>
      </c>
      <c r="E863" t="s">
        <v>62</v>
      </c>
      <c r="F863">
        <v>1</v>
      </c>
      <c r="G863" t="s">
        <v>4</v>
      </c>
      <c r="H863" t="s">
        <v>15</v>
      </c>
      <c r="I863">
        <v>190003.04</v>
      </c>
      <c r="J863" s="2">
        <v>190003.04</v>
      </c>
      <c r="K863">
        <v>123.78048208469056</v>
      </c>
      <c r="N863" t="s">
        <v>4376</v>
      </c>
      <c r="P863" t="s">
        <v>4375</v>
      </c>
    </row>
    <row r="864" spans="1:16" hidden="1" x14ac:dyDescent="0.25">
      <c r="A864" t="s">
        <v>4374</v>
      </c>
      <c r="B864" t="s">
        <v>1571</v>
      </c>
      <c r="C864" t="s">
        <v>4328</v>
      </c>
      <c r="D864" t="s">
        <v>26</v>
      </c>
      <c r="E864" t="s">
        <v>42</v>
      </c>
      <c r="F864">
        <v>1</v>
      </c>
      <c r="G864" t="s">
        <v>4</v>
      </c>
      <c r="H864" t="s">
        <v>15</v>
      </c>
      <c r="I864">
        <v>192008</v>
      </c>
      <c r="J864" s="2">
        <v>192008</v>
      </c>
      <c r="K864">
        <v>125.08664495114006</v>
      </c>
      <c r="N864" t="s">
        <v>4376</v>
      </c>
      <c r="P864" t="s">
        <v>4375</v>
      </c>
    </row>
    <row r="865" spans="1:16" hidden="1" x14ac:dyDescent="0.25">
      <c r="A865" t="s">
        <v>4374</v>
      </c>
      <c r="B865" t="s">
        <v>1462</v>
      </c>
      <c r="C865" t="s">
        <v>155</v>
      </c>
      <c r="D865" t="s">
        <v>26</v>
      </c>
      <c r="E865" t="s">
        <v>42</v>
      </c>
      <c r="F865">
        <v>1</v>
      </c>
      <c r="G865" t="s">
        <v>4</v>
      </c>
      <c r="H865" t="s">
        <v>15</v>
      </c>
      <c r="I865">
        <v>200000</v>
      </c>
      <c r="J865" s="2">
        <v>200000</v>
      </c>
      <c r="K865">
        <v>130.29315960912052</v>
      </c>
      <c r="N865" t="s">
        <v>4376</v>
      </c>
      <c r="P865" t="s">
        <v>4375</v>
      </c>
    </row>
    <row r="866" spans="1:16" hidden="1" x14ac:dyDescent="0.25">
      <c r="A866" t="s">
        <v>4374</v>
      </c>
      <c r="B866" t="s">
        <v>483</v>
      </c>
      <c r="C866" t="s">
        <v>155</v>
      </c>
      <c r="D866" t="s">
        <v>26</v>
      </c>
      <c r="E866" t="s">
        <v>42</v>
      </c>
      <c r="F866">
        <v>1</v>
      </c>
      <c r="G866" t="s">
        <v>4</v>
      </c>
      <c r="H866" t="s">
        <v>15</v>
      </c>
      <c r="I866">
        <v>200000</v>
      </c>
      <c r="J866" s="2">
        <v>200000</v>
      </c>
      <c r="K866">
        <v>130.29315960912052</v>
      </c>
      <c r="N866" t="s">
        <v>4376</v>
      </c>
      <c r="P866" t="s">
        <v>4375</v>
      </c>
    </row>
    <row r="867" spans="1:16" hidden="1" x14ac:dyDescent="0.25">
      <c r="A867" t="s">
        <v>4374</v>
      </c>
      <c r="B867" t="s">
        <v>3299</v>
      </c>
      <c r="C867" t="s">
        <v>3300</v>
      </c>
      <c r="D867" t="s">
        <v>26</v>
      </c>
      <c r="E867" t="s">
        <v>42</v>
      </c>
      <c r="F867">
        <v>1</v>
      </c>
      <c r="G867" t="s">
        <v>4</v>
      </c>
      <c r="H867" t="s">
        <v>15</v>
      </c>
      <c r="I867">
        <v>250000</v>
      </c>
      <c r="J867" s="2">
        <v>250000</v>
      </c>
      <c r="K867">
        <v>162.86644951140065</v>
      </c>
      <c r="N867" t="s">
        <v>4376</v>
      </c>
      <c r="P867" t="s">
        <v>4375</v>
      </c>
    </row>
    <row r="868" spans="1:16" hidden="1" x14ac:dyDescent="0.25">
      <c r="A868" t="s">
        <v>4374</v>
      </c>
      <c r="B868" t="s">
        <v>3155</v>
      </c>
      <c r="C868" t="s">
        <v>3156</v>
      </c>
      <c r="D868" t="s">
        <v>26</v>
      </c>
      <c r="E868" t="s">
        <v>42</v>
      </c>
      <c r="F868">
        <v>1</v>
      </c>
      <c r="G868" t="s">
        <v>4</v>
      </c>
      <c r="H868" t="s">
        <v>15</v>
      </c>
      <c r="I868">
        <v>250000</v>
      </c>
      <c r="J868" s="2">
        <v>250000</v>
      </c>
      <c r="K868">
        <v>162.86644951140065</v>
      </c>
      <c r="N868" t="s">
        <v>4376</v>
      </c>
      <c r="P868" t="s">
        <v>4375</v>
      </c>
    </row>
    <row r="869" spans="1:16" x14ac:dyDescent="0.25">
      <c r="A869" t="s">
        <v>4374</v>
      </c>
      <c r="B869" t="s">
        <v>2728</v>
      </c>
      <c r="C869" t="s">
        <v>3910</v>
      </c>
      <c r="D869" t="s">
        <v>26</v>
      </c>
      <c r="E869" t="s">
        <v>42</v>
      </c>
      <c r="F869">
        <v>2</v>
      </c>
      <c r="G869" t="s">
        <v>4</v>
      </c>
      <c r="H869" t="s">
        <v>15</v>
      </c>
      <c r="I869">
        <v>511000</v>
      </c>
      <c r="J869" s="2">
        <v>511000</v>
      </c>
      <c r="K869">
        <v>332.89902280130292</v>
      </c>
      <c r="N869" t="s">
        <v>4376</v>
      </c>
      <c r="P869" t="s">
        <v>4375</v>
      </c>
    </row>
    <row r="870" spans="1:16" x14ac:dyDescent="0.25">
      <c r="A870" t="s">
        <v>4374</v>
      </c>
      <c r="B870" t="s">
        <v>2652</v>
      </c>
      <c r="C870" t="s">
        <v>3765</v>
      </c>
      <c r="D870" t="s">
        <v>26</v>
      </c>
      <c r="E870" t="s">
        <v>62</v>
      </c>
      <c r="F870">
        <v>2</v>
      </c>
      <c r="G870" t="s">
        <v>4</v>
      </c>
      <c r="H870" t="s">
        <v>15</v>
      </c>
      <c r="I870">
        <v>648000</v>
      </c>
      <c r="J870" s="2">
        <v>648000</v>
      </c>
      <c r="K870">
        <v>422.14983713355048</v>
      </c>
      <c r="N870" t="s">
        <v>4376</v>
      </c>
      <c r="P870" t="s">
        <v>4375</v>
      </c>
    </row>
    <row r="871" spans="1:16" x14ac:dyDescent="0.25">
      <c r="A871" t="s">
        <v>4374</v>
      </c>
      <c r="B871" t="s">
        <v>483</v>
      </c>
      <c r="C871" t="s">
        <v>3442</v>
      </c>
      <c r="D871" t="s">
        <v>26</v>
      </c>
      <c r="E871" t="s">
        <v>42</v>
      </c>
      <c r="F871">
        <v>2</v>
      </c>
      <c r="G871" t="s">
        <v>4</v>
      </c>
      <c r="H871" t="s">
        <v>15</v>
      </c>
      <c r="I871">
        <v>1000000</v>
      </c>
      <c r="J871" s="2">
        <v>1000000</v>
      </c>
      <c r="K871">
        <v>651.46579804560258</v>
      </c>
      <c r="N871" t="s">
        <v>4376</v>
      </c>
      <c r="P871" t="s">
        <v>4375</v>
      </c>
    </row>
    <row r="872" spans="1:16" hidden="1" x14ac:dyDescent="0.25">
      <c r="A872" t="s">
        <v>4374</v>
      </c>
      <c r="B872" t="s">
        <v>3169</v>
      </c>
      <c r="C872" t="s">
        <v>3988</v>
      </c>
      <c r="D872" t="s">
        <v>26</v>
      </c>
      <c r="E872" t="s">
        <v>62</v>
      </c>
      <c r="F872">
        <v>1</v>
      </c>
      <c r="G872" t="s">
        <v>4</v>
      </c>
      <c r="H872" t="s">
        <v>15</v>
      </c>
      <c r="I872">
        <v>1500000</v>
      </c>
      <c r="J872" s="2">
        <v>1500000</v>
      </c>
      <c r="K872">
        <v>977.19869706840393</v>
      </c>
      <c r="N872" t="s">
        <v>4376</v>
      </c>
      <c r="P872" t="s">
        <v>4375</v>
      </c>
    </row>
    <row r="873" spans="1:16" x14ac:dyDescent="0.25">
      <c r="A873" t="s">
        <v>4374</v>
      </c>
      <c r="B873" t="s">
        <v>1854</v>
      </c>
      <c r="C873" t="s">
        <v>2667</v>
      </c>
      <c r="D873" t="s">
        <v>26</v>
      </c>
      <c r="E873" t="s">
        <v>3928</v>
      </c>
      <c r="F873">
        <v>2</v>
      </c>
      <c r="G873" t="s">
        <v>4</v>
      </c>
      <c r="H873" t="s">
        <v>15</v>
      </c>
      <c r="I873">
        <v>2000000</v>
      </c>
      <c r="J873" s="2">
        <v>2000000</v>
      </c>
      <c r="K873">
        <v>1302.9315960912052</v>
      </c>
      <c r="N873" t="s">
        <v>4376</v>
      </c>
      <c r="P873" t="s">
        <v>4375</v>
      </c>
    </row>
    <row r="874" spans="1:16" x14ac:dyDescent="0.25">
      <c r="A874" t="s">
        <v>4374</v>
      </c>
      <c r="B874" t="s">
        <v>1677</v>
      </c>
      <c r="C874" t="s">
        <v>4035</v>
      </c>
      <c r="D874" t="s">
        <v>26</v>
      </c>
      <c r="E874" t="s">
        <v>42</v>
      </c>
      <c r="F874">
        <v>2</v>
      </c>
      <c r="G874" t="s">
        <v>4</v>
      </c>
      <c r="H874" t="s">
        <v>15</v>
      </c>
      <c r="I874">
        <v>2000000</v>
      </c>
      <c r="J874" s="2">
        <v>2000000</v>
      </c>
      <c r="K874">
        <v>1302.9315960912052</v>
      </c>
      <c r="N874" t="s">
        <v>4376</v>
      </c>
      <c r="P874" t="s">
        <v>4375</v>
      </c>
    </row>
    <row r="875" spans="1:16" x14ac:dyDescent="0.25">
      <c r="J875" s="2">
        <f>SUBTOTAL(109,Tabla4348[Importe AR$])</f>
        <v>6259000</v>
      </c>
    </row>
    <row r="877" spans="1:16" x14ac:dyDescent="0.25">
      <c r="G877" s="25" t="s">
        <v>26</v>
      </c>
      <c r="H877" s="25"/>
      <c r="I877" s="25"/>
      <c r="J877" s="4">
        <f>Tabla4348[[#Totals],[Importe AR$]]+Tabla4345[[#Totals],[Importe AR$]]</f>
        <v>9233211.4000000004</v>
      </c>
    </row>
    <row r="880" spans="1:16" x14ac:dyDescent="0.25">
      <c r="A880" t="s">
        <v>7</v>
      </c>
      <c r="B880" t="s">
        <v>8</v>
      </c>
      <c r="C880" t="s">
        <v>9</v>
      </c>
      <c r="D880" t="s">
        <v>10</v>
      </c>
      <c r="E880" t="s">
        <v>11</v>
      </c>
      <c r="F880" t="s">
        <v>12</v>
      </c>
      <c r="G880" t="s">
        <v>13</v>
      </c>
      <c r="H880" t="s">
        <v>14</v>
      </c>
      <c r="I880" t="s">
        <v>15</v>
      </c>
      <c r="J880" s="2" t="s">
        <v>16</v>
      </c>
      <c r="K880" t="s">
        <v>17</v>
      </c>
      <c r="L880" t="s">
        <v>18</v>
      </c>
      <c r="M880" t="s">
        <v>19</v>
      </c>
      <c r="N880" t="s">
        <v>20</v>
      </c>
      <c r="O880" t="s">
        <v>21</v>
      </c>
      <c r="P880" t="s">
        <v>22</v>
      </c>
    </row>
    <row r="881" spans="1:16" hidden="1" x14ac:dyDescent="0.25">
      <c r="A881" t="s">
        <v>4409</v>
      </c>
      <c r="B881" t="s">
        <v>1760</v>
      </c>
      <c r="C881" t="s">
        <v>3915</v>
      </c>
      <c r="D881" t="s">
        <v>26</v>
      </c>
      <c r="E881" t="s">
        <v>62</v>
      </c>
      <c r="F881">
        <v>2</v>
      </c>
      <c r="G881" t="s">
        <v>4</v>
      </c>
      <c r="H881" t="s">
        <v>15</v>
      </c>
      <c r="I881">
        <v>0</v>
      </c>
      <c r="J881" s="2">
        <v>0</v>
      </c>
      <c r="K881">
        <v>0</v>
      </c>
      <c r="L881" t="s">
        <v>4428</v>
      </c>
      <c r="N881" t="s">
        <v>4429</v>
      </c>
      <c r="P881" t="s">
        <v>4410</v>
      </c>
    </row>
    <row r="882" spans="1:16" x14ac:dyDescent="0.25">
      <c r="A882" t="s">
        <v>4409</v>
      </c>
      <c r="B882" t="s">
        <v>3992</v>
      </c>
      <c r="C882" t="s">
        <v>3993</v>
      </c>
      <c r="D882" t="s">
        <v>26</v>
      </c>
      <c r="E882" t="s">
        <v>42</v>
      </c>
      <c r="F882">
        <v>1</v>
      </c>
      <c r="G882" t="s">
        <v>4</v>
      </c>
      <c r="H882" t="s">
        <v>15</v>
      </c>
      <c r="I882">
        <v>16184.729999999981</v>
      </c>
      <c r="K882">
        <v>10.441761290322569</v>
      </c>
      <c r="N882" t="s">
        <v>4429</v>
      </c>
      <c r="P882" t="s">
        <v>4410</v>
      </c>
    </row>
    <row r="883" spans="1:16" hidden="1" x14ac:dyDescent="0.25">
      <c r="A883" t="s">
        <v>4409</v>
      </c>
      <c r="B883" t="s">
        <v>3814</v>
      </c>
      <c r="C883" t="s">
        <v>3295</v>
      </c>
      <c r="D883" t="s">
        <v>26</v>
      </c>
      <c r="E883" t="s">
        <v>42</v>
      </c>
      <c r="F883">
        <v>2</v>
      </c>
      <c r="G883" t="s">
        <v>4</v>
      </c>
      <c r="H883" t="s">
        <v>15</v>
      </c>
      <c r="I883">
        <v>100000</v>
      </c>
      <c r="J883" s="2">
        <v>100000</v>
      </c>
      <c r="K883">
        <v>64.516129032258064</v>
      </c>
      <c r="N883" t="s">
        <v>4429</v>
      </c>
      <c r="P883" t="s">
        <v>4410</v>
      </c>
    </row>
    <row r="884" spans="1:16" x14ac:dyDescent="0.25">
      <c r="A884" t="s">
        <v>4409</v>
      </c>
      <c r="B884" t="s">
        <v>2153</v>
      </c>
      <c r="C884" t="s">
        <v>155</v>
      </c>
      <c r="D884" t="s">
        <v>26</v>
      </c>
      <c r="E884" t="s">
        <v>42</v>
      </c>
      <c r="F884">
        <v>1</v>
      </c>
      <c r="G884" t="s">
        <v>4</v>
      </c>
      <c r="H884" t="s">
        <v>15</v>
      </c>
      <c r="I884">
        <v>180000</v>
      </c>
      <c r="K884">
        <v>116.12903225806451</v>
      </c>
      <c r="N884" t="s">
        <v>4429</v>
      </c>
      <c r="P884" t="s">
        <v>4410</v>
      </c>
    </row>
    <row r="885" spans="1:16" x14ac:dyDescent="0.25">
      <c r="A885" t="s">
        <v>4409</v>
      </c>
      <c r="B885" t="s">
        <v>1571</v>
      </c>
      <c r="C885" t="s">
        <v>155</v>
      </c>
      <c r="D885" t="s">
        <v>26</v>
      </c>
      <c r="E885" t="s">
        <v>42</v>
      </c>
      <c r="F885">
        <v>1</v>
      </c>
      <c r="G885" t="s">
        <v>4</v>
      </c>
      <c r="H885" t="s">
        <v>15</v>
      </c>
      <c r="I885">
        <v>180000</v>
      </c>
      <c r="K885">
        <v>116.12903225806451</v>
      </c>
      <c r="N885" t="s">
        <v>4429</v>
      </c>
      <c r="P885" t="s">
        <v>4410</v>
      </c>
    </row>
    <row r="886" spans="1:16" x14ac:dyDescent="0.25">
      <c r="A886" s="89" t="s">
        <v>4409</v>
      </c>
      <c r="B886" s="89" t="s">
        <v>3256</v>
      </c>
      <c r="C886" s="89" t="s">
        <v>155</v>
      </c>
      <c r="D886" t="s">
        <v>26</v>
      </c>
      <c r="E886" t="s">
        <v>42</v>
      </c>
      <c r="F886" s="89">
        <v>1</v>
      </c>
      <c r="G886" s="89" t="s">
        <v>4</v>
      </c>
      <c r="H886" t="s">
        <v>15</v>
      </c>
      <c r="I886">
        <v>200000</v>
      </c>
      <c r="J886" s="49">
        <v>700000</v>
      </c>
      <c r="K886">
        <v>129.03225806451613</v>
      </c>
      <c r="N886" t="s">
        <v>4429</v>
      </c>
      <c r="P886" t="s">
        <v>4410</v>
      </c>
    </row>
    <row r="887" spans="1:16" x14ac:dyDescent="0.25">
      <c r="A887" s="89" t="s">
        <v>4409</v>
      </c>
      <c r="B887" s="89" t="s">
        <v>3299</v>
      </c>
      <c r="C887" s="89" t="s">
        <v>3300</v>
      </c>
      <c r="D887" t="s">
        <v>26</v>
      </c>
      <c r="E887" t="s">
        <v>42</v>
      </c>
      <c r="F887" s="89">
        <v>1</v>
      </c>
      <c r="G887" s="89" t="s">
        <v>4</v>
      </c>
      <c r="H887" t="s">
        <v>15</v>
      </c>
      <c r="I887">
        <v>250000</v>
      </c>
      <c r="J887" s="49">
        <v>100000</v>
      </c>
      <c r="K887">
        <v>161.29032258064515</v>
      </c>
      <c r="N887" t="s">
        <v>4429</v>
      </c>
      <c r="P887" t="s">
        <v>4410</v>
      </c>
    </row>
    <row r="888" spans="1:16" x14ac:dyDescent="0.25">
      <c r="A888" t="s">
        <v>4409</v>
      </c>
      <c r="B888" t="s">
        <v>3155</v>
      </c>
      <c r="C888" t="s">
        <v>3156</v>
      </c>
      <c r="D888" t="s">
        <v>26</v>
      </c>
      <c r="E888" t="s">
        <v>42</v>
      </c>
      <c r="F888">
        <v>1</v>
      </c>
      <c r="G888" t="s">
        <v>4</v>
      </c>
      <c r="H888" t="s">
        <v>15</v>
      </c>
      <c r="I888">
        <v>250000</v>
      </c>
      <c r="K888">
        <v>161.29032258064515</v>
      </c>
      <c r="N888" t="s">
        <v>4429</v>
      </c>
      <c r="P888" t="s">
        <v>4410</v>
      </c>
    </row>
    <row r="889" spans="1:16" x14ac:dyDescent="0.25">
      <c r="A889" s="89" t="s">
        <v>4409</v>
      </c>
      <c r="B889" s="89" t="s">
        <v>1026</v>
      </c>
      <c r="C889" s="89" t="s">
        <v>3362</v>
      </c>
      <c r="D889" t="s">
        <v>26</v>
      </c>
      <c r="E889" t="s">
        <v>42</v>
      </c>
      <c r="F889" s="89">
        <v>1</v>
      </c>
      <c r="G889" s="89" t="s">
        <v>4</v>
      </c>
      <c r="H889" t="s">
        <v>15</v>
      </c>
      <c r="I889">
        <v>450000</v>
      </c>
      <c r="J889" s="49">
        <v>350000</v>
      </c>
      <c r="K889">
        <v>290.32258064516128</v>
      </c>
      <c r="N889" t="s">
        <v>4429</v>
      </c>
      <c r="P889" t="s">
        <v>4410</v>
      </c>
    </row>
    <row r="890" spans="1:16" hidden="1" x14ac:dyDescent="0.25">
      <c r="A890" t="s">
        <v>4409</v>
      </c>
      <c r="B890" t="s">
        <v>1215</v>
      </c>
      <c r="C890" t="s">
        <v>3273</v>
      </c>
      <c r="D890" t="s">
        <v>26</v>
      </c>
      <c r="E890" t="s">
        <v>62</v>
      </c>
      <c r="F890">
        <v>2</v>
      </c>
      <c r="G890" t="s">
        <v>4</v>
      </c>
      <c r="H890" t="s">
        <v>15</v>
      </c>
      <c r="I890">
        <v>500000</v>
      </c>
      <c r="J890" s="2">
        <v>500000</v>
      </c>
      <c r="K890">
        <v>322.58064516129031</v>
      </c>
      <c r="N890" t="s">
        <v>4429</v>
      </c>
      <c r="P890" t="s">
        <v>4410</v>
      </c>
    </row>
    <row r="891" spans="1:16" hidden="1" x14ac:dyDescent="0.25">
      <c r="A891" t="s">
        <v>4409</v>
      </c>
      <c r="B891" t="s">
        <v>2728</v>
      </c>
      <c r="C891" t="s">
        <v>3910</v>
      </c>
      <c r="D891" t="s">
        <v>26</v>
      </c>
      <c r="E891" t="s">
        <v>42</v>
      </c>
      <c r="F891">
        <v>2</v>
      </c>
      <c r="G891" t="s">
        <v>4</v>
      </c>
      <c r="H891" t="s">
        <v>15</v>
      </c>
      <c r="I891">
        <v>511000</v>
      </c>
      <c r="J891" s="2">
        <v>511000</v>
      </c>
      <c r="K891">
        <v>329.67741935483872</v>
      </c>
      <c r="N891" t="s">
        <v>4429</v>
      </c>
      <c r="P891" t="s">
        <v>4410</v>
      </c>
    </row>
    <row r="892" spans="1:16" hidden="1" x14ac:dyDescent="0.25">
      <c r="A892" t="s">
        <v>4409</v>
      </c>
      <c r="B892" t="s">
        <v>2652</v>
      </c>
      <c r="C892" t="s">
        <v>3765</v>
      </c>
      <c r="D892" t="s">
        <v>26</v>
      </c>
      <c r="E892" t="s">
        <v>62</v>
      </c>
      <c r="F892">
        <v>2</v>
      </c>
      <c r="G892" t="s">
        <v>4</v>
      </c>
      <c r="H892" t="s">
        <v>15</v>
      </c>
      <c r="I892">
        <v>648000</v>
      </c>
      <c r="J892" s="2">
        <v>648000</v>
      </c>
      <c r="K892">
        <v>418.06451612903226</v>
      </c>
      <c r="N892" t="s">
        <v>4429</v>
      </c>
      <c r="P892" t="s">
        <v>4410</v>
      </c>
    </row>
    <row r="893" spans="1:16" x14ac:dyDescent="0.25">
      <c r="A893" s="89" t="s">
        <v>4409</v>
      </c>
      <c r="B893" s="89" t="s">
        <v>3169</v>
      </c>
      <c r="C893" s="89" t="s">
        <v>3988</v>
      </c>
      <c r="D893" t="s">
        <v>26</v>
      </c>
      <c r="E893" t="s">
        <v>62</v>
      </c>
      <c r="F893" s="89">
        <v>1</v>
      </c>
      <c r="G893" s="89" t="s">
        <v>4</v>
      </c>
      <c r="H893" t="s">
        <v>15</v>
      </c>
      <c r="I893">
        <v>1500000</v>
      </c>
      <c r="J893" s="49">
        <v>500000</v>
      </c>
      <c r="K893">
        <v>967.74193548387098</v>
      </c>
      <c r="L893" t="s">
        <v>4428</v>
      </c>
      <c r="N893" t="s">
        <v>4429</v>
      </c>
      <c r="P893" t="s">
        <v>4410</v>
      </c>
    </row>
    <row r="894" spans="1:16" hidden="1" x14ac:dyDescent="0.25">
      <c r="A894" t="s">
        <v>4409</v>
      </c>
      <c r="B894" t="s">
        <v>3703</v>
      </c>
      <c r="C894" t="s">
        <v>2667</v>
      </c>
      <c r="D894" t="s">
        <v>26</v>
      </c>
      <c r="E894" t="s">
        <v>3928</v>
      </c>
      <c r="F894">
        <v>2</v>
      </c>
      <c r="G894" t="s">
        <v>4</v>
      </c>
      <c r="H894" t="s">
        <v>15</v>
      </c>
      <c r="I894">
        <v>2000000</v>
      </c>
      <c r="J894" s="2">
        <v>2000000</v>
      </c>
      <c r="K894">
        <v>1290.3225806451612</v>
      </c>
      <c r="L894" t="s">
        <v>4428</v>
      </c>
      <c r="N894" t="s">
        <v>4429</v>
      </c>
      <c r="P894" t="s">
        <v>4410</v>
      </c>
    </row>
    <row r="895" spans="1:16" hidden="1" x14ac:dyDescent="0.25">
      <c r="A895" t="s">
        <v>4409</v>
      </c>
      <c r="B895" t="s">
        <v>3051</v>
      </c>
      <c r="C895" t="s">
        <v>2667</v>
      </c>
      <c r="D895" t="s">
        <v>26</v>
      </c>
      <c r="E895" t="s">
        <v>3928</v>
      </c>
      <c r="F895">
        <v>2</v>
      </c>
      <c r="G895" t="s">
        <v>4</v>
      </c>
      <c r="H895" t="s">
        <v>15</v>
      </c>
      <c r="I895">
        <v>2000000</v>
      </c>
      <c r="J895" s="2">
        <v>2000000</v>
      </c>
      <c r="K895">
        <v>1290.3225806451612</v>
      </c>
      <c r="L895" t="s">
        <v>4428</v>
      </c>
      <c r="N895" t="s">
        <v>4429</v>
      </c>
      <c r="P895" t="s">
        <v>4410</v>
      </c>
    </row>
    <row r="896" spans="1:16" hidden="1" x14ac:dyDescent="0.25">
      <c r="A896" t="s">
        <v>4409</v>
      </c>
      <c r="B896" t="s">
        <v>1854</v>
      </c>
      <c r="C896" t="s">
        <v>2667</v>
      </c>
      <c r="D896" t="s">
        <v>26</v>
      </c>
      <c r="E896" t="s">
        <v>3928</v>
      </c>
      <c r="F896">
        <v>2</v>
      </c>
      <c r="G896" t="s">
        <v>4</v>
      </c>
      <c r="H896" t="s">
        <v>15</v>
      </c>
      <c r="I896">
        <v>2000000</v>
      </c>
      <c r="J896" s="2">
        <v>2000000</v>
      </c>
      <c r="K896">
        <v>1290.3225806451612</v>
      </c>
      <c r="L896" t="s">
        <v>4428</v>
      </c>
      <c r="N896" t="s">
        <v>4429</v>
      </c>
      <c r="P896" t="s">
        <v>4410</v>
      </c>
    </row>
    <row r="897" spans="1:16" hidden="1" x14ac:dyDescent="0.25">
      <c r="A897" t="s">
        <v>4409</v>
      </c>
      <c r="B897" t="s">
        <v>1677</v>
      </c>
      <c r="C897" t="s">
        <v>4035</v>
      </c>
      <c r="D897" t="s">
        <v>26</v>
      </c>
      <c r="E897" t="s">
        <v>62</v>
      </c>
      <c r="F897">
        <v>2</v>
      </c>
      <c r="G897" t="s">
        <v>4</v>
      </c>
      <c r="H897" t="s">
        <v>15</v>
      </c>
      <c r="I897">
        <v>2000000</v>
      </c>
      <c r="J897" s="2">
        <v>2000000</v>
      </c>
      <c r="K897">
        <v>1290.3225806451612</v>
      </c>
      <c r="N897" t="s">
        <v>4429</v>
      </c>
      <c r="P897" t="s">
        <v>4410</v>
      </c>
    </row>
    <row r="898" spans="1:16" x14ac:dyDescent="0.25">
      <c r="J898" s="2">
        <f>SUBTOTAL(109,Tabla5658[Importe AR$])</f>
        <v>1650000</v>
      </c>
    </row>
    <row r="899" spans="1:16" ht="6" customHeight="1" x14ac:dyDescent="0.25"/>
    <row r="900" spans="1:16" x14ac:dyDescent="0.25">
      <c r="A900" t="s">
        <v>7</v>
      </c>
      <c r="B900" t="s">
        <v>8</v>
      </c>
      <c r="C900" t="s">
        <v>9</v>
      </c>
      <c r="D900" t="s">
        <v>10</v>
      </c>
      <c r="E900" t="s">
        <v>11</v>
      </c>
      <c r="F900" t="s">
        <v>12</v>
      </c>
      <c r="G900" t="s">
        <v>13</v>
      </c>
      <c r="H900" t="s">
        <v>14</v>
      </c>
      <c r="I900" t="s">
        <v>15</v>
      </c>
      <c r="J900" s="2" t="s">
        <v>16</v>
      </c>
      <c r="K900" t="s">
        <v>17</v>
      </c>
      <c r="L900" t="s">
        <v>18</v>
      </c>
      <c r="M900" t="s">
        <v>19</v>
      </c>
      <c r="N900" t="s">
        <v>20</v>
      </c>
      <c r="O900" t="s">
        <v>21</v>
      </c>
      <c r="P900" t="s">
        <v>22</v>
      </c>
    </row>
    <row r="901" spans="1:16" hidden="1" x14ac:dyDescent="0.25">
      <c r="A901" t="s">
        <v>4409</v>
      </c>
      <c r="B901" t="s">
        <v>3992</v>
      </c>
      <c r="C901" t="s">
        <v>3993</v>
      </c>
      <c r="D901" t="s">
        <v>26</v>
      </c>
      <c r="E901" t="s">
        <v>42</v>
      </c>
      <c r="F901">
        <v>1</v>
      </c>
      <c r="G901" t="s">
        <v>4</v>
      </c>
      <c r="H901" t="s">
        <v>15</v>
      </c>
      <c r="I901">
        <v>16184.729999999981</v>
      </c>
      <c r="J901" s="2">
        <v>16184.729999999981</v>
      </c>
      <c r="K901">
        <v>10.441761290322569</v>
      </c>
      <c r="N901" t="s">
        <v>4429</v>
      </c>
      <c r="P901" t="s">
        <v>4410</v>
      </c>
    </row>
    <row r="902" spans="1:16" x14ac:dyDescent="0.25">
      <c r="A902" s="89" t="s">
        <v>4409</v>
      </c>
      <c r="B902" s="89" t="s">
        <v>3814</v>
      </c>
      <c r="C902" s="89" t="s">
        <v>3295</v>
      </c>
      <c r="D902" t="s">
        <v>26</v>
      </c>
      <c r="E902" t="s">
        <v>42</v>
      </c>
      <c r="F902" s="89">
        <v>2</v>
      </c>
      <c r="G902" s="89" t="s">
        <v>4</v>
      </c>
      <c r="H902" t="s">
        <v>15</v>
      </c>
      <c r="I902">
        <v>100000</v>
      </c>
      <c r="J902" s="49">
        <v>100000</v>
      </c>
      <c r="K902">
        <v>64.516129032258064</v>
      </c>
      <c r="N902" t="s">
        <v>4429</v>
      </c>
      <c r="P902" t="s">
        <v>4410</v>
      </c>
    </row>
    <row r="903" spans="1:16" hidden="1" x14ac:dyDescent="0.25">
      <c r="A903" t="s">
        <v>4409</v>
      </c>
      <c r="B903" t="s">
        <v>2153</v>
      </c>
      <c r="C903" t="s">
        <v>155</v>
      </c>
      <c r="D903" t="s">
        <v>26</v>
      </c>
      <c r="E903" t="s">
        <v>42</v>
      </c>
      <c r="F903">
        <v>1</v>
      </c>
      <c r="G903" t="s">
        <v>4</v>
      </c>
      <c r="H903" t="s">
        <v>15</v>
      </c>
      <c r="I903">
        <v>180000</v>
      </c>
      <c r="J903" s="2">
        <v>180000</v>
      </c>
      <c r="K903">
        <v>116.12903225806451</v>
      </c>
      <c r="N903" t="s">
        <v>4429</v>
      </c>
      <c r="P903" t="s">
        <v>4410</v>
      </c>
    </row>
    <row r="904" spans="1:16" hidden="1" x14ac:dyDescent="0.25">
      <c r="A904" t="s">
        <v>4409</v>
      </c>
      <c r="B904" t="s">
        <v>1571</v>
      </c>
      <c r="C904" t="s">
        <v>155</v>
      </c>
      <c r="D904" t="s">
        <v>26</v>
      </c>
      <c r="E904" t="s">
        <v>42</v>
      </c>
      <c r="F904">
        <v>1</v>
      </c>
      <c r="G904" t="s">
        <v>4</v>
      </c>
      <c r="H904" t="s">
        <v>15</v>
      </c>
      <c r="I904">
        <v>180000</v>
      </c>
      <c r="J904" s="2">
        <v>180000</v>
      </c>
      <c r="K904">
        <v>116.12903225806451</v>
      </c>
      <c r="N904" t="s">
        <v>4429</v>
      </c>
      <c r="P904" t="s">
        <v>4410</v>
      </c>
    </row>
    <row r="905" spans="1:16" hidden="1" x14ac:dyDescent="0.25">
      <c r="A905" t="s">
        <v>4409</v>
      </c>
      <c r="B905" t="s">
        <v>483</v>
      </c>
      <c r="C905" t="s">
        <v>155</v>
      </c>
      <c r="D905" t="s">
        <v>26</v>
      </c>
      <c r="E905" t="s">
        <v>42</v>
      </c>
      <c r="F905">
        <v>1</v>
      </c>
      <c r="G905" t="s">
        <v>4</v>
      </c>
      <c r="H905" t="s">
        <v>15</v>
      </c>
      <c r="I905">
        <v>200000</v>
      </c>
      <c r="J905" s="2">
        <v>200000</v>
      </c>
      <c r="K905">
        <v>129.03225806451613</v>
      </c>
      <c r="N905" t="s">
        <v>4429</v>
      </c>
      <c r="P905" t="s">
        <v>4410</v>
      </c>
    </row>
    <row r="906" spans="1:16" hidden="1" x14ac:dyDescent="0.25">
      <c r="A906" t="s">
        <v>4409</v>
      </c>
      <c r="B906" t="s">
        <v>3299</v>
      </c>
      <c r="C906" t="s">
        <v>3300</v>
      </c>
      <c r="D906" t="s">
        <v>26</v>
      </c>
      <c r="E906" t="s">
        <v>42</v>
      </c>
      <c r="F906">
        <v>1</v>
      </c>
      <c r="G906" t="s">
        <v>4</v>
      </c>
      <c r="H906" t="s">
        <v>15</v>
      </c>
      <c r="I906">
        <v>250000</v>
      </c>
      <c r="J906" s="2">
        <v>250000</v>
      </c>
      <c r="K906">
        <v>161.29032258064515</v>
      </c>
      <c r="N906" t="s">
        <v>4429</v>
      </c>
      <c r="P906" t="s">
        <v>4410</v>
      </c>
    </row>
    <row r="907" spans="1:16" hidden="1" x14ac:dyDescent="0.25">
      <c r="A907" t="s">
        <v>4409</v>
      </c>
      <c r="B907" t="s">
        <v>3155</v>
      </c>
      <c r="C907" t="s">
        <v>3156</v>
      </c>
      <c r="D907" t="s">
        <v>26</v>
      </c>
      <c r="E907" t="s">
        <v>42</v>
      </c>
      <c r="F907">
        <v>1</v>
      </c>
      <c r="G907" t="s">
        <v>4</v>
      </c>
      <c r="H907" t="s">
        <v>15</v>
      </c>
      <c r="I907">
        <v>250000</v>
      </c>
      <c r="J907" s="2">
        <v>250000</v>
      </c>
      <c r="K907">
        <v>161.29032258064515</v>
      </c>
      <c r="N907" t="s">
        <v>4429</v>
      </c>
      <c r="P907" t="s">
        <v>4410</v>
      </c>
    </row>
    <row r="908" spans="1:16" hidden="1" x14ac:dyDescent="0.25">
      <c r="A908" t="s">
        <v>4409</v>
      </c>
      <c r="B908" t="s">
        <v>1026</v>
      </c>
      <c r="C908" t="s">
        <v>3362</v>
      </c>
      <c r="D908" t="s">
        <v>26</v>
      </c>
      <c r="E908" t="s">
        <v>42</v>
      </c>
      <c r="F908">
        <v>1</v>
      </c>
      <c r="G908" t="s">
        <v>4</v>
      </c>
      <c r="H908" t="s">
        <v>15</v>
      </c>
      <c r="I908">
        <v>450000</v>
      </c>
      <c r="J908" s="2">
        <v>450000</v>
      </c>
      <c r="K908">
        <v>290.32258064516128</v>
      </c>
      <c r="N908" t="s">
        <v>4429</v>
      </c>
      <c r="P908" t="s">
        <v>4410</v>
      </c>
    </row>
    <row r="909" spans="1:16" x14ac:dyDescent="0.25">
      <c r="A909" t="s">
        <v>4409</v>
      </c>
      <c r="B909" t="s">
        <v>1215</v>
      </c>
      <c r="C909" t="s">
        <v>3273</v>
      </c>
      <c r="D909" t="s">
        <v>26</v>
      </c>
      <c r="E909" t="s">
        <v>62</v>
      </c>
      <c r="F909">
        <v>2</v>
      </c>
      <c r="G909" t="s">
        <v>4</v>
      </c>
      <c r="H909" t="s">
        <v>15</v>
      </c>
      <c r="I909">
        <v>500000</v>
      </c>
      <c r="K909">
        <v>322.58064516129031</v>
      </c>
      <c r="N909" t="s">
        <v>4429</v>
      </c>
      <c r="P909" t="s">
        <v>4410</v>
      </c>
    </row>
    <row r="910" spans="1:16" x14ac:dyDescent="0.25">
      <c r="A910" t="s">
        <v>4409</v>
      </c>
      <c r="B910" t="s">
        <v>2728</v>
      </c>
      <c r="C910" t="s">
        <v>3910</v>
      </c>
      <c r="D910" t="s">
        <v>26</v>
      </c>
      <c r="E910" t="s">
        <v>42</v>
      </c>
      <c r="F910">
        <v>2</v>
      </c>
      <c r="G910" t="s">
        <v>4</v>
      </c>
      <c r="H910" t="s">
        <v>15</v>
      </c>
      <c r="I910">
        <v>511000</v>
      </c>
      <c r="J910" s="2">
        <v>500000</v>
      </c>
      <c r="K910">
        <v>329.67741935483872</v>
      </c>
      <c r="N910" t="s">
        <v>4429</v>
      </c>
      <c r="P910" t="s">
        <v>4410</v>
      </c>
    </row>
    <row r="911" spans="1:16" x14ac:dyDescent="0.25">
      <c r="A911" t="s">
        <v>4409</v>
      </c>
      <c r="B911" s="89" t="s">
        <v>2652</v>
      </c>
      <c r="C911" s="89" t="s">
        <v>3765</v>
      </c>
      <c r="D911" t="s">
        <v>26</v>
      </c>
      <c r="E911" t="s">
        <v>62</v>
      </c>
      <c r="F911" s="89">
        <v>2</v>
      </c>
      <c r="G911" s="89" t="s">
        <v>4</v>
      </c>
      <c r="H911" t="s">
        <v>15</v>
      </c>
      <c r="I911">
        <v>648000</v>
      </c>
      <c r="J911" s="49">
        <v>648000</v>
      </c>
      <c r="K911">
        <v>418.06451612903226</v>
      </c>
      <c r="N911" t="s">
        <v>4429</v>
      </c>
      <c r="P911" t="s">
        <v>4410</v>
      </c>
    </row>
    <row r="912" spans="1:16" hidden="1" x14ac:dyDescent="0.25">
      <c r="A912" t="s">
        <v>4409</v>
      </c>
      <c r="B912" t="s">
        <v>3169</v>
      </c>
      <c r="C912" t="s">
        <v>3988</v>
      </c>
      <c r="D912" t="s">
        <v>26</v>
      </c>
      <c r="E912" t="s">
        <v>62</v>
      </c>
      <c r="F912">
        <v>1</v>
      </c>
      <c r="G912" t="s">
        <v>4</v>
      </c>
      <c r="H912" t="s">
        <v>15</v>
      </c>
      <c r="I912">
        <v>1500000</v>
      </c>
      <c r="J912" s="2">
        <v>1500000</v>
      </c>
      <c r="K912">
        <v>967.74193548387098</v>
      </c>
      <c r="L912" t="s">
        <v>4428</v>
      </c>
      <c r="N912" t="s">
        <v>4429</v>
      </c>
      <c r="P912" t="s">
        <v>4410</v>
      </c>
    </row>
    <row r="913" spans="1:16" x14ac:dyDescent="0.25">
      <c r="A913" t="s">
        <v>4409</v>
      </c>
      <c r="B913" t="s">
        <v>3703</v>
      </c>
      <c r="C913" t="s">
        <v>2667</v>
      </c>
      <c r="D913" t="s">
        <v>26</v>
      </c>
      <c r="E913" t="s">
        <v>3928</v>
      </c>
      <c r="F913">
        <v>2</v>
      </c>
      <c r="G913" t="s">
        <v>4</v>
      </c>
      <c r="H913" t="s">
        <v>15</v>
      </c>
      <c r="I913">
        <v>2000000</v>
      </c>
      <c r="K913">
        <v>1290.3225806451612</v>
      </c>
      <c r="L913" t="s">
        <v>4428</v>
      </c>
      <c r="N913" t="s">
        <v>4429</v>
      </c>
      <c r="P913" t="s">
        <v>4410</v>
      </c>
    </row>
    <row r="914" spans="1:16" x14ac:dyDescent="0.25">
      <c r="A914" t="s">
        <v>4409</v>
      </c>
      <c r="B914" s="89" t="s">
        <v>3051</v>
      </c>
      <c r="C914" s="89" t="s">
        <v>2667</v>
      </c>
      <c r="D914" t="s">
        <v>26</v>
      </c>
      <c r="E914" t="s">
        <v>3928</v>
      </c>
      <c r="F914" s="89">
        <v>2</v>
      </c>
      <c r="G914" s="89" t="s">
        <v>4</v>
      </c>
      <c r="H914" t="s">
        <v>15</v>
      </c>
      <c r="I914">
        <v>2000000</v>
      </c>
      <c r="J914" s="49">
        <v>1500000</v>
      </c>
      <c r="K914">
        <v>1290.3225806451612</v>
      </c>
      <c r="L914" t="s">
        <v>4428</v>
      </c>
      <c r="N914" t="s">
        <v>4429</v>
      </c>
      <c r="P914" t="s">
        <v>4410</v>
      </c>
    </row>
    <row r="915" spans="1:16" x14ac:dyDescent="0.25">
      <c r="A915" t="s">
        <v>4409</v>
      </c>
      <c r="B915" t="s">
        <v>1854</v>
      </c>
      <c r="C915" t="s">
        <v>2667</v>
      </c>
      <c r="D915" t="s">
        <v>26</v>
      </c>
      <c r="E915" t="s">
        <v>3928</v>
      </c>
      <c r="F915">
        <v>2</v>
      </c>
      <c r="G915" t="s">
        <v>4</v>
      </c>
      <c r="H915" t="s">
        <v>15</v>
      </c>
      <c r="I915">
        <v>2000000</v>
      </c>
      <c r="J915" s="2">
        <v>0</v>
      </c>
      <c r="K915">
        <v>1290.3225806451612</v>
      </c>
      <c r="L915" t="s">
        <v>4428</v>
      </c>
      <c r="N915" t="s">
        <v>4429</v>
      </c>
      <c r="P915" t="s">
        <v>4410</v>
      </c>
    </row>
    <row r="916" spans="1:16" x14ac:dyDescent="0.25">
      <c r="A916" t="s">
        <v>4409</v>
      </c>
      <c r="B916" s="89" t="s">
        <v>1677</v>
      </c>
      <c r="C916" s="89" t="s">
        <v>4035</v>
      </c>
      <c r="D916" t="s">
        <v>26</v>
      </c>
      <c r="E916" t="s">
        <v>62</v>
      </c>
      <c r="F916" s="89">
        <v>2</v>
      </c>
      <c r="G916" s="89" t="s">
        <v>4</v>
      </c>
      <c r="H916" t="s">
        <v>15</v>
      </c>
      <c r="I916">
        <v>2000000</v>
      </c>
      <c r="J916" s="49">
        <v>1000000</v>
      </c>
      <c r="K916">
        <v>1290.3225806451612</v>
      </c>
      <c r="N916" t="s">
        <v>4429</v>
      </c>
      <c r="P916" t="s">
        <v>4410</v>
      </c>
    </row>
    <row r="917" spans="1:16" x14ac:dyDescent="0.25">
      <c r="J917" s="2">
        <f>SUBTOTAL(109,Tabla5659[Importe AR$])</f>
        <v>3748000</v>
      </c>
    </row>
    <row r="918" spans="1:16" ht="4.5" customHeight="1" x14ac:dyDescent="0.25"/>
    <row r="919" spans="1:16" x14ac:dyDescent="0.25">
      <c r="G919" s="25" t="s">
        <v>26</v>
      </c>
      <c r="H919" s="25"/>
      <c r="I919" s="25"/>
      <c r="J919" s="4">
        <f>Tabla5659[[#Totals],[Importe AR$]]+Tabla5658[[#Totals],[Importe AR$]]</f>
        <v>5398000</v>
      </c>
    </row>
    <row r="921" spans="1:16" x14ac:dyDescent="0.25">
      <c r="G921" s="75" t="s">
        <v>0</v>
      </c>
      <c r="H921" s="5"/>
      <c r="I921" s="5"/>
      <c r="J921" s="6">
        <f>Tabla5658[[#Totals],[Importe AR$]]</f>
        <v>1650000</v>
      </c>
    </row>
    <row r="922" spans="1:16" x14ac:dyDescent="0.25">
      <c r="G922" s="75" t="s">
        <v>1</v>
      </c>
      <c r="H922" s="5"/>
      <c r="I922" s="5"/>
      <c r="J922" s="6">
        <f>Tabla5659[[#Totals],[Importe AR$]]</f>
        <v>3748000</v>
      </c>
    </row>
    <row r="923" spans="1:16" x14ac:dyDescent="0.25">
      <c r="G923" s="75" t="s">
        <v>26</v>
      </c>
      <c r="H923" s="5"/>
      <c r="I923" s="5"/>
      <c r="J923" s="6">
        <f>SUM(J921:J922)</f>
        <v>5398000</v>
      </c>
    </row>
    <row r="926" spans="1:16" x14ac:dyDescent="0.25">
      <c r="A926" t="s">
        <v>7</v>
      </c>
      <c r="B926" t="s">
        <v>8</v>
      </c>
      <c r="C926" t="s">
        <v>9</v>
      </c>
      <c r="D926" t="s">
        <v>10</v>
      </c>
      <c r="E926" t="s">
        <v>11</v>
      </c>
      <c r="F926" t="s">
        <v>12</v>
      </c>
      <c r="G926" t="s">
        <v>13</v>
      </c>
      <c r="H926" t="s">
        <v>14</v>
      </c>
      <c r="I926" t="s">
        <v>15</v>
      </c>
      <c r="J926" s="2" t="s">
        <v>16</v>
      </c>
      <c r="K926" t="s">
        <v>17</v>
      </c>
      <c r="L926" t="s">
        <v>18</v>
      </c>
      <c r="M926" t="s">
        <v>19</v>
      </c>
      <c r="N926" t="s">
        <v>20</v>
      </c>
      <c r="O926" t="s">
        <v>21</v>
      </c>
      <c r="P926" t="s">
        <v>22</v>
      </c>
    </row>
    <row r="927" spans="1:16" x14ac:dyDescent="0.25">
      <c r="A927" t="s">
        <v>4447</v>
      </c>
      <c r="B927" t="s">
        <v>1976</v>
      </c>
      <c r="C927" t="s">
        <v>3848</v>
      </c>
      <c r="D927" t="s">
        <v>26</v>
      </c>
      <c r="E927" t="s">
        <v>42</v>
      </c>
      <c r="F927">
        <v>1</v>
      </c>
      <c r="G927" t="s">
        <v>4</v>
      </c>
      <c r="H927" t="s">
        <v>15</v>
      </c>
      <c r="I927">
        <v>8000</v>
      </c>
      <c r="K927">
        <v>5.1948051948051948</v>
      </c>
      <c r="N927" t="s">
        <v>4475</v>
      </c>
      <c r="O927" t="s">
        <v>4438</v>
      </c>
      <c r="P927" t="s">
        <v>4448</v>
      </c>
    </row>
    <row r="928" spans="1:16" x14ac:dyDescent="0.25">
      <c r="A928" t="s">
        <v>4447</v>
      </c>
      <c r="B928" t="s">
        <v>3992</v>
      </c>
      <c r="C928" t="s">
        <v>3993</v>
      </c>
      <c r="D928" t="s">
        <v>26</v>
      </c>
      <c r="E928" t="s">
        <v>42</v>
      </c>
      <c r="F928">
        <v>1</v>
      </c>
      <c r="G928" t="s">
        <v>4</v>
      </c>
      <c r="H928" t="s">
        <v>15</v>
      </c>
      <c r="I928">
        <v>16184.729999999981</v>
      </c>
      <c r="K928">
        <v>10.509564935064923</v>
      </c>
      <c r="N928" t="s">
        <v>4475</v>
      </c>
      <c r="P928" t="s">
        <v>4448</v>
      </c>
    </row>
    <row r="929" spans="1:16" x14ac:dyDescent="0.25">
      <c r="A929" t="s">
        <v>4447</v>
      </c>
      <c r="B929" t="s">
        <v>4503</v>
      </c>
      <c r="D929" t="s">
        <v>26</v>
      </c>
      <c r="E929" t="s">
        <v>42</v>
      </c>
      <c r="F929">
        <v>1</v>
      </c>
      <c r="G929" t="s">
        <v>4</v>
      </c>
      <c r="H929" t="s">
        <v>15</v>
      </c>
      <c r="I929">
        <v>90000</v>
      </c>
      <c r="J929" s="2">
        <v>440000</v>
      </c>
      <c r="K929">
        <v>58.441558441558442</v>
      </c>
      <c r="N929" t="s">
        <v>4475</v>
      </c>
      <c r="P929" t="s">
        <v>4448</v>
      </c>
    </row>
    <row r="930" spans="1:16" x14ac:dyDescent="0.25">
      <c r="A930" t="s">
        <v>4447</v>
      </c>
      <c r="B930" t="s">
        <v>4504</v>
      </c>
      <c r="C930" t="s">
        <v>155</v>
      </c>
      <c r="D930" t="s">
        <v>26</v>
      </c>
      <c r="E930" t="s">
        <v>42</v>
      </c>
      <c r="F930">
        <v>1</v>
      </c>
      <c r="G930" t="s">
        <v>4</v>
      </c>
      <c r="H930" t="s">
        <v>15</v>
      </c>
      <c r="I930">
        <v>166002.97</v>
      </c>
      <c r="J930" s="2">
        <v>100000</v>
      </c>
      <c r="K930">
        <v>107.79413636363637</v>
      </c>
      <c r="L930" t="s">
        <v>3177</v>
      </c>
      <c r="N930" t="s">
        <v>4475</v>
      </c>
      <c r="P930" t="s">
        <v>4448</v>
      </c>
    </row>
    <row r="931" spans="1:16" x14ac:dyDescent="0.25">
      <c r="A931" t="s">
        <v>4447</v>
      </c>
      <c r="B931" t="s">
        <v>4505</v>
      </c>
      <c r="C931" t="s">
        <v>155</v>
      </c>
      <c r="D931" t="s">
        <v>26</v>
      </c>
      <c r="E931" t="s">
        <v>42</v>
      </c>
      <c r="F931">
        <v>1</v>
      </c>
      <c r="G931" t="s">
        <v>4</v>
      </c>
      <c r="H931" t="s">
        <v>15</v>
      </c>
      <c r="I931">
        <v>180000</v>
      </c>
      <c r="J931" s="2">
        <v>155995.87</v>
      </c>
      <c r="K931">
        <v>116.88311688311688</v>
      </c>
      <c r="N931" t="s">
        <v>4475</v>
      </c>
      <c r="P931" t="s">
        <v>4448</v>
      </c>
    </row>
    <row r="932" spans="1:16" x14ac:dyDescent="0.25">
      <c r="A932" s="89" t="s">
        <v>4447</v>
      </c>
      <c r="B932" s="89" t="s">
        <v>1571</v>
      </c>
      <c r="C932" s="89" t="s">
        <v>155</v>
      </c>
      <c r="D932" t="s">
        <v>26</v>
      </c>
      <c r="E932" t="s">
        <v>42</v>
      </c>
      <c r="F932" s="89">
        <v>1</v>
      </c>
      <c r="G932" s="89" t="s">
        <v>4</v>
      </c>
      <c r="H932" t="s">
        <v>15</v>
      </c>
      <c r="I932">
        <v>195004.13</v>
      </c>
      <c r="J932" s="49">
        <v>195004.13</v>
      </c>
      <c r="K932">
        <v>126.62605844155844</v>
      </c>
      <c r="N932" t="s">
        <v>4475</v>
      </c>
      <c r="P932" t="s">
        <v>4448</v>
      </c>
    </row>
    <row r="933" spans="1:16" x14ac:dyDescent="0.25">
      <c r="A933" t="s">
        <v>4447</v>
      </c>
      <c r="B933" t="s">
        <v>4537</v>
      </c>
      <c r="C933" t="s">
        <v>155</v>
      </c>
      <c r="D933" t="s">
        <v>26</v>
      </c>
      <c r="E933" t="s">
        <v>42</v>
      </c>
      <c r="F933">
        <v>1</v>
      </c>
      <c r="G933" t="s">
        <v>4</v>
      </c>
      <c r="H933" t="s">
        <v>15</v>
      </c>
      <c r="I933">
        <v>200000</v>
      </c>
      <c r="J933" s="2">
        <v>1000000</v>
      </c>
      <c r="K933">
        <v>129.87012987012986</v>
      </c>
      <c r="N933" t="s">
        <v>4475</v>
      </c>
      <c r="P933" t="s">
        <v>4448</v>
      </c>
    </row>
    <row r="934" spans="1:16" x14ac:dyDescent="0.25">
      <c r="A934" t="s">
        <v>4447</v>
      </c>
      <c r="B934" t="s">
        <v>3299</v>
      </c>
      <c r="C934" t="s">
        <v>3300</v>
      </c>
      <c r="D934" t="s">
        <v>26</v>
      </c>
      <c r="E934" t="s">
        <v>42</v>
      </c>
      <c r="F934">
        <v>1</v>
      </c>
      <c r="G934" t="s">
        <v>4</v>
      </c>
      <c r="H934" t="s">
        <v>15</v>
      </c>
      <c r="I934">
        <v>250000</v>
      </c>
      <c r="J934" s="2">
        <v>250000</v>
      </c>
      <c r="K934">
        <v>162.33766233766235</v>
      </c>
      <c r="N934" t="s">
        <v>4475</v>
      </c>
      <c r="P934" t="s">
        <v>4448</v>
      </c>
    </row>
    <row r="935" spans="1:16" x14ac:dyDescent="0.25">
      <c r="A935" t="s">
        <v>4447</v>
      </c>
      <c r="B935" t="s">
        <v>3155</v>
      </c>
      <c r="C935" t="s">
        <v>3156</v>
      </c>
      <c r="D935" t="s">
        <v>26</v>
      </c>
      <c r="E935" t="s">
        <v>42</v>
      </c>
      <c r="F935">
        <v>1</v>
      </c>
      <c r="G935" t="s">
        <v>4</v>
      </c>
      <c r="H935" t="s">
        <v>15</v>
      </c>
      <c r="I935">
        <v>250000</v>
      </c>
      <c r="J935" s="2">
        <v>250000</v>
      </c>
      <c r="K935">
        <v>162.33766233766235</v>
      </c>
      <c r="N935" t="s">
        <v>4475</v>
      </c>
      <c r="P935" t="s">
        <v>4448</v>
      </c>
    </row>
    <row r="936" spans="1:16" hidden="1" x14ac:dyDescent="0.25">
      <c r="A936" t="s">
        <v>4447</v>
      </c>
      <c r="B936" t="s">
        <v>1215</v>
      </c>
      <c r="C936" t="s">
        <v>3273</v>
      </c>
      <c r="D936" t="s">
        <v>26</v>
      </c>
      <c r="E936" t="s">
        <v>62</v>
      </c>
      <c r="F936">
        <v>2</v>
      </c>
      <c r="G936" t="s">
        <v>4</v>
      </c>
      <c r="H936" t="s">
        <v>15</v>
      </c>
      <c r="I936">
        <v>500000</v>
      </c>
      <c r="J936" s="2">
        <v>500000</v>
      </c>
      <c r="K936">
        <v>324.6753246753247</v>
      </c>
      <c r="N936" t="s">
        <v>4475</v>
      </c>
      <c r="P936" t="s">
        <v>4448</v>
      </c>
    </row>
    <row r="937" spans="1:16" hidden="1" x14ac:dyDescent="0.25">
      <c r="A937" t="s">
        <v>4447</v>
      </c>
      <c r="B937" t="s">
        <v>2728</v>
      </c>
      <c r="C937" t="s">
        <v>3910</v>
      </c>
      <c r="D937" t="s">
        <v>26</v>
      </c>
      <c r="E937" t="s">
        <v>42</v>
      </c>
      <c r="F937">
        <v>2</v>
      </c>
      <c r="G937" t="s">
        <v>4</v>
      </c>
      <c r="H937" t="s">
        <v>15</v>
      </c>
      <c r="I937">
        <v>511000</v>
      </c>
      <c r="J937" s="2">
        <v>511000</v>
      </c>
      <c r="K937">
        <v>331.81818181818181</v>
      </c>
      <c r="N937" t="s">
        <v>4475</v>
      </c>
      <c r="P937" t="s">
        <v>4448</v>
      </c>
    </row>
    <row r="938" spans="1:16" hidden="1" x14ac:dyDescent="0.25">
      <c r="A938" t="s">
        <v>4447</v>
      </c>
      <c r="B938" t="s">
        <v>3051</v>
      </c>
      <c r="C938" t="s">
        <v>2667</v>
      </c>
      <c r="D938" t="s">
        <v>26</v>
      </c>
      <c r="E938" t="s">
        <v>3928</v>
      </c>
      <c r="F938">
        <v>2</v>
      </c>
      <c r="G938" t="s">
        <v>4</v>
      </c>
      <c r="H938" t="s">
        <v>15</v>
      </c>
      <c r="I938">
        <v>2000000</v>
      </c>
      <c r="J938" s="2">
        <v>2000000</v>
      </c>
      <c r="K938">
        <v>1298.7012987012988</v>
      </c>
      <c r="N938" t="s">
        <v>4475</v>
      </c>
      <c r="P938" t="s">
        <v>4448</v>
      </c>
    </row>
    <row r="939" spans="1:16" hidden="1" x14ac:dyDescent="0.25">
      <c r="A939" t="s">
        <v>4447</v>
      </c>
      <c r="B939" t="s">
        <v>1854</v>
      </c>
      <c r="C939" t="s">
        <v>2667</v>
      </c>
      <c r="D939" t="s">
        <v>26</v>
      </c>
      <c r="E939" t="s">
        <v>3928</v>
      </c>
      <c r="F939">
        <v>2</v>
      </c>
      <c r="G939" t="s">
        <v>4</v>
      </c>
      <c r="H939" t="s">
        <v>15</v>
      </c>
      <c r="I939">
        <v>2000000</v>
      </c>
      <c r="J939" s="2">
        <v>2000000</v>
      </c>
      <c r="K939">
        <v>1298.7012987012988</v>
      </c>
      <c r="L939" t="s">
        <v>4428</v>
      </c>
      <c r="N939" t="s">
        <v>4475</v>
      </c>
      <c r="P939" t="s">
        <v>4448</v>
      </c>
    </row>
    <row r="940" spans="1:16" hidden="1" x14ac:dyDescent="0.25">
      <c r="A940" t="s">
        <v>4447</v>
      </c>
      <c r="B940" t="s">
        <v>1677</v>
      </c>
      <c r="C940" t="s">
        <v>4035</v>
      </c>
      <c r="D940" t="s">
        <v>26</v>
      </c>
      <c r="E940" t="s">
        <v>62</v>
      </c>
      <c r="F940">
        <v>2</v>
      </c>
      <c r="G940" t="s">
        <v>4</v>
      </c>
      <c r="H940" t="s">
        <v>15</v>
      </c>
      <c r="I940">
        <v>2000000</v>
      </c>
      <c r="J940" s="2">
        <v>2000000</v>
      </c>
      <c r="K940">
        <v>1298.7012987012988</v>
      </c>
      <c r="N940" t="s">
        <v>4475</v>
      </c>
      <c r="P940" t="s">
        <v>4448</v>
      </c>
    </row>
    <row r="941" spans="1:16" hidden="1" x14ac:dyDescent="0.25">
      <c r="A941" t="s">
        <v>4447</v>
      </c>
      <c r="B941" t="s">
        <v>3703</v>
      </c>
      <c r="C941" t="s">
        <v>2667</v>
      </c>
      <c r="D941" t="s">
        <v>26</v>
      </c>
      <c r="E941" t="s">
        <v>3928</v>
      </c>
      <c r="F941">
        <v>2</v>
      </c>
      <c r="G941" t="s">
        <v>4</v>
      </c>
      <c r="H941" t="s">
        <v>15</v>
      </c>
      <c r="I941">
        <v>3000000</v>
      </c>
      <c r="J941" s="2">
        <v>3000000</v>
      </c>
      <c r="K941">
        <v>1948.0519480519481</v>
      </c>
      <c r="L941" t="s">
        <v>4428</v>
      </c>
      <c r="N941" t="s">
        <v>4475</v>
      </c>
      <c r="P941" t="s">
        <v>4448</v>
      </c>
    </row>
    <row r="942" spans="1:16" x14ac:dyDescent="0.25">
      <c r="J942" s="2">
        <f>SUBTOTAL(109,Tabla3840[Importe AR$])</f>
        <v>2391000</v>
      </c>
    </row>
    <row r="944" spans="1:16" x14ac:dyDescent="0.25">
      <c r="A944" t="s">
        <v>7</v>
      </c>
      <c r="B944" t="s">
        <v>8</v>
      </c>
      <c r="C944" t="s">
        <v>9</v>
      </c>
      <c r="D944" t="s">
        <v>10</v>
      </c>
      <c r="E944" t="s">
        <v>11</v>
      </c>
      <c r="F944" t="s">
        <v>12</v>
      </c>
      <c r="G944" t="s">
        <v>13</v>
      </c>
      <c r="H944" t="s">
        <v>14</v>
      </c>
      <c r="I944" t="s">
        <v>15</v>
      </c>
      <c r="J944" s="2" t="s">
        <v>16</v>
      </c>
      <c r="K944" t="s">
        <v>17</v>
      </c>
      <c r="L944" t="s">
        <v>18</v>
      </c>
      <c r="M944" t="s">
        <v>19</v>
      </c>
      <c r="N944" t="s">
        <v>20</v>
      </c>
      <c r="O944" t="s">
        <v>21</v>
      </c>
      <c r="P944" t="s">
        <v>22</v>
      </c>
    </row>
    <row r="945" spans="1:16" hidden="1" x14ac:dyDescent="0.25">
      <c r="A945" t="s">
        <v>4447</v>
      </c>
      <c r="B945" t="s">
        <v>1976</v>
      </c>
      <c r="C945" t="s">
        <v>3848</v>
      </c>
      <c r="D945" t="s">
        <v>26</v>
      </c>
      <c r="E945" t="s">
        <v>42</v>
      </c>
      <c r="F945">
        <v>1</v>
      </c>
      <c r="G945" t="s">
        <v>4</v>
      </c>
      <c r="H945" t="s">
        <v>15</v>
      </c>
      <c r="I945">
        <v>8000</v>
      </c>
      <c r="J945" s="2">
        <v>8000</v>
      </c>
      <c r="K945">
        <v>5.1948051948051948</v>
      </c>
      <c r="N945" t="s">
        <v>4475</v>
      </c>
      <c r="O945" t="s">
        <v>4438</v>
      </c>
      <c r="P945" t="s">
        <v>4448</v>
      </c>
    </row>
    <row r="946" spans="1:16" hidden="1" x14ac:dyDescent="0.25">
      <c r="A946" t="s">
        <v>4447</v>
      </c>
      <c r="B946" t="s">
        <v>3992</v>
      </c>
      <c r="C946" t="s">
        <v>3993</v>
      </c>
      <c r="D946" t="s">
        <v>26</v>
      </c>
      <c r="E946" t="s">
        <v>42</v>
      </c>
      <c r="F946">
        <v>1</v>
      </c>
      <c r="G946" t="s">
        <v>4</v>
      </c>
      <c r="H946" t="s">
        <v>15</v>
      </c>
      <c r="I946">
        <v>16184.729999999981</v>
      </c>
      <c r="J946" s="2">
        <v>16184.729999999981</v>
      </c>
      <c r="K946">
        <v>10.509564935064923</v>
      </c>
      <c r="N946" t="s">
        <v>4475</v>
      </c>
      <c r="P946" t="s">
        <v>4448</v>
      </c>
    </row>
    <row r="947" spans="1:16" hidden="1" x14ac:dyDescent="0.25">
      <c r="A947" t="s">
        <v>4447</v>
      </c>
      <c r="B947" t="s">
        <v>1979</v>
      </c>
      <c r="C947" t="s">
        <v>155</v>
      </c>
      <c r="D947" t="s">
        <v>26</v>
      </c>
      <c r="E947" t="s">
        <v>42</v>
      </c>
      <c r="F947">
        <v>1</v>
      </c>
      <c r="G947" t="s">
        <v>4</v>
      </c>
      <c r="H947" t="s">
        <v>15</v>
      </c>
      <c r="I947">
        <v>90000</v>
      </c>
      <c r="J947" s="2">
        <v>90000</v>
      </c>
      <c r="K947">
        <v>58.441558441558442</v>
      </c>
      <c r="N947" t="s">
        <v>4475</v>
      </c>
      <c r="P947" t="s">
        <v>4448</v>
      </c>
    </row>
    <row r="948" spans="1:16" hidden="1" x14ac:dyDescent="0.25">
      <c r="A948" t="s">
        <v>4447</v>
      </c>
      <c r="B948" t="s">
        <v>483</v>
      </c>
      <c r="C948" t="s">
        <v>155</v>
      </c>
      <c r="D948" t="s">
        <v>26</v>
      </c>
      <c r="E948" t="s">
        <v>42</v>
      </c>
      <c r="F948">
        <v>1</v>
      </c>
      <c r="G948" t="s">
        <v>4</v>
      </c>
      <c r="H948" t="s">
        <v>15</v>
      </c>
      <c r="I948">
        <v>166002.97</v>
      </c>
      <c r="J948" s="2">
        <v>166002.97</v>
      </c>
      <c r="K948">
        <v>107.79413636363637</v>
      </c>
      <c r="L948" t="s">
        <v>3177</v>
      </c>
      <c r="N948" t="s">
        <v>4475</v>
      </c>
      <c r="P948" t="s">
        <v>4448</v>
      </c>
    </row>
    <row r="949" spans="1:16" hidden="1" x14ac:dyDescent="0.25">
      <c r="A949" t="s">
        <v>4447</v>
      </c>
      <c r="B949" t="s">
        <v>2153</v>
      </c>
      <c r="C949" t="s">
        <v>155</v>
      </c>
      <c r="D949" t="s">
        <v>26</v>
      </c>
      <c r="E949" t="s">
        <v>42</v>
      </c>
      <c r="F949">
        <v>1</v>
      </c>
      <c r="G949" t="s">
        <v>4</v>
      </c>
      <c r="H949" t="s">
        <v>15</v>
      </c>
      <c r="I949">
        <v>180000</v>
      </c>
      <c r="J949" s="2">
        <v>180000</v>
      </c>
      <c r="K949">
        <v>116.88311688311688</v>
      </c>
      <c r="N949" t="s">
        <v>4475</v>
      </c>
      <c r="P949" t="s">
        <v>4448</v>
      </c>
    </row>
    <row r="950" spans="1:16" hidden="1" x14ac:dyDescent="0.25">
      <c r="A950" t="s">
        <v>4447</v>
      </c>
      <c r="B950" t="s">
        <v>1571</v>
      </c>
      <c r="C950" t="s">
        <v>155</v>
      </c>
      <c r="D950" t="s">
        <v>26</v>
      </c>
      <c r="E950" t="s">
        <v>42</v>
      </c>
      <c r="F950">
        <v>1</v>
      </c>
      <c r="G950" t="s">
        <v>4</v>
      </c>
      <c r="H950" t="s">
        <v>15</v>
      </c>
      <c r="I950">
        <v>195004.13</v>
      </c>
      <c r="J950" s="2">
        <v>195004.13</v>
      </c>
      <c r="K950">
        <v>126.62605844155844</v>
      </c>
      <c r="N950" t="s">
        <v>4475</v>
      </c>
      <c r="P950" t="s">
        <v>4448</v>
      </c>
    </row>
    <row r="951" spans="1:16" hidden="1" x14ac:dyDescent="0.25">
      <c r="A951" t="s">
        <v>4447</v>
      </c>
      <c r="B951" t="s">
        <v>483</v>
      </c>
      <c r="C951" t="s">
        <v>155</v>
      </c>
      <c r="D951" t="s">
        <v>26</v>
      </c>
      <c r="E951" t="s">
        <v>42</v>
      </c>
      <c r="F951">
        <v>1</v>
      </c>
      <c r="G951" t="s">
        <v>4</v>
      </c>
      <c r="H951" t="s">
        <v>15</v>
      </c>
      <c r="I951">
        <v>200000</v>
      </c>
      <c r="J951" s="2">
        <v>200000</v>
      </c>
      <c r="K951">
        <v>129.87012987012986</v>
      </c>
      <c r="N951" t="s">
        <v>4475</v>
      </c>
      <c r="P951" t="s">
        <v>4448</v>
      </c>
    </row>
    <row r="952" spans="1:16" hidden="1" x14ac:dyDescent="0.25">
      <c r="A952" t="s">
        <v>4447</v>
      </c>
      <c r="B952" t="s">
        <v>3299</v>
      </c>
      <c r="C952" t="s">
        <v>3300</v>
      </c>
      <c r="D952" t="s">
        <v>26</v>
      </c>
      <c r="E952" t="s">
        <v>42</v>
      </c>
      <c r="F952">
        <v>1</v>
      </c>
      <c r="G952" t="s">
        <v>4</v>
      </c>
      <c r="H952" t="s">
        <v>15</v>
      </c>
      <c r="I952">
        <v>250000</v>
      </c>
      <c r="J952" s="2">
        <v>250000</v>
      </c>
      <c r="K952">
        <v>162.33766233766235</v>
      </c>
      <c r="N952" t="s">
        <v>4475</v>
      </c>
      <c r="P952" t="s">
        <v>4448</v>
      </c>
    </row>
    <row r="953" spans="1:16" hidden="1" x14ac:dyDescent="0.25">
      <c r="A953" t="s">
        <v>4447</v>
      </c>
      <c r="B953" t="s">
        <v>3155</v>
      </c>
      <c r="C953" t="s">
        <v>3156</v>
      </c>
      <c r="D953" t="s">
        <v>26</v>
      </c>
      <c r="E953" t="s">
        <v>42</v>
      </c>
      <c r="F953">
        <v>1</v>
      </c>
      <c r="G953" t="s">
        <v>4</v>
      </c>
      <c r="H953" t="s">
        <v>15</v>
      </c>
      <c r="I953">
        <v>250000</v>
      </c>
      <c r="J953" s="2">
        <v>250000</v>
      </c>
      <c r="K953">
        <v>162.33766233766235</v>
      </c>
      <c r="N953" t="s">
        <v>4475</v>
      </c>
      <c r="P953" t="s">
        <v>4448</v>
      </c>
    </row>
    <row r="954" spans="1:16" x14ac:dyDescent="0.25">
      <c r="A954" s="89" t="s">
        <v>4447</v>
      </c>
      <c r="B954" s="89" t="s">
        <v>1580</v>
      </c>
      <c r="C954" s="89" t="s">
        <v>4502</v>
      </c>
      <c r="D954" t="s">
        <v>26</v>
      </c>
      <c r="E954" t="s">
        <v>62</v>
      </c>
      <c r="F954" s="89">
        <v>2</v>
      </c>
      <c r="G954" s="89" t="s">
        <v>4</v>
      </c>
      <c r="H954" t="s">
        <v>15</v>
      </c>
      <c r="I954">
        <v>500000</v>
      </c>
      <c r="J954" s="49">
        <v>500000</v>
      </c>
      <c r="K954">
        <v>324.6753246753247</v>
      </c>
      <c r="N954" t="s">
        <v>4475</v>
      </c>
      <c r="P954" t="s">
        <v>4448</v>
      </c>
    </row>
    <row r="955" spans="1:16" x14ac:dyDescent="0.25">
      <c r="A955" s="89" t="s">
        <v>4447</v>
      </c>
      <c r="B955" s="89" t="s">
        <v>2728</v>
      </c>
      <c r="C955" s="89" t="s">
        <v>3910</v>
      </c>
      <c r="D955" t="s">
        <v>26</v>
      </c>
      <c r="E955" t="s">
        <v>42</v>
      </c>
      <c r="F955" s="89">
        <v>2</v>
      </c>
      <c r="G955" s="89" t="s">
        <v>4</v>
      </c>
      <c r="H955" t="s">
        <v>15</v>
      </c>
      <c r="I955">
        <v>511000</v>
      </c>
      <c r="J955" s="49">
        <v>300000</v>
      </c>
      <c r="K955">
        <v>331.81818181818181</v>
      </c>
      <c r="N955" t="s">
        <v>4475</v>
      </c>
      <c r="P955" t="s">
        <v>4448</v>
      </c>
    </row>
    <row r="956" spans="1:16" x14ac:dyDescent="0.25">
      <c r="A956" s="89" t="s">
        <v>4447</v>
      </c>
      <c r="B956" s="89" t="s">
        <v>3051</v>
      </c>
      <c r="C956" s="89" t="s">
        <v>2667</v>
      </c>
      <c r="D956" t="s">
        <v>26</v>
      </c>
      <c r="E956" t="s">
        <v>3928</v>
      </c>
      <c r="F956" s="89">
        <v>2</v>
      </c>
      <c r="G956" s="89" t="s">
        <v>4</v>
      </c>
      <c r="H956" t="s">
        <v>15</v>
      </c>
      <c r="I956">
        <v>2000000</v>
      </c>
      <c r="J956" s="49">
        <v>1500000</v>
      </c>
      <c r="K956">
        <v>1298.7012987012988</v>
      </c>
      <c r="N956" t="s">
        <v>4475</v>
      </c>
      <c r="P956" t="s">
        <v>4448</v>
      </c>
    </row>
    <row r="957" spans="1:16" x14ac:dyDescent="0.25">
      <c r="A957" s="89" t="s">
        <v>4447</v>
      </c>
      <c r="B957" s="89" t="s">
        <v>1760</v>
      </c>
      <c r="C957" s="89" t="s">
        <v>4502</v>
      </c>
      <c r="D957" t="s">
        <v>26</v>
      </c>
      <c r="E957" t="s">
        <v>3928</v>
      </c>
      <c r="F957" s="89">
        <v>2</v>
      </c>
      <c r="G957" s="89" t="s">
        <v>4</v>
      </c>
      <c r="H957" t="s">
        <v>15</v>
      </c>
      <c r="I957">
        <v>2000000</v>
      </c>
      <c r="J957" s="49">
        <v>500000</v>
      </c>
      <c r="K957">
        <v>1298.7012987012988</v>
      </c>
      <c r="L957" t="s">
        <v>4428</v>
      </c>
      <c r="N957" t="s">
        <v>4475</v>
      </c>
      <c r="P957" t="s">
        <v>4448</v>
      </c>
    </row>
    <row r="958" spans="1:16" x14ac:dyDescent="0.25">
      <c r="A958" s="89" t="s">
        <v>4447</v>
      </c>
      <c r="B958" s="89" t="s">
        <v>1677</v>
      </c>
      <c r="C958" s="89" t="s">
        <v>4035</v>
      </c>
      <c r="D958" t="s">
        <v>26</v>
      </c>
      <c r="E958" t="s">
        <v>62</v>
      </c>
      <c r="F958" s="89">
        <v>2</v>
      </c>
      <c r="G958" s="89" t="s">
        <v>4</v>
      </c>
      <c r="H958" t="s">
        <v>15</v>
      </c>
      <c r="I958">
        <v>2000000</v>
      </c>
      <c r="J958" s="49">
        <v>0</v>
      </c>
      <c r="K958">
        <v>1298.7012987012988</v>
      </c>
      <c r="N958" t="s">
        <v>4475</v>
      </c>
      <c r="P958" t="s">
        <v>4448</v>
      </c>
    </row>
    <row r="959" spans="1:16" x14ac:dyDescent="0.25">
      <c r="A959" t="s">
        <v>4447</v>
      </c>
      <c r="B959" t="s">
        <v>3703</v>
      </c>
      <c r="C959" t="s">
        <v>2667</v>
      </c>
      <c r="D959" t="s">
        <v>26</v>
      </c>
      <c r="E959" t="s">
        <v>3928</v>
      </c>
      <c r="F959">
        <v>2</v>
      </c>
      <c r="G959" t="s">
        <v>4</v>
      </c>
      <c r="H959" t="s">
        <v>15</v>
      </c>
      <c r="I959">
        <v>3000000</v>
      </c>
      <c r="K959">
        <v>1948.0519480519481</v>
      </c>
      <c r="L959" t="s">
        <v>4428</v>
      </c>
      <c r="N959" t="s">
        <v>4475</v>
      </c>
      <c r="P959" t="s">
        <v>4448</v>
      </c>
    </row>
    <row r="960" spans="1:16" x14ac:dyDescent="0.25">
      <c r="J960" s="2">
        <f>SUBTOTAL(109,Tabla3843[Importe AR$])</f>
        <v>2800000</v>
      </c>
    </row>
    <row r="962" spans="1:16" x14ac:dyDescent="0.25">
      <c r="G962" s="75" t="s">
        <v>26</v>
      </c>
      <c r="H962" s="75"/>
      <c r="I962" s="75"/>
      <c r="J962" s="97">
        <f>Tabla3843[[#Totals],[Importe AR$]]+Tabla3840[[#Totals],[Importe AR$]]</f>
        <v>5191000</v>
      </c>
    </row>
    <row r="963" spans="1:16" x14ac:dyDescent="0.25">
      <c r="J963" s="2">
        <f>S962-J962</f>
        <v>-5191000</v>
      </c>
    </row>
    <row r="965" spans="1:16" x14ac:dyDescent="0.25">
      <c r="A965" t="s">
        <v>7</v>
      </c>
      <c r="B965" t="s">
        <v>8</v>
      </c>
      <c r="C965" t="s">
        <v>9</v>
      </c>
      <c r="D965" t="s">
        <v>10</v>
      </c>
      <c r="E965" t="s">
        <v>11</v>
      </c>
      <c r="F965" t="s">
        <v>12</v>
      </c>
      <c r="G965" t="s">
        <v>13</v>
      </c>
      <c r="H965" t="s">
        <v>14</v>
      </c>
      <c r="I965" t="s">
        <v>15</v>
      </c>
      <c r="J965" s="2" t="s">
        <v>16</v>
      </c>
      <c r="K965" t="s">
        <v>17</v>
      </c>
      <c r="L965" t="s">
        <v>18</v>
      </c>
      <c r="M965" t="s">
        <v>19</v>
      </c>
      <c r="N965" t="s">
        <v>20</v>
      </c>
      <c r="O965" t="s">
        <v>21</v>
      </c>
      <c r="P965" t="s">
        <v>22</v>
      </c>
    </row>
    <row r="966" spans="1:16" x14ac:dyDescent="0.25">
      <c r="A966" t="s">
        <v>4513</v>
      </c>
      <c r="B966" t="s">
        <v>3992</v>
      </c>
      <c r="C966" t="s">
        <v>3993</v>
      </c>
      <c r="D966" t="s">
        <v>26</v>
      </c>
      <c r="E966" t="s">
        <v>42</v>
      </c>
      <c r="F966">
        <v>1</v>
      </c>
      <c r="G966" t="s">
        <v>4</v>
      </c>
      <c r="H966" t="s">
        <v>15</v>
      </c>
      <c r="I966">
        <v>16184.729999999981</v>
      </c>
      <c r="K966">
        <v>10.543798045602594</v>
      </c>
      <c r="N966" t="s">
        <v>4538</v>
      </c>
      <c r="P966" t="s">
        <v>7</v>
      </c>
    </row>
    <row r="967" spans="1:16" x14ac:dyDescent="0.25">
      <c r="A967" t="s">
        <v>4513</v>
      </c>
      <c r="B967" t="s">
        <v>3048</v>
      </c>
      <c r="C967" t="s">
        <v>155</v>
      </c>
      <c r="D967" t="s">
        <v>26</v>
      </c>
      <c r="E967" t="s">
        <v>42</v>
      </c>
      <c r="F967">
        <v>1</v>
      </c>
      <c r="G967" t="s">
        <v>4</v>
      </c>
      <c r="H967" t="s">
        <v>15</v>
      </c>
      <c r="I967">
        <v>80000.02</v>
      </c>
      <c r="J967" s="2">
        <v>80000.02</v>
      </c>
      <c r="K967">
        <v>52.117276872964169</v>
      </c>
      <c r="N967" t="s">
        <v>4538</v>
      </c>
      <c r="P967" t="s">
        <v>7</v>
      </c>
    </row>
    <row r="968" spans="1:16" x14ac:dyDescent="0.25">
      <c r="A968" t="s">
        <v>4513</v>
      </c>
      <c r="B968" t="s">
        <v>1979</v>
      </c>
      <c r="C968" t="s">
        <v>155</v>
      </c>
      <c r="D968" t="s">
        <v>26</v>
      </c>
      <c r="E968" t="s">
        <v>42</v>
      </c>
      <c r="F968">
        <v>1</v>
      </c>
      <c r="G968" t="s">
        <v>4</v>
      </c>
      <c r="H968" t="s">
        <v>15</v>
      </c>
      <c r="I968">
        <v>90000</v>
      </c>
      <c r="K968">
        <v>58.631921824104232</v>
      </c>
      <c r="N968" t="s">
        <v>4538</v>
      </c>
      <c r="P968" t="s">
        <v>7</v>
      </c>
    </row>
    <row r="969" spans="1:16" x14ac:dyDescent="0.25">
      <c r="A969" t="s">
        <v>4513</v>
      </c>
      <c r="B969" t="s">
        <v>483</v>
      </c>
      <c r="C969" t="s">
        <v>155</v>
      </c>
      <c r="D969" t="s">
        <v>26</v>
      </c>
      <c r="E969" t="s">
        <v>42</v>
      </c>
      <c r="F969">
        <v>1</v>
      </c>
      <c r="G969" t="s">
        <v>4</v>
      </c>
      <c r="H969" t="s">
        <v>15</v>
      </c>
      <c r="I969">
        <v>200000</v>
      </c>
      <c r="K969">
        <v>130.29315960912052</v>
      </c>
      <c r="N969" t="s">
        <v>4538</v>
      </c>
      <c r="P969" t="s">
        <v>7</v>
      </c>
    </row>
    <row r="970" spans="1:16" hidden="1" x14ac:dyDescent="0.25">
      <c r="A970" t="s">
        <v>4513</v>
      </c>
      <c r="B970" t="s">
        <v>2728</v>
      </c>
      <c r="C970" t="s">
        <v>3910</v>
      </c>
      <c r="D970" t="s">
        <v>26</v>
      </c>
      <c r="E970" t="s">
        <v>42</v>
      </c>
      <c r="F970">
        <v>2</v>
      </c>
      <c r="G970" t="s">
        <v>4</v>
      </c>
      <c r="H970" t="s">
        <v>15</v>
      </c>
      <c r="I970">
        <v>210500</v>
      </c>
      <c r="J970" s="2">
        <v>210500</v>
      </c>
      <c r="K970">
        <v>137.13355048859935</v>
      </c>
      <c r="N970" t="s">
        <v>4538</v>
      </c>
      <c r="P970" t="s">
        <v>7</v>
      </c>
    </row>
    <row r="971" spans="1:16" x14ac:dyDescent="0.25">
      <c r="A971" t="s">
        <v>4513</v>
      </c>
      <c r="B971" t="s">
        <v>3299</v>
      </c>
      <c r="C971" t="s">
        <v>3300</v>
      </c>
      <c r="D971" t="s">
        <v>26</v>
      </c>
      <c r="E971" t="s">
        <v>42</v>
      </c>
      <c r="F971">
        <v>1</v>
      </c>
      <c r="G971" t="s">
        <v>4</v>
      </c>
      <c r="H971" t="s">
        <v>15</v>
      </c>
      <c r="I971">
        <v>250000</v>
      </c>
      <c r="J971" s="2">
        <v>250000</v>
      </c>
      <c r="K971">
        <v>162.86644951140065</v>
      </c>
      <c r="N971" t="s">
        <v>4538</v>
      </c>
      <c r="P971" t="s">
        <v>7</v>
      </c>
    </row>
    <row r="972" spans="1:16" x14ac:dyDescent="0.25">
      <c r="A972" t="s">
        <v>4513</v>
      </c>
      <c r="B972" t="s">
        <v>3155</v>
      </c>
      <c r="C972" t="s">
        <v>3156</v>
      </c>
      <c r="D972" t="s">
        <v>26</v>
      </c>
      <c r="E972" t="s">
        <v>42</v>
      </c>
      <c r="F972">
        <v>1</v>
      </c>
      <c r="G972" t="s">
        <v>4</v>
      </c>
      <c r="H972" t="s">
        <v>15</v>
      </c>
      <c r="I972">
        <v>250000</v>
      </c>
      <c r="J972" s="2">
        <v>250000</v>
      </c>
      <c r="K972">
        <v>162.86644951140065</v>
      </c>
      <c r="N972" t="s">
        <v>4538</v>
      </c>
      <c r="P972" t="s">
        <v>7</v>
      </c>
    </row>
    <row r="973" spans="1:16" x14ac:dyDescent="0.25">
      <c r="A973" t="s">
        <v>4513</v>
      </c>
      <c r="B973" t="s">
        <v>3256</v>
      </c>
      <c r="C973" t="s">
        <v>4449</v>
      </c>
      <c r="D973" t="s">
        <v>26</v>
      </c>
      <c r="E973" t="s">
        <v>42</v>
      </c>
      <c r="F973">
        <v>1</v>
      </c>
      <c r="G973" t="s">
        <v>4</v>
      </c>
      <c r="H973" t="s">
        <v>15</v>
      </c>
      <c r="I973">
        <v>900000</v>
      </c>
      <c r="K973">
        <v>586.31921824104234</v>
      </c>
      <c r="N973" t="s">
        <v>4538</v>
      </c>
      <c r="P973" t="s">
        <v>7</v>
      </c>
    </row>
    <row r="974" spans="1:16" hidden="1" x14ac:dyDescent="0.25">
      <c r="A974" t="s">
        <v>4513</v>
      </c>
      <c r="B974" t="s">
        <v>3703</v>
      </c>
      <c r="C974" t="s">
        <v>2667</v>
      </c>
      <c r="D974" t="s">
        <v>26</v>
      </c>
      <c r="E974" t="s">
        <v>3928</v>
      </c>
      <c r="F974">
        <v>2</v>
      </c>
      <c r="G974" t="s">
        <v>4</v>
      </c>
      <c r="H974" t="s">
        <v>15</v>
      </c>
      <c r="I974">
        <v>2000000</v>
      </c>
      <c r="J974" s="2">
        <v>2000000</v>
      </c>
      <c r="K974">
        <v>1302.9315960912052</v>
      </c>
      <c r="L974" t="s">
        <v>4428</v>
      </c>
      <c r="N974" t="s">
        <v>4538</v>
      </c>
      <c r="P974" t="s">
        <v>7</v>
      </c>
    </row>
    <row r="975" spans="1:16" hidden="1" x14ac:dyDescent="0.25">
      <c r="A975" t="s">
        <v>4513</v>
      </c>
      <c r="B975" t="s">
        <v>3051</v>
      </c>
      <c r="C975" t="s">
        <v>2667</v>
      </c>
      <c r="D975" t="s">
        <v>26</v>
      </c>
      <c r="E975" t="s">
        <v>3928</v>
      </c>
      <c r="F975">
        <v>2</v>
      </c>
      <c r="G975" t="s">
        <v>4</v>
      </c>
      <c r="H975" t="s">
        <v>15</v>
      </c>
      <c r="I975">
        <v>2000000</v>
      </c>
      <c r="J975" s="2">
        <v>2000000</v>
      </c>
      <c r="K975">
        <v>1302.9315960912052</v>
      </c>
      <c r="N975" t="s">
        <v>4538</v>
      </c>
      <c r="P975" t="s">
        <v>7</v>
      </c>
    </row>
    <row r="976" spans="1:16" hidden="1" x14ac:dyDescent="0.25">
      <c r="A976" t="s">
        <v>4513</v>
      </c>
      <c r="B976" t="s">
        <v>1854</v>
      </c>
      <c r="C976" t="s">
        <v>2667</v>
      </c>
      <c r="D976" t="s">
        <v>26</v>
      </c>
      <c r="E976" t="s">
        <v>42</v>
      </c>
      <c r="F976">
        <v>2</v>
      </c>
      <c r="G976" t="s">
        <v>4</v>
      </c>
      <c r="H976" t="s">
        <v>15</v>
      </c>
      <c r="I976">
        <v>2000000</v>
      </c>
      <c r="J976" s="2">
        <v>2000000</v>
      </c>
      <c r="K976">
        <v>1302.9315960912052</v>
      </c>
      <c r="N976" t="s">
        <v>4538</v>
      </c>
      <c r="P976" t="s">
        <v>7</v>
      </c>
    </row>
    <row r="977" spans="1:16" hidden="1" x14ac:dyDescent="0.25">
      <c r="A977" t="s">
        <v>4513</v>
      </c>
      <c r="B977" t="s">
        <v>1677</v>
      </c>
      <c r="C977" t="s">
        <v>4035</v>
      </c>
      <c r="D977" t="s">
        <v>26</v>
      </c>
      <c r="E977" t="s">
        <v>62</v>
      </c>
      <c r="F977">
        <v>2</v>
      </c>
      <c r="G977" t="s">
        <v>4</v>
      </c>
      <c r="H977" t="s">
        <v>15</v>
      </c>
      <c r="I977">
        <v>2000000</v>
      </c>
      <c r="J977" s="2">
        <v>2000000</v>
      </c>
      <c r="K977">
        <v>1302.9315960912052</v>
      </c>
      <c r="N977" t="s">
        <v>4538</v>
      </c>
      <c r="P977" t="s">
        <v>7</v>
      </c>
    </row>
    <row r="978" spans="1:16" x14ac:dyDescent="0.25">
      <c r="J978" s="2">
        <f>SUBTOTAL(109,Tabla5961[Importe AR$])</f>
        <v>580000.02</v>
      </c>
    </row>
    <row r="980" spans="1:16" x14ac:dyDescent="0.25">
      <c r="A980" t="s">
        <v>7</v>
      </c>
      <c r="B980" t="s">
        <v>8</v>
      </c>
      <c r="C980" t="s">
        <v>9</v>
      </c>
      <c r="D980" t="s">
        <v>10</v>
      </c>
      <c r="E980" t="s">
        <v>11</v>
      </c>
      <c r="F980" t="s">
        <v>12</v>
      </c>
      <c r="G980" t="s">
        <v>13</v>
      </c>
      <c r="H980" t="s">
        <v>14</v>
      </c>
      <c r="I980" t="s">
        <v>15</v>
      </c>
      <c r="J980" s="2" t="s">
        <v>16</v>
      </c>
      <c r="K980" t="s">
        <v>17</v>
      </c>
      <c r="L980" t="s">
        <v>18</v>
      </c>
      <c r="M980" t="s">
        <v>19</v>
      </c>
      <c r="N980" t="s">
        <v>20</v>
      </c>
      <c r="O980" t="s">
        <v>21</v>
      </c>
      <c r="P980" t="s">
        <v>22</v>
      </c>
    </row>
    <row r="981" spans="1:16" hidden="1" x14ac:dyDescent="0.25">
      <c r="A981" t="s">
        <v>4513</v>
      </c>
      <c r="B981" t="s">
        <v>3992</v>
      </c>
      <c r="C981" t="s">
        <v>3993</v>
      </c>
      <c r="D981" t="s">
        <v>26</v>
      </c>
      <c r="E981" t="s">
        <v>42</v>
      </c>
      <c r="F981">
        <v>1</v>
      </c>
      <c r="G981" t="s">
        <v>4</v>
      </c>
      <c r="H981" t="s">
        <v>15</v>
      </c>
      <c r="I981">
        <v>16184.729999999981</v>
      </c>
      <c r="J981" s="2">
        <v>16184.729999999981</v>
      </c>
      <c r="K981">
        <v>10.543798045602594</v>
      </c>
      <c r="N981" t="s">
        <v>4538</v>
      </c>
      <c r="P981" t="s">
        <v>7</v>
      </c>
    </row>
    <row r="982" spans="1:16" hidden="1" x14ac:dyDescent="0.25">
      <c r="A982" t="s">
        <v>4513</v>
      </c>
      <c r="B982" t="s">
        <v>3048</v>
      </c>
      <c r="C982" t="s">
        <v>155</v>
      </c>
      <c r="D982" t="s">
        <v>26</v>
      </c>
      <c r="E982" t="s">
        <v>42</v>
      </c>
      <c r="F982">
        <v>1</v>
      </c>
      <c r="G982" t="s">
        <v>4</v>
      </c>
      <c r="H982" t="s">
        <v>15</v>
      </c>
      <c r="I982">
        <v>80000.02</v>
      </c>
      <c r="J982" s="2">
        <v>80000.02</v>
      </c>
      <c r="K982">
        <v>52.117276872964169</v>
      </c>
      <c r="N982" t="s">
        <v>4538</v>
      </c>
      <c r="P982" t="s">
        <v>7</v>
      </c>
    </row>
    <row r="983" spans="1:16" hidden="1" x14ac:dyDescent="0.25">
      <c r="A983" t="s">
        <v>4513</v>
      </c>
      <c r="B983" t="s">
        <v>1979</v>
      </c>
      <c r="C983" t="s">
        <v>155</v>
      </c>
      <c r="D983" t="s">
        <v>26</v>
      </c>
      <c r="E983" t="s">
        <v>42</v>
      </c>
      <c r="F983">
        <v>1</v>
      </c>
      <c r="G983" t="s">
        <v>4</v>
      </c>
      <c r="H983" t="s">
        <v>15</v>
      </c>
      <c r="I983">
        <v>90000</v>
      </c>
      <c r="J983" s="2">
        <v>90000</v>
      </c>
      <c r="K983">
        <v>58.631921824104232</v>
      </c>
      <c r="N983" t="s">
        <v>4538</v>
      </c>
      <c r="P983" t="s">
        <v>7</v>
      </c>
    </row>
    <row r="984" spans="1:16" hidden="1" x14ac:dyDescent="0.25">
      <c r="A984" t="s">
        <v>4513</v>
      </c>
      <c r="B984" t="s">
        <v>483</v>
      </c>
      <c r="C984" t="s">
        <v>155</v>
      </c>
      <c r="D984" t="s">
        <v>26</v>
      </c>
      <c r="E984" t="s">
        <v>42</v>
      </c>
      <c r="F984">
        <v>1</v>
      </c>
      <c r="G984" t="s">
        <v>4</v>
      </c>
      <c r="H984" t="s">
        <v>15</v>
      </c>
      <c r="I984">
        <v>200000</v>
      </c>
      <c r="J984" s="2">
        <v>200000</v>
      </c>
      <c r="K984">
        <v>130.29315960912052</v>
      </c>
      <c r="N984" t="s">
        <v>4538</v>
      </c>
      <c r="P984" t="s">
        <v>7</v>
      </c>
    </row>
    <row r="985" spans="1:16" x14ac:dyDescent="0.25">
      <c r="A985" t="s">
        <v>4513</v>
      </c>
      <c r="B985" t="s">
        <v>2728</v>
      </c>
      <c r="C985" t="s">
        <v>3910</v>
      </c>
      <c r="D985" t="s">
        <v>26</v>
      </c>
      <c r="E985" t="s">
        <v>42</v>
      </c>
      <c r="F985">
        <v>2</v>
      </c>
      <c r="G985" t="s">
        <v>4</v>
      </c>
      <c r="H985" t="s">
        <v>15</v>
      </c>
      <c r="I985">
        <v>210500</v>
      </c>
      <c r="K985">
        <v>137.13355048859935</v>
      </c>
      <c r="N985" t="s">
        <v>4538</v>
      </c>
      <c r="P985" t="s">
        <v>7</v>
      </c>
    </row>
    <row r="986" spans="1:16" hidden="1" x14ac:dyDescent="0.25">
      <c r="A986" t="s">
        <v>4513</v>
      </c>
      <c r="B986" t="s">
        <v>3299</v>
      </c>
      <c r="C986" t="s">
        <v>3300</v>
      </c>
      <c r="D986" t="s">
        <v>26</v>
      </c>
      <c r="E986" t="s">
        <v>42</v>
      </c>
      <c r="F986">
        <v>1</v>
      </c>
      <c r="G986" t="s">
        <v>4</v>
      </c>
      <c r="H986" t="s">
        <v>15</v>
      </c>
      <c r="I986">
        <v>250000</v>
      </c>
      <c r="J986" s="2">
        <v>250000</v>
      </c>
      <c r="K986">
        <v>162.86644951140065</v>
      </c>
      <c r="N986" t="s">
        <v>4538</v>
      </c>
      <c r="P986" t="s">
        <v>7</v>
      </c>
    </row>
    <row r="987" spans="1:16" hidden="1" x14ac:dyDescent="0.25">
      <c r="A987" t="s">
        <v>4513</v>
      </c>
      <c r="B987" t="s">
        <v>3155</v>
      </c>
      <c r="C987" t="s">
        <v>3156</v>
      </c>
      <c r="D987" t="s">
        <v>26</v>
      </c>
      <c r="E987" t="s">
        <v>42</v>
      </c>
      <c r="F987">
        <v>1</v>
      </c>
      <c r="G987" t="s">
        <v>4</v>
      </c>
      <c r="H987" t="s">
        <v>15</v>
      </c>
      <c r="I987">
        <v>250000</v>
      </c>
      <c r="J987" s="2">
        <v>250000</v>
      </c>
      <c r="K987">
        <v>162.86644951140065</v>
      </c>
      <c r="N987" t="s">
        <v>4538</v>
      </c>
      <c r="P987" t="s">
        <v>7</v>
      </c>
    </row>
    <row r="988" spans="1:16" hidden="1" x14ac:dyDescent="0.25">
      <c r="A988" t="s">
        <v>4513</v>
      </c>
      <c r="B988" t="s">
        <v>3256</v>
      </c>
      <c r="C988" t="s">
        <v>4449</v>
      </c>
      <c r="D988" t="s">
        <v>26</v>
      </c>
      <c r="E988" t="s">
        <v>42</v>
      </c>
      <c r="F988">
        <v>1</v>
      </c>
      <c r="G988" t="s">
        <v>4</v>
      </c>
      <c r="H988" t="s">
        <v>15</v>
      </c>
      <c r="I988">
        <v>900000</v>
      </c>
      <c r="J988" s="2">
        <v>900000</v>
      </c>
      <c r="K988">
        <v>586.31921824104234</v>
      </c>
      <c r="N988" t="s">
        <v>4538</v>
      </c>
      <c r="P988" t="s">
        <v>7</v>
      </c>
    </row>
    <row r="989" spans="1:16" x14ac:dyDescent="0.25">
      <c r="A989" t="s">
        <v>4513</v>
      </c>
      <c r="B989" t="s">
        <v>3703</v>
      </c>
      <c r="C989" t="s">
        <v>2667</v>
      </c>
      <c r="D989" t="s">
        <v>26</v>
      </c>
      <c r="E989" t="s">
        <v>3928</v>
      </c>
      <c r="F989">
        <v>2</v>
      </c>
      <c r="G989" t="s">
        <v>4</v>
      </c>
      <c r="H989" t="s">
        <v>15</v>
      </c>
      <c r="I989">
        <v>2000000</v>
      </c>
      <c r="K989">
        <v>1302.9315960912052</v>
      </c>
      <c r="L989" t="s">
        <v>4428</v>
      </c>
      <c r="N989" t="s">
        <v>4538</v>
      </c>
      <c r="P989" t="s">
        <v>7</v>
      </c>
    </row>
    <row r="990" spans="1:16" x14ac:dyDescent="0.25">
      <c r="A990" t="s">
        <v>4513</v>
      </c>
      <c r="B990" t="s">
        <v>3051</v>
      </c>
      <c r="C990" t="s">
        <v>2667</v>
      </c>
      <c r="D990" t="s">
        <v>26</v>
      </c>
      <c r="E990" t="s">
        <v>3928</v>
      </c>
      <c r="F990">
        <v>2</v>
      </c>
      <c r="G990" t="s">
        <v>4</v>
      </c>
      <c r="H990" t="s">
        <v>15</v>
      </c>
      <c r="I990">
        <v>2000000</v>
      </c>
      <c r="J990" s="2">
        <v>500000</v>
      </c>
      <c r="K990">
        <v>1302.9315960912052</v>
      </c>
      <c r="N990" t="s">
        <v>4538</v>
      </c>
      <c r="P990" t="s">
        <v>7</v>
      </c>
    </row>
    <row r="991" spans="1:16" x14ac:dyDescent="0.25">
      <c r="A991" t="s">
        <v>4513</v>
      </c>
      <c r="B991" t="s">
        <v>1854</v>
      </c>
      <c r="C991" t="s">
        <v>2667</v>
      </c>
      <c r="D991" t="s">
        <v>26</v>
      </c>
      <c r="E991" t="s">
        <v>42</v>
      </c>
      <c r="F991">
        <v>2</v>
      </c>
      <c r="G991" t="s">
        <v>4</v>
      </c>
      <c r="H991" t="s">
        <v>15</v>
      </c>
      <c r="I991">
        <v>2000000</v>
      </c>
      <c r="K991">
        <v>1302.9315960912052</v>
      </c>
      <c r="N991" t="s">
        <v>4538</v>
      </c>
      <c r="P991" t="s">
        <v>7</v>
      </c>
    </row>
    <row r="992" spans="1:16" x14ac:dyDescent="0.25">
      <c r="A992" t="s">
        <v>4513</v>
      </c>
      <c r="B992" t="s">
        <v>1677</v>
      </c>
      <c r="C992" t="s">
        <v>4035</v>
      </c>
      <c r="D992" t="s">
        <v>26</v>
      </c>
      <c r="E992" t="s">
        <v>62</v>
      </c>
      <c r="F992">
        <v>2</v>
      </c>
      <c r="G992" t="s">
        <v>4</v>
      </c>
      <c r="H992" t="s">
        <v>15</v>
      </c>
      <c r="I992">
        <v>2000000</v>
      </c>
      <c r="J992" s="2">
        <v>1000000</v>
      </c>
      <c r="K992">
        <v>1302.9315960912052</v>
      </c>
      <c r="N992" t="s">
        <v>4538</v>
      </c>
      <c r="P992" t="s">
        <v>7</v>
      </c>
    </row>
    <row r="993" spans="1:16" x14ac:dyDescent="0.25">
      <c r="J993" s="2">
        <f>SUBTOTAL(109,Tabla5962[Importe AR$])</f>
        <v>1500000</v>
      </c>
    </row>
    <row r="995" spans="1:16" x14ac:dyDescent="0.25">
      <c r="G995" s="25" t="s">
        <v>26</v>
      </c>
      <c r="H995" s="25"/>
      <c r="I995" s="25"/>
      <c r="J995" s="4">
        <f>Tabla5962[[#Totals],[Importe AR$]]+Tabla5961[[#Totals],[Importe AR$]]</f>
        <v>2080000.02</v>
      </c>
    </row>
    <row r="999" spans="1:16" x14ac:dyDescent="0.25">
      <c r="J999" s="2">
        <v>2439000</v>
      </c>
    </row>
    <row r="1001" spans="1:16" x14ac:dyDescent="0.25">
      <c r="J1001" s="2">
        <f>J999-J995</f>
        <v>358999.98</v>
      </c>
    </row>
    <row r="1004" spans="1:16" x14ac:dyDescent="0.25">
      <c r="A1004" t="s">
        <v>7</v>
      </c>
      <c r="B1004" t="s">
        <v>8</v>
      </c>
      <c r="C1004" t="s">
        <v>9</v>
      </c>
      <c r="D1004" t="s">
        <v>10</v>
      </c>
      <c r="E1004" t="s">
        <v>11</v>
      </c>
      <c r="F1004" t="s">
        <v>12</v>
      </c>
      <c r="G1004" t="s">
        <v>13</v>
      </c>
      <c r="H1004" t="s">
        <v>14</v>
      </c>
      <c r="I1004" t="s">
        <v>15</v>
      </c>
      <c r="J1004" t="s">
        <v>16</v>
      </c>
      <c r="K1004" t="s">
        <v>17</v>
      </c>
      <c r="L1004" t="s">
        <v>18</v>
      </c>
      <c r="M1004" t="s">
        <v>19</v>
      </c>
      <c r="N1004" t="s">
        <v>20</v>
      </c>
      <c r="O1004" t="s">
        <v>21</v>
      </c>
      <c r="P1004" t="s">
        <v>22</v>
      </c>
    </row>
    <row r="1005" spans="1:16" x14ac:dyDescent="0.25">
      <c r="A1005" t="s">
        <v>4569</v>
      </c>
      <c r="B1005" t="s">
        <v>2153</v>
      </c>
      <c r="C1005" t="s">
        <v>3993</v>
      </c>
      <c r="D1005" t="s">
        <v>26</v>
      </c>
      <c r="E1005" t="s">
        <v>42</v>
      </c>
      <c r="F1005">
        <v>1</v>
      </c>
      <c r="G1005" t="s">
        <v>4</v>
      </c>
      <c r="H1005" t="s">
        <v>15</v>
      </c>
      <c r="I1005">
        <v>16184.729999999981</v>
      </c>
      <c r="J1005" s="49">
        <v>579360</v>
      </c>
      <c r="K1005">
        <v>10.543798045602594</v>
      </c>
      <c r="N1005" t="s">
        <v>4596</v>
      </c>
      <c r="P1005" t="s">
        <v>7</v>
      </c>
    </row>
    <row r="1006" spans="1:16" x14ac:dyDescent="0.25">
      <c r="A1006" t="s">
        <v>4569</v>
      </c>
      <c r="B1006" t="s">
        <v>3048</v>
      </c>
      <c r="C1006" t="s">
        <v>155</v>
      </c>
      <c r="D1006" t="s">
        <v>26</v>
      </c>
      <c r="E1006" t="s">
        <v>42</v>
      </c>
      <c r="F1006">
        <v>1</v>
      </c>
      <c r="G1006" t="s">
        <v>4</v>
      </c>
      <c r="H1006" t="s">
        <v>15</v>
      </c>
      <c r="I1006">
        <v>80000.02</v>
      </c>
      <c r="J1006" s="49">
        <v>80000.02</v>
      </c>
      <c r="K1006">
        <v>52.117276872964169</v>
      </c>
      <c r="N1006" t="s">
        <v>4596</v>
      </c>
      <c r="P1006" t="s">
        <v>7</v>
      </c>
    </row>
    <row r="1007" spans="1:16" x14ac:dyDescent="0.25">
      <c r="A1007" t="s">
        <v>4569</v>
      </c>
      <c r="B1007" t="s">
        <v>1979</v>
      </c>
      <c r="C1007" t="s">
        <v>155</v>
      </c>
      <c r="D1007" t="s">
        <v>26</v>
      </c>
      <c r="E1007" t="s">
        <v>42</v>
      </c>
      <c r="F1007">
        <v>1</v>
      </c>
      <c r="G1007" t="s">
        <v>4</v>
      </c>
      <c r="H1007" t="s">
        <v>15</v>
      </c>
      <c r="I1007">
        <v>87009.8</v>
      </c>
      <c r="J1007" s="49">
        <v>87009.8</v>
      </c>
      <c r="K1007">
        <v>56.683908794788273</v>
      </c>
      <c r="N1007" t="s">
        <v>4596</v>
      </c>
      <c r="P1007" t="s">
        <v>7</v>
      </c>
    </row>
    <row r="1008" spans="1:16" x14ac:dyDescent="0.25">
      <c r="A1008" t="s">
        <v>4569</v>
      </c>
      <c r="B1008" t="s">
        <v>1580</v>
      </c>
      <c r="C1008" t="s">
        <v>155</v>
      </c>
      <c r="D1008" t="s">
        <v>26</v>
      </c>
      <c r="E1008" t="s">
        <v>42</v>
      </c>
      <c r="F1008">
        <v>1</v>
      </c>
      <c r="G1008" t="s">
        <v>4</v>
      </c>
      <c r="H1008" t="s">
        <v>15</v>
      </c>
      <c r="I1008">
        <v>199997.99</v>
      </c>
      <c r="J1008" s="49">
        <v>199997.99</v>
      </c>
      <c r="K1008">
        <v>130.29185016286644</v>
      </c>
      <c r="N1008" t="s">
        <v>4596</v>
      </c>
      <c r="P1008" t="s">
        <v>7</v>
      </c>
    </row>
    <row r="1009" spans="1:20" x14ac:dyDescent="0.25">
      <c r="A1009" t="s">
        <v>4569</v>
      </c>
      <c r="B1009" t="s">
        <v>1565</v>
      </c>
      <c r="C1009" t="s">
        <v>155</v>
      </c>
      <c r="D1009" t="s">
        <v>26</v>
      </c>
      <c r="E1009" t="s">
        <v>42</v>
      </c>
      <c r="F1009">
        <v>1</v>
      </c>
      <c r="G1009" t="s">
        <v>4</v>
      </c>
      <c r="H1009" t="s">
        <v>15</v>
      </c>
      <c r="I1009">
        <v>200000</v>
      </c>
      <c r="J1009" s="49">
        <v>200000</v>
      </c>
      <c r="K1009">
        <v>130.29315960912052</v>
      </c>
      <c r="N1009" t="s">
        <v>4596</v>
      </c>
      <c r="P1009" t="s">
        <v>7</v>
      </c>
    </row>
    <row r="1010" spans="1:20" hidden="1" x14ac:dyDescent="0.25">
      <c r="A1010" t="s">
        <v>4569</v>
      </c>
      <c r="B1010" t="s">
        <v>2728</v>
      </c>
      <c r="C1010" t="s">
        <v>3910</v>
      </c>
      <c r="D1010" t="s">
        <v>26</v>
      </c>
      <c r="E1010" t="s">
        <v>42</v>
      </c>
      <c r="F1010">
        <v>2</v>
      </c>
      <c r="G1010" t="s">
        <v>4</v>
      </c>
      <c r="H1010" t="s">
        <v>15</v>
      </c>
      <c r="I1010">
        <v>210500</v>
      </c>
      <c r="J1010">
        <v>210500</v>
      </c>
      <c r="K1010">
        <v>137.13355048859935</v>
      </c>
      <c r="N1010" t="s">
        <v>4596</v>
      </c>
      <c r="P1010" t="s">
        <v>7</v>
      </c>
    </row>
    <row r="1011" spans="1:20" x14ac:dyDescent="0.25">
      <c r="A1011" t="s">
        <v>4569</v>
      </c>
      <c r="B1011" t="s">
        <v>3299</v>
      </c>
      <c r="C1011" t="s">
        <v>3300</v>
      </c>
      <c r="D1011" t="s">
        <v>26</v>
      </c>
      <c r="E1011" t="s">
        <v>42</v>
      </c>
      <c r="F1011">
        <v>1</v>
      </c>
      <c r="G1011" t="s">
        <v>4</v>
      </c>
      <c r="H1011" t="s">
        <v>15</v>
      </c>
      <c r="I1011">
        <v>250000</v>
      </c>
      <c r="J1011" s="2">
        <v>250000</v>
      </c>
      <c r="K1011">
        <v>162.86644951140065</v>
      </c>
      <c r="N1011" t="s">
        <v>4596</v>
      </c>
      <c r="P1011" t="s">
        <v>7</v>
      </c>
    </row>
    <row r="1012" spans="1:20" x14ac:dyDescent="0.25">
      <c r="A1012" t="s">
        <v>4569</v>
      </c>
      <c r="B1012" t="s">
        <v>2153</v>
      </c>
      <c r="J1012" s="2">
        <v>198000</v>
      </c>
    </row>
    <row r="1013" spans="1:20" x14ac:dyDescent="0.25">
      <c r="A1013" t="s">
        <v>4569</v>
      </c>
      <c r="B1013" t="s">
        <v>1979</v>
      </c>
      <c r="J1013" s="2">
        <v>104000</v>
      </c>
    </row>
    <row r="1014" spans="1:20" x14ac:dyDescent="0.25">
      <c r="A1014" t="s">
        <v>4569</v>
      </c>
      <c r="B1014" t="s">
        <v>3155</v>
      </c>
      <c r="C1014" t="s">
        <v>3156</v>
      </c>
      <c r="D1014" t="s">
        <v>26</v>
      </c>
      <c r="E1014" t="s">
        <v>42</v>
      </c>
      <c r="F1014">
        <v>1</v>
      </c>
      <c r="G1014" t="s">
        <v>4</v>
      </c>
      <c r="H1014" t="s">
        <v>15</v>
      </c>
      <c r="I1014">
        <v>250000</v>
      </c>
      <c r="J1014" s="2">
        <v>250000</v>
      </c>
      <c r="K1014">
        <v>162.86644951140065</v>
      </c>
      <c r="N1014" t="s">
        <v>4596</v>
      </c>
      <c r="P1014" t="s">
        <v>7</v>
      </c>
    </row>
    <row r="1015" spans="1:20" hidden="1" x14ac:dyDescent="0.25">
      <c r="A1015" t="s">
        <v>4569</v>
      </c>
      <c r="B1015" t="s">
        <v>1677</v>
      </c>
      <c r="C1015" t="s">
        <v>4035</v>
      </c>
      <c r="D1015" t="s">
        <v>26</v>
      </c>
      <c r="E1015" t="s">
        <v>62</v>
      </c>
      <c r="F1015">
        <v>2</v>
      </c>
      <c r="G1015" t="s">
        <v>4</v>
      </c>
      <c r="H1015" t="s">
        <v>15</v>
      </c>
      <c r="I1015">
        <v>1000000</v>
      </c>
      <c r="J1015">
        <v>1000000</v>
      </c>
      <c r="K1015">
        <v>651.46579804560258</v>
      </c>
      <c r="N1015" t="s">
        <v>4596</v>
      </c>
      <c r="P1015" t="s">
        <v>7</v>
      </c>
    </row>
    <row r="1016" spans="1:20" hidden="1" x14ac:dyDescent="0.25">
      <c r="A1016" t="s">
        <v>4569</v>
      </c>
      <c r="B1016" t="s">
        <v>3703</v>
      </c>
      <c r="C1016" t="s">
        <v>2667</v>
      </c>
      <c r="D1016" t="s">
        <v>26</v>
      </c>
      <c r="E1016" t="s">
        <v>3928</v>
      </c>
      <c r="F1016">
        <v>2</v>
      </c>
      <c r="G1016" t="s">
        <v>4</v>
      </c>
      <c r="H1016" t="s">
        <v>15</v>
      </c>
      <c r="I1016">
        <v>2000000</v>
      </c>
      <c r="J1016">
        <v>2000000</v>
      </c>
      <c r="K1016">
        <v>1302.9315960912052</v>
      </c>
      <c r="L1016" t="s">
        <v>4428</v>
      </c>
      <c r="N1016" t="s">
        <v>4596</v>
      </c>
      <c r="P1016" t="s">
        <v>7</v>
      </c>
    </row>
    <row r="1017" spans="1:20" hidden="1" x14ac:dyDescent="0.25">
      <c r="A1017" t="s">
        <v>4569</v>
      </c>
      <c r="B1017" t="s">
        <v>1854</v>
      </c>
      <c r="C1017" t="s">
        <v>2667</v>
      </c>
      <c r="D1017" t="s">
        <v>26</v>
      </c>
      <c r="E1017" t="s">
        <v>3928</v>
      </c>
      <c r="F1017">
        <v>2</v>
      </c>
      <c r="G1017" t="s">
        <v>4</v>
      </c>
      <c r="H1017" t="s">
        <v>15</v>
      </c>
      <c r="I1017">
        <v>2000000</v>
      </c>
      <c r="J1017">
        <v>2000000</v>
      </c>
      <c r="K1017">
        <v>1302.9315960912052</v>
      </c>
      <c r="N1017" t="s">
        <v>4596</v>
      </c>
      <c r="P1017" t="s">
        <v>7</v>
      </c>
    </row>
    <row r="1018" spans="1:20" x14ac:dyDescent="0.25">
      <c r="J1018" s="103">
        <f>SUBTOTAL(109,Tabla237[Importe AR$])</f>
        <v>1948367.81</v>
      </c>
    </row>
    <row r="1020" spans="1:20" x14ac:dyDescent="0.25">
      <c r="A1020" t="s">
        <v>7</v>
      </c>
      <c r="B1020" t="s">
        <v>8</v>
      </c>
      <c r="C1020" t="s">
        <v>9</v>
      </c>
      <c r="D1020" t="s">
        <v>10</v>
      </c>
      <c r="E1020" t="s">
        <v>11</v>
      </c>
      <c r="F1020" t="s">
        <v>12</v>
      </c>
      <c r="G1020" t="s">
        <v>13</v>
      </c>
      <c r="H1020" t="s">
        <v>14</v>
      </c>
      <c r="I1020" t="s">
        <v>15</v>
      </c>
      <c r="J1020" t="s">
        <v>16</v>
      </c>
      <c r="K1020" t="s">
        <v>17</v>
      </c>
      <c r="L1020" t="s">
        <v>18</v>
      </c>
      <c r="M1020" t="s">
        <v>19</v>
      </c>
      <c r="N1020" t="s">
        <v>20</v>
      </c>
      <c r="O1020" t="s">
        <v>21</v>
      </c>
      <c r="P1020" t="s">
        <v>22</v>
      </c>
      <c r="S1020" s="5" t="s">
        <v>4021</v>
      </c>
      <c r="T1020" s="5" t="s">
        <v>15</v>
      </c>
    </row>
    <row r="1021" spans="1:20" hidden="1" x14ac:dyDescent="0.25">
      <c r="A1021" t="s">
        <v>4569</v>
      </c>
      <c r="B1021" t="s">
        <v>3992</v>
      </c>
      <c r="C1021" t="s">
        <v>3993</v>
      </c>
      <c r="D1021" t="s">
        <v>26</v>
      </c>
      <c r="E1021" t="s">
        <v>42</v>
      </c>
      <c r="F1021">
        <v>1</v>
      </c>
      <c r="G1021" t="s">
        <v>4</v>
      </c>
      <c r="H1021" t="s">
        <v>15</v>
      </c>
      <c r="I1021">
        <v>16184.729999999981</v>
      </c>
      <c r="J1021">
        <v>16184.729999999981</v>
      </c>
      <c r="K1021">
        <v>10.543798045602594</v>
      </c>
      <c r="N1021" t="s">
        <v>4596</v>
      </c>
      <c r="P1021" t="s">
        <v>7</v>
      </c>
    </row>
    <row r="1022" spans="1:20" hidden="1" x14ac:dyDescent="0.25">
      <c r="A1022" t="s">
        <v>4569</v>
      </c>
      <c r="B1022" t="s">
        <v>3048</v>
      </c>
      <c r="C1022" t="s">
        <v>155</v>
      </c>
      <c r="D1022" t="s">
        <v>26</v>
      </c>
      <c r="E1022" t="s">
        <v>42</v>
      </c>
      <c r="F1022">
        <v>1</v>
      </c>
      <c r="G1022" t="s">
        <v>4</v>
      </c>
      <c r="H1022" t="s">
        <v>15</v>
      </c>
      <c r="I1022">
        <v>80000.02</v>
      </c>
      <c r="J1022">
        <v>80000.02</v>
      </c>
      <c r="K1022">
        <v>52.117276872964169</v>
      </c>
      <c r="N1022" t="s">
        <v>4596</v>
      </c>
      <c r="P1022" t="s">
        <v>7</v>
      </c>
    </row>
    <row r="1023" spans="1:20" hidden="1" x14ac:dyDescent="0.25">
      <c r="A1023" t="s">
        <v>4569</v>
      </c>
      <c r="B1023" t="s">
        <v>1979</v>
      </c>
      <c r="C1023" t="s">
        <v>155</v>
      </c>
      <c r="D1023" t="s">
        <v>26</v>
      </c>
      <c r="E1023" t="s">
        <v>42</v>
      </c>
      <c r="F1023">
        <v>1</v>
      </c>
      <c r="G1023" t="s">
        <v>4</v>
      </c>
      <c r="H1023" t="s">
        <v>15</v>
      </c>
      <c r="I1023">
        <v>87009.8</v>
      </c>
      <c r="J1023">
        <v>87009.8</v>
      </c>
      <c r="K1023">
        <v>56.683908794788273</v>
      </c>
      <c r="N1023" t="s">
        <v>4596</v>
      </c>
      <c r="P1023" t="s">
        <v>7</v>
      </c>
    </row>
    <row r="1024" spans="1:20" hidden="1" x14ac:dyDescent="0.25">
      <c r="A1024" t="s">
        <v>4569</v>
      </c>
      <c r="B1024" t="s">
        <v>1580</v>
      </c>
      <c r="C1024" t="s">
        <v>155</v>
      </c>
      <c r="D1024" t="s">
        <v>26</v>
      </c>
      <c r="E1024" t="s">
        <v>42</v>
      </c>
      <c r="F1024">
        <v>1</v>
      </c>
      <c r="G1024" t="s">
        <v>4</v>
      </c>
      <c r="H1024" t="s">
        <v>15</v>
      </c>
      <c r="I1024">
        <v>199997.99</v>
      </c>
      <c r="J1024">
        <v>199997.99</v>
      </c>
      <c r="K1024">
        <v>130.29185016286644</v>
      </c>
      <c r="N1024" t="s">
        <v>4596</v>
      </c>
      <c r="P1024" t="s">
        <v>7</v>
      </c>
    </row>
    <row r="1025" spans="1:20" hidden="1" x14ac:dyDescent="0.25">
      <c r="A1025" t="s">
        <v>4569</v>
      </c>
      <c r="B1025" t="s">
        <v>483</v>
      </c>
      <c r="C1025" t="s">
        <v>155</v>
      </c>
      <c r="D1025" t="s">
        <v>26</v>
      </c>
      <c r="E1025" t="s">
        <v>42</v>
      </c>
      <c r="F1025">
        <v>1</v>
      </c>
      <c r="G1025" t="s">
        <v>4</v>
      </c>
      <c r="H1025" t="s">
        <v>15</v>
      </c>
      <c r="I1025">
        <v>200000</v>
      </c>
      <c r="J1025">
        <v>200000</v>
      </c>
      <c r="K1025">
        <v>130.29315960912052</v>
      </c>
      <c r="N1025" t="s">
        <v>4596</v>
      </c>
      <c r="P1025" t="s">
        <v>7</v>
      </c>
    </row>
    <row r="1026" spans="1:20" x14ac:dyDescent="0.25">
      <c r="A1026" t="s">
        <v>4569</v>
      </c>
      <c r="B1026" t="s">
        <v>2728</v>
      </c>
      <c r="C1026" t="s">
        <v>3910</v>
      </c>
      <c r="D1026" t="s">
        <v>26</v>
      </c>
      <c r="E1026" t="s">
        <v>42</v>
      </c>
      <c r="F1026">
        <v>2</v>
      </c>
      <c r="G1026" t="s">
        <v>4</v>
      </c>
      <c r="H1026" t="s">
        <v>15</v>
      </c>
      <c r="I1026">
        <v>210500</v>
      </c>
      <c r="J1026" s="49">
        <v>210500</v>
      </c>
      <c r="K1026">
        <v>137.13355048859935</v>
      </c>
      <c r="N1026" t="s">
        <v>4596</v>
      </c>
      <c r="P1026" t="s">
        <v>7</v>
      </c>
      <c r="S1026" s="3" t="s">
        <v>0</v>
      </c>
      <c r="T1026" s="8">
        <f>Tabla237[[#Totals],[Importe AR$]]</f>
        <v>1948367.81</v>
      </c>
    </row>
    <row r="1027" spans="1:20" hidden="1" x14ac:dyDescent="0.25">
      <c r="A1027" t="s">
        <v>4569</v>
      </c>
      <c r="B1027" t="s">
        <v>3299</v>
      </c>
      <c r="C1027" t="s">
        <v>3300</v>
      </c>
      <c r="D1027" t="s">
        <v>26</v>
      </c>
      <c r="E1027" t="s">
        <v>42</v>
      </c>
      <c r="F1027">
        <v>1</v>
      </c>
      <c r="G1027" t="s">
        <v>4</v>
      </c>
      <c r="H1027" t="s">
        <v>15</v>
      </c>
      <c r="I1027">
        <v>250000</v>
      </c>
      <c r="J1027">
        <v>250000</v>
      </c>
      <c r="K1027">
        <v>162.86644951140065</v>
      </c>
      <c r="N1027" t="s">
        <v>4596</v>
      </c>
      <c r="P1027" t="s">
        <v>7</v>
      </c>
      <c r="S1027" s="3"/>
    </row>
    <row r="1028" spans="1:20" hidden="1" x14ac:dyDescent="0.25">
      <c r="A1028" t="s">
        <v>4569</v>
      </c>
      <c r="B1028" t="s">
        <v>3155</v>
      </c>
      <c r="C1028" t="s">
        <v>3156</v>
      </c>
      <c r="D1028" t="s">
        <v>26</v>
      </c>
      <c r="E1028" t="s">
        <v>42</v>
      </c>
      <c r="F1028">
        <v>1</v>
      </c>
      <c r="G1028" t="s">
        <v>4</v>
      </c>
      <c r="H1028" t="s">
        <v>15</v>
      </c>
      <c r="I1028">
        <v>250000</v>
      </c>
      <c r="J1028">
        <v>250000</v>
      </c>
      <c r="K1028">
        <v>162.86644951140065</v>
      </c>
      <c r="N1028" t="s">
        <v>4596</v>
      </c>
      <c r="P1028" t="s">
        <v>7</v>
      </c>
      <c r="S1028" s="3"/>
    </row>
    <row r="1029" spans="1:20" x14ac:dyDescent="0.25">
      <c r="A1029" t="s">
        <v>4569</v>
      </c>
      <c r="B1029" t="s">
        <v>1677</v>
      </c>
      <c r="C1029" t="s">
        <v>4035</v>
      </c>
      <c r="D1029" t="s">
        <v>26</v>
      </c>
      <c r="E1029" t="s">
        <v>62</v>
      </c>
      <c r="F1029">
        <v>2</v>
      </c>
      <c r="G1029" t="s">
        <v>4</v>
      </c>
      <c r="H1029" t="s">
        <v>15</v>
      </c>
      <c r="I1029">
        <v>1000000</v>
      </c>
      <c r="J1029" s="49">
        <v>780000</v>
      </c>
      <c r="K1029">
        <v>651.46579804560258</v>
      </c>
      <c r="N1029" t="s">
        <v>4596</v>
      </c>
      <c r="P1029" t="s">
        <v>7</v>
      </c>
      <c r="S1029" s="3" t="s">
        <v>1</v>
      </c>
      <c r="T1029" s="8">
        <f>Tabla244[[#Totals],[Importe AR$]]</f>
        <v>2870500</v>
      </c>
    </row>
    <row r="1030" spans="1:20" x14ac:dyDescent="0.25">
      <c r="A1030" t="s">
        <v>4569</v>
      </c>
      <c r="B1030" t="s">
        <v>3703</v>
      </c>
      <c r="C1030" t="s">
        <v>2667</v>
      </c>
      <c r="D1030" t="s">
        <v>26</v>
      </c>
      <c r="E1030" t="s">
        <v>3928</v>
      </c>
      <c r="F1030">
        <v>2</v>
      </c>
      <c r="G1030" t="s">
        <v>4</v>
      </c>
      <c r="H1030" t="s">
        <v>15</v>
      </c>
      <c r="I1030">
        <v>2000000</v>
      </c>
      <c r="J1030" s="49">
        <v>1000000</v>
      </c>
      <c r="K1030">
        <v>1302.9315960912052</v>
      </c>
      <c r="L1030" t="s">
        <v>4428</v>
      </c>
      <c r="N1030" t="s">
        <v>4596</v>
      </c>
      <c r="P1030" t="s">
        <v>7</v>
      </c>
      <c r="S1030" s="25" t="s">
        <v>26</v>
      </c>
      <c r="T1030" s="98">
        <f>SUM(T1026:T1029)</f>
        <v>4818867.8100000005</v>
      </c>
    </row>
    <row r="1031" spans="1:20" x14ac:dyDescent="0.25">
      <c r="A1031" t="s">
        <v>4569</v>
      </c>
      <c r="B1031" t="s">
        <v>1854</v>
      </c>
      <c r="C1031" t="s">
        <v>2667</v>
      </c>
      <c r="D1031" t="s">
        <v>26</v>
      </c>
      <c r="E1031" t="s">
        <v>3928</v>
      </c>
      <c r="F1031">
        <v>2</v>
      </c>
      <c r="G1031" t="s">
        <v>4</v>
      </c>
      <c r="H1031" t="s">
        <v>15</v>
      </c>
      <c r="I1031">
        <v>2000000</v>
      </c>
      <c r="J1031" s="49">
        <v>880000</v>
      </c>
      <c r="K1031">
        <v>1302.9315960912052</v>
      </c>
      <c r="N1031" t="s">
        <v>4596</v>
      </c>
      <c r="P1031" t="s">
        <v>7</v>
      </c>
    </row>
    <row r="1032" spans="1:20" x14ac:dyDescent="0.25">
      <c r="B1032" t="s">
        <v>3961</v>
      </c>
      <c r="J1032" s="49"/>
    </row>
    <row r="1033" spans="1:20" x14ac:dyDescent="0.25">
      <c r="J1033" s="103">
        <f>SUBTOTAL(109,Tabla244[Importe AR$])</f>
        <v>2870500</v>
      </c>
    </row>
    <row r="1034" spans="1:20" x14ac:dyDescent="0.25">
      <c r="T1034" s="8">
        <f>Tabla244[[#Totals],[Importe AR$]]+Tabla237[[#Totals],[Importe AR$]]</f>
        <v>4818867.8100000005</v>
      </c>
    </row>
    <row r="1035" spans="1:20" x14ac:dyDescent="0.25">
      <c r="T1035" s="4">
        <v>5520000</v>
      </c>
    </row>
    <row r="1036" spans="1:20" x14ac:dyDescent="0.25">
      <c r="T1036" s="8">
        <f>T1035-T1034</f>
        <v>701132.18999999948</v>
      </c>
    </row>
  </sheetData>
  <pageMargins left="0.7" right="0.7" top="0.75" bottom="0.75" header="0.3" footer="0.3"/>
  <pageSetup paperSize="9" orientation="landscape" r:id="rId1"/>
  <drawing r:id="rId2"/>
  <tableParts count="5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E96A-CF5D-4F97-B0B4-52808718CDA6}">
  <sheetPr>
    <tabColor rgb="FFFFC000"/>
  </sheetPr>
  <dimension ref="A3:AA20"/>
  <sheetViews>
    <sheetView showGridLines="0" zoomScaleNormal="100" workbookViewId="0">
      <selection activeCell="E8" sqref="E8"/>
    </sheetView>
  </sheetViews>
  <sheetFormatPr baseColWidth="10" defaultColWidth="11.42578125" defaultRowHeight="15" x14ac:dyDescent="0.25"/>
  <cols>
    <col min="1" max="1" width="12.5703125" bestFit="1" customWidth="1"/>
    <col min="2" max="2" width="15.42578125" bestFit="1" customWidth="1"/>
    <col min="3" max="3" width="14" customWidth="1"/>
    <col min="4" max="4" width="16.7109375" bestFit="1" customWidth="1"/>
    <col min="5" max="5" width="14.85546875" bestFit="1" customWidth="1"/>
    <col min="6" max="6" width="15.5703125" bestFit="1" customWidth="1"/>
    <col min="7" max="7" width="8.140625" bestFit="1" customWidth="1"/>
    <col min="8" max="11" width="2.5703125" customWidth="1"/>
    <col min="13" max="13" width="15.42578125" bestFit="1" customWidth="1"/>
    <col min="14" max="14" width="6" bestFit="1" customWidth="1"/>
    <col min="15" max="15" width="16.7109375" bestFit="1" customWidth="1"/>
    <col min="16" max="16" width="14.5703125" bestFit="1" customWidth="1"/>
    <col min="17" max="17" width="20.5703125" bestFit="1" customWidth="1"/>
    <col min="18" max="18" width="8.140625" bestFit="1" customWidth="1"/>
    <col min="19" max="20" width="9" customWidth="1"/>
    <col min="22" max="22" width="15.5703125" bestFit="1" customWidth="1"/>
    <col min="24" max="24" width="24.28515625" bestFit="1" customWidth="1"/>
    <col min="25" max="25" width="16.7109375" bestFit="1" customWidth="1"/>
    <col min="26" max="26" width="4.42578125" bestFit="1" customWidth="1"/>
    <col min="27" max="27" width="8.28515625" bestFit="1" customWidth="1"/>
  </cols>
  <sheetData>
    <row r="3" spans="1:27" x14ac:dyDescent="0.25">
      <c r="A3" s="24" t="s">
        <v>7</v>
      </c>
      <c r="B3" s="24" t="s">
        <v>22</v>
      </c>
      <c r="C3" s="24" t="s">
        <v>12</v>
      </c>
      <c r="D3" s="24" t="s">
        <v>13</v>
      </c>
      <c r="E3" t="s">
        <v>3479</v>
      </c>
      <c r="F3" t="s">
        <v>3480</v>
      </c>
      <c r="G3" t="s">
        <v>3481</v>
      </c>
      <c r="L3" s="24" t="s">
        <v>7</v>
      </c>
      <c r="M3" s="24" t="s">
        <v>22</v>
      </c>
      <c r="N3" s="24" t="s">
        <v>12</v>
      </c>
      <c r="O3" s="24" t="s">
        <v>13</v>
      </c>
      <c r="P3" t="s">
        <v>3480</v>
      </c>
      <c r="Q3" t="s">
        <v>3483</v>
      </c>
      <c r="R3" t="s">
        <v>3481</v>
      </c>
      <c r="U3" s="24" t="s">
        <v>7</v>
      </c>
      <c r="V3" s="24" t="s">
        <v>22</v>
      </c>
      <c r="W3" s="24" t="s">
        <v>12</v>
      </c>
      <c r="X3" s="24" t="s">
        <v>8</v>
      </c>
      <c r="Y3" s="24" t="s">
        <v>13</v>
      </c>
      <c r="Z3" t="s">
        <v>3480</v>
      </c>
      <c r="AA3" t="s">
        <v>3481</v>
      </c>
    </row>
    <row r="4" spans="1:27" x14ac:dyDescent="0.25">
      <c r="A4" t="s">
        <v>4655</v>
      </c>
      <c r="B4" t="s">
        <v>27</v>
      </c>
      <c r="C4">
        <v>1</v>
      </c>
      <c r="D4" t="s">
        <v>32</v>
      </c>
      <c r="E4" s="57">
        <v>9945.3274038461532</v>
      </c>
      <c r="F4" s="8">
        <v>15514710.75</v>
      </c>
      <c r="G4" s="50">
        <v>0.78210069489840806</v>
      </c>
      <c r="L4" t="s">
        <v>4655</v>
      </c>
      <c r="M4" t="s">
        <v>7</v>
      </c>
      <c r="N4">
        <v>1</v>
      </c>
      <c r="O4" t="s">
        <v>4</v>
      </c>
      <c r="P4" s="8">
        <v>1059194.08</v>
      </c>
      <c r="Q4" s="57">
        <v>678.97056410256414</v>
      </c>
      <c r="R4" s="50">
        <v>0.37306152737540227</v>
      </c>
      <c r="S4" s="50"/>
      <c r="T4" s="50"/>
      <c r="U4" t="s">
        <v>3482</v>
      </c>
      <c r="Z4" s="8"/>
      <c r="AA4" s="50" t="e">
        <v>#DIV/0!</v>
      </c>
    </row>
    <row r="5" spans="1:27" x14ac:dyDescent="0.25">
      <c r="D5" t="s">
        <v>4</v>
      </c>
      <c r="E5" s="57">
        <v>1673.729782051282</v>
      </c>
      <c r="F5" s="8">
        <v>2611018.46</v>
      </c>
      <c r="G5" s="50">
        <v>0.13162213494431865</v>
      </c>
      <c r="N5">
        <v>2</v>
      </c>
      <c r="O5" t="s">
        <v>4</v>
      </c>
      <c r="P5" s="8">
        <v>1780000</v>
      </c>
      <c r="Q5" s="57">
        <v>1141.0256410256411</v>
      </c>
      <c r="R5" s="50">
        <v>0.62693847262459779</v>
      </c>
      <c r="S5" s="50"/>
      <c r="T5" s="50"/>
    </row>
    <row r="6" spans="1:27" x14ac:dyDescent="0.25">
      <c r="D6" t="s">
        <v>5</v>
      </c>
      <c r="E6" s="57">
        <v>321.15384615384613</v>
      </c>
      <c r="F6" s="8">
        <v>501000</v>
      </c>
      <c r="G6" s="50">
        <v>2.525554323622195E-2</v>
      </c>
      <c r="M6" t="s">
        <v>4689</v>
      </c>
      <c r="P6" s="8">
        <v>2839194.08</v>
      </c>
      <c r="Q6" s="57">
        <v>1819.9962051282052</v>
      </c>
      <c r="R6" s="50">
        <v>1</v>
      </c>
      <c r="S6" s="50"/>
      <c r="T6" s="50"/>
    </row>
    <row r="7" spans="1:27" x14ac:dyDescent="0.25">
      <c r="E7" s="57"/>
      <c r="F7" s="8"/>
      <c r="G7" s="50"/>
      <c r="L7" t="s">
        <v>4688</v>
      </c>
      <c r="P7" s="8">
        <v>2839194.08</v>
      </c>
      <c r="Q7" s="57">
        <v>1819.9962051282052</v>
      </c>
      <c r="R7" s="50">
        <v>1</v>
      </c>
      <c r="S7" s="50"/>
      <c r="T7" s="50"/>
    </row>
    <row r="8" spans="1:27" x14ac:dyDescent="0.25">
      <c r="C8">
        <v>2</v>
      </c>
      <c r="D8" t="s">
        <v>32</v>
      </c>
      <c r="E8" s="57">
        <v>76.92307692307692</v>
      </c>
      <c r="F8" s="8">
        <v>120000</v>
      </c>
      <c r="G8" s="50">
        <v>6.0492319128675328E-3</v>
      </c>
      <c r="L8" t="s">
        <v>3482</v>
      </c>
      <c r="P8" s="8">
        <v>2839194.08</v>
      </c>
      <c r="Q8" s="57">
        <v>1819.9962051282052</v>
      </c>
      <c r="R8" s="50">
        <v>1</v>
      </c>
      <c r="S8" s="50"/>
      <c r="T8" s="50"/>
    </row>
    <row r="9" spans="1:27" x14ac:dyDescent="0.25">
      <c r="D9" t="s">
        <v>4</v>
      </c>
      <c r="E9" s="57">
        <v>699.03846153846155</v>
      </c>
      <c r="F9" s="8">
        <v>1090500</v>
      </c>
      <c r="G9" s="50">
        <v>5.4972395008183704E-2</v>
      </c>
      <c r="S9" s="50"/>
      <c r="T9" s="50"/>
    </row>
    <row r="10" spans="1:27" x14ac:dyDescent="0.25">
      <c r="E10" s="57"/>
      <c r="F10" s="8"/>
      <c r="G10" s="50"/>
      <c r="S10" s="50"/>
      <c r="T10" s="50"/>
    </row>
    <row r="11" spans="1:27" x14ac:dyDescent="0.25">
      <c r="B11" t="s">
        <v>4588</v>
      </c>
      <c r="E11" s="57">
        <v>12716.172570512817</v>
      </c>
      <c r="F11" s="8">
        <v>19837229.210000001</v>
      </c>
      <c r="G11" s="50">
        <v>1</v>
      </c>
      <c r="S11" s="50"/>
      <c r="T11" s="50"/>
    </row>
    <row r="12" spans="1:27" x14ac:dyDescent="0.25">
      <c r="E12" s="57"/>
      <c r="F12" s="8"/>
      <c r="G12" s="50"/>
    </row>
    <row r="13" spans="1:27" x14ac:dyDescent="0.25">
      <c r="A13" t="s">
        <v>4688</v>
      </c>
      <c r="E13" s="57">
        <v>12716.172570512817</v>
      </c>
      <c r="F13" s="8">
        <v>19837229.210000001</v>
      </c>
      <c r="G13" s="50">
        <v>1</v>
      </c>
    </row>
    <row r="14" spans="1:27" x14ac:dyDescent="0.25">
      <c r="A14" t="s">
        <v>3482</v>
      </c>
      <c r="E14" s="57">
        <v>12716.172570512817</v>
      </c>
      <c r="F14" s="8">
        <v>19837229.210000001</v>
      </c>
      <c r="G14" s="50">
        <v>1</v>
      </c>
    </row>
    <row r="20" spans="18:21" x14ac:dyDescent="0.25">
      <c r="R20" s="26"/>
      <c r="S20" s="26"/>
      <c r="T20" s="26"/>
      <c r="U20" s="26"/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E03B-EF13-42FA-878E-9110102172E0}">
  <sheetPr>
    <tabColor theme="8"/>
  </sheetPr>
  <dimension ref="A1:P37"/>
  <sheetViews>
    <sheetView showGridLines="0" zoomScale="145" zoomScaleNormal="145" workbookViewId="0">
      <selection activeCell="D20" sqref="D20"/>
    </sheetView>
  </sheetViews>
  <sheetFormatPr baseColWidth="10" defaultColWidth="11.42578125" defaultRowHeight="15" x14ac:dyDescent="0.25"/>
  <cols>
    <col min="1" max="1" width="12.5703125" bestFit="1" customWidth="1"/>
    <col min="2" max="2" width="16.5703125" bestFit="1" customWidth="1"/>
    <col min="3" max="3" width="13.7109375" bestFit="1" customWidth="1"/>
    <col min="4" max="4" width="21.5703125" bestFit="1" customWidth="1"/>
    <col min="5" max="5" width="20.5703125" style="2" bestFit="1" customWidth="1"/>
    <col min="6" max="6" width="8.5703125" style="50" bestFit="1" customWidth="1"/>
    <col min="7" max="8" width="8.28515625" customWidth="1"/>
    <col min="12" max="12" width="24" bestFit="1" customWidth="1"/>
    <col min="13" max="13" width="20.5703125" bestFit="1" customWidth="1"/>
    <col min="14" max="14" width="9" bestFit="1" customWidth="1"/>
  </cols>
  <sheetData>
    <row r="1" spans="1:16" x14ac:dyDescent="0.25">
      <c r="A1" s="25" t="s">
        <v>132</v>
      </c>
    </row>
    <row r="2" spans="1:16" x14ac:dyDescent="0.25">
      <c r="A2" s="24" t="s">
        <v>7</v>
      </c>
      <c r="B2" s="24" t="s">
        <v>11</v>
      </c>
      <c r="C2" s="24" t="s">
        <v>12</v>
      </c>
      <c r="D2" s="24" t="s">
        <v>8</v>
      </c>
      <c r="E2" t="s">
        <v>3483</v>
      </c>
      <c r="F2" s="104" t="s">
        <v>3484</v>
      </c>
    </row>
    <row r="3" spans="1:16" x14ac:dyDescent="0.25">
      <c r="A3" t="s">
        <v>4569</v>
      </c>
      <c r="B3" t="s">
        <v>3928</v>
      </c>
      <c r="C3">
        <v>2</v>
      </c>
      <c r="D3" t="s">
        <v>3703</v>
      </c>
      <c r="E3" s="57">
        <v>9986.8821923076921</v>
      </c>
      <c r="F3" s="50">
        <v>0.63644133383619739</v>
      </c>
    </row>
    <row r="4" spans="1:16" x14ac:dyDescent="0.25">
      <c r="C4" t="s">
        <v>3491</v>
      </c>
      <c r="E4" s="57">
        <v>9986.8821923076921</v>
      </c>
      <c r="F4" s="50">
        <v>0.63644133383619739</v>
      </c>
    </row>
    <row r="5" spans="1:16" x14ac:dyDescent="0.25">
      <c r="E5" s="57"/>
    </row>
    <row r="6" spans="1:16" x14ac:dyDescent="0.25">
      <c r="B6" t="s">
        <v>3929</v>
      </c>
      <c r="C6">
        <v>1</v>
      </c>
      <c r="D6" t="s">
        <v>921</v>
      </c>
      <c r="E6" s="57">
        <v>5704.8739230769233</v>
      </c>
      <c r="F6" s="50">
        <v>0.36355866616380261</v>
      </c>
    </row>
    <row r="7" spans="1:16" x14ac:dyDescent="0.25">
      <c r="C7" t="s">
        <v>3489</v>
      </c>
      <c r="E7" s="57">
        <v>5704.8739230769233</v>
      </c>
      <c r="F7" s="50">
        <v>0.36355866616380261</v>
      </c>
    </row>
    <row r="8" spans="1:16" x14ac:dyDescent="0.25">
      <c r="E8" s="57"/>
    </row>
    <row r="9" spans="1:16" x14ac:dyDescent="0.25">
      <c r="A9" t="s">
        <v>4570</v>
      </c>
      <c r="E9" s="57">
        <v>15691.756115384615</v>
      </c>
      <c r="F9" s="50">
        <v>1</v>
      </c>
    </row>
    <row r="10" spans="1:16" x14ac:dyDescent="0.25">
      <c r="A10" t="s">
        <v>3482</v>
      </c>
      <c r="E10" s="57">
        <v>15691.756115384615</v>
      </c>
      <c r="F10" s="50">
        <v>1</v>
      </c>
    </row>
    <row r="11" spans="1:16" x14ac:dyDescent="0.25">
      <c r="E11"/>
      <c r="F11"/>
    </row>
    <row r="12" spans="1:16" x14ac:dyDescent="0.25">
      <c r="E12"/>
      <c r="F12"/>
    </row>
    <row r="13" spans="1:16" x14ac:dyDescent="0.25">
      <c r="E13"/>
      <c r="F13"/>
    </row>
    <row r="14" spans="1:16" x14ac:dyDescent="0.25">
      <c r="E14"/>
      <c r="F14"/>
    </row>
    <row r="15" spans="1:16" x14ac:dyDescent="0.25">
      <c r="E15"/>
      <c r="F15"/>
      <c r="P15" t="s">
        <v>3485</v>
      </c>
    </row>
    <row r="16" spans="1:16" x14ac:dyDescent="0.25">
      <c r="E16"/>
      <c r="F16"/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  <row r="32" spans="5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DDDF-21C6-4682-AB7E-752C9EEB5DF1}">
  <sheetPr>
    <tabColor theme="6"/>
    <pageSetUpPr fitToPage="1"/>
  </sheetPr>
  <dimension ref="A2:W123"/>
  <sheetViews>
    <sheetView showGridLines="0" zoomScale="115" zoomScaleNormal="115" workbookViewId="0">
      <selection activeCell="H11" sqref="H11"/>
    </sheetView>
  </sheetViews>
  <sheetFormatPr baseColWidth="10" defaultColWidth="11.42578125" defaultRowHeight="15" x14ac:dyDescent="0.25"/>
  <cols>
    <col min="1" max="1" width="11.85546875" customWidth="1"/>
    <col min="2" max="2" width="5.7109375" customWidth="1"/>
    <col min="3" max="3" width="8.7109375" bestFit="1" customWidth="1"/>
    <col min="4" max="4" width="19.7109375" bestFit="1" customWidth="1"/>
    <col min="5" max="5" width="20.5703125" style="2" bestFit="1" customWidth="1"/>
    <col min="6" max="6" width="9" style="50" bestFit="1" customWidth="1"/>
    <col min="7" max="7" width="8.5703125" bestFit="1" customWidth="1"/>
    <col min="9" max="9" width="12.7109375" bestFit="1" customWidth="1"/>
    <col min="10" max="11" width="6.85546875" bestFit="1" customWidth="1"/>
    <col min="12" max="12" width="9" bestFit="1" customWidth="1"/>
    <col min="13" max="13" width="46" bestFit="1" customWidth="1"/>
    <col min="14" max="14" width="20.5703125" bestFit="1" customWidth="1"/>
    <col min="15" max="15" width="8.5703125" bestFit="1" customWidth="1"/>
  </cols>
  <sheetData>
    <row r="2" spans="1:23" x14ac:dyDescent="0.25">
      <c r="A2" s="25" t="s">
        <v>3488</v>
      </c>
    </row>
    <row r="3" spans="1:23" x14ac:dyDescent="0.25">
      <c r="A3" s="24" t="s">
        <v>7</v>
      </c>
      <c r="B3" s="24" t="s">
        <v>12</v>
      </c>
      <c r="C3" s="24" t="s">
        <v>11</v>
      </c>
      <c r="D3" s="24" t="s">
        <v>8</v>
      </c>
      <c r="E3" t="s">
        <v>3483</v>
      </c>
      <c r="F3" t="s">
        <v>3484</v>
      </c>
    </row>
    <row r="4" spans="1:23" x14ac:dyDescent="0.25">
      <c r="A4" t="s">
        <v>3882</v>
      </c>
      <c r="B4">
        <v>1</v>
      </c>
      <c r="C4" t="s">
        <v>62</v>
      </c>
      <c r="D4" t="s">
        <v>3020</v>
      </c>
      <c r="E4" s="57">
        <v>1955.4198974358976</v>
      </c>
      <c r="F4" s="50">
        <v>0.19703179577790328</v>
      </c>
      <c r="W4" t="e">
        <f>269040.86-GETPIVOTDATA("Suma de Importe U$D",$A$3,"Semana","2026-13","Proveedor","Amenduni Nicolas SPA","Rubro","Deuda","Vía",1)</f>
        <v>#REF!</v>
      </c>
    </row>
    <row r="5" spans="1:23" x14ac:dyDescent="0.25">
      <c r="D5" t="s">
        <v>3105</v>
      </c>
      <c r="E5" s="57">
        <v>656.65994230769229</v>
      </c>
      <c r="F5" s="50">
        <v>6.6166293908513529E-2</v>
      </c>
    </row>
    <row r="6" spans="1:23" x14ac:dyDescent="0.25">
      <c r="B6" t="s">
        <v>3489</v>
      </c>
      <c r="E6" s="57">
        <v>2612.0798397435901</v>
      </c>
      <c r="F6" s="50">
        <v>0.26319808968641684</v>
      </c>
    </row>
    <row r="7" spans="1:23" x14ac:dyDescent="0.25">
      <c r="E7" s="57"/>
    </row>
    <row r="8" spans="1:23" x14ac:dyDescent="0.25">
      <c r="B8">
        <v>2</v>
      </c>
      <c r="C8" t="s">
        <v>62</v>
      </c>
      <c r="D8" t="s">
        <v>1760</v>
      </c>
      <c r="E8" s="57">
        <v>5930.1282051282051</v>
      </c>
      <c r="F8" s="50">
        <v>0.59753089910854185</v>
      </c>
    </row>
    <row r="9" spans="1:23" x14ac:dyDescent="0.25">
      <c r="D9" t="s">
        <v>3431</v>
      </c>
      <c r="E9" s="57">
        <v>420.64102564102564</v>
      </c>
      <c r="F9" s="50">
        <v>4.238458285536971E-2</v>
      </c>
    </row>
    <row r="10" spans="1:23" x14ac:dyDescent="0.25">
      <c r="D10" t="s">
        <v>3814</v>
      </c>
      <c r="E10" s="57">
        <v>320.5128205128205</v>
      </c>
      <c r="F10" s="50">
        <v>3.2295476116557226E-2</v>
      </c>
    </row>
    <row r="11" spans="1:23" x14ac:dyDescent="0.25">
      <c r="D11" t="s">
        <v>1580</v>
      </c>
      <c r="E11" s="57">
        <v>320.5128205128205</v>
      </c>
      <c r="F11" s="50">
        <v>3.2295476116557226E-2</v>
      </c>
    </row>
    <row r="12" spans="1:23" x14ac:dyDescent="0.25">
      <c r="D12" t="s">
        <v>2652</v>
      </c>
      <c r="E12" s="57">
        <v>320.5128205128205</v>
      </c>
      <c r="F12" s="50">
        <v>3.2295476116557226E-2</v>
      </c>
    </row>
    <row r="13" spans="1:23" x14ac:dyDescent="0.25">
      <c r="B13" t="s">
        <v>3491</v>
      </c>
      <c r="E13" s="57">
        <v>7312.3076923076915</v>
      </c>
      <c r="F13" s="50">
        <v>0.73680191031358322</v>
      </c>
    </row>
    <row r="14" spans="1:23" x14ac:dyDescent="0.25">
      <c r="E14" s="57"/>
    </row>
    <row r="15" spans="1:23" x14ac:dyDescent="0.25">
      <c r="A15" t="s">
        <v>3885</v>
      </c>
      <c r="E15" s="57">
        <v>9924.3875320512816</v>
      </c>
      <c r="F15" s="50">
        <v>1</v>
      </c>
    </row>
    <row r="16" spans="1:23" x14ac:dyDescent="0.25">
      <c r="A16" t="s">
        <v>3482</v>
      </c>
      <c r="E16" s="57">
        <v>9924.3875320512816</v>
      </c>
      <c r="F16" s="50">
        <v>1</v>
      </c>
    </row>
    <row r="17" spans="5:6" x14ac:dyDescent="0.25">
      <c r="E17"/>
      <c r="F17"/>
    </row>
    <row r="18" spans="5:6" x14ac:dyDescent="0.25">
      <c r="E18"/>
      <c r="F18"/>
    </row>
    <row r="19" spans="5:6" x14ac:dyDescent="0.25">
      <c r="E19"/>
      <c r="F19"/>
    </row>
    <row r="20" spans="5:6" x14ac:dyDescent="0.25">
      <c r="E20"/>
      <c r="F20"/>
    </row>
    <row r="21" spans="5:6" x14ac:dyDescent="0.25">
      <c r="E21"/>
      <c r="F21"/>
    </row>
    <row r="22" spans="5:6" x14ac:dyDescent="0.25">
      <c r="E22"/>
      <c r="F22"/>
    </row>
    <row r="23" spans="5:6" x14ac:dyDescent="0.25">
      <c r="E23"/>
      <c r="F23"/>
    </row>
    <row r="24" spans="5:6" x14ac:dyDescent="0.25">
      <c r="E24"/>
      <c r="F24"/>
    </row>
    <row r="25" spans="5:6" x14ac:dyDescent="0.25">
      <c r="E25"/>
      <c r="F25"/>
    </row>
    <row r="26" spans="5:6" x14ac:dyDescent="0.25">
      <c r="E26"/>
      <c r="F26"/>
    </row>
    <row r="27" spans="5:6" x14ac:dyDescent="0.25">
      <c r="E27"/>
      <c r="F27"/>
    </row>
    <row r="28" spans="5:6" x14ac:dyDescent="0.25">
      <c r="E28"/>
      <c r="F28"/>
    </row>
    <row r="29" spans="5:6" x14ac:dyDescent="0.25">
      <c r="E29"/>
      <c r="F29"/>
    </row>
    <row r="30" spans="5:6" x14ac:dyDescent="0.25">
      <c r="E30"/>
      <c r="F30"/>
    </row>
    <row r="31" spans="5:6" x14ac:dyDescent="0.25">
      <c r="E31"/>
      <c r="F31"/>
    </row>
    <row r="32" spans="5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hidden="1" x14ac:dyDescent="0.25">
      <c r="E42"/>
      <c r="F42"/>
    </row>
    <row r="43" spans="5:6" hidden="1" x14ac:dyDescent="0.25">
      <c r="E43"/>
      <c r="F43"/>
    </row>
    <row r="44" spans="5:6" hidden="1" x14ac:dyDescent="0.25">
      <c r="E44"/>
      <c r="F44"/>
    </row>
    <row r="45" spans="5:6" hidden="1" x14ac:dyDescent="0.25">
      <c r="E45"/>
      <c r="F45"/>
    </row>
    <row r="46" spans="5:6" hidden="1" x14ac:dyDescent="0.25">
      <c r="E46"/>
      <c r="F46"/>
    </row>
    <row r="47" spans="5:6" hidden="1" x14ac:dyDescent="0.25">
      <c r="E47"/>
      <c r="F47"/>
    </row>
    <row r="48" spans="5:6" x14ac:dyDescent="0.25">
      <c r="E48"/>
      <c r="F48"/>
    </row>
    <row r="49" spans="5:6" x14ac:dyDescent="0.25">
      <c r="E49"/>
      <c r="F49"/>
    </row>
    <row r="50" spans="5:6" x14ac:dyDescent="0.25">
      <c r="E50"/>
      <c r="F50"/>
    </row>
    <row r="51" spans="5:6" x14ac:dyDescent="0.25">
      <c r="E51"/>
      <c r="F51"/>
    </row>
    <row r="52" spans="5:6" x14ac:dyDescent="0.25">
      <c r="E52"/>
      <c r="F52"/>
    </row>
    <row r="53" spans="5:6" x14ac:dyDescent="0.25">
      <c r="E53"/>
      <c r="F53"/>
    </row>
    <row r="54" spans="5:6" x14ac:dyDescent="0.25">
      <c r="E54"/>
      <c r="F54"/>
    </row>
    <row r="55" spans="5:6" x14ac:dyDescent="0.25">
      <c r="E55"/>
      <c r="F55"/>
    </row>
    <row r="56" spans="5:6" x14ac:dyDescent="0.25">
      <c r="E56"/>
      <c r="F56"/>
    </row>
    <row r="57" spans="5:6" x14ac:dyDescent="0.25">
      <c r="E57"/>
      <c r="F57"/>
    </row>
    <row r="58" spans="5:6" x14ac:dyDescent="0.25">
      <c r="E58"/>
      <c r="F58"/>
    </row>
    <row r="59" spans="5:6" x14ac:dyDescent="0.25">
      <c r="E59"/>
      <c r="F59"/>
    </row>
    <row r="60" spans="5:6" x14ac:dyDescent="0.25">
      <c r="E60"/>
      <c r="F60"/>
    </row>
    <row r="61" spans="5:6" x14ac:dyDescent="0.25">
      <c r="E61"/>
      <c r="F61"/>
    </row>
    <row r="62" spans="5:6" x14ac:dyDescent="0.25">
      <c r="E62"/>
      <c r="F62"/>
    </row>
    <row r="63" spans="5:6" x14ac:dyDescent="0.25">
      <c r="E63"/>
      <c r="F63"/>
    </row>
    <row r="64" spans="5:6" x14ac:dyDescent="0.25">
      <c r="E64"/>
      <c r="F64"/>
    </row>
    <row r="65" spans="5:6" x14ac:dyDescent="0.25">
      <c r="E65"/>
      <c r="F65"/>
    </row>
    <row r="66" spans="5:6" x14ac:dyDescent="0.25">
      <c r="E66"/>
      <c r="F66"/>
    </row>
    <row r="67" spans="5:6" x14ac:dyDescent="0.25">
      <c r="E67"/>
      <c r="F67"/>
    </row>
    <row r="68" spans="5:6" x14ac:dyDescent="0.25">
      <c r="E68"/>
      <c r="F68"/>
    </row>
    <row r="69" spans="5:6" x14ac:dyDescent="0.25">
      <c r="E69"/>
      <c r="F69"/>
    </row>
    <row r="70" spans="5:6" x14ac:dyDescent="0.25">
      <c r="E70"/>
      <c r="F70"/>
    </row>
    <row r="71" spans="5:6" x14ac:dyDescent="0.25">
      <c r="E71"/>
      <c r="F71"/>
    </row>
    <row r="72" spans="5:6" x14ac:dyDescent="0.25">
      <c r="E72"/>
      <c r="F72"/>
    </row>
    <row r="73" spans="5:6" x14ac:dyDescent="0.25">
      <c r="E73"/>
      <c r="F73"/>
    </row>
    <row r="74" spans="5:6" x14ac:dyDescent="0.25">
      <c r="E74"/>
      <c r="F74"/>
    </row>
    <row r="75" spans="5:6" x14ac:dyDescent="0.25">
      <c r="E75"/>
      <c r="F75"/>
    </row>
    <row r="76" spans="5:6" x14ac:dyDescent="0.25">
      <c r="E76"/>
      <c r="F76"/>
    </row>
    <row r="77" spans="5:6" x14ac:dyDescent="0.25">
      <c r="E77"/>
      <c r="F77"/>
    </row>
    <row r="78" spans="5:6" x14ac:dyDescent="0.25">
      <c r="E78"/>
      <c r="F78"/>
    </row>
    <row r="79" spans="5:6" x14ac:dyDescent="0.25">
      <c r="E79"/>
      <c r="F79"/>
    </row>
    <row r="80" spans="5:6" x14ac:dyDescent="0.25">
      <c r="E80"/>
      <c r="F80"/>
    </row>
    <row r="81" spans="5:6" x14ac:dyDescent="0.25">
      <c r="E81"/>
      <c r="F81"/>
    </row>
    <row r="82" spans="5:6" x14ac:dyDescent="0.25">
      <c r="E82"/>
      <c r="F82"/>
    </row>
    <row r="83" spans="5:6" x14ac:dyDescent="0.25">
      <c r="E83"/>
      <c r="F83"/>
    </row>
    <row r="84" spans="5:6" x14ac:dyDescent="0.25">
      <c r="E84"/>
      <c r="F84"/>
    </row>
    <row r="85" spans="5:6" x14ac:dyDescent="0.25">
      <c r="E85"/>
      <c r="F85"/>
    </row>
    <row r="86" spans="5:6" x14ac:dyDescent="0.25">
      <c r="E86"/>
      <c r="F86"/>
    </row>
    <row r="87" spans="5:6" x14ac:dyDescent="0.25">
      <c r="E87"/>
      <c r="F87"/>
    </row>
    <row r="88" spans="5:6" x14ac:dyDescent="0.25">
      <c r="E88"/>
      <c r="F88"/>
    </row>
    <row r="89" spans="5:6" x14ac:dyDescent="0.25">
      <c r="E89"/>
      <c r="F89"/>
    </row>
    <row r="90" spans="5:6" x14ac:dyDescent="0.25">
      <c r="E90"/>
      <c r="F90"/>
    </row>
    <row r="91" spans="5:6" x14ac:dyDescent="0.25">
      <c r="E91"/>
      <c r="F9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  <row r="97" spans="5:6" x14ac:dyDescent="0.25">
      <c r="E97"/>
      <c r="F97"/>
    </row>
    <row r="98" spans="5:6" x14ac:dyDescent="0.25">
      <c r="E98"/>
      <c r="F98"/>
    </row>
    <row r="99" spans="5:6" x14ac:dyDescent="0.25">
      <c r="E99"/>
      <c r="F99"/>
    </row>
    <row r="100" spans="5:6" x14ac:dyDescent="0.25">
      <c r="E100"/>
      <c r="F100"/>
    </row>
    <row r="101" spans="5:6" x14ac:dyDescent="0.25">
      <c r="E101"/>
      <c r="F101"/>
    </row>
    <row r="102" spans="5:6" x14ac:dyDescent="0.25">
      <c r="E102"/>
      <c r="F102"/>
    </row>
    <row r="103" spans="5:6" x14ac:dyDescent="0.25">
      <c r="E103"/>
      <c r="F103"/>
    </row>
    <row r="104" spans="5:6" x14ac:dyDescent="0.25">
      <c r="E104"/>
      <c r="F104"/>
    </row>
    <row r="105" spans="5:6" x14ac:dyDescent="0.25">
      <c r="E105"/>
      <c r="F105"/>
    </row>
    <row r="106" spans="5:6" x14ac:dyDescent="0.25">
      <c r="E106"/>
      <c r="F106"/>
    </row>
    <row r="107" spans="5:6" x14ac:dyDescent="0.25">
      <c r="E107"/>
      <c r="F107"/>
    </row>
    <row r="108" spans="5:6" x14ac:dyDescent="0.25">
      <c r="E108"/>
      <c r="F108"/>
    </row>
    <row r="109" spans="5:6" x14ac:dyDescent="0.25">
      <c r="E109"/>
      <c r="F109"/>
    </row>
    <row r="110" spans="5:6" x14ac:dyDescent="0.25">
      <c r="E110"/>
      <c r="F110"/>
    </row>
    <row r="111" spans="5:6" x14ac:dyDescent="0.25">
      <c r="E111"/>
      <c r="F111"/>
    </row>
    <row r="112" spans="5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  <c r="F116"/>
    </row>
    <row r="117" spans="5:6" x14ac:dyDescent="0.25">
      <c r="E117"/>
      <c r="F117"/>
    </row>
    <row r="118" spans="5:6" x14ac:dyDescent="0.25">
      <c r="E118"/>
      <c r="F118"/>
    </row>
    <row r="119" spans="5:6" x14ac:dyDescent="0.25">
      <c r="E119"/>
      <c r="F119"/>
    </row>
    <row r="120" spans="5:6" x14ac:dyDescent="0.25">
      <c r="E120"/>
      <c r="F120"/>
    </row>
    <row r="121" spans="5:6" x14ac:dyDescent="0.25">
      <c r="E121"/>
      <c r="F121"/>
    </row>
    <row r="122" spans="5:6" x14ac:dyDescent="0.25">
      <c r="E122"/>
      <c r="F122"/>
    </row>
    <row r="123" spans="5:6" x14ac:dyDescent="0.25">
      <c r="E123"/>
      <c r="F123"/>
    </row>
  </sheetData>
  <pageMargins left="0.25" right="0.25" top="0.75" bottom="0.75" header="0.3" footer="0.3"/>
  <pageSetup paperSize="9" scale="31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29BE-985F-4721-895E-C3E3FFFCAB9F}">
  <sheetPr>
    <tabColor theme="5"/>
  </sheetPr>
  <dimension ref="A2:N53"/>
  <sheetViews>
    <sheetView showGridLines="0" zoomScale="115" zoomScaleNormal="115" workbookViewId="0">
      <selection activeCell="M18" sqref="M18"/>
    </sheetView>
  </sheetViews>
  <sheetFormatPr baseColWidth="10" defaultColWidth="11.42578125" defaultRowHeight="15" x14ac:dyDescent="0.25"/>
  <cols>
    <col min="1" max="1" width="12.5703125" bestFit="1" customWidth="1"/>
    <col min="2" max="2" width="6" bestFit="1" customWidth="1"/>
    <col min="3" max="3" width="8.7109375" bestFit="1" customWidth="1"/>
    <col min="4" max="4" width="22.85546875" bestFit="1" customWidth="1"/>
    <col min="5" max="5" width="20.5703125" style="2" bestFit="1" customWidth="1"/>
    <col min="6" max="6" width="9" style="50" bestFit="1" customWidth="1"/>
    <col min="7" max="8" width="7.42578125" customWidth="1"/>
    <col min="12" max="12" width="24.28515625" bestFit="1" customWidth="1"/>
    <col min="13" max="13" width="20.28515625" bestFit="1" customWidth="1"/>
    <col min="14" max="14" width="21.42578125" bestFit="1" customWidth="1"/>
  </cols>
  <sheetData>
    <row r="2" spans="1:14" x14ac:dyDescent="0.25">
      <c r="A2" s="25" t="s">
        <v>3490</v>
      </c>
    </row>
    <row r="3" spans="1:14" x14ac:dyDescent="0.25">
      <c r="A3" s="24" t="s">
        <v>7</v>
      </c>
      <c r="B3" s="24" t="s">
        <v>12</v>
      </c>
      <c r="C3" s="24" t="s">
        <v>11</v>
      </c>
      <c r="D3" s="24" t="s">
        <v>8</v>
      </c>
      <c r="E3" t="s">
        <v>3483</v>
      </c>
      <c r="F3" t="s">
        <v>3484</v>
      </c>
      <c r="I3" s="24" t="s">
        <v>7</v>
      </c>
      <c r="J3" s="24" t="s">
        <v>12</v>
      </c>
      <c r="K3" s="24" t="s">
        <v>11</v>
      </c>
      <c r="L3" s="24" t="s">
        <v>8</v>
      </c>
      <c r="M3" t="s">
        <v>3486</v>
      </c>
      <c r="N3" s="50" t="s">
        <v>3487</v>
      </c>
    </row>
    <row r="4" spans="1:14" x14ac:dyDescent="0.25">
      <c r="A4" t="s">
        <v>3882</v>
      </c>
      <c r="B4">
        <v>1</v>
      </c>
      <c r="C4" t="s">
        <v>31</v>
      </c>
      <c r="D4" t="s">
        <v>3256</v>
      </c>
      <c r="E4" s="57">
        <v>641.02564102564099</v>
      </c>
      <c r="F4" s="50">
        <v>0.30459185779970732</v>
      </c>
      <c r="I4" t="s">
        <v>828</v>
      </c>
      <c r="J4">
        <v>1</v>
      </c>
      <c r="K4" t="s">
        <v>31</v>
      </c>
      <c r="L4" t="s">
        <v>2701</v>
      </c>
      <c r="M4" s="104">
        <v>5915953.9900000002</v>
      </c>
      <c r="N4" s="50">
        <v>0.45987929296674807</v>
      </c>
    </row>
    <row r="5" spans="1:14" x14ac:dyDescent="0.25">
      <c r="D5" t="s">
        <v>3379</v>
      </c>
      <c r="E5" s="57">
        <v>505.45833333333331</v>
      </c>
      <c r="F5" s="50">
        <v>0.24017524875293622</v>
      </c>
      <c r="L5" t="s">
        <v>969</v>
      </c>
      <c r="M5" s="104">
        <v>3282567.26</v>
      </c>
      <c r="N5" s="50">
        <v>0.25517181391138499</v>
      </c>
    </row>
    <row r="6" spans="1:14" x14ac:dyDescent="0.25">
      <c r="D6" t="s">
        <v>3905</v>
      </c>
      <c r="E6" s="57">
        <v>419.1254487179487</v>
      </c>
      <c r="F6" s="50">
        <v>0.19915303055877209</v>
      </c>
      <c r="L6" t="s">
        <v>1893</v>
      </c>
      <c r="M6" s="104">
        <v>1193544</v>
      </c>
      <c r="N6" s="50">
        <v>9.2780669317663905E-2</v>
      </c>
    </row>
    <row r="7" spans="1:14" x14ac:dyDescent="0.25">
      <c r="D7" t="s">
        <v>3890</v>
      </c>
      <c r="E7" s="57">
        <v>309.93617307692307</v>
      </c>
      <c r="F7" s="50">
        <v>0.14727029422065735</v>
      </c>
      <c r="L7" t="s">
        <v>266</v>
      </c>
      <c r="M7" s="104">
        <v>1064791.3400000001</v>
      </c>
      <c r="N7" s="50">
        <v>8.2772024499182473E-2</v>
      </c>
    </row>
    <row r="8" spans="1:14" x14ac:dyDescent="0.25">
      <c r="D8" t="s">
        <v>1314</v>
      </c>
      <c r="E8" s="57">
        <v>161.90110256410259</v>
      </c>
      <c r="F8" s="50">
        <v>7.6929461871320715E-2</v>
      </c>
      <c r="L8" t="s">
        <v>2560</v>
      </c>
      <c r="M8" s="104">
        <v>316000</v>
      </c>
      <c r="N8" s="50">
        <v>2.4564399389031148E-2</v>
      </c>
    </row>
    <row r="9" spans="1:14" x14ac:dyDescent="0.25">
      <c r="D9" t="s">
        <v>203</v>
      </c>
      <c r="E9" s="57">
        <v>67.092948717948715</v>
      </c>
      <c r="F9" s="50">
        <v>3.1880106796606369E-2</v>
      </c>
      <c r="L9" t="s">
        <v>1133</v>
      </c>
      <c r="M9" s="104">
        <v>279787.09000000003</v>
      </c>
      <c r="N9" s="50">
        <v>2.1749372856502545E-2</v>
      </c>
    </row>
    <row r="10" spans="1:14" x14ac:dyDescent="0.25">
      <c r="B10" t="s">
        <v>3489</v>
      </c>
      <c r="E10" s="57">
        <v>2104.5396474358972</v>
      </c>
      <c r="F10" s="50">
        <v>1</v>
      </c>
      <c r="L10" t="s">
        <v>1152</v>
      </c>
      <c r="M10" s="104">
        <v>111501.5</v>
      </c>
      <c r="N10" s="50">
        <v>8.6676182863166355E-3</v>
      </c>
    </row>
    <row r="11" spans="1:14" x14ac:dyDescent="0.25">
      <c r="E11" s="57"/>
      <c r="J11" t="s">
        <v>3489</v>
      </c>
      <c r="M11" s="104">
        <v>12164145.18</v>
      </c>
      <c r="N11" s="50">
        <v>0.94558519122682971</v>
      </c>
    </row>
    <row r="12" spans="1:14" x14ac:dyDescent="0.25">
      <c r="A12" t="s">
        <v>3885</v>
      </c>
      <c r="E12" s="57">
        <v>2104.5396474358972</v>
      </c>
      <c r="F12" s="50">
        <v>1</v>
      </c>
      <c r="M12" s="104"/>
      <c r="N12" s="50"/>
    </row>
    <row r="13" spans="1:14" x14ac:dyDescent="0.25">
      <c r="A13" t="s">
        <v>3482</v>
      </c>
      <c r="E13" s="57">
        <v>2104.5396474358972</v>
      </c>
      <c r="F13" s="50">
        <v>1</v>
      </c>
      <c r="J13">
        <v>2</v>
      </c>
      <c r="K13" t="s">
        <v>31</v>
      </c>
      <c r="L13" t="s">
        <v>1606</v>
      </c>
      <c r="M13" s="104">
        <v>700000</v>
      </c>
      <c r="N13" s="50">
        <v>5.4414808773170266E-2</v>
      </c>
    </row>
    <row r="14" spans="1:14" x14ac:dyDescent="0.25">
      <c r="E14"/>
      <c r="F14"/>
      <c r="J14" t="s">
        <v>3491</v>
      </c>
      <c r="M14" s="104">
        <v>700000</v>
      </c>
      <c r="N14" s="50">
        <v>5.4414808773170266E-2</v>
      </c>
    </row>
    <row r="15" spans="1:14" x14ac:dyDescent="0.25">
      <c r="E15"/>
      <c r="F15"/>
      <c r="M15" s="104"/>
      <c r="N15" s="50"/>
    </row>
    <row r="16" spans="1:14" x14ac:dyDescent="0.25">
      <c r="E16"/>
      <c r="F16"/>
      <c r="I16" t="s">
        <v>3492</v>
      </c>
      <c r="M16" s="104">
        <v>12864145.18</v>
      </c>
      <c r="N16" s="50">
        <v>1</v>
      </c>
    </row>
    <row r="17" spans="5:14" x14ac:dyDescent="0.25">
      <c r="E17"/>
      <c r="F17"/>
      <c r="I17" t="s">
        <v>3482</v>
      </c>
      <c r="M17" s="104">
        <v>12864145.18</v>
      </c>
      <c r="N17" s="50">
        <v>1</v>
      </c>
    </row>
    <row r="18" spans="5:14" x14ac:dyDescent="0.25">
      <c r="E18"/>
      <c r="F18"/>
    </row>
    <row r="19" spans="5:14" x14ac:dyDescent="0.25">
      <c r="E19"/>
      <c r="F19"/>
    </row>
    <row r="20" spans="5:14" x14ac:dyDescent="0.25">
      <c r="E20"/>
      <c r="F20"/>
    </row>
    <row r="21" spans="5:14" x14ac:dyDescent="0.25">
      <c r="E21"/>
      <c r="F21"/>
    </row>
    <row r="22" spans="5:14" x14ac:dyDescent="0.25">
      <c r="E22"/>
      <c r="F22"/>
    </row>
    <row r="23" spans="5:14" x14ac:dyDescent="0.25">
      <c r="E23"/>
      <c r="F23"/>
    </row>
    <row r="24" spans="5:14" x14ac:dyDescent="0.25">
      <c r="E24"/>
      <c r="F24"/>
    </row>
    <row r="25" spans="5:14" x14ac:dyDescent="0.25">
      <c r="E25"/>
      <c r="F25"/>
    </row>
    <row r="26" spans="5:14" x14ac:dyDescent="0.25">
      <c r="E26"/>
      <c r="F26"/>
    </row>
    <row r="27" spans="5:14" x14ac:dyDescent="0.25">
      <c r="E27"/>
      <c r="F27"/>
    </row>
    <row r="28" spans="5:14" x14ac:dyDescent="0.25">
      <c r="E28"/>
      <c r="F28"/>
    </row>
    <row r="29" spans="5:14" x14ac:dyDescent="0.25">
      <c r="E29"/>
      <c r="F29"/>
    </row>
    <row r="30" spans="5:14" x14ac:dyDescent="0.25">
      <c r="E30"/>
      <c r="F30"/>
    </row>
    <row r="31" spans="5:14" x14ac:dyDescent="0.25">
      <c r="E31"/>
      <c r="F31"/>
    </row>
    <row r="32" spans="5:14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  <row r="43" spans="5:6" x14ac:dyDescent="0.25">
      <c r="E43"/>
      <c r="F43"/>
    </row>
    <row r="44" spans="5:6" x14ac:dyDescent="0.25">
      <c r="F44"/>
    </row>
    <row r="45" spans="5:6" x14ac:dyDescent="0.25">
      <c r="F45"/>
    </row>
    <row r="46" spans="5:6" x14ac:dyDescent="0.25">
      <c r="F46"/>
    </row>
    <row r="47" spans="5:6" x14ac:dyDescent="0.25">
      <c r="F47"/>
    </row>
    <row r="48" spans="5:6" x14ac:dyDescent="0.25">
      <c r="F48"/>
    </row>
    <row r="49" spans="6:6" x14ac:dyDescent="0.25">
      <c r="F49"/>
    </row>
    <row r="50" spans="6:6" x14ac:dyDescent="0.25">
      <c r="F50"/>
    </row>
    <row r="51" spans="6:6" x14ac:dyDescent="0.25">
      <c r="F51"/>
    </row>
    <row r="52" spans="6:6" x14ac:dyDescent="0.25">
      <c r="F52"/>
    </row>
    <row r="53" spans="6:6" x14ac:dyDescent="0.25">
      <c r="F53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0896-CF4F-4D0F-9B56-AC2D385EE830}">
  <sheetPr>
    <tabColor rgb="FFFF0000"/>
  </sheetPr>
  <dimension ref="A3:E33"/>
  <sheetViews>
    <sheetView workbookViewId="0">
      <selection activeCell="H26" sqref="H26"/>
    </sheetView>
  </sheetViews>
  <sheetFormatPr baseColWidth="10" defaultRowHeight="15" x14ac:dyDescent="0.25"/>
  <cols>
    <col min="1" max="1" width="44.7109375" bestFit="1" customWidth="1"/>
    <col min="2" max="4" width="11.140625" bestFit="1" customWidth="1"/>
    <col min="5" max="5" width="20.28515625" bestFit="1" customWidth="1"/>
  </cols>
  <sheetData>
    <row r="3" spans="1:5" x14ac:dyDescent="0.25">
      <c r="A3" s="24" t="s">
        <v>8</v>
      </c>
      <c r="B3" s="24" t="s">
        <v>7</v>
      </c>
      <c r="C3" s="24" t="s">
        <v>14</v>
      </c>
      <c r="D3" s="24" t="s">
        <v>21</v>
      </c>
      <c r="E3" t="s">
        <v>3486</v>
      </c>
    </row>
    <row r="4" spans="1:5" x14ac:dyDescent="0.25">
      <c r="A4" t="s">
        <v>3051</v>
      </c>
      <c r="B4" t="s">
        <v>2740</v>
      </c>
      <c r="C4" t="s">
        <v>15</v>
      </c>
      <c r="D4" t="s">
        <v>3085</v>
      </c>
      <c r="E4" s="8">
        <v>4500000</v>
      </c>
    </row>
    <row r="5" spans="1:5" x14ac:dyDescent="0.25">
      <c r="C5" t="s">
        <v>2</v>
      </c>
      <c r="D5" t="s">
        <v>3054</v>
      </c>
      <c r="E5" s="8">
        <v>10920000</v>
      </c>
    </row>
    <row r="6" spans="1:5" x14ac:dyDescent="0.25">
      <c r="B6" t="s">
        <v>2731</v>
      </c>
      <c r="C6" t="s">
        <v>2</v>
      </c>
      <c r="D6" t="s">
        <v>3115</v>
      </c>
      <c r="E6" s="8">
        <v>10920000</v>
      </c>
    </row>
    <row r="7" spans="1:5" x14ac:dyDescent="0.25">
      <c r="B7" t="s">
        <v>2751</v>
      </c>
      <c r="C7" t="s">
        <v>2</v>
      </c>
      <c r="D7" t="s">
        <v>3147</v>
      </c>
      <c r="E7" s="8">
        <v>4680000</v>
      </c>
    </row>
    <row r="8" spans="1:5" x14ac:dyDescent="0.25">
      <c r="B8" t="s">
        <v>2804</v>
      </c>
      <c r="C8" t="s">
        <v>15</v>
      </c>
      <c r="D8" t="s">
        <v>3184</v>
      </c>
      <c r="E8" s="8">
        <v>2071555</v>
      </c>
    </row>
    <row r="9" spans="1:5" x14ac:dyDescent="0.25">
      <c r="B9" t="s">
        <v>2792</v>
      </c>
      <c r="C9" t="s">
        <v>15</v>
      </c>
      <c r="D9" t="s">
        <v>3255</v>
      </c>
      <c r="E9" s="8">
        <v>1214000</v>
      </c>
    </row>
    <row r="10" spans="1:5" x14ac:dyDescent="0.25">
      <c r="D10" t="s">
        <v>3270</v>
      </c>
      <c r="E10" s="8">
        <v>1250000</v>
      </c>
    </row>
    <row r="11" spans="1:5" x14ac:dyDescent="0.25">
      <c r="B11" t="s">
        <v>2763</v>
      </c>
      <c r="C11" t="s">
        <v>15</v>
      </c>
      <c r="D11" t="s">
        <v>3427</v>
      </c>
      <c r="E11" s="8">
        <v>400000</v>
      </c>
    </row>
    <row r="12" spans="1:5" x14ac:dyDescent="0.25">
      <c r="B12" t="s">
        <v>3439</v>
      </c>
      <c r="C12" t="s">
        <v>15</v>
      </c>
      <c r="D12" t="s">
        <v>3553</v>
      </c>
      <c r="E12" s="8">
        <v>900000</v>
      </c>
    </row>
    <row r="13" spans="1:5" x14ac:dyDescent="0.25">
      <c r="B13" t="s">
        <v>3567</v>
      </c>
      <c r="C13" t="s">
        <v>15</v>
      </c>
      <c r="D13" t="s">
        <v>3606</v>
      </c>
      <c r="E13" s="8">
        <v>3000000</v>
      </c>
    </row>
    <row r="14" spans="1:5" x14ac:dyDescent="0.25">
      <c r="B14" t="s">
        <v>3617</v>
      </c>
      <c r="C14" t="s">
        <v>15</v>
      </c>
      <c r="D14" t="s">
        <v>3689</v>
      </c>
      <c r="E14" s="8">
        <v>3212624.89</v>
      </c>
    </row>
    <row r="15" spans="1:5" x14ac:dyDescent="0.25">
      <c r="B15" t="s">
        <v>3693</v>
      </c>
      <c r="C15" t="s">
        <v>15</v>
      </c>
      <c r="D15" t="s">
        <v>3702</v>
      </c>
      <c r="E15" s="8">
        <v>5226733</v>
      </c>
    </row>
    <row r="16" spans="1:5" x14ac:dyDescent="0.25">
      <c r="B16" t="s">
        <v>3754</v>
      </c>
      <c r="C16" t="s">
        <v>15</v>
      </c>
      <c r="D16" t="s">
        <v>3777</v>
      </c>
      <c r="E16" s="8">
        <v>1885749</v>
      </c>
    </row>
    <row r="17" spans="1:5" x14ac:dyDescent="0.25">
      <c r="C17" t="s">
        <v>2</v>
      </c>
      <c r="D17" t="s">
        <v>3809</v>
      </c>
      <c r="E17" s="8">
        <v>1248000</v>
      </c>
    </row>
    <row r="18" spans="1:5" x14ac:dyDescent="0.25">
      <c r="B18" t="s">
        <v>3817</v>
      </c>
      <c r="C18" t="s">
        <v>15</v>
      </c>
      <c r="D18" t="s">
        <v>3874</v>
      </c>
      <c r="E18" s="8">
        <v>500000</v>
      </c>
    </row>
    <row r="19" spans="1:5" x14ac:dyDescent="0.25">
      <c r="B19" t="s">
        <v>3882</v>
      </c>
      <c r="C19" t="s">
        <v>15</v>
      </c>
      <c r="D19" t="s">
        <v>3958</v>
      </c>
      <c r="E19" s="8">
        <v>500000</v>
      </c>
    </row>
    <row r="20" spans="1:5" x14ac:dyDescent="0.25">
      <c r="B20" t="s">
        <v>3963</v>
      </c>
      <c r="C20" t="s">
        <v>15</v>
      </c>
      <c r="D20" t="s">
        <v>3997</v>
      </c>
      <c r="E20" s="8">
        <v>3150000</v>
      </c>
    </row>
    <row r="21" spans="1:5" x14ac:dyDescent="0.25">
      <c r="B21" t="s">
        <v>4005</v>
      </c>
      <c r="C21" t="s">
        <v>15</v>
      </c>
      <c r="D21" t="s">
        <v>4033</v>
      </c>
      <c r="E21" s="8">
        <v>3043800</v>
      </c>
    </row>
    <row r="22" spans="1:5" x14ac:dyDescent="0.25">
      <c r="B22" t="s">
        <v>4119</v>
      </c>
      <c r="C22" t="s">
        <v>15</v>
      </c>
      <c r="D22" t="s">
        <v>4155</v>
      </c>
      <c r="E22" s="8">
        <v>2901666</v>
      </c>
    </row>
    <row r="23" spans="1:5" x14ac:dyDescent="0.25">
      <c r="B23" t="s">
        <v>4157</v>
      </c>
      <c r="C23" t="s">
        <v>15</v>
      </c>
      <c r="D23" t="s">
        <v>4209</v>
      </c>
      <c r="E23" s="8">
        <v>1740000</v>
      </c>
    </row>
    <row r="24" spans="1:5" x14ac:dyDescent="0.25">
      <c r="B24" t="s">
        <v>4211</v>
      </c>
      <c r="C24" t="s">
        <v>15</v>
      </c>
      <c r="D24" t="s">
        <v>4299</v>
      </c>
      <c r="E24" s="8">
        <v>2178532</v>
      </c>
    </row>
    <row r="25" spans="1:5" x14ac:dyDescent="0.25">
      <c r="B25" t="s">
        <v>4322</v>
      </c>
      <c r="C25" t="s">
        <v>15</v>
      </c>
      <c r="D25" t="s">
        <v>4361</v>
      </c>
      <c r="E25" s="8">
        <v>9370210.1099999994</v>
      </c>
    </row>
    <row r="26" spans="1:5" x14ac:dyDescent="0.25">
      <c r="B26" t="s">
        <v>4374</v>
      </c>
      <c r="C26" t="s">
        <v>15</v>
      </c>
      <c r="D26" t="s">
        <v>4399</v>
      </c>
      <c r="E26" s="8">
        <v>1000000</v>
      </c>
    </row>
    <row r="27" spans="1:5" x14ac:dyDescent="0.25">
      <c r="D27" t="s">
        <v>4398</v>
      </c>
      <c r="E27" s="8">
        <v>10700000</v>
      </c>
    </row>
    <row r="28" spans="1:5" x14ac:dyDescent="0.25">
      <c r="B28" t="s">
        <v>4409</v>
      </c>
      <c r="C28" t="s">
        <v>15</v>
      </c>
      <c r="D28" t="s">
        <v>4441</v>
      </c>
      <c r="E28" s="8">
        <v>1500000</v>
      </c>
    </row>
    <row r="29" spans="1:5" x14ac:dyDescent="0.25">
      <c r="B29" t="s">
        <v>4447</v>
      </c>
      <c r="C29" t="s">
        <v>15</v>
      </c>
      <c r="D29" t="s">
        <v>4511</v>
      </c>
      <c r="E29" s="8">
        <v>3309165</v>
      </c>
    </row>
    <row r="30" spans="1:5" x14ac:dyDescent="0.25">
      <c r="B30" t="s">
        <v>4513</v>
      </c>
      <c r="C30" t="s">
        <v>15</v>
      </c>
      <c r="D30" t="s">
        <v>545</v>
      </c>
      <c r="E30" s="8">
        <v>860000</v>
      </c>
    </row>
    <row r="31" spans="1:5" x14ac:dyDescent="0.25">
      <c r="B31" t="s">
        <v>4655</v>
      </c>
      <c r="C31" t="s">
        <v>2</v>
      </c>
      <c r="D31" t="s">
        <v>4674</v>
      </c>
      <c r="E31" s="8">
        <v>13704656.619615626</v>
      </c>
    </row>
    <row r="32" spans="1:5" x14ac:dyDescent="0.25">
      <c r="A32" t="s">
        <v>4675</v>
      </c>
      <c r="E32" s="8">
        <v>105886691.61961563</v>
      </c>
    </row>
    <row r="33" spans="1:5" x14ac:dyDescent="0.25">
      <c r="A33" t="s">
        <v>3482</v>
      </c>
      <c r="E33" s="8">
        <v>105886691.61961563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BFE6-DE5B-4096-A441-AF49696AB356}">
  <dimension ref="A3:D22"/>
  <sheetViews>
    <sheetView zoomScale="115" zoomScaleNormal="115" workbookViewId="0">
      <selection activeCell="D27" sqref="D27"/>
    </sheetView>
  </sheetViews>
  <sheetFormatPr baseColWidth="10" defaultColWidth="11.42578125" defaultRowHeight="15" x14ac:dyDescent="0.25"/>
  <cols>
    <col min="1" max="1" width="29" bestFit="1" customWidth="1"/>
    <col min="2" max="2" width="26.85546875" customWidth="1"/>
    <col min="3" max="3" width="16.5703125" customWidth="1"/>
    <col min="4" max="4" width="18" bestFit="1" customWidth="1"/>
  </cols>
  <sheetData>
    <row r="3" spans="1:4" x14ac:dyDescent="0.25">
      <c r="A3" s="39" t="s">
        <v>8</v>
      </c>
      <c r="B3" s="39" t="s">
        <v>9</v>
      </c>
      <c r="C3" s="39" t="s">
        <v>13</v>
      </c>
      <c r="D3" s="40" t="s">
        <v>16</v>
      </c>
    </row>
    <row r="4" spans="1:4" x14ac:dyDescent="0.25">
      <c r="A4" s="28" t="s">
        <v>136</v>
      </c>
      <c r="B4" s="28" t="s">
        <v>258</v>
      </c>
      <c r="C4" s="31" t="s">
        <v>5</v>
      </c>
      <c r="D4" s="36">
        <v>1210621.3999999999</v>
      </c>
    </row>
    <row r="5" spans="1:4" x14ac:dyDescent="0.25">
      <c r="A5" s="28" t="s">
        <v>3236</v>
      </c>
      <c r="B5" s="28" t="s">
        <v>3237</v>
      </c>
      <c r="C5" s="31" t="s">
        <v>5</v>
      </c>
      <c r="D5" s="36">
        <v>392868.67</v>
      </c>
    </row>
    <row r="6" spans="1:4" x14ac:dyDescent="0.25">
      <c r="A6" s="28" t="s">
        <v>3493</v>
      </c>
      <c r="B6" s="28"/>
      <c r="C6" s="31" t="s">
        <v>5</v>
      </c>
      <c r="D6" s="36">
        <v>130000</v>
      </c>
    </row>
    <row r="7" spans="1:4" x14ac:dyDescent="0.25">
      <c r="A7" s="28" t="s">
        <v>1019</v>
      </c>
      <c r="B7" s="28" t="s">
        <v>3494</v>
      </c>
      <c r="C7" s="31" t="s">
        <v>5</v>
      </c>
      <c r="D7" s="36">
        <v>577754.77</v>
      </c>
    </row>
    <row r="8" spans="1:4" x14ac:dyDescent="0.25">
      <c r="A8" s="28" t="s">
        <v>3495</v>
      </c>
      <c r="B8" s="28" t="s">
        <v>1147</v>
      </c>
      <c r="C8" s="31" t="s">
        <v>5</v>
      </c>
      <c r="D8" s="36">
        <v>120000</v>
      </c>
    </row>
    <row r="9" spans="1:4" x14ac:dyDescent="0.25">
      <c r="A9" s="28" t="s">
        <v>3496</v>
      </c>
      <c r="B9" s="28" t="s">
        <v>693</v>
      </c>
      <c r="C9" s="31" t="s">
        <v>5</v>
      </c>
      <c r="D9" s="36">
        <v>511853.4</v>
      </c>
    </row>
    <row r="10" spans="1:4" x14ac:dyDescent="0.25">
      <c r="A10" s="28" t="s">
        <v>3497</v>
      </c>
      <c r="B10" s="28" t="s">
        <v>693</v>
      </c>
      <c r="C10" s="31" t="s">
        <v>5</v>
      </c>
      <c r="D10" s="36">
        <v>245000</v>
      </c>
    </row>
    <row r="11" spans="1:4" x14ac:dyDescent="0.25">
      <c r="A11" s="28" t="s">
        <v>3498</v>
      </c>
      <c r="B11" s="28"/>
      <c r="C11" s="31" t="s">
        <v>5</v>
      </c>
      <c r="D11" s="36">
        <v>216000</v>
      </c>
    </row>
    <row r="12" spans="1:4" x14ac:dyDescent="0.25">
      <c r="A12" s="28" t="s">
        <v>1807</v>
      </c>
      <c r="B12" s="28" t="s">
        <v>1814</v>
      </c>
      <c r="C12" s="31" t="s">
        <v>5</v>
      </c>
      <c r="D12" s="36">
        <v>200000</v>
      </c>
    </row>
    <row r="13" spans="1:4" x14ac:dyDescent="0.25">
      <c r="A13" s="28" t="s">
        <v>3499</v>
      </c>
      <c r="B13" s="28" t="s">
        <v>693</v>
      </c>
      <c r="C13" s="31" t="s">
        <v>5</v>
      </c>
      <c r="D13" s="36">
        <v>580000</v>
      </c>
    </row>
    <row r="14" spans="1:4" x14ac:dyDescent="0.25">
      <c r="A14" s="28" t="s">
        <v>3500</v>
      </c>
      <c r="B14" s="28" t="s">
        <v>3409</v>
      </c>
      <c r="C14" s="31" t="s">
        <v>5</v>
      </c>
      <c r="D14" s="36">
        <v>232459.1</v>
      </c>
    </row>
    <row r="15" spans="1:4" x14ac:dyDescent="0.25">
      <c r="A15" s="28" t="s">
        <v>3501</v>
      </c>
      <c r="B15" s="28" t="s">
        <v>2360</v>
      </c>
      <c r="C15" s="31" t="s">
        <v>5</v>
      </c>
      <c r="D15" s="36">
        <v>1091353.6499999999</v>
      </c>
    </row>
    <row r="16" spans="1:4" x14ac:dyDescent="0.25">
      <c r="A16" s="28" t="s">
        <v>3502</v>
      </c>
      <c r="B16" s="28" t="s">
        <v>634</v>
      </c>
      <c r="C16" s="31" t="s">
        <v>5</v>
      </c>
      <c r="D16" s="36">
        <v>1150000</v>
      </c>
    </row>
    <row r="17" spans="1:4" x14ac:dyDescent="0.25">
      <c r="A17" s="28" t="s">
        <v>1653</v>
      </c>
      <c r="B17" s="28" t="s">
        <v>693</v>
      </c>
      <c r="C17" s="31" t="s">
        <v>5</v>
      </c>
      <c r="D17" s="36">
        <v>460000</v>
      </c>
    </row>
    <row r="18" spans="1:4" x14ac:dyDescent="0.25">
      <c r="A18" s="28" t="s">
        <v>1639</v>
      </c>
      <c r="B18" s="28"/>
      <c r="C18" s="31" t="s">
        <v>5</v>
      </c>
      <c r="D18" s="36">
        <v>190000</v>
      </c>
    </row>
    <row r="19" spans="1:4" x14ac:dyDescent="0.25">
      <c r="A19" s="33" t="s">
        <v>3503</v>
      </c>
      <c r="B19" s="33"/>
      <c r="C19" s="34" t="s">
        <v>5</v>
      </c>
      <c r="D19" s="42">
        <v>47869.05</v>
      </c>
    </row>
    <row r="20" spans="1:4" x14ac:dyDescent="0.25">
      <c r="A20" s="33" t="s">
        <v>3504</v>
      </c>
      <c r="B20" s="33"/>
      <c r="C20" s="34" t="s">
        <v>5</v>
      </c>
      <c r="D20" s="42">
        <v>580000</v>
      </c>
    </row>
    <row r="21" spans="1:4" ht="9" customHeight="1" x14ac:dyDescent="0.25">
      <c r="C21" s="34"/>
      <c r="D21" s="42"/>
    </row>
    <row r="22" spans="1:4" x14ac:dyDescent="0.25">
      <c r="C22" s="38" t="s">
        <v>5</v>
      </c>
      <c r="D22" s="37">
        <f>SUM(D4:D20)</f>
        <v>7935780.04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6854d0-8cd3-4adf-8a71-715b619dc4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0DA996331EF74B8C007E100D0425EB" ma:contentTypeVersion="6" ma:contentTypeDescription="Crear nuevo documento." ma:contentTypeScope="" ma:versionID="45ad04519aa017a0697df6ea7372edaa">
  <xsd:schema xmlns:xsd="http://www.w3.org/2001/XMLSchema" xmlns:xs="http://www.w3.org/2001/XMLSchema" xmlns:p="http://schemas.microsoft.com/office/2006/metadata/properties" xmlns:ns3="046854d0-8cd3-4adf-8a71-715b619dc44b" targetNamespace="http://schemas.microsoft.com/office/2006/metadata/properties" ma:root="true" ma:fieldsID="715f3b4690556fc34e5794a37522c725" ns3:_="">
    <xsd:import namespace="046854d0-8cd3-4adf-8a71-715b619dc4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854d0-8cd3-4adf-8a71-715b619dc4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B88474-D02C-4C10-9099-C2F48AA71C3F}">
  <ds:schemaRefs>
    <ds:schemaRef ds:uri="http://purl.org/dc/terms/"/>
    <ds:schemaRef ds:uri="http://schemas.microsoft.com/office/2006/documentManagement/types"/>
    <ds:schemaRef ds:uri="046854d0-8cd3-4adf-8a71-715b619dc44b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0004F0B-4F85-4DA9-8727-214A2923B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6A2896-034A-44A8-9688-A457EED79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6854d0-8cd3-4adf-8a71-715b619dc4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Semanal</vt:lpstr>
      <vt:lpstr>Efectivo</vt:lpstr>
      <vt:lpstr>Pago Semana</vt:lpstr>
      <vt:lpstr>Deuda Fruta</vt:lpstr>
      <vt:lpstr>Deuda Proveedores</vt:lpstr>
      <vt:lpstr>P Nuevo</vt:lpstr>
      <vt:lpstr>Proveedor</vt:lpstr>
      <vt:lpstr>Serv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Casulli</dc:creator>
  <cp:keywords/>
  <dc:description/>
  <cp:lastModifiedBy>Alejandro Casulli</cp:lastModifiedBy>
  <cp:revision/>
  <cp:lastPrinted>2026-10-22T11:16:23Z</cp:lastPrinted>
  <dcterms:created xsi:type="dcterms:W3CDTF">2025-02-26T14:26:06Z</dcterms:created>
  <dcterms:modified xsi:type="dcterms:W3CDTF">2026-10-27T18:47:58Z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0x010100A90DA996331EF74B8C007E100D0425EB</vt:lpwstr>
  </property>
</Properties>
</file>